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omments1.xml" ContentType="application/vnd.openxmlformats-officedocument.spreadsheetml.comments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omments3.xml" ContentType="application/vnd.openxmlformats-officedocument.spreadsheetml.comments+xml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drawings/drawing2.xml" ContentType="application/vnd.openxmlformats-officedocument.drawing+xml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drawings/drawing4.xml" ContentType="application/vnd.openxmlformats-officedocument.drawing+xml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comments5.xml" ContentType="application/vnd.openxmlformats-officedocument.spreadsheetml.comments+xml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ustomProperty24.bin" ContentType="application/vnd.openxmlformats-officedocument.spreadsheetml.customProperty"/>
  <Override PartName="/xl/customProperty25.bin" ContentType="application/vnd.openxmlformats-officedocument.spreadsheetml.customProperty"/>
  <Override PartName="/xl/customProperty26.bin" ContentType="application/vnd.openxmlformats-officedocument.spreadsheetml.customProperty"/>
  <Override PartName="/xl/customProperty27.bin" ContentType="application/vnd.openxmlformats-officedocument.spreadsheetml.customProperty"/>
  <Override PartName="/xl/customProperty28.bin" ContentType="application/vnd.openxmlformats-officedocument.spreadsheetml.customProperty"/>
  <Override PartName="/xl/customProperty29.bin" ContentType="application/vnd.openxmlformats-officedocument.spreadsheetml.customProperty"/>
  <Override PartName="/xl/customProperty30.bin" ContentType="application/vnd.openxmlformats-officedocument.spreadsheetml.customProperty"/>
  <Override PartName="/xl/customProperty31.bin" ContentType="application/vnd.openxmlformats-officedocument.spreadsheetml.customProperty"/>
  <Override PartName="/xl/customProperty32.bin" ContentType="application/vnd.openxmlformats-officedocument.spreadsheetml.customProperty"/>
  <Override PartName="/xl/customProperty33.bin" ContentType="application/vnd.openxmlformats-officedocument.spreadsheetml.customProperty"/>
  <Override PartName="/xl/customProperty34.bin" ContentType="application/vnd.openxmlformats-officedocument.spreadsheetml.customProperty"/>
  <Override PartName="/xl/customProperty35.bin" ContentType="application/vnd.openxmlformats-officedocument.spreadsheetml.customProperty"/>
  <Override PartName="/xl/customProperty36.bin" ContentType="application/vnd.openxmlformats-officedocument.spreadsheetml.customProperty"/>
  <Override PartName="/xl/drawings/drawing5.xml" ContentType="application/vnd.openxmlformats-officedocument.drawing+xml"/>
  <Override PartName="/xl/pivotTables/pivotTable1.xml" ContentType="application/vnd.openxmlformats-officedocument.spreadsheetml.pivotTable+xml"/>
  <Override PartName="/xl/customProperty37.bin" ContentType="application/vnd.openxmlformats-officedocument.spreadsheetml.customProperty"/>
  <Override PartName="/xl/customProperty38.bin" ContentType="application/vnd.openxmlformats-officedocument.spreadsheetml.customProperty"/>
  <Override PartName="/xl/pivotTables/pivotTable2.xml" ContentType="application/vnd.openxmlformats-officedocument.spreadsheetml.pivotTable+xml"/>
  <Override PartName="/xl/customProperty39.bin" ContentType="application/vnd.openxmlformats-officedocument.spreadsheetml.customProperty"/>
  <Override PartName="/xl/customProperty40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ThisWorkbook"/>
  <mc:AlternateContent xmlns:mc="http://schemas.openxmlformats.org/markup-compatibility/2006">
    <mc:Choice Requires="x15">
      <x15ac:absPath xmlns:x15ac="http://schemas.microsoft.com/office/spreadsheetml/2010/11/ac" url="I:\Regulatory Coordination Group\Tison Vega\Filing Work Area\2023PGS_RC\Discovery\OPC_5th\IRR-Prep\IRR_211\"/>
    </mc:Choice>
  </mc:AlternateContent>
  <xr:revisionPtr revIDLastSave="0" documentId="13_ncr:1_{FF3F620F-719D-482F-98C7-3CAAD0A3A670}" xr6:coauthVersionLast="47" xr6:coauthVersionMax="47" xr10:uidLastSave="{00000000-0000-0000-0000-000000000000}"/>
  <bookViews>
    <workbookView xWindow="-120" yWindow="-120" windowWidth="29040" windowHeight="15840" tabRatio="829" xr2:uid="{00000000-000D-0000-FFFF-FFFF00000000}"/>
  </bookViews>
  <sheets>
    <sheet name="D-4a 2022B" sheetId="63" r:id="rId1"/>
    <sheet name="D-4a 2019" sheetId="2" state="hidden" r:id="rId2"/>
    <sheet name="DL 1207" sheetId="3" state="hidden" r:id="rId3"/>
    <sheet name="FAGLB03" sheetId="42" state="hidden" r:id="rId4"/>
    <sheet name="Required Debt Amort" sheetId="31" state="hidden" r:id="rId5"/>
    <sheet name="PD0900" sheetId="45" state="hidden" r:id="rId6"/>
    <sheet name="189 Rollfwd" sheetId="44" state="hidden" r:id="rId7"/>
    <sheet name="1810200" sheetId="43" state="hidden" r:id="rId8"/>
    <sheet name="2008 BS Accts" sheetId="34" state="hidden" r:id="rId9"/>
    <sheet name="2009 BS Accts" sheetId="35" state="hidden" r:id="rId10"/>
    <sheet name="$85.95M" sheetId="36" state="hidden" r:id="rId11"/>
    <sheet name="$75.0M" sheetId="37" state="hidden" r:id="rId12"/>
    <sheet name="$54.2M" sheetId="38" state="hidden" r:id="rId13"/>
    <sheet name="$20.0M" sheetId="39" state="hidden" r:id="rId14"/>
    <sheet name="$51.6M" sheetId="40" state="hidden" r:id="rId15"/>
    <sheet name="Unamortized 182s" sheetId="41" state="hidden" r:id="rId16"/>
    <sheet name="7500110" sheetId="47" state="hidden" r:id="rId17"/>
    <sheet name="7500110-2019" sheetId="53" state="hidden" r:id="rId18"/>
    <sheet name="219 &amp; 190" sheetId="51" state="hidden" r:id="rId19"/>
    <sheet name="181 &amp; 189" sheetId="52" state="hidden" r:id="rId20"/>
  </sheets>
  <definedNames>
    <definedName name="\121">#REF!</definedName>
    <definedName name="\A">#REF!</definedName>
    <definedName name="\B">#REF!</definedName>
    <definedName name="\E">#REF!</definedName>
    <definedName name="\J">#REF!</definedName>
    <definedName name="\K">#REF!</definedName>
    <definedName name="\L">#REF!</definedName>
    <definedName name="\M">#REF!</definedName>
    <definedName name="\N">#REF!</definedName>
    <definedName name="\O">#REF!</definedName>
    <definedName name="\P">#REF!</definedName>
    <definedName name="\Q">#REF!</definedName>
    <definedName name="\R">#REF!</definedName>
    <definedName name="\S">#REF!</definedName>
    <definedName name="\T">#REF!</definedName>
    <definedName name="\U">#REF!</definedName>
    <definedName name="\V">#REF!</definedName>
    <definedName name="\X">#REF!</definedName>
    <definedName name="\Y">#REF!</definedName>
    <definedName name="\Z" localSheetId="9">'2009 BS Accts'!$U$1373</definedName>
    <definedName name="\Z">'2008 BS Accts'!$U$1563</definedName>
    <definedName name="_____________________DEC99">#REF!</definedName>
    <definedName name="________DEC99">#REF!</definedName>
    <definedName name="____APR99">#REF!</definedName>
    <definedName name="____AUG99">#REF!</definedName>
    <definedName name="____DEC98">#REF!</definedName>
    <definedName name="____FEB99">#REF!</definedName>
    <definedName name="____JAN99">#REF!</definedName>
    <definedName name="____JUL99">#REF!</definedName>
    <definedName name="____JUN99">#REF!</definedName>
    <definedName name="____MAR99">#REF!</definedName>
    <definedName name="____MAY99">#REF!</definedName>
    <definedName name="____NOV98">#REF!</definedName>
    <definedName name="____NOV99">#REF!</definedName>
    <definedName name="____OCT98">#REF!</definedName>
    <definedName name="____OCT99">#REF!</definedName>
    <definedName name="____SEP99">#REF!</definedName>
    <definedName name="___APR95">#REF!</definedName>
    <definedName name="___APR96">#REF!</definedName>
    <definedName name="___APR99">#REF!</definedName>
    <definedName name="___AUG95">#REF!</definedName>
    <definedName name="___AUG96">#REF!</definedName>
    <definedName name="___AUG99">#REF!</definedName>
    <definedName name="___DEC95">#REF!</definedName>
    <definedName name="___DEC96">#REF!</definedName>
    <definedName name="___DEC98">#REF!</definedName>
    <definedName name="___FEB95">#REF!</definedName>
    <definedName name="___FEB96">#REF!</definedName>
    <definedName name="___FEB99">#REF!</definedName>
    <definedName name="___JAN95">#REF!</definedName>
    <definedName name="___JAN96">#REF!</definedName>
    <definedName name="___JAN99">#REF!</definedName>
    <definedName name="___JE90026">#REF!</definedName>
    <definedName name="___JE90042">#REF!</definedName>
    <definedName name="___JE90076">#REF!</definedName>
    <definedName name="___JE90121">#REF!</definedName>
    <definedName name="___JUL95">#REF!</definedName>
    <definedName name="___JUL96">#REF!</definedName>
    <definedName name="___JUL99">#REF!</definedName>
    <definedName name="___JUN95">#REF!</definedName>
    <definedName name="___JUN96">#REF!</definedName>
    <definedName name="___JUN99">#REF!</definedName>
    <definedName name="___MAR95">#REF!</definedName>
    <definedName name="___MAR96">#REF!</definedName>
    <definedName name="___MAR99">#REF!</definedName>
    <definedName name="___MAY95">#REF!</definedName>
    <definedName name="___MAY96">#REF!</definedName>
    <definedName name="___MAY99">#REF!</definedName>
    <definedName name="___NOV95">#REF!</definedName>
    <definedName name="___NOV96">#REF!</definedName>
    <definedName name="___NOV98">#REF!</definedName>
    <definedName name="___NOV99">#REF!</definedName>
    <definedName name="___OCT95">#REF!</definedName>
    <definedName name="___OCT96">#REF!</definedName>
    <definedName name="___OCT98">#REF!</definedName>
    <definedName name="___OCT99">#REF!</definedName>
    <definedName name="___SEP95">#REF!</definedName>
    <definedName name="___SEP96">#REF!</definedName>
    <definedName name="___SEP99">#REF!</definedName>
    <definedName name="___TOT1998">#REF!</definedName>
    <definedName name="__181">#REF!</definedName>
    <definedName name="__APR95">#REF!</definedName>
    <definedName name="__APR96">#REF!</definedName>
    <definedName name="__APR99">#REF!</definedName>
    <definedName name="__AUG95">#REF!</definedName>
    <definedName name="__AUG96">#REF!</definedName>
    <definedName name="__AUG99">#REF!</definedName>
    <definedName name="__DEC95">#REF!</definedName>
    <definedName name="__DEC96">#REF!</definedName>
    <definedName name="__DEC98">#REF!</definedName>
    <definedName name="__DEC99">#REF!</definedName>
    <definedName name="__FEB95">#REF!</definedName>
    <definedName name="__FEB96">#REF!</definedName>
    <definedName name="__FEB99">#REF!</definedName>
    <definedName name="__JAN95">#REF!</definedName>
    <definedName name="__JAN96">#REF!</definedName>
    <definedName name="__JAN99">#REF!</definedName>
    <definedName name="__JE90026">#REF!</definedName>
    <definedName name="__JE90042">#REF!</definedName>
    <definedName name="__JE90076">#REF!</definedName>
    <definedName name="__JE90121">#REF!</definedName>
    <definedName name="__JUL95">#REF!</definedName>
    <definedName name="__JUL96">#REF!</definedName>
    <definedName name="__JUL99">#REF!</definedName>
    <definedName name="__JUN95">#REF!</definedName>
    <definedName name="__JUN96">#REF!</definedName>
    <definedName name="__JUN99">#REF!</definedName>
    <definedName name="__MAR95">#REF!</definedName>
    <definedName name="__MAR96">#REF!</definedName>
    <definedName name="__MAR99">#REF!</definedName>
    <definedName name="__MAY95">#REF!</definedName>
    <definedName name="__MAY96">#REF!</definedName>
    <definedName name="__MAY99">#REF!</definedName>
    <definedName name="__NOV95">#REF!</definedName>
    <definedName name="__NOV96">#REF!</definedName>
    <definedName name="__NOV98">#REF!</definedName>
    <definedName name="__NOV99">#REF!</definedName>
    <definedName name="__OCT95">#REF!</definedName>
    <definedName name="__OCT96">#REF!</definedName>
    <definedName name="__OCT98">#REF!</definedName>
    <definedName name="__OCT99">#REF!</definedName>
    <definedName name="__SEP95">#REF!</definedName>
    <definedName name="__SEP96">#REF!</definedName>
    <definedName name="__SEP99">#REF!</definedName>
    <definedName name="__TOT1998">#REF!</definedName>
    <definedName name="_1_181">#REF!</definedName>
    <definedName name="_1_237_S">#REF!</definedName>
    <definedName name="_12MEACT" localSheetId="7">#REF!</definedName>
    <definedName name="_12MEACT" localSheetId="6">#REF!</definedName>
    <definedName name="_12MEACT" localSheetId="8">#REF!</definedName>
    <definedName name="_12MEACT" localSheetId="9">#REF!</definedName>
    <definedName name="_12MEACT" localSheetId="5">#REF!</definedName>
    <definedName name="_12MEACT">#REF!</definedName>
    <definedName name="_12MEBUD" localSheetId="7">#REF!</definedName>
    <definedName name="_12MEBUD" localSheetId="6">#REF!</definedName>
    <definedName name="_12MEBUD" localSheetId="8">#REF!</definedName>
    <definedName name="_12MEBUD" localSheetId="9">#REF!</definedName>
    <definedName name="_12MEBUD" localSheetId="5">#REF!</definedName>
    <definedName name="_12MEBUD">#REF!</definedName>
    <definedName name="_14A">#REF!</definedName>
    <definedName name="_14A_Budget">#REF!</definedName>
    <definedName name="_14B">#REF!</definedName>
    <definedName name="_14C">#REF!</definedName>
    <definedName name="_14D">#REF!</definedName>
    <definedName name="_14WKSHT">#REF!</definedName>
    <definedName name="_15_1995_TWMON">#REF!</definedName>
    <definedName name="_15_1995_YTD">#REF!</definedName>
    <definedName name="_15_BACKUP">#REF!</definedName>
    <definedName name="_15_BUDG_TWMON">#REF!</definedName>
    <definedName name="_15_BUDG_YTD">#REF!</definedName>
    <definedName name="_15_Budget">#REF!</definedName>
    <definedName name="_15A">#REF!</definedName>
    <definedName name="_15B">#REF!</definedName>
    <definedName name="_15C">#REF!</definedName>
    <definedName name="_15D">#REF!</definedName>
    <definedName name="_16__97_BUDGET">#REF!</definedName>
    <definedName name="_16_1_Budget">#REF!</definedName>
    <definedName name="_16_1994">#REF!</definedName>
    <definedName name="_16_1995">#REF!</definedName>
    <definedName name="_16_1995_TWMON">#REF!</definedName>
    <definedName name="_16_1995_YTD">#REF!</definedName>
    <definedName name="_16_1996_TWMON">#REF!</definedName>
    <definedName name="_16_2_Budget">#REF!</definedName>
    <definedName name="_16_BACKUP">#REF!</definedName>
    <definedName name="_16_BUDG_CM_199">#REF!</definedName>
    <definedName name="_16_BUDG_TWMON">#REF!</definedName>
    <definedName name="_16A_1">#REF!</definedName>
    <definedName name="_16A_2">#REF!</definedName>
    <definedName name="_16B_1">#REF!</definedName>
    <definedName name="_16B_2">#REF!</definedName>
    <definedName name="_16C_1">#REF!</definedName>
    <definedName name="_16C_2">#REF!</definedName>
    <definedName name="_16D_1">#REF!</definedName>
    <definedName name="_16D_2">#REF!</definedName>
    <definedName name="_17">#REF!</definedName>
    <definedName name="_17_BUD_9912MTH">#REF!</definedName>
    <definedName name="_17_BUD_99CM">#REF!</definedName>
    <definedName name="_17_BUD_99YTD">#REF!</definedName>
    <definedName name="_17_WORKSHEET_1">#REF!</definedName>
    <definedName name="_17_WORKSHEET_2">#REF!</definedName>
    <definedName name="_17BUD_2_TWMON">#REF!</definedName>
    <definedName name="_17BUD_2_YTD">#REF!</definedName>
    <definedName name="_181">#REF!</definedName>
    <definedName name="_1994A">#REF!</definedName>
    <definedName name="_1994B">#REF!</definedName>
    <definedName name="_1995A">#REF!</definedName>
    <definedName name="_1995A_TWMON">#REF!</definedName>
    <definedName name="_1995A_YTD">#REF!</definedName>
    <definedName name="_1995B">#REF!</definedName>
    <definedName name="_1995B_TWMON">#REF!</definedName>
    <definedName name="_1995B_YTD">#REF!</definedName>
    <definedName name="_1996A">#REF!</definedName>
    <definedName name="_1996A_TWMON">#REF!</definedName>
    <definedName name="_1996A_YTD">#REF!</definedName>
    <definedName name="_1996B">#REF!</definedName>
    <definedName name="_1996B_TWMON">#REF!</definedName>
    <definedName name="_1996B_YTD">#REF!</definedName>
    <definedName name="_1A_R">#REF!</definedName>
    <definedName name="_2_427_S">#REF!</definedName>
    <definedName name="_2009_PROJECTED__Detail">#REF!</definedName>
    <definedName name="_2TEFIS_00_08">#REF!</definedName>
    <definedName name="_3RD_QUARTER">#REF!</definedName>
    <definedName name="_4TH_QUARTER">"$AC$4:$AN$45"</definedName>
    <definedName name="_76BACKUP">#REF!</definedName>
    <definedName name="_904HIST">#REF!</definedName>
    <definedName name="_APR95">#REF!</definedName>
    <definedName name="_APR96">#REF!</definedName>
    <definedName name="_APR99">#REF!</definedName>
    <definedName name="_AUG95">#REF!</definedName>
    <definedName name="_AUG96">#REF!</definedName>
    <definedName name="_AUG99">#REF!</definedName>
    <definedName name="_BSA2">#REF!</definedName>
    <definedName name="_BSL2">#REF!</definedName>
    <definedName name="_CFL2">#REF!</definedName>
    <definedName name="_DEC95">#REF!</definedName>
    <definedName name="_DEC96">#REF!</definedName>
    <definedName name="_DEC98">#REF!</definedName>
    <definedName name="_DEC99">#REF!</definedName>
    <definedName name="_EIA826">#REF!</definedName>
    <definedName name="_FEB95">#REF!</definedName>
    <definedName name="_FEB96">#REF!</definedName>
    <definedName name="_FEB99">#REF!</definedName>
    <definedName name="_xlnm._FilterDatabase" localSheetId="8" hidden="1">'2008 BS Accts'!$1:$1563</definedName>
    <definedName name="_xlnm._FilterDatabase" localSheetId="9" hidden="1">'2009 BS Accts'!$1:$1373</definedName>
    <definedName name="_xlnm._FilterDatabase" localSheetId="18" hidden="1">'219 &amp; 190'!$A$1:$M$1574</definedName>
    <definedName name="_xlnm._FilterDatabase" localSheetId="17" hidden="1">'7500110-2019'!$A$1:$M$135</definedName>
    <definedName name="_IST2">#REF!</definedName>
    <definedName name="_JAN95">#REF!</definedName>
    <definedName name="_JAN96">#REF!</definedName>
    <definedName name="_JAN99">#REF!</definedName>
    <definedName name="_JE90026">#REF!</definedName>
    <definedName name="_JE90042">#REF!</definedName>
    <definedName name="_JE90046">#REF!</definedName>
    <definedName name="_JE90076">#REF!</definedName>
    <definedName name="_JE90121">#REF!</definedName>
    <definedName name="_JUL95">#REF!</definedName>
    <definedName name="_JUL96">#REF!</definedName>
    <definedName name="_JUL99">#REF!</definedName>
    <definedName name="_JUN95">#REF!</definedName>
    <definedName name="_JUN96">#REF!</definedName>
    <definedName name="_JUN99">#REF!</definedName>
    <definedName name="_Key1" hidden="1">#REF!</definedName>
    <definedName name="_KW95">#REF!</definedName>
    <definedName name="_KW97">#REF!</definedName>
    <definedName name="_MAR95">#REF!</definedName>
    <definedName name="_MAR96">#REF!</definedName>
    <definedName name="_MAR99">#REF!</definedName>
    <definedName name="_MAY95">#REF!</definedName>
    <definedName name="_MAY96">#REF!</definedName>
    <definedName name="_MAY99">#REF!</definedName>
    <definedName name="_MFR21">#REF!</definedName>
    <definedName name="_MWH95">#REF!</definedName>
    <definedName name="_MWH97">#REF!</definedName>
    <definedName name="_NOV95">#REF!</definedName>
    <definedName name="_NOV96">#REF!</definedName>
    <definedName name="_NOV98">#REF!</definedName>
    <definedName name="_NOV99">#REF!</definedName>
    <definedName name="_OCT95">#REF!</definedName>
    <definedName name="_OCT96">#REF!</definedName>
    <definedName name="_OCT98">#REF!</definedName>
    <definedName name="_OCT99">#REF!</definedName>
    <definedName name="_Order1" hidden="1">255</definedName>
    <definedName name="_REV1998">#REF!</definedName>
    <definedName name="_SEP95">#REF!</definedName>
    <definedName name="_SEP96">#REF!</definedName>
    <definedName name="_SEP99">#REF!</definedName>
    <definedName name="_Sort" hidden="1">#REF!</definedName>
    <definedName name="_TOT1998">#REF!</definedName>
    <definedName name="ADA">#REF!</definedName>
    <definedName name="AE">#REF!</definedName>
    <definedName name="AF">#REF!</definedName>
    <definedName name="AFDA">#REF!</definedName>
    <definedName name="AFDE">#REF!</definedName>
    <definedName name="AFDFA">#REF!</definedName>
    <definedName name="AFDO">#REF!</definedName>
    <definedName name="ajdiao">#REF!</definedName>
    <definedName name="ALL">#REF!</definedName>
    <definedName name="ALTJE">#REF!</definedName>
    <definedName name="AMORTPAGE1">#REF!</definedName>
    <definedName name="AMORTPAGE2">#REF!</definedName>
    <definedName name="ankfna">#REF!</definedName>
    <definedName name="AP_OTHER" localSheetId="7">#REF!</definedName>
    <definedName name="AP_OTHER" localSheetId="6">#REF!</definedName>
    <definedName name="AP_OTHER" localSheetId="5">#REF!</definedName>
    <definedName name="AP_OTHER">#REF!</definedName>
    <definedName name="APR">#REF!</definedName>
    <definedName name="ASSUMPTIONS">#REF!</definedName>
    <definedName name="AUG">#REF!</definedName>
    <definedName name="AUR">#REF!</definedName>
    <definedName name="B_PLAN_1">#REF!</definedName>
    <definedName name="B_PLAN_2">#REF!</definedName>
    <definedName name="B_PLAN_3">#REF!</definedName>
    <definedName name="B_PLAN_4">#REF!</definedName>
    <definedName name="BAD_DEBT_HISTORY_FOR_JE_20">#REF!</definedName>
    <definedName name="BAD_DEBT_RATE">#REF!</definedName>
    <definedName name="BAD_DEBT_VAR">#REF!</definedName>
    <definedName name="BADDEBT">#REF!</definedName>
    <definedName name="BalDatData">#REF!</definedName>
    <definedName name="Base_TOD">#REF!</definedName>
    <definedName name="BASE_UNBLD_REV_">#REF!</definedName>
    <definedName name="BASE95">#REF!</definedName>
    <definedName name="BASE97">#REF!</definedName>
    <definedName name="BASECALC">#REF!</definedName>
    <definedName name="BASEPY">#REF!</definedName>
    <definedName name="BASEYEAR">#REF!</definedName>
    <definedName name="BDLEVEL">#REF!</definedName>
    <definedName name="BENEFITS_EXP" localSheetId="7">#REF!</definedName>
    <definedName name="BENEFITS_EXP" localSheetId="6">#REF!</definedName>
    <definedName name="BENEFITS_EXP" localSheetId="8">#REF!</definedName>
    <definedName name="BENEFITS_EXP" localSheetId="9">#REF!</definedName>
    <definedName name="BENEFITS_EXP" localSheetId="5">#REF!</definedName>
    <definedName name="BENEFITS_EXP">#REF!</definedName>
    <definedName name="BORDER">#REF!</definedName>
    <definedName name="BS_ACC_NUM" localSheetId="9">'2009 BS Accts'!$A$6:$A$317</definedName>
    <definedName name="BS_ACC_NUM">'2008 BS Accts'!$A$6:$A$317</definedName>
    <definedName name="BS_Forecast" localSheetId="7">#REF!</definedName>
    <definedName name="BS_Forecast" localSheetId="6">#REF!</definedName>
    <definedName name="BS_Forecast" localSheetId="5">#REF!</definedName>
    <definedName name="BS_Forecast">#REF!</definedName>
    <definedName name="BS_Plan" localSheetId="7">#REF!</definedName>
    <definedName name="BS_Plan" localSheetId="6">#REF!</definedName>
    <definedName name="BS_Plan" localSheetId="5">#REF!</definedName>
    <definedName name="BS_Plan">#REF!</definedName>
    <definedName name="BS_Plan2" localSheetId="7">#REF!</definedName>
    <definedName name="BS_Plan2" localSheetId="6">#REF!</definedName>
    <definedName name="BS_Plan2" localSheetId="5">#REF!</definedName>
    <definedName name="BS_Plan2">#REF!</definedName>
    <definedName name="BSACCTS" localSheetId="9">'2009 BS Accts'!$A$6:$P$355</definedName>
    <definedName name="BSACCTS">'2008 BS Accts'!$A$6:$P$355</definedName>
    <definedName name="BSDOWNLOAD" localSheetId="9">'2009 BS Accts'!$O$6:$P$317</definedName>
    <definedName name="BSDOWNLOAD">'2008 BS Accts'!$O$6:$P$317</definedName>
    <definedName name="BSFERC" localSheetId="9">'2009 BS Accts'!$A$6:$A$317</definedName>
    <definedName name="BSFERC">'2008 BS Accts'!$A$6:$A$317</definedName>
    <definedName name="BSHEADER" localSheetId="9">'2009 BS Accts'!$A$2:$P$5</definedName>
    <definedName name="BSHEADER">'2008 BS Accts'!$A$2:$P$5</definedName>
    <definedName name="BTLTAX" localSheetId="7">#REF!</definedName>
    <definedName name="BTLTAX" localSheetId="6">#REF!</definedName>
    <definedName name="BTLTAX" localSheetId="8">#REF!</definedName>
    <definedName name="BTLTAX" localSheetId="9">#REF!</definedName>
    <definedName name="BTLTAX" localSheetId="5">#REF!</definedName>
    <definedName name="BTLTAX">#REF!</definedName>
    <definedName name="BTLTAXES">#REF!</definedName>
    <definedName name="BTLTXBUD">#REF!</definedName>
    <definedName name="bu0jo">#REF!</definedName>
    <definedName name="BUDGET">#REF!</definedName>
    <definedName name="Button2">#REF!</definedName>
    <definedName name="CASHFLS" localSheetId="9">#REF!</definedName>
    <definedName name="CASHFLS" localSheetId="5">#REF!</definedName>
    <definedName name="CASHFLS">#REF!</definedName>
    <definedName name="CF_Forecast" localSheetId="7">#REF!</definedName>
    <definedName name="CF_Forecast" localSheetId="6">#REF!</definedName>
    <definedName name="CF_Forecast" localSheetId="5">#REF!</definedName>
    <definedName name="CF_Forecast">#REF!</definedName>
    <definedName name="CF_Plan2" localSheetId="7">#REF!</definedName>
    <definedName name="CF_Plan2" localSheetId="6">#REF!</definedName>
    <definedName name="CF_Plan2" localSheetId="5">#REF!</definedName>
    <definedName name="CF_Plan2">#REF!</definedName>
    <definedName name="CFPRES">#REF!</definedName>
    <definedName name="CM_ACT_ACT">#REF!</definedName>
    <definedName name="CM_ACT_BUD">#REF!</definedName>
    <definedName name="CM_BASE_REV">#REF!</definedName>
    <definedName name="CM_GWH_SALES">#REF!</definedName>
    <definedName name="CM_VAR_ANAL_ACT">#REF!</definedName>
    <definedName name="CM_VAR_ANAL_BUD">#REF!</definedName>
    <definedName name="CMACT" localSheetId="7">#REF!</definedName>
    <definedName name="CMACT" localSheetId="6">#REF!</definedName>
    <definedName name="CMACT" localSheetId="8">#REF!</definedName>
    <definedName name="CMACT" localSheetId="9">#REF!</definedName>
    <definedName name="CMACT" localSheetId="5">#REF!</definedName>
    <definedName name="CMACT">#REF!</definedName>
    <definedName name="CMACTTBRR">#REF!</definedName>
    <definedName name="CMBUD" localSheetId="7">#REF!</definedName>
    <definedName name="CMBUD" localSheetId="6">#REF!</definedName>
    <definedName name="CMBUD" localSheetId="8">#REF!</definedName>
    <definedName name="CMBUD" localSheetId="9">#REF!</definedName>
    <definedName name="CMBUD" localSheetId="5">#REF!</definedName>
    <definedName name="CMBUD">#REF!</definedName>
    <definedName name="CMBUDTBRR">#REF!</definedName>
    <definedName name="CMDETAIL">#REF!</definedName>
    <definedName name="CMOOR">#REF!</definedName>
    <definedName name="CMRATE">#REF!</definedName>
    <definedName name="CMREVANAL">#REF!</definedName>
    <definedName name="CommercialCM">#REF!</definedName>
    <definedName name="CommercialQ">#REF!</definedName>
    <definedName name="CommercialTME">#REF!</definedName>
    <definedName name="CommercialYTD">#REF!</definedName>
    <definedName name="CONOIL_TOD">#REF!</definedName>
    <definedName name="CONOIL95">#REF!</definedName>
    <definedName name="CONOIL97">#REF!</definedName>
    <definedName name="CONOILYEAR">#REF!</definedName>
    <definedName name="CONSCF4A" localSheetId="7">#REF!</definedName>
    <definedName name="CONSCF4A" localSheetId="6">#REF!</definedName>
    <definedName name="CONSCF4A" localSheetId="8">#REF!</definedName>
    <definedName name="CONSCF4A" localSheetId="9">#REF!</definedName>
    <definedName name="CONSCF4A" localSheetId="5">#REF!</definedName>
    <definedName name="CONSCF4A">#REF!</definedName>
    <definedName name="CONSCF4B" localSheetId="7">#REF!</definedName>
    <definedName name="CONSCF4B" localSheetId="6">#REF!</definedName>
    <definedName name="CONSCF4B" localSheetId="8">#REF!</definedName>
    <definedName name="CONSCF4B" localSheetId="9">#REF!</definedName>
    <definedName name="CONSCF4B" localSheetId="5">#REF!</definedName>
    <definedName name="CONSCF4B">#REF!</definedName>
    <definedName name="CONSOLP1" localSheetId="7">#REF!</definedName>
    <definedName name="CONSOLP1" localSheetId="6">#REF!</definedName>
    <definedName name="CONSOLP1" localSheetId="8">#REF!</definedName>
    <definedName name="CONSOLP1" localSheetId="9">#REF!</definedName>
    <definedName name="CONSOLP1" localSheetId="5">#REF!</definedName>
    <definedName name="CONSOLP1">#REF!</definedName>
    <definedName name="CONSOLP2" localSheetId="7">#REF!</definedName>
    <definedName name="CONSOLP2" localSheetId="6">#REF!</definedName>
    <definedName name="CONSOLP2" localSheetId="8">#REF!</definedName>
    <definedName name="CONSOLP2" localSheetId="9">#REF!</definedName>
    <definedName name="CONSOLP2" localSheetId="5">#REF!</definedName>
    <definedName name="CONSOLP2">#REF!</definedName>
    <definedName name="CONSOLP3" localSheetId="7">#REF!</definedName>
    <definedName name="CONSOLP3" localSheetId="6">#REF!</definedName>
    <definedName name="CONSOLP3" localSheetId="8">#REF!</definedName>
    <definedName name="CONSOLP3" localSheetId="9">#REF!</definedName>
    <definedName name="CONSOLP3" localSheetId="5">#REF!</definedName>
    <definedName name="CONSOLP3">#REF!</definedName>
    <definedName name="CONSOLP4" localSheetId="7">#REF!</definedName>
    <definedName name="CONSOLP4" localSheetId="6">#REF!</definedName>
    <definedName name="CONSOLP4" localSheetId="8">#REF!</definedName>
    <definedName name="CONSOLP4" localSheetId="9">#REF!</definedName>
    <definedName name="CONSOLP4" localSheetId="5">#REF!</definedName>
    <definedName name="CONSOLP4">#REF!</definedName>
    <definedName name="CONTENTS">#REF!</definedName>
    <definedName name="CUST_TOD">#REF!</definedName>
    <definedName name="CUST95">#REF!</definedName>
    <definedName name="CUST97">#REF!</definedName>
    <definedName name="CUSTYEAR">#REF!</definedName>
    <definedName name="DAFAD">#REF!</definedName>
    <definedName name="DAYS_IN_YEAR">#REF!</definedName>
    <definedName name="DCONSR">#REF!</definedName>
    <definedName name="DCR">#REF!</definedName>
    <definedName name="DEC">#REF!</definedName>
    <definedName name="DefClRevCM">#REF!</definedName>
    <definedName name="DefClRevTME">#REF!</definedName>
    <definedName name="DefClRevTotalCM">#REF!</definedName>
    <definedName name="DefClRevTotalYTD">#REF!</definedName>
    <definedName name="DefClRevYTD">#REF!</definedName>
    <definedName name="DEFERRED">#REF!</definedName>
    <definedName name="DEFERRED_A">#REF!</definedName>
    <definedName name="DEFREV">#REF!</definedName>
    <definedName name="DFD">#REF!</definedName>
    <definedName name="DFR">#REF!</definedName>
    <definedName name="DOB">#REF!</definedName>
    <definedName name="DocketNum">#REF!</definedName>
    <definedName name="DOWNLOAD">#REF!</definedName>
    <definedName name="DOWNLOAD_1099">#REF!</definedName>
    <definedName name="E_\CLOSEOUT\PAGES\_0500RVPG.xls_SYS._NET">#REF!</definedName>
    <definedName name="EAFE">#REF!</definedName>
    <definedName name="EGY12MIS">#REF!</definedName>
    <definedName name="EGYASSTS">#REF!</definedName>
    <definedName name="EGYCFSCH">#REF!</definedName>
    <definedName name="EGYCMIS">#REF!</definedName>
    <definedName name="EGYLIABS">#REF!</definedName>
    <definedName name="EGYPCFSH">#REF!</definedName>
    <definedName name="EGYPCFSHPORT">#REF!</definedName>
    <definedName name="EGYPRIS">#REF!</definedName>
    <definedName name="EGYRESCH">#REF!</definedName>
    <definedName name="ESOP_GOAL" localSheetId="7">#REF!</definedName>
    <definedName name="ESOP_GOAL" localSheetId="6">#REF!</definedName>
    <definedName name="ESOP_GOAL" localSheetId="8">#REF!</definedName>
    <definedName name="ESOP_GOAL" localSheetId="9">#REF!</definedName>
    <definedName name="ESOP_GOAL" localSheetId="5">#REF!</definedName>
    <definedName name="ESOP_GOAL">#REF!</definedName>
    <definedName name="ESOPWP" localSheetId="7">#REF!</definedName>
    <definedName name="ESOPWP" localSheetId="6">#REF!</definedName>
    <definedName name="ESOPWP" localSheetId="8">#REF!</definedName>
    <definedName name="ESOPWP" localSheetId="9">#REF!</definedName>
    <definedName name="ESOPWP" localSheetId="5">#REF!</definedName>
    <definedName name="ESOPWP">#REF!</definedName>
    <definedName name="EV__EVCOM_OPTIONS__" hidden="1">8</definedName>
    <definedName name="EV__EXPOPTIONS__" hidden="1">0</definedName>
    <definedName name="EV__LASTREFTIME__" hidden="1">"(GMT-05:00)2/21/2018 1:26:32 PM"</definedName>
    <definedName name="EV__MAXEXPCOLS__" hidden="1">100</definedName>
    <definedName name="EV__MAXEXPROWS__" hidden="1">1000</definedName>
    <definedName name="EV__MEMORYCVW__" hidden="1">0</definedName>
    <definedName name="EV__WBEVMODE__" hidden="1">1</definedName>
    <definedName name="EV__WBREFOPTIONS__" hidden="1">134217750</definedName>
    <definedName name="EV__WBVERSION__" hidden="1">0</definedName>
    <definedName name="EXAMPLE">#REF!</definedName>
    <definedName name="EXPENSE">#REF!</definedName>
    <definedName name="FAD">#REF!</definedName>
    <definedName name="fadf">#REF!</definedName>
    <definedName name="FADFA">#REF!</definedName>
    <definedName name="FAEEA">#REF!</definedName>
    <definedName name="famkdf">#REF!</definedName>
    <definedName name="FANJKD">#REF!</definedName>
    <definedName name="FDAF">#REF!</definedName>
    <definedName name="FDFD">#REF!</definedName>
    <definedName name="FDFDA">#REF!</definedName>
    <definedName name="FEB">#REF!</definedName>
    <definedName name="fioajfoa">#REF!</definedName>
    <definedName name="frdrtd">#REF!</definedName>
    <definedName name="ftfh">#REF!</definedName>
    <definedName name="FUEL_TOD">#REF!</definedName>
    <definedName name="FUEL95">#REF!</definedName>
    <definedName name="FUEL97">#REF!</definedName>
    <definedName name="FUELYEAR">#REF!</definedName>
    <definedName name="GAGD">#REF!</definedName>
    <definedName name="ggibuo">#REF!</definedName>
    <definedName name="GRTFRN_TOD">#REF!</definedName>
    <definedName name="GRTFRN95">#REF!</definedName>
    <definedName name="GRTFRN97">#REF!</definedName>
    <definedName name="GRTFRNYEAR">#REF!</definedName>
    <definedName name="gygfuy">#REF!</definedName>
    <definedName name="gyugihio">#REF!</definedName>
    <definedName name="gyugihiou">#REF!</definedName>
    <definedName name="HEADING">#REF!</definedName>
    <definedName name="hiojpnp">#REF!</definedName>
    <definedName name="hionoi">#REF!</definedName>
    <definedName name="hjhgik">#REF!</definedName>
    <definedName name="hjhkhkj">#REF!</definedName>
    <definedName name="huihjpo">#REF!</definedName>
    <definedName name="IE_SUMMARY">#REF!</definedName>
    <definedName name="INDLASTDAYACT_">#REF!</definedName>
    <definedName name="IndusOthCM">#REF!</definedName>
    <definedName name="IndusOthQ">#REF!</definedName>
    <definedName name="IndusOthTME">#REF!</definedName>
    <definedName name="IndusOthYTD">#REF!</definedName>
    <definedName name="IndusPhosCM">#REF!</definedName>
    <definedName name="IndusPhosQ">#REF!</definedName>
    <definedName name="IndusPhosTME">#REF!</definedName>
    <definedName name="IndusPhosYTD">#REF!</definedName>
    <definedName name="iniononop">#REF!</definedName>
    <definedName name="INPUT">#REF!</definedName>
    <definedName name="InterchangeCM">#REF!</definedName>
    <definedName name="InterchangeTME">#REF!</definedName>
    <definedName name="InterchangeYTD">#REF!</definedName>
    <definedName name="INTEXP">#REF!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EST" hidden="1">"c369"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CURRENCY" hidden="1">"c2140"</definedName>
    <definedName name="IQ_EST_DATE" hidden="1">"c1634"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MTD" hidden="1">800000</definedName>
    <definedName name="IQ_NAMES_REVISION_DATE_" hidden="1">40592.4296296296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39314.6042013889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S_Forecast" localSheetId="7">#REF!</definedName>
    <definedName name="IS_Forecast" localSheetId="6">#REF!</definedName>
    <definedName name="IS_Forecast" localSheetId="5">#REF!</definedName>
    <definedName name="IS_Forecast">#REF!</definedName>
    <definedName name="IS_Monthly" localSheetId="7">#REF!</definedName>
    <definedName name="IS_Monthly" localSheetId="6">#REF!</definedName>
    <definedName name="IS_Monthly" localSheetId="5">#REF!</definedName>
    <definedName name="IS_Monthly">#REF!</definedName>
    <definedName name="IS_Plan" localSheetId="7">#REF!</definedName>
    <definedName name="IS_Plan" localSheetId="6">#REF!</definedName>
    <definedName name="IS_Plan" localSheetId="5">#REF!</definedName>
    <definedName name="IS_Plan">#REF!</definedName>
    <definedName name="IS_Plan2" localSheetId="7">#REF!</definedName>
    <definedName name="IS_Plan2" localSheetId="6">#REF!</definedName>
    <definedName name="IS_Plan2" localSheetId="5">#REF!</definedName>
    <definedName name="IS_Plan2">#REF!</definedName>
    <definedName name="IS2_">#REF!</definedName>
    <definedName name="JAN">#REF!</definedName>
    <definedName name="JE">#REF!</definedName>
    <definedName name="JE_185_OPT_PROV">#REF!</definedName>
    <definedName name="JE_85_OPT_PROV">#REF!</definedName>
    <definedName name="JE_90004">#REF!</definedName>
    <definedName name="JE2PG1">#REF!</definedName>
    <definedName name="JE2PG2">#REF!</definedName>
    <definedName name="JE2PG3">#REF!</definedName>
    <definedName name="JE2PG4">#REF!</definedName>
    <definedName name="JE46_PAGE1">#REF!</definedName>
    <definedName name="JE46_PAGE2">#REF!</definedName>
    <definedName name="JE46_PAGE3">#REF!</definedName>
    <definedName name="JE4PG1">#REF!</definedName>
    <definedName name="JE4PG2">#REF!</definedName>
    <definedName name="JE4PG3">#REF!</definedName>
    <definedName name="JE4PG4">#REF!</definedName>
    <definedName name="JE4PG5">#REF!</definedName>
    <definedName name="JE4PG6">#REF!</definedName>
    <definedName name="JE4PG7">#REF!</definedName>
    <definedName name="JE4PG8">#REF!</definedName>
    <definedName name="JE58MISC">#REF!</definedName>
    <definedName name="JE90046HEDR">#REF!</definedName>
    <definedName name="JE90046WKSHTHDR">#REF!</definedName>
    <definedName name="JE90046WORKSHT">#REF!</definedName>
    <definedName name="jkodfjp">#REF!</definedName>
    <definedName name="JUL">#REF!</definedName>
    <definedName name="JULY23" hidden="1">#REF!</definedName>
    <definedName name="JUN">#REF!</definedName>
    <definedName name="JUNE96">#REF!</definedName>
    <definedName name="kfk">#REF!</definedName>
    <definedName name="khjkhk">#REF!</definedName>
    <definedName name="KWYEAR">#REF!</definedName>
    <definedName name="LASTDAY">#REF!</definedName>
    <definedName name="Losses">#REF!</definedName>
    <definedName name="MacroButtons2">#REF!</definedName>
    <definedName name="MACROS">#REF!</definedName>
    <definedName name="MAR">#REF!</definedName>
    <definedName name="MAR00">#REF!</definedName>
    <definedName name="MAY">#REF!</definedName>
    <definedName name="MISC_CM">#REF!</definedName>
    <definedName name="MISC_QTR">#REF!</definedName>
    <definedName name="MISC_SRV_1995">#REF!</definedName>
    <definedName name="MISC_SRV_1996">#REF!</definedName>
    <definedName name="MISC_SRV_1998">#REF!</definedName>
    <definedName name="MISC_SRV_1999">#REF!</definedName>
    <definedName name="MISC_SRV_BUD">#REF!</definedName>
    <definedName name="MISC_SRV_FRCST">#REF!</definedName>
    <definedName name="MISC_YTD">#REF!</definedName>
    <definedName name="MiscSvcRevCM">#REF!</definedName>
    <definedName name="MiscSvcRevTME">#REF!</definedName>
    <definedName name="MiscSvcRevYTD">#REF!</definedName>
    <definedName name="MONTH">#REF!</definedName>
    <definedName name="monthly_factor">#REF!</definedName>
    <definedName name="monthy">#REF!,#REF!</definedName>
    <definedName name="MS_CM_ACT_ACT">#REF!</definedName>
    <definedName name="MS_CM_ACT_BUD">#REF!</definedName>
    <definedName name="MS_QTR_ACT_ACT">#REF!</definedName>
    <definedName name="MS_QTR_ACT_BUD">#REF!</definedName>
    <definedName name="MS_YTD_ACT_ACT">#REF!</definedName>
    <definedName name="MS_YTD_ACT_BUD">#REF!</definedName>
    <definedName name="MWH__97_BUDGET">#REF!</definedName>
    <definedName name="MWH__98_BUDGET">#REF!</definedName>
    <definedName name="MWH_TOD">#REF!</definedName>
    <definedName name="MWHOP_TOD">#REF!</definedName>
    <definedName name="MWHOP95">#REF!</definedName>
    <definedName name="MWHOP97">#REF!</definedName>
    <definedName name="MWHOPYEAR">#REF!</definedName>
    <definedName name="MWHT_TOD">#REF!</definedName>
    <definedName name="MWHT95">#REF!</definedName>
    <definedName name="MWHT97">#REF!</definedName>
    <definedName name="MWHTYEAR">#REF!</definedName>
    <definedName name="MWHYEAR">#REF!</definedName>
    <definedName name="Navigator__CM_VAR_ANAL_ACT">#REF!</definedName>
    <definedName name="Navigator__YTD_VARANAL_ACT">#REF!</definedName>
    <definedName name="NOV">#REF!</definedName>
    <definedName name="NOXRetailCM">#REF!</definedName>
    <definedName name="NOXWholesaleCM">#REF!</definedName>
    <definedName name="NSS">#REF!</definedName>
    <definedName name="OCT">#REF!</definedName>
    <definedName name="OOR">#REF!</definedName>
    <definedName name="OOR_1997ACT">#REF!</definedName>
    <definedName name="OOR_1998ACT">#REF!</definedName>
    <definedName name="OOR_ACT">#REF!</definedName>
    <definedName name="OOR_BUD">#REF!</definedName>
    <definedName name="OOR_CURYRBUD">#REF!</definedName>
    <definedName name="OOR94ACT">#REF!</definedName>
    <definedName name="OOR97ACTYTD">#REF!</definedName>
    <definedName name="OOR98ACTYTD">#REF!</definedName>
    <definedName name="OORBUD">#REF!</definedName>
    <definedName name="OORBUDYTD">#REF!</definedName>
    <definedName name="OORCM_ACT_PRIOR">#REF!</definedName>
    <definedName name="OORVPACTYTD">#REF!</definedName>
    <definedName name="OORVPBUDYTD">#REF!</definedName>
    <definedName name="OPT_PROVISION">#REF!</definedName>
    <definedName name="OTHER_CF" localSheetId="7">#REF!</definedName>
    <definedName name="OTHER_CF" localSheetId="6">#REF!</definedName>
    <definedName name="OTHER_CF" localSheetId="5">#REF!</definedName>
    <definedName name="OTHER_CF">#REF!</definedName>
    <definedName name="OTHER_CR" localSheetId="7">#REF!</definedName>
    <definedName name="OTHER_CR" localSheetId="6">#REF!</definedName>
    <definedName name="OTHER_CR" localSheetId="5">#REF!</definedName>
    <definedName name="OTHER_CR">#REF!</definedName>
    <definedName name="OTHER_ELEC_REV">#REF!</definedName>
    <definedName name="OtherElecRevCM">#REF!</definedName>
    <definedName name="OtherElecRevTME">#REF!</definedName>
    <definedName name="OtherElecRevYTD">#REF!</definedName>
    <definedName name="OtherSalesCM">#REF!</definedName>
    <definedName name="OtherSalesQ">#REF!</definedName>
    <definedName name="OtherSalesTME">#REF!</definedName>
    <definedName name="OtherSalesYTD">#REF!</definedName>
    <definedName name="Page_8">#REF!</definedName>
    <definedName name="PAGE10">#REF!</definedName>
    <definedName name="PAGE1A">#REF!</definedName>
    <definedName name="PAGE1C">#REF!</definedName>
    <definedName name="PAGE1D">#REF!</definedName>
    <definedName name="PAGE1D2">#REF!</definedName>
    <definedName name="PAGE2A">#REF!</definedName>
    <definedName name="PAGE2B">#REF!</definedName>
    <definedName name="PAGE6">#REF!</definedName>
    <definedName name="PAGE7">#REF!</definedName>
    <definedName name="PAGE8">#REF!</definedName>
    <definedName name="PAGE9">#REF!</definedName>
    <definedName name="PE_C_MO">#REF!</definedName>
    <definedName name="PE_C_QTR">#REF!</definedName>
    <definedName name="PE_C_YTD">#REF!</definedName>
    <definedName name="PE_CPYIS" localSheetId="5">#REF!</definedName>
    <definedName name="PE_CPYIS">#REF!</definedName>
    <definedName name="Pg15Budget">#REF!</definedName>
    <definedName name="Pg15Quarter">#REF!</definedName>
    <definedName name="Pg15YTD">#REF!</definedName>
    <definedName name="Pg16Budget">#REF!,#REF!</definedName>
    <definedName name="Pg16Quarter">#REF!,#REF!</definedName>
    <definedName name="PGIII_10">#REF!</definedName>
    <definedName name="PGIII_11">#REF!</definedName>
    <definedName name="PGIII_12">#REF!</definedName>
    <definedName name="PGIII_13">#REF!</definedName>
    <definedName name="PGIII_14">#REF!</definedName>
    <definedName name="PGIII_15">#REF!</definedName>
    <definedName name="PGIII_16">#REF!</definedName>
    <definedName name="PGIII_17">#REF!</definedName>
    <definedName name="PGIII_18">#REF!</definedName>
    <definedName name="PGIII_19">#REF!</definedName>
    <definedName name="PGIII_1A">#REF!</definedName>
    <definedName name="PGIII_2">#REF!</definedName>
    <definedName name="PGIII_3">#REF!</definedName>
    <definedName name="PGIII_4">#REF!</definedName>
    <definedName name="PGIII_5">#REF!</definedName>
    <definedName name="PGIII_6">#REF!</definedName>
    <definedName name="PGIII_7">#REF!</definedName>
    <definedName name="PGIII_8">#REF!</definedName>
    <definedName name="PGIII_9">#REF!</definedName>
    <definedName name="PKDH">#REF!</definedName>
    <definedName name="PLANBOOK_CF1">#REF!</definedName>
    <definedName name="PLANBOOK_CF2">#REF!</definedName>
    <definedName name="PLANBOOK_CF3">#REF!</definedName>
    <definedName name="PLANBSP1">#REF!</definedName>
    <definedName name="PLANBSP2">#REF!</definedName>
    <definedName name="PLANCAPS">#REF!</definedName>
    <definedName name="PLANCFP3">#REF!</definedName>
    <definedName name="PLANCFP4">#REF!</definedName>
    <definedName name="PLANCFP5">#REF!</definedName>
    <definedName name="PLANCFP6">#REF!</definedName>
    <definedName name="PLANCFP7">#REF!</definedName>
    <definedName name="PLANIS">#REF!</definedName>
    <definedName name="PLANISP1">#REF!</definedName>
    <definedName name="PLANISP2">#REF!</definedName>
    <definedName name="PLANISP3">#REF!</definedName>
    <definedName name="PLine1">#REF!</definedName>
    <definedName name="PLine2">#REF!</definedName>
    <definedName name="PLine3">#REF!</definedName>
    <definedName name="PLine4">#REF!</definedName>
    <definedName name="PLNQTBS1">#REF!</definedName>
    <definedName name="PLNQTBS2">#REF!</definedName>
    <definedName name="PRESBSA1">#REF!</definedName>
    <definedName name="PRESBSA2">#REF!</definedName>
    <definedName name="PRESCFLW">#REF!</definedName>
    <definedName name="PreviousPmntDate" localSheetId="5">#REF!</definedName>
    <definedName name="PreviousPmntDate">#REF!</definedName>
    <definedName name="_xlnm.Print_Area" localSheetId="13">'$20.0M'!$B$1:$AP$32</definedName>
    <definedName name="_xlnm.Print_Area" localSheetId="14">'$51.6M'!$B$1:$BZ$63</definedName>
    <definedName name="_xlnm.Print_Area" localSheetId="12">'$54.2M'!$B$1:$CA$58</definedName>
    <definedName name="_xlnm.Print_Area" localSheetId="11">'$75.0M'!$B$1:$BF$33</definedName>
    <definedName name="_xlnm.Print_Area" localSheetId="10">'$85.95M'!$B$1:$AM$87</definedName>
    <definedName name="_xlnm.Print_Area" localSheetId="8">'2008 BS Accts'!$A$1:$P$182</definedName>
    <definedName name="_xlnm.Print_Area" localSheetId="9">'2009 BS Accts'!$A$1:$P$182</definedName>
    <definedName name="_xlnm.Print_Area" localSheetId="1">'D-4a 2019'!$B$1:$V$56</definedName>
    <definedName name="_xlnm.Print_Area" localSheetId="0">'D-4a 2022B'!$A$1:$Q$54</definedName>
    <definedName name="_xlnm.Print_Area" localSheetId="4">'Required Debt Amort'!$A$1:$O$39</definedName>
    <definedName name="_xlnm.Print_Area" localSheetId="15">'Unamortized 182s'!$S$79:$AI$144</definedName>
    <definedName name="_xlnm.Print_Area">#REF!</definedName>
    <definedName name="_xlnm.Print_Titles" localSheetId="8">'2008 BS Accts'!$A:$B</definedName>
    <definedName name="_xlnm.Print_Titles" localSheetId="9">'2009 BS Accts'!$A:$B</definedName>
    <definedName name="PROCEDURES">#REF!</definedName>
    <definedName name="PRR">#REF!</definedName>
    <definedName name="PubSHLCM">#REF!</definedName>
    <definedName name="PubSHLQ">#REF!</definedName>
    <definedName name="PubSHLTME">#REF!</definedName>
    <definedName name="PubSHLYTD">#REF!</definedName>
    <definedName name="PYBS">#REF!</definedName>
    <definedName name="PYEGYASSTS">#REF!</definedName>
    <definedName name="PYEGYLIABS">#REF!</definedName>
    <definedName name="PYISWP">#REF!</definedName>
    <definedName name="PYVAR">#REF!</definedName>
    <definedName name="QTR_ACT_ACT">#REF!</definedName>
    <definedName name="QTR_ACT_BUD">#REF!</definedName>
    <definedName name="QTR_BASE_REV">#REF!</definedName>
    <definedName name="QTR_GWH_SALES">#REF!</definedName>
    <definedName name="QTRACT">#REF!</definedName>
    <definedName name="QTRACTTBRR">#REF!</definedName>
    <definedName name="QTRBUD">#REF!</definedName>
    <definedName name="QTRBUDTBRR">#REF!</definedName>
    <definedName name="QTRDETAIL">#REF!</definedName>
    <definedName name="QTROOR">#REF!</definedName>
    <definedName name="QTRREVAN">#REF!</definedName>
    <definedName name="RATE">#REF!</definedName>
    <definedName name="RateTable">#REF!</definedName>
    <definedName name="RECAP">#REF!</definedName>
    <definedName name="RECON">#REF!</definedName>
    <definedName name="RECON_A">#REF!</definedName>
    <definedName name="_xlnm.Recorder">#REF!</definedName>
    <definedName name="REFORECAST_1">#REF!</definedName>
    <definedName name="REFORECAST_2">#REF!</definedName>
    <definedName name="REFORECAST_3">#REF!</definedName>
    <definedName name="REFORECAST_4">#REF!</definedName>
    <definedName name="REFORECAST_5">#REF!</definedName>
    <definedName name="REFORMATTED_RECAP">#REF!</definedName>
    <definedName name="REG_SUPPORT">#REF!</definedName>
    <definedName name="REGPAGE">#REF!</definedName>
    <definedName name="RENT_CM">#REF!</definedName>
    <definedName name="RENT_QTR">#REF!</definedName>
    <definedName name="RENT_YTD">#REF!</definedName>
    <definedName name="RentRevCM">#REF!</definedName>
    <definedName name="RentRevTME">#REF!</definedName>
    <definedName name="RentRevYTD">#REF!</definedName>
    <definedName name="ResBudgetCM">#REF!</definedName>
    <definedName name="ResidentialCM">#REF!</definedName>
    <definedName name="ResidentialQ">#REF!</definedName>
    <definedName name="ResidentialTME">#REF!</definedName>
    <definedName name="ResidentialYTD">#REF!</definedName>
    <definedName name="RESIDUAL_CM">#REF!</definedName>
    <definedName name="RESIDUALS_QTR">#REF!</definedName>
    <definedName name="REV_RECAP">#REF!</definedName>
    <definedName name="REV_RECAP_HDR">#REF!</definedName>
    <definedName name="REVENUE">#REF!</definedName>
    <definedName name="REVENUECALC">#REF!</definedName>
    <definedName name="REVHIST">#REF!</definedName>
    <definedName name="RevRefundCM">#REF!</definedName>
    <definedName name="RevRefundQ">#REF!</definedName>
    <definedName name="RGADGA">#REF!</definedName>
    <definedName name="SEP">#REF!</definedName>
    <definedName name="SettlementDate" localSheetId="5">#REF!</definedName>
    <definedName name="SettlementDate">#REF!</definedName>
    <definedName name="SO2RetailCM">#REF!</definedName>
    <definedName name="SO2WholesaleCM">#REF!</definedName>
    <definedName name="SS">#REF!</definedName>
    <definedName name="SUMMARY">#REF!</definedName>
    <definedName name="TABLE">#REF!</definedName>
    <definedName name="Table2008">#REF!</definedName>
    <definedName name="Table2009">#REF!</definedName>
    <definedName name="TBRR">#REF!</definedName>
    <definedName name="TBRRBUD">#REF!</definedName>
    <definedName name="TEFIS">#REF!</definedName>
    <definedName name="TEFIS99">#REF!</definedName>
    <definedName name="testest">#REF!</definedName>
    <definedName name="TESTTEST" hidden="1">#REF!</definedName>
    <definedName name="testtestteastteat">#REF!</definedName>
    <definedName name="tfuvyu">#REF!</definedName>
    <definedName name="TotalBilledCM">#REF!</definedName>
    <definedName name="TotalBilledYTD">#REF!</definedName>
    <definedName name="TOTREV_TOD">#REF!</definedName>
    <definedName name="TOTREV_TOD2">#REF!</definedName>
    <definedName name="TOTREV95">#REF!</definedName>
    <definedName name="TOTREV96">#REF!</definedName>
    <definedName name="TOTREV97">#REF!</definedName>
    <definedName name="TOTREVYEAR">#REF!</definedName>
    <definedName name="tyugui">#REF!</definedName>
    <definedName name="ugiohuip">#REF!</definedName>
    <definedName name="UNBILD_REV_BUD">#REF!</definedName>
    <definedName name="UNBILLED">#REF!</definedName>
    <definedName name="UNBILLED_REVBUD">#REF!</definedName>
    <definedName name="UnbilledCM">#REF!</definedName>
    <definedName name="UnbilledQ">#REF!</definedName>
    <definedName name="UnbilledTME">#REF!</definedName>
    <definedName name="UnbilledYTD">#REF!</definedName>
    <definedName name="vtcyughui">#REF!</definedName>
    <definedName name="w4ee6t">#REF!</definedName>
    <definedName name="WDEFFUEL">#REF!</definedName>
    <definedName name="WKSHEET2">#REF!</definedName>
    <definedName name="WKSHEET3">#REF!</definedName>
    <definedName name="WS">#REF!</definedName>
    <definedName name="Year1">#REF!</definedName>
    <definedName name="Year2">#REF!</definedName>
    <definedName name="yf76gu9">#REF!</definedName>
    <definedName name="YTD_ACT_ACT">#REF!</definedName>
    <definedName name="YTD_ACT_BUD">#REF!</definedName>
    <definedName name="YTD_BASE_REV">#REF!</definedName>
    <definedName name="YTD_GWH_SALES">#REF!</definedName>
    <definedName name="YTD_MISC_REV">#REF!</definedName>
    <definedName name="YTD_OTHR_ELECT_">#REF!</definedName>
    <definedName name="YTD_RENT">#REF!</definedName>
    <definedName name="YTD_RESIDUAL_RE">#REF!</definedName>
    <definedName name="YTD_VARANAL_ACT">#REF!</definedName>
    <definedName name="YTD_VARANAL_BUD">#REF!</definedName>
    <definedName name="YTDACT" localSheetId="7">#REF!</definedName>
    <definedName name="YTDACT" localSheetId="6">#REF!</definedName>
    <definedName name="YTDACT" localSheetId="8">#REF!</definedName>
    <definedName name="YTDACT" localSheetId="9">#REF!</definedName>
    <definedName name="YTDACT" localSheetId="5">#REF!</definedName>
    <definedName name="YTDACT">#REF!</definedName>
    <definedName name="YTDACTTBRR">#REF!</definedName>
    <definedName name="YTDBUD" localSheetId="7">#REF!</definedName>
    <definedName name="YTDBUD" localSheetId="6">#REF!</definedName>
    <definedName name="YTDBUD" localSheetId="8">#REF!</definedName>
    <definedName name="YTDBUD" localSheetId="9">#REF!</definedName>
    <definedName name="YTDBUD" localSheetId="5">#REF!</definedName>
    <definedName name="YTDBUD">#REF!</definedName>
    <definedName name="YTDBUDTBRR">#REF!</definedName>
    <definedName name="YTDOOR">#REF!</definedName>
    <definedName name="yuguihiu">#REF!</definedName>
    <definedName name="Z_532F8D5C_0989_4311_BF3E_0A88C85F65BC_.wvu.PrintArea" localSheetId="8" hidden="1">'2008 BS Accts'!$A$4:$P$348</definedName>
    <definedName name="Z_532F8D5C_0989_4311_BF3E_0A88C85F65BC_.wvu.PrintArea" localSheetId="9" hidden="1">'2009 BS Accts'!$A$4:$P$348</definedName>
  </definedNames>
  <calcPr calcId="191029"/>
  <pivotCaches>
    <pivotCache cacheId="0" r:id="rId21"/>
    <pivotCache cacheId="1" r:id="rId22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45" i="63" l="1"/>
  <c r="L30" i="63" l="1"/>
  <c r="L28" i="63"/>
  <c r="L26" i="63"/>
  <c r="L24" i="63"/>
  <c r="L22" i="63"/>
  <c r="L18" i="63"/>
  <c r="L16" i="63"/>
  <c r="L14" i="63"/>
  <c r="L12" i="63"/>
  <c r="M34" i="2"/>
  <c r="H42" i="63" l="1"/>
  <c r="H48" i="63" s="1"/>
  <c r="Q49" i="63" s="1"/>
  <c r="L42" i="63" l="1"/>
  <c r="L48" i="63" s="1"/>
  <c r="Q50" i="63" s="1"/>
  <c r="N57" i="2" l="1"/>
  <c r="M36" i="2"/>
  <c r="AZ15" i="44"/>
  <c r="M57" i="2" l="1"/>
  <c r="S36" i="2" l="1"/>
  <c r="K32" i="2" l="1"/>
  <c r="K26" i="2"/>
  <c r="K24" i="2"/>
  <c r="K20" i="2"/>
  <c r="G22" i="2" l="1"/>
  <c r="G20" i="2"/>
  <c r="C12" i="44" l="1"/>
  <c r="AC45" i="43"/>
  <c r="AA45" i="43"/>
  <c r="Y45" i="43"/>
  <c r="W45" i="43"/>
  <c r="U45" i="43"/>
  <c r="S45" i="43"/>
  <c r="Q45" i="43"/>
  <c r="O45" i="43"/>
  <c r="M45" i="43"/>
  <c r="K45" i="43"/>
  <c r="I45" i="43"/>
  <c r="G45" i="43"/>
  <c r="E45" i="43"/>
  <c r="C45" i="43"/>
  <c r="AG43" i="43"/>
  <c r="AG47" i="43" s="1"/>
  <c r="AE43" i="43"/>
  <c r="AE47" i="43" s="1"/>
  <c r="AC42" i="43"/>
  <c r="AA42" i="43"/>
  <c r="Y42" i="43"/>
  <c r="E42" i="43"/>
  <c r="C42" i="43"/>
  <c r="C41" i="43"/>
  <c r="AI41" i="43" s="1"/>
  <c r="AC40" i="43"/>
  <c r="AA40" i="43"/>
  <c r="Y40" i="43"/>
  <c r="W40" i="43"/>
  <c r="U40" i="43"/>
  <c r="S40" i="43"/>
  <c r="Q40" i="43"/>
  <c r="O40" i="43"/>
  <c r="M40" i="43"/>
  <c r="K40" i="43"/>
  <c r="I40" i="43"/>
  <c r="G40" i="43"/>
  <c r="E40" i="43"/>
  <c r="C40" i="43"/>
  <c r="AC39" i="43"/>
  <c r="K39" i="43"/>
  <c r="AC29" i="43"/>
  <c r="AA29" i="43"/>
  <c r="Y29" i="43"/>
  <c r="W29" i="43"/>
  <c r="U29" i="43"/>
  <c r="S29" i="43"/>
  <c r="Q29" i="43"/>
  <c r="O29" i="43"/>
  <c r="M29" i="43"/>
  <c r="K29" i="43"/>
  <c r="I29" i="43"/>
  <c r="G29" i="43"/>
  <c r="E29" i="43"/>
  <c r="C29" i="43"/>
  <c r="AG27" i="43"/>
  <c r="AG31" i="43" s="1"/>
  <c r="AE27" i="43"/>
  <c r="AE31" i="43" s="1"/>
  <c r="AC26" i="43"/>
  <c r="AA26" i="43"/>
  <c r="Y26" i="43"/>
  <c r="E26" i="43"/>
  <c r="C26" i="43"/>
  <c r="C25" i="43"/>
  <c r="AI25" i="43" s="1"/>
  <c r="AC24" i="43"/>
  <c r="AA24" i="43"/>
  <c r="Y24" i="43"/>
  <c r="W24" i="43"/>
  <c r="U24" i="43"/>
  <c r="S24" i="43"/>
  <c r="Q24" i="43"/>
  <c r="O24" i="43"/>
  <c r="M24" i="43"/>
  <c r="K24" i="43"/>
  <c r="I24" i="43"/>
  <c r="G24" i="43"/>
  <c r="E24" i="43"/>
  <c r="C24" i="43"/>
  <c r="AC23" i="43"/>
  <c r="AA23" i="43"/>
  <c r="Y23" i="43"/>
  <c r="W23" i="43"/>
  <c r="U23" i="43"/>
  <c r="S23" i="43"/>
  <c r="Q23" i="43"/>
  <c r="O23" i="43"/>
  <c r="M23" i="43"/>
  <c r="K23" i="43"/>
  <c r="I23" i="43"/>
  <c r="G23" i="43"/>
  <c r="E23" i="43"/>
  <c r="C23" i="43"/>
  <c r="C27" i="43" s="1"/>
  <c r="C31" i="43" s="1"/>
  <c r="AI42" i="44"/>
  <c r="AI43" i="44"/>
  <c r="AI44" i="44"/>
  <c r="AI41" i="44"/>
  <c r="AI7" i="44"/>
  <c r="AI25" i="44"/>
  <c r="AI26" i="44"/>
  <c r="AI27" i="44"/>
  <c r="AI24" i="44"/>
  <c r="AI12" i="44"/>
  <c r="AI11" i="44"/>
  <c r="AI48" i="44"/>
  <c r="AC50" i="44"/>
  <c r="E50" i="44"/>
  <c r="AG46" i="44"/>
  <c r="AG50" i="44" s="1"/>
  <c r="AE46" i="44"/>
  <c r="AE50" i="44" s="1"/>
  <c r="AC46" i="44"/>
  <c r="AA46" i="44"/>
  <c r="AA50" i="44" s="1"/>
  <c r="Y46" i="44"/>
  <c r="Y50" i="44" s="1"/>
  <c r="W46" i="44"/>
  <c r="W50" i="44" s="1"/>
  <c r="U46" i="44"/>
  <c r="U50" i="44" s="1"/>
  <c r="Q46" i="44"/>
  <c r="Q50" i="44" s="1"/>
  <c r="O46" i="44"/>
  <c r="O50" i="44" s="1"/>
  <c r="E46" i="44"/>
  <c r="AI31" i="44"/>
  <c r="AG29" i="44"/>
  <c r="AG33" i="44" s="1"/>
  <c r="AE29" i="44"/>
  <c r="AE33" i="44" s="1"/>
  <c r="AC29" i="44"/>
  <c r="AC33" i="44" s="1"/>
  <c r="AA29" i="44"/>
  <c r="AA33" i="44" s="1"/>
  <c r="Y29" i="44"/>
  <c r="Y33" i="44" s="1"/>
  <c r="W29" i="44"/>
  <c r="W33" i="44" s="1"/>
  <c r="U29" i="44"/>
  <c r="U33" i="44" s="1"/>
  <c r="Q29" i="44"/>
  <c r="Q33" i="44" s="1"/>
  <c r="O29" i="44"/>
  <c r="O33" i="44" s="1"/>
  <c r="E29" i="44"/>
  <c r="E33" i="44" s="1"/>
  <c r="S27" i="43" l="1"/>
  <c r="Y27" i="43"/>
  <c r="Y31" i="43" s="1"/>
  <c r="K27" i="43"/>
  <c r="K31" i="43" s="1"/>
  <c r="I27" i="43"/>
  <c r="I31" i="43" s="1"/>
  <c r="AA27" i="43"/>
  <c r="AA31" i="43" s="1"/>
  <c r="Q27" i="43"/>
  <c r="Q31" i="43" s="1"/>
  <c r="S31" i="43"/>
  <c r="M27" i="43"/>
  <c r="M31" i="43" s="1"/>
  <c r="AC27" i="43"/>
  <c r="AC31" i="43" s="1"/>
  <c r="O27" i="43"/>
  <c r="O31" i="43" s="1"/>
  <c r="G27" i="43"/>
  <c r="G31" i="43" s="1"/>
  <c r="W27" i="43"/>
  <c r="W31" i="43" s="1"/>
  <c r="E27" i="43"/>
  <c r="E31" i="43" s="1"/>
  <c r="U27" i="43"/>
  <c r="U31" i="43" s="1"/>
  <c r="AC43" i="43"/>
  <c r="AC47" i="43" s="1"/>
  <c r="M45" i="44"/>
  <c r="I28" i="44"/>
  <c r="I29" i="44" s="1"/>
  <c r="I33" i="44" s="1"/>
  <c r="I45" i="44"/>
  <c r="K28" i="44"/>
  <c r="K29" i="44" s="1"/>
  <c r="K33" i="44" s="1"/>
  <c r="M28" i="44"/>
  <c r="M29" i="44" s="1"/>
  <c r="M33" i="44" s="1"/>
  <c r="AI29" i="43"/>
  <c r="AI42" i="43"/>
  <c r="AI40" i="43"/>
  <c r="AI24" i="43"/>
  <c r="AI26" i="43"/>
  <c r="K43" i="43"/>
  <c r="K47" i="43" s="1"/>
  <c r="AI45" i="43"/>
  <c r="AI23" i="43"/>
  <c r="AI27" i="43" l="1"/>
  <c r="AI31" i="43" s="1"/>
  <c r="C28" i="44"/>
  <c r="C29" i="44" s="1"/>
  <c r="G45" i="44"/>
  <c r="M46" i="44"/>
  <c r="M50" i="44" s="1"/>
  <c r="C45" i="44"/>
  <c r="G28" i="44"/>
  <c r="S45" i="44"/>
  <c r="I46" i="44"/>
  <c r="S28" i="44"/>
  <c r="S29" i="44" s="1"/>
  <c r="S33" i="44" s="1"/>
  <c r="K45" i="44"/>
  <c r="G46" i="44" l="1"/>
  <c r="G50" i="44" s="1"/>
  <c r="S46" i="44"/>
  <c r="S50" i="44" s="1"/>
  <c r="K46" i="44"/>
  <c r="K50" i="44" s="1"/>
  <c r="I50" i="44"/>
  <c r="AI45" i="44"/>
  <c r="C46" i="44"/>
  <c r="G29" i="44"/>
  <c r="AI28" i="44"/>
  <c r="C33" i="44"/>
  <c r="AI46" i="44" l="1"/>
  <c r="G33" i="44"/>
  <c r="AI29" i="44"/>
  <c r="C50" i="44"/>
  <c r="AI33" i="44" l="1"/>
  <c r="AI50" i="44"/>
  <c r="L16" i="2" l="1"/>
  <c r="O34" i="2"/>
  <c r="O36" i="2"/>
  <c r="A24" i="2"/>
  <c r="F24" i="2"/>
  <c r="G24" i="2"/>
  <c r="J24" i="2"/>
  <c r="L24" i="2" l="1"/>
  <c r="M24" i="2"/>
  <c r="L26" i="2"/>
  <c r="L32" i="2"/>
  <c r="L30" i="2"/>
  <c r="L28" i="2"/>
  <c r="K28" i="2"/>
  <c r="K30" i="2"/>
  <c r="Z49" i="2"/>
  <c r="J22" i="2"/>
  <c r="J20" i="2"/>
  <c r="J26" i="2"/>
  <c r="J28" i="2"/>
  <c r="J30" i="2"/>
  <c r="J32" i="2"/>
  <c r="I32" i="2"/>
  <c r="N32" i="2" s="1"/>
  <c r="I28" i="2"/>
  <c r="N28" i="2" s="1"/>
  <c r="I30" i="2"/>
  <c r="N30" i="2" s="1"/>
  <c r="I24" i="2"/>
  <c r="N24" i="2" s="1"/>
  <c r="I26" i="2"/>
  <c r="N26" i="2" s="1"/>
  <c r="I22" i="2"/>
  <c r="N22" i="2" s="1"/>
  <c r="I20" i="2"/>
  <c r="G32" i="2"/>
  <c r="G30" i="2"/>
  <c r="G28" i="2"/>
  <c r="G26" i="2"/>
  <c r="F32" i="2"/>
  <c r="F30" i="2"/>
  <c r="F28" i="2"/>
  <c r="F26" i="2"/>
  <c r="A32" i="2"/>
  <c r="A30" i="2"/>
  <c r="A28" i="2"/>
  <c r="A26" i="2"/>
  <c r="M14" i="53"/>
  <c r="M28" i="53"/>
  <c r="M42" i="53"/>
  <c r="M56" i="53"/>
  <c r="M70" i="53"/>
  <c r="M84" i="53"/>
  <c r="M98" i="53"/>
  <c r="M112" i="53"/>
  <c r="M126" i="53"/>
  <c r="M134" i="53"/>
  <c r="K19" i="47"/>
  <c r="K26" i="47"/>
  <c r="K28" i="47" s="1"/>
  <c r="K39" i="47"/>
  <c r="K62" i="47"/>
  <c r="K84" i="47"/>
  <c r="K102" i="47"/>
  <c r="K122" i="47"/>
  <c r="K130" i="47"/>
  <c r="K145" i="47"/>
  <c r="K161" i="47"/>
  <c r="K182" i="47"/>
  <c r="K204" i="47"/>
  <c r="K225" i="47"/>
  <c r="K242" i="47"/>
  <c r="K264" i="47"/>
  <c r="K287" i="47"/>
  <c r="K292" i="47"/>
  <c r="G7" i="43"/>
  <c r="O7" i="43"/>
  <c r="W7" i="43"/>
  <c r="F13" i="41"/>
  <c r="F14" i="41"/>
  <c r="H14" i="41" s="1"/>
  <c r="F15" i="41"/>
  <c r="H15" i="41" s="1"/>
  <c r="V23" i="41"/>
  <c r="W23" i="41"/>
  <c r="X23" i="41"/>
  <c r="Y23" i="41"/>
  <c r="Z23" i="41"/>
  <c r="AA23" i="41"/>
  <c r="AB23" i="41"/>
  <c r="AC23" i="41"/>
  <c r="AD23" i="41"/>
  <c r="AE23" i="41"/>
  <c r="AF23" i="41"/>
  <c r="AG23" i="41"/>
  <c r="AH23" i="41"/>
  <c r="V133" i="41" s="1"/>
  <c r="AK133" i="41" s="1"/>
  <c r="H25" i="41"/>
  <c r="V31" i="41"/>
  <c r="W31" i="41"/>
  <c r="AJ31" i="41" s="1"/>
  <c r="X31" i="41"/>
  <c r="Y31" i="41"/>
  <c r="Z31" i="41"/>
  <c r="AA31" i="41"/>
  <c r="AB31" i="41"/>
  <c r="AC31" i="41"/>
  <c r="AD31" i="41"/>
  <c r="AE31" i="41"/>
  <c r="AF31" i="41"/>
  <c r="AG31" i="41"/>
  <c r="AH31" i="41"/>
  <c r="H33" i="41"/>
  <c r="H41" i="41"/>
  <c r="AI43" i="41"/>
  <c r="AI47" i="41"/>
  <c r="H53" i="41"/>
  <c r="F58" i="41"/>
  <c r="H58" i="41" s="1"/>
  <c r="H60" i="41" s="1"/>
  <c r="F59" i="41"/>
  <c r="H59" i="41" s="1"/>
  <c r="AI59" i="41"/>
  <c r="AC63" i="41"/>
  <c r="AE63" i="41"/>
  <c r="AC64" i="41"/>
  <c r="AE64" i="41"/>
  <c r="AE65" i="41" s="1"/>
  <c r="AC65" i="41"/>
  <c r="H68" i="41"/>
  <c r="AI98" i="41"/>
  <c r="AI145" i="41" s="1"/>
  <c r="AI102" i="41"/>
  <c r="AI114" i="41"/>
  <c r="AC119" i="41"/>
  <c r="AE119" i="41"/>
  <c r="AC120" i="41"/>
  <c r="AE120" i="41"/>
  <c r="AC121" i="41"/>
  <c r="AE121" i="41"/>
  <c r="AK124" i="41"/>
  <c r="AK125" i="41"/>
  <c r="AK126" i="41"/>
  <c r="AK127" i="41"/>
  <c r="AK128" i="41"/>
  <c r="V129" i="41"/>
  <c r="W129" i="41"/>
  <c r="X129" i="41"/>
  <c r="Y129" i="41"/>
  <c r="Z129" i="41"/>
  <c r="AA129" i="41"/>
  <c r="AB129" i="41"/>
  <c r="AC129" i="41"/>
  <c r="AD129" i="41"/>
  <c r="AE129" i="41"/>
  <c r="AF129" i="41"/>
  <c r="AG129" i="41"/>
  <c r="AH129" i="41"/>
  <c r="AK129" i="41"/>
  <c r="AK132" i="41"/>
  <c r="W133" i="41"/>
  <c r="X133" i="41"/>
  <c r="Y133" i="41"/>
  <c r="Z133" i="41"/>
  <c r="AA133" i="41"/>
  <c r="AB133" i="41"/>
  <c r="AC133" i="41"/>
  <c r="AD133" i="41"/>
  <c r="AE133" i="41"/>
  <c r="AF133" i="41"/>
  <c r="AG133" i="41"/>
  <c r="AH133" i="41"/>
  <c r="AI133" i="41"/>
  <c r="AI134" i="41" s="1"/>
  <c r="AK136" i="41"/>
  <c r="AK137" i="41"/>
  <c r="D14" i="40"/>
  <c r="D16" i="40" s="1"/>
  <c r="D20" i="40" s="1"/>
  <c r="F14" i="40"/>
  <c r="H14" i="40"/>
  <c r="H16" i="40" s="1"/>
  <c r="H20" i="40" s="1"/>
  <c r="J14" i="40"/>
  <c r="L14" i="40"/>
  <c r="L16" i="40" s="1"/>
  <c r="L20" i="40" s="1"/>
  <c r="L31" i="40" s="1"/>
  <c r="P14" i="40"/>
  <c r="T14" i="40"/>
  <c r="T16" i="40" s="1"/>
  <c r="T20" i="40" s="1"/>
  <c r="V14" i="40"/>
  <c r="X14" i="40"/>
  <c r="X16" i="40" s="1"/>
  <c r="X20" i="40" s="1"/>
  <c r="X31" i="40" s="1"/>
  <c r="Z14" i="40"/>
  <c r="AD14" i="40"/>
  <c r="AD16" i="40" s="1"/>
  <c r="AD20" i="40" s="1"/>
  <c r="AH14" i="40"/>
  <c r="AJ14" i="40"/>
  <c r="AJ16" i="40" s="1"/>
  <c r="AJ20" i="40" s="1"/>
  <c r="AL14" i="40"/>
  <c r="BV14" i="40"/>
  <c r="BV16" i="40" s="1"/>
  <c r="BV20" i="40" s="1"/>
  <c r="BV31" i="40" s="1"/>
  <c r="F16" i="40"/>
  <c r="F20" i="40" s="1"/>
  <c r="J16" i="40"/>
  <c r="J20" i="40" s="1"/>
  <c r="J31" i="40" s="1"/>
  <c r="P16" i="40"/>
  <c r="V16" i="40"/>
  <c r="V20" i="40" s="1"/>
  <c r="Z16" i="40"/>
  <c r="Z20" i="40" s="1"/>
  <c r="AH16" i="40"/>
  <c r="AH20" i="40" s="1"/>
  <c r="AH31" i="40" s="1"/>
  <c r="AL16" i="40"/>
  <c r="AL20" i="40" s="1"/>
  <c r="P20" i="40"/>
  <c r="R20" i="40" s="1"/>
  <c r="BF20" i="40"/>
  <c r="BF31" i="40" s="1"/>
  <c r="D22" i="40"/>
  <c r="F22" i="40"/>
  <c r="F24" i="40" s="1"/>
  <c r="H22" i="40"/>
  <c r="J22" i="40"/>
  <c r="J24" i="40" s="1"/>
  <c r="J28" i="40" s="1"/>
  <c r="L22" i="40"/>
  <c r="P22" i="40"/>
  <c r="P24" i="40" s="1"/>
  <c r="P28" i="40" s="1"/>
  <c r="T22" i="40"/>
  <c r="V22" i="40"/>
  <c r="V24" i="40" s="1"/>
  <c r="V28" i="40" s="1"/>
  <c r="X22" i="40"/>
  <c r="Z22" i="40"/>
  <c r="Z24" i="40" s="1"/>
  <c r="Z28" i="40" s="1"/>
  <c r="AD22" i="40"/>
  <c r="AH22" i="40"/>
  <c r="AH24" i="40" s="1"/>
  <c r="AH28" i="40" s="1"/>
  <c r="AJ22" i="40"/>
  <c r="AL22" i="40"/>
  <c r="AL24" i="40" s="1"/>
  <c r="BV22" i="40"/>
  <c r="D24" i="40"/>
  <c r="D28" i="40" s="1"/>
  <c r="H24" i="40"/>
  <c r="H28" i="40" s="1"/>
  <c r="L24" i="40"/>
  <c r="L28" i="40" s="1"/>
  <c r="T24" i="40"/>
  <c r="T28" i="40" s="1"/>
  <c r="X24" i="40"/>
  <c r="X28" i="40" s="1"/>
  <c r="AD24" i="40"/>
  <c r="AJ24" i="40"/>
  <c r="AJ28" i="40" s="1"/>
  <c r="BV24" i="40"/>
  <c r="F28" i="40"/>
  <c r="N28" i="40"/>
  <c r="AD28" i="40"/>
  <c r="AF28" i="40" s="1"/>
  <c r="AL28" i="40"/>
  <c r="BJ28" i="40"/>
  <c r="BV28" i="40"/>
  <c r="D31" i="40"/>
  <c r="AJ31" i="40"/>
  <c r="D41" i="40"/>
  <c r="F41" i="40"/>
  <c r="H41" i="40"/>
  <c r="J41" i="40"/>
  <c r="L41" i="40"/>
  <c r="P41" i="40"/>
  <c r="T41" i="40"/>
  <c r="V41" i="40"/>
  <c r="X41" i="40"/>
  <c r="Z41" i="40"/>
  <c r="AD41" i="40"/>
  <c r="AH41" i="40"/>
  <c r="D43" i="40"/>
  <c r="D47" i="40" s="1"/>
  <c r="F43" i="40"/>
  <c r="H43" i="40"/>
  <c r="H47" i="40" s="1"/>
  <c r="J43" i="40"/>
  <c r="L43" i="40"/>
  <c r="L47" i="40" s="1"/>
  <c r="P43" i="40"/>
  <c r="T43" i="40"/>
  <c r="T47" i="40" s="1"/>
  <c r="T58" i="40" s="1"/>
  <c r="V43" i="40"/>
  <c r="X43" i="40"/>
  <c r="X47" i="40" s="1"/>
  <c r="Z43" i="40"/>
  <c r="AD43" i="40"/>
  <c r="AD47" i="40" s="1"/>
  <c r="AD58" i="40" s="1"/>
  <c r="AH43" i="40"/>
  <c r="AJ45" i="40"/>
  <c r="F47" i="40"/>
  <c r="J47" i="40"/>
  <c r="P47" i="40"/>
  <c r="P58" i="40" s="1"/>
  <c r="V47" i="40"/>
  <c r="Z47" i="40"/>
  <c r="Z58" i="40" s="1"/>
  <c r="AH47" i="40"/>
  <c r="D49" i="40"/>
  <c r="F49" i="40"/>
  <c r="H49" i="40"/>
  <c r="J49" i="40"/>
  <c r="L49" i="40"/>
  <c r="P49" i="40"/>
  <c r="T49" i="40"/>
  <c r="V49" i="40"/>
  <c r="X49" i="40"/>
  <c r="Z49" i="40"/>
  <c r="AD49" i="40"/>
  <c r="AH49" i="40"/>
  <c r="D51" i="40"/>
  <c r="F51" i="40"/>
  <c r="F55" i="40" s="1"/>
  <c r="H51" i="40"/>
  <c r="J51" i="40"/>
  <c r="J55" i="40" s="1"/>
  <c r="L51" i="40"/>
  <c r="P51" i="40"/>
  <c r="P55" i="40" s="1"/>
  <c r="T51" i="40"/>
  <c r="V51" i="40"/>
  <c r="V55" i="40" s="1"/>
  <c r="X51" i="40"/>
  <c r="Z51" i="40"/>
  <c r="Z55" i="40" s="1"/>
  <c r="AD51" i="40"/>
  <c r="AH51" i="40"/>
  <c r="AH55" i="40" s="1"/>
  <c r="BT28" i="40" s="1"/>
  <c r="AJ53" i="40"/>
  <c r="D55" i="40"/>
  <c r="H55" i="40"/>
  <c r="AV28" i="40" s="1"/>
  <c r="L55" i="40"/>
  <c r="T55" i="40"/>
  <c r="BF28" i="40" s="1"/>
  <c r="X55" i="40"/>
  <c r="AD55" i="40"/>
  <c r="D58" i="40"/>
  <c r="L58" i="40"/>
  <c r="X58" i="40"/>
  <c r="D14" i="39"/>
  <c r="F14" i="39"/>
  <c r="F16" i="39" s="1"/>
  <c r="F20" i="39" s="1"/>
  <c r="K20" i="39" s="1"/>
  <c r="I14" i="39"/>
  <c r="M14" i="39"/>
  <c r="M16" i="39" s="1"/>
  <c r="M20" i="39" s="1"/>
  <c r="O14" i="39"/>
  <c r="S14" i="39"/>
  <c r="S16" i="39" s="1"/>
  <c r="S20" i="39" s="1"/>
  <c r="W14" i="39"/>
  <c r="AA14" i="39"/>
  <c r="AA16" i="39" s="1"/>
  <c r="AA20" i="39" s="1"/>
  <c r="AE14" i="39"/>
  <c r="AI14" i="39"/>
  <c r="AI16" i="39" s="1"/>
  <c r="AI20" i="39" s="1"/>
  <c r="AM14" i="39"/>
  <c r="D16" i="39"/>
  <c r="D20" i="39" s="1"/>
  <c r="D31" i="39" s="1"/>
  <c r="I16" i="39"/>
  <c r="I20" i="39" s="1"/>
  <c r="O16" i="39"/>
  <c r="W16" i="39"/>
  <c r="AE16" i="39"/>
  <c r="AE20" i="39" s="1"/>
  <c r="AM16" i="39"/>
  <c r="AP18" i="39"/>
  <c r="G20" i="39"/>
  <c r="O20" i="39"/>
  <c r="O31" i="39" s="1"/>
  <c r="W20" i="39"/>
  <c r="W31" i="39" s="1"/>
  <c r="AM20" i="39"/>
  <c r="D22" i="39"/>
  <c r="D24" i="39" s="1"/>
  <c r="D28" i="39" s="1"/>
  <c r="F22" i="39"/>
  <c r="I22" i="39"/>
  <c r="I24" i="39" s="1"/>
  <c r="M22" i="39"/>
  <c r="O22" i="39"/>
  <c r="O24" i="39" s="1"/>
  <c r="O28" i="39" s="1"/>
  <c r="S22" i="39"/>
  <c r="W22" i="39"/>
  <c r="W24" i="39" s="1"/>
  <c r="W28" i="39" s="1"/>
  <c r="AA22" i="39"/>
  <c r="AE22" i="39"/>
  <c r="AE24" i="39" s="1"/>
  <c r="AE28" i="39" s="1"/>
  <c r="AI22" i="39"/>
  <c r="AM22" i="39"/>
  <c r="AM24" i="39" s="1"/>
  <c r="AM28" i="39" s="1"/>
  <c r="F24" i="39"/>
  <c r="F28" i="39" s="1"/>
  <c r="K28" i="39" s="1"/>
  <c r="M24" i="39"/>
  <c r="S24" i="39"/>
  <c r="S28" i="39" s="1"/>
  <c r="Y28" i="39" s="1"/>
  <c r="AA24" i="39"/>
  <c r="AA28" i="39" s="1"/>
  <c r="AI24" i="39"/>
  <c r="AI28" i="39" s="1"/>
  <c r="AP26" i="39"/>
  <c r="I28" i="39"/>
  <c r="M28" i="39"/>
  <c r="Q28" i="39" s="1"/>
  <c r="U28" i="39"/>
  <c r="AC28" i="39"/>
  <c r="AG28" i="39"/>
  <c r="F31" i="39"/>
  <c r="I31" i="39"/>
  <c r="D14" i="38"/>
  <c r="F14" i="38"/>
  <c r="F16" i="38" s="1"/>
  <c r="F20" i="38" s="1"/>
  <c r="H14" i="38"/>
  <c r="J14" i="38"/>
  <c r="J16" i="38" s="1"/>
  <c r="J20" i="38" s="1"/>
  <c r="L14" i="38"/>
  <c r="N14" i="38"/>
  <c r="N16" i="38" s="1"/>
  <c r="R14" i="38"/>
  <c r="V14" i="38"/>
  <c r="V16" i="38" s="1"/>
  <c r="X14" i="38"/>
  <c r="Z14" i="38"/>
  <c r="Z16" i="38" s="1"/>
  <c r="Z20" i="38" s="1"/>
  <c r="AB14" i="38"/>
  <c r="AF14" i="38"/>
  <c r="AF16" i="38" s="1"/>
  <c r="AF20" i="38" s="1"/>
  <c r="AJ14" i="38"/>
  <c r="AL14" i="38"/>
  <c r="AL16" i="38" s="1"/>
  <c r="AL20" i="38" s="1"/>
  <c r="BX14" i="38"/>
  <c r="D16" i="38"/>
  <c r="D20" i="38" s="1"/>
  <c r="H16" i="38"/>
  <c r="H20" i="38" s="1"/>
  <c r="L16" i="38"/>
  <c r="L20" i="38" s="1"/>
  <c r="R16" i="38"/>
  <c r="X16" i="38"/>
  <c r="X20" i="38" s="1"/>
  <c r="AB16" i="38"/>
  <c r="AB20" i="38" s="1"/>
  <c r="AJ16" i="38"/>
  <c r="AJ20" i="38" s="1"/>
  <c r="BX16" i="38"/>
  <c r="N20" i="38"/>
  <c r="R20" i="38"/>
  <c r="V20" i="38"/>
  <c r="V31" i="38" s="1"/>
  <c r="AD20" i="38"/>
  <c r="BX20" i="38"/>
  <c r="D22" i="38"/>
  <c r="F22" i="38"/>
  <c r="F24" i="38" s="1"/>
  <c r="F28" i="38" s="1"/>
  <c r="H22" i="38"/>
  <c r="J22" i="38"/>
  <c r="J24" i="38" s="1"/>
  <c r="L22" i="38"/>
  <c r="N22" i="38"/>
  <c r="N24" i="38" s="1"/>
  <c r="N28" i="38" s="1"/>
  <c r="R22" i="38"/>
  <c r="V22" i="38"/>
  <c r="V24" i="38" s="1"/>
  <c r="V28" i="38" s="1"/>
  <c r="X22" i="38"/>
  <c r="Z22" i="38"/>
  <c r="Z24" i="38" s="1"/>
  <c r="AB22" i="38"/>
  <c r="AF22" i="38"/>
  <c r="AF24" i="38" s="1"/>
  <c r="AF28" i="38" s="1"/>
  <c r="AJ22" i="38"/>
  <c r="AL22" i="38"/>
  <c r="AL24" i="38" s="1"/>
  <c r="AL28" i="38" s="1"/>
  <c r="BX22" i="38"/>
  <c r="D24" i="38"/>
  <c r="D28" i="38" s="1"/>
  <c r="D31" i="38" s="1"/>
  <c r="H24" i="38"/>
  <c r="H28" i="38" s="1"/>
  <c r="L24" i="38"/>
  <c r="L28" i="38" s="1"/>
  <c r="R24" i="38"/>
  <c r="X24" i="38"/>
  <c r="X28" i="38" s="1"/>
  <c r="AB24" i="38"/>
  <c r="AB28" i="38" s="1"/>
  <c r="AB31" i="38" s="1"/>
  <c r="AJ24" i="38"/>
  <c r="AJ28" i="38" s="1"/>
  <c r="BX24" i="38"/>
  <c r="J28" i="38"/>
  <c r="R28" i="38"/>
  <c r="Z28" i="38"/>
  <c r="BX28" i="38"/>
  <c r="H31" i="38"/>
  <c r="X31" i="38"/>
  <c r="AF31" i="38"/>
  <c r="D41" i="38"/>
  <c r="D43" i="38" s="1"/>
  <c r="D47" i="38" s="1"/>
  <c r="F41" i="38"/>
  <c r="H41" i="38"/>
  <c r="H43" i="38" s="1"/>
  <c r="H47" i="38" s="1"/>
  <c r="H58" i="38" s="1"/>
  <c r="J41" i="38"/>
  <c r="L41" i="38"/>
  <c r="L43" i="38" s="1"/>
  <c r="L47" i="38" s="1"/>
  <c r="N41" i="38"/>
  <c r="R41" i="38"/>
  <c r="R43" i="38" s="1"/>
  <c r="R47" i="38" s="1"/>
  <c r="R58" i="38" s="1"/>
  <c r="V41" i="38"/>
  <c r="X41" i="38"/>
  <c r="X43" i="38" s="1"/>
  <c r="X47" i="38" s="1"/>
  <c r="Z41" i="38"/>
  <c r="AB41" i="38"/>
  <c r="AB43" i="38" s="1"/>
  <c r="AB47" i="38" s="1"/>
  <c r="AB58" i="38" s="1"/>
  <c r="AF41" i="38"/>
  <c r="AJ41" i="38"/>
  <c r="AJ43" i="38" s="1"/>
  <c r="AJ47" i="38" s="1"/>
  <c r="F43" i="38"/>
  <c r="J43" i="38"/>
  <c r="J47" i="38" s="1"/>
  <c r="N43" i="38"/>
  <c r="V43" i="38"/>
  <c r="V47" i="38" s="1"/>
  <c r="Z43" i="38"/>
  <c r="AF43" i="38"/>
  <c r="AF47" i="38" s="1"/>
  <c r="AF58" i="38" s="1"/>
  <c r="AL45" i="38"/>
  <c r="F47" i="38"/>
  <c r="N47" i="38"/>
  <c r="N58" i="38" s="1"/>
  <c r="Z47" i="38"/>
  <c r="D49" i="38"/>
  <c r="D51" i="38" s="1"/>
  <c r="D55" i="38" s="1"/>
  <c r="D58" i="38" s="1"/>
  <c r="F49" i="38"/>
  <c r="H49" i="38"/>
  <c r="H51" i="38" s="1"/>
  <c r="H55" i="38" s="1"/>
  <c r="J49" i="38"/>
  <c r="L49" i="38"/>
  <c r="L51" i="38" s="1"/>
  <c r="L55" i="38" s="1"/>
  <c r="N49" i="38"/>
  <c r="R49" i="38"/>
  <c r="R51" i="38" s="1"/>
  <c r="R55" i="38" s="1"/>
  <c r="V49" i="38"/>
  <c r="X49" i="38"/>
  <c r="X51" i="38" s="1"/>
  <c r="X55" i="38" s="1"/>
  <c r="Z49" i="38"/>
  <c r="AB49" i="38"/>
  <c r="AB51" i="38" s="1"/>
  <c r="AB55" i="38" s="1"/>
  <c r="AF49" i="38"/>
  <c r="AJ49" i="38"/>
  <c r="AJ51" i="38" s="1"/>
  <c r="AJ55" i="38" s="1"/>
  <c r="BV28" i="38" s="1"/>
  <c r="F51" i="38"/>
  <c r="J51" i="38"/>
  <c r="J55" i="38" s="1"/>
  <c r="AX28" i="38" s="1"/>
  <c r="N51" i="38"/>
  <c r="V51" i="38"/>
  <c r="V55" i="38" s="1"/>
  <c r="BH28" i="38" s="1"/>
  <c r="Z51" i="38"/>
  <c r="AF51" i="38"/>
  <c r="AF55" i="38" s="1"/>
  <c r="AL53" i="38"/>
  <c r="F55" i="38"/>
  <c r="N55" i="38"/>
  <c r="Z55" i="38"/>
  <c r="L58" i="38"/>
  <c r="AJ58" i="38"/>
  <c r="D14" i="37"/>
  <c r="F14" i="37"/>
  <c r="F16" i="37" s="1"/>
  <c r="F20" i="37" s="1"/>
  <c r="H14" i="37"/>
  <c r="J14" i="37"/>
  <c r="N14" i="37"/>
  <c r="R14" i="37"/>
  <c r="R16" i="37" s="1"/>
  <c r="R20" i="37" s="1"/>
  <c r="V14" i="37"/>
  <c r="Z14" i="37"/>
  <c r="AD14" i="37"/>
  <c r="AH14" i="37"/>
  <c r="AH16" i="37" s="1"/>
  <c r="AL14" i="37"/>
  <c r="AP14" i="37"/>
  <c r="AT14" i="37"/>
  <c r="AX14" i="37"/>
  <c r="AX16" i="37" s="1"/>
  <c r="AX20" i="37" s="1"/>
  <c r="BB14" i="37"/>
  <c r="D16" i="37"/>
  <c r="H16" i="37"/>
  <c r="J16" i="37"/>
  <c r="N16" i="37"/>
  <c r="V16" i="37"/>
  <c r="Z16" i="37"/>
  <c r="AD16" i="37"/>
  <c r="AL16" i="37"/>
  <c r="AL20" i="37" s="1"/>
  <c r="AP16" i="37"/>
  <c r="AT16" i="37"/>
  <c r="BB16" i="37"/>
  <c r="BF18" i="37"/>
  <c r="D20" i="37"/>
  <c r="H20" i="37"/>
  <c r="J20" i="37"/>
  <c r="N20" i="37"/>
  <c r="V20" i="37"/>
  <c r="V31" i="37" s="1"/>
  <c r="Z20" i="37"/>
  <c r="AD20" i="37"/>
  <c r="AH20" i="37"/>
  <c r="AH31" i="37" s="1"/>
  <c r="AJ20" i="37"/>
  <c r="AP20" i="37"/>
  <c r="AR20" i="37" s="1"/>
  <c r="AT20" i="37"/>
  <c r="BB20" i="37"/>
  <c r="D22" i="37"/>
  <c r="D24" i="37" s="1"/>
  <c r="D28" i="37" s="1"/>
  <c r="D31" i="37" s="1"/>
  <c r="F22" i="37"/>
  <c r="H22" i="37"/>
  <c r="J22" i="37"/>
  <c r="N22" i="37"/>
  <c r="N24" i="37" s="1"/>
  <c r="N28" i="37" s="1"/>
  <c r="P28" i="37" s="1"/>
  <c r="R22" i="37"/>
  <c r="V22" i="37"/>
  <c r="Z22" i="37"/>
  <c r="AD22" i="37"/>
  <c r="AD24" i="37" s="1"/>
  <c r="AD28" i="37" s="1"/>
  <c r="AJ28" i="37" s="1"/>
  <c r="AH22" i="37"/>
  <c r="AL22" i="37"/>
  <c r="AP22" i="37"/>
  <c r="AT22" i="37"/>
  <c r="AT24" i="37" s="1"/>
  <c r="AT28" i="37" s="1"/>
  <c r="AX22" i="37"/>
  <c r="BB22" i="37"/>
  <c r="BB24" i="37" s="1"/>
  <c r="BB28" i="37" s="1"/>
  <c r="F24" i="37"/>
  <c r="H24" i="37"/>
  <c r="H28" i="37" s="1"/>
  <c r="J24" i="37"/>
  <c r="R24" i="37"/>
  <c r="V24" i="37"/>
  <c r="V28" i="37" s="1"/>
  <c r="Z24" i="37"/>
  <c r="Z28" i="37" s="1"/>
  <c r="AB28" i="37" s="1"/>
  <c r="AH24" i="37"/>
  <c r="AL24" i="37"/>
  <c r="AL28" i="37" s="1"/>
  <c r="AP24" i="37"/>
  <c r="AX24" i="37"/>
  <c r="AX28" i="37" s="1"/>
  <c r="AZ28" i="37" s="1"/>
  <c r="BF26" i="37"/>
  <c r="F28" i="37"/>
  <c r="J28" i="37"/>
  <c r="R28" i="37"/>
  <c r="X28" i="37" s="1"/>
  <c r="AH28" i="37"/>
  <c r="AN28" i="37"/>
  <c r="AP28" i="37"/>
  <c r="F31" i="37"/>
  <c r="J31" i="37"/>
  <c r="L31" i="37"/>
  <c r="AD31" i="37"/>
  <c r="AP31" i="37"/>
  <c r="D14" i="36"/>
  <c r="F14" i="36"/>
  <c r="F16" i="36" s="1"/>
  <c r="F20" i="36" s="1"/>
  <c r="P20" i="36" s="1"/>
  <c r="H14" i="36"/>
  <c r="J14" i="36"/>
  <c r="J16" i="36" s="1"/>
  <c r="L14" i="36"/>
  <c r="L16" i="36" s="1"/>
  <c r="L20" i="36" s="1"/>
  <c r="N14" i="36"/>
  <c r="N16" i="36" s="1"/>
  <c r="S14" i="36"/>
  <c r="W14" i="36"/>
  <c r="W16" i="36" s="1"/>
  <c r="Y14" i="36"/>
  <c r="AA14" i="36"/>
  <c r="AA16" i="36" s="1"/>
  <c r="AA20" i="36" s="1"/>
  <c r="AC14" i="36"/>
  <c r="AG14" i="36"/>
  <c r="AK14" i="36"/>
  <c r="AM14" i="36"/>
  <c r="AM16" i="36" s="1"/>
  <c r="AM20" i="36" s="1"/>
  <c r="AM31" i="36" s="1"/>
  <c r="BY14" i="36"/>
  <c r="D16" i="36"/>
  <c r="H16" i="36"/>
  <c r="H20" i="36" s="1"/>
  <c r="S16" i="36"/>
  <c r="Y16" i="36"/>
  <c r="Y20" i="36" s="1"/>
  <c r="AC16" i="36"/>
  <c r="AG16" i="36"/>
  <c r="AG20" i="36" s="1"/>
  <c r="AK16" i="36"/>
  <c r="AK20" i="36" s="1"/>
  <c r="BY16" i="36"/>
  <c r="D20" i="36"/>
  <c r="J20" i="36"/>
  <c r="N20" i="36"/>
  <c r="N31" i="36" s="1"/>
  <c r="S20" i="36"/>
  <c r="W20" i="36"/>
  <c r="AC20" i="36"/>
  <c r="BY20" i="36"/>
  <c r="D22" i="36"/>
  <c r="D24" i="36" s="1"/>
  <c r="D28" i="36" s="1"/>
  <c r="D31" i="36" s="1"/>
  <c r="F22" i="36"/>
  <c r="H22" i="36"/>
  <c r="H24" i="36" s="1"/>
  <c r="J22" i="36"/>
  <c r="L22" i="36"/>
  <c r="L24" i="36" s="1"/>
  <c r="L28" i="36" s="1"/>
  <c r="N22" i="36"/>
  <c r="S22" i="36"/>
  <c r="S24" i="36" s="1"/>
  <c r="S28" i="36" s="1"/>
  <c r="W22" i="36"/>
  <c r="Y22" i="36"/>
  <c r="Y24" i="36" s="1"/>
  <c r="Y28" i="36" s="1"/>
  <c r="AA22" i="36"/>
  <c r="AC22" i="36"/>
  <c r="AC24" i="36" s="1"/>
  <c r="AC28" i="36" s="1"/>
  <c r="AC31" i="36" s="1"/>
  <c r="AG22" i="36"/>
  <c r="AK22" i="36"/>
  <c r="AK24" i="36" s="1"/>
  <c r="AK28" i="36" s="1"/>
  <c r="AM22" i="36"/>
  <c r="BY22" i="36"/>
  <c r="BY24" i="36" s="1"/>
  <c r="BY28" i="36" s="1"/>
  <c r="F24" i="36"/>
  <c r="F28" i="36" s="1"/>
  <c r="F31" i="36" s="1"/>
  <c r="J24" i="36"/>
  <c r="J28" i="36" s="1"/>
  <c r="J31" i="36" s="1"/>
  <c r="N24" i="36"/>
  <c r="N28" i="36" s="1"/>
  <c r="W24" i="36"/>
  <c r="AA24" i="36"/>
  <c r="AA28" i="36" s="1"/>
  <c r="AG24" i="36"/>
  <c r="AM24" i="36"/>
  <c r="AM28" i="36" s="1"/>
  <c r="H28" i="36"/>
  <c r="W28" i="36"/>
  <c r="AG28" i="36"/>
  <c r="AI28" i="36" s="1"/>
  <c r="W31" i="36"/>
  <c r="D41" i="36"/>
  <c r="F41" i="36"/>
  <c r="H41" i="36"/>
  <c r="J41" i="36"/>
  <c r="J43" i="36" s="1"/>
  <c r="J47" i="36" s="1"/>
  <c r="L41" i="36"/>
  <c r="N41" i="36"/>
  <c r="S41" i="36"/>
  <c r="W41" i="36"/>
  <c r="W43" i="36" s="1"/>
  <c r="W47" i="36" s="1"/>
  <c r="BI20" i="36" s="1"/>
  <c r="Y41" i="36"/>
  <c r="AA41" i="36"/>
  <c r="AC41" i="36"/>
  <c r="AG41" i="36"/>
  <c r="AG43" i="36" s="1"/>
  <c r="AG47" i="36" s="1"/>
  <c r="AG58" i="36" s="1"/>
  <c r="AK41" i="36"/>
  <c r="D43" i="36"/>
  <c r="F43" i="36"/>
  <c r="F47" i="36" s="1"/>
  <c r="H43" i="36"/>
  <c r="H47" i="36" s="1"/>
  <c r="L43" i="36"/>
  <c r="N43" i="36"/>
  <c r="N47" i="36" s="1"/>
  <c r="S43" i="36"/>
  <c r="S47" i="36" s="1"/>
  <c r="Y43" i="36"/>
  <c r="AA43" i="36"/>
  <c r="AA47" i="36" s="1"/>
  <c r="AC43" i="36"/>
  <c r="AC47" i="36" s="1"/>
  <c r="AK43" i="36"/>
  <c r="AM45" i="36"/>
  <c r="D47" i="36"/>
  <c r="L47" i="36"/>
  <c r="Y47" i="36"/>
  <c r="AK47" i="36"/>
  <c r="D49" i="36"/>
  <c r="F49" i="36"/>
  <c r="H49" i="36"/>
  <c r="J49" i="36"/>
  <c r="J51" i="36" s="1"/>
  <c r="J55" i="36" s="1"/>
  <c r="L49" i="36"/>
  <c r="N49" i="36"/>
  <c r="S49" i="36"/>
  <c r="W49" i="36"/>
  <c r="W51" i="36" s="1"/>
  <c r="W55" i="36" s="1"/>
  <c r="BI28" i="36" s="1"/>
  <c r="Y49" i="36"/>
  <c r="AA49" i="36"/>
  <c r="AC49" i="36"/>
  <c r="AG49" i="36"/>
  <c r="AG51" i="36" s="1"/>
  <c r="AG55" i="36" s="1"/>
  <c r="AK49" i="36"/>
  <c r="D51" i="36"/>
  <c r="F51" i="36"/>
  <c r="F55" i="36" s="1"/>
  <c r="H51" i="36"/>
  <c r="H55" i="36" s="1"/>
  <c r="AU28" i="36" s="1"/>
  <c r="L51" i="36"/>
  <c r="N51" i="36"/>
  <c r="N55" i="36" s="1"/>
  <c r="S51" i="36"/>
  <c r="S55" i="36" s="1"/>
  <c r="Y51" i="36"/>
  <c r="AA51" i="36"/>
  <c r="AA55" i="36" s="1"/>
  <c r="BW28" i="36" s="1"/>
  <c r="AC51" i="36"/>
  <c r="AC55" i="36" s="1"/>
  <c r="AK51" i="36"/>
  <c r="AM53" i="36"/>
  <c r="D55" i="36"/>
  <c r="L55" i="36"/>
  <c r="Y55" i="36"/>
  <c r="AK55" i="36"/>
  <c r="J58" i="36"/>
  <c r="D69" i="36"/>
  <c r="D71" i="36"/>
  <c r="D75" i="36"/>
  <c r="D77" i="36"/>
  <c r="D79" i="36" s="1"/>
  <c r="D83" i="36" s="1"/>
  <c r="F77" i="36"/>
  <c r="F79" i="36"/>
  <c r="F83" i="36" s="1"/>
  <c r="F86" i="36" s="1"/>
  <c r="D121" i="36"/>
  <c r="C6" i="43"/>
  <c r="E6" i="43"/>
  <c r="G6" i="43"/>
  <c r="I6" i="43"/>
  <c r="K6" i="43"/>
  <c r="M6" i="43"/>
  <c r="O6" i="43"/>
  <c r="Q6" i="43"/>
  <c r="S6" i="43"/>
  <c r="U6" i="43"/>
  <c r="W6" i="43"/>
  <c r="Y6" i="43"/>
  <c r="AA6" i="43"/>
  <c r="AC6" i="43"/>
  <c r="C7" i="43"/>
  <c r="E7" i="43"/>
  <c r="I7" i="43"/>
  <c r="K7" i="43"/>
  <c r="K10" i="43" s="1"/>
  <c r="M7" i="43"/>
  <c r="M10" i="43" s="1"/>
  <c r="Q7" i="43"/>
  <c r="S7" i="43"/>
  <c r="U7" i="43"/>
  <c r="Y7" i="43"/>
  <c r="AA7" i="43"/>
  <c r="AC7" i="43"/>
  <c r="C8" i="43"/>
  <c r="AI8" i="43" s="1"/>
  <c r="C9" i="43"/>
  <c r="E9" i="43"/>
  <c r="Y9" i="43"/>
  <c r="AA9" i="43"/>
  <c r="AC9" i="43"/>
  <c r="AE10" i="43"/>
  <c r="AG10" i="43"/>
  <c r="C12" i="43"/>
  <c r="E12" i="43"/>
  <c r="G12" i="43"/>
  <c r="I12" i="43"/>
  <c r="K12" i="43"/>
  <c r="M12" i="43"/>
  <c r="O12" i="43"/>
  <c r="Q12" i="43"/>
  <c r="S12" i="43"/>
  <c r="U12" i="43"/>
  <c r="W12" i="43"/>
  <c r="Y12" i="43"/>
  <c r="AA12" i="43"/>
  <c r="AC12" i="43"/>
  <c r="AE14" i="43"/>
  <c r="AG14" i="43"/>
  <c r="E5" i="44"/>
  <c r="I5" i="44"/>
  <c r="K5" i="44"/>
  <c r="M5" i="44"/>
  <c r="O5" i="44"/>
  <c r="Q5" i="44"/>
  <c r="S5" i="44"/>
  <c r="U5" i="44"/>
  <c r="W5" i="44"/>
  <c r="Y5" i="44"/>
  <c r="AA5" i="44"/>
  <c r="AC5" i="44"/>
  <c r="AE5" i="44"/>
  <c r="AG5" i="44"/>
  <c r="AI8" i="44"/>
  <c r="AI9" i="44"/>
  <c r="AI10" i="44"/>
  <c r="C16" i="44"/>
  <c r="E12" i="44"/>
  <c r="G12" i="44"/>
  <c r="I12" i="44"/>
  <c r="I16" i="44" s="1"/>
  <c r="K12" i="44"/>
  <c r="K16" i="44" s="1"/>
  <c r="M12" i="44"/>
  <c r="O12" i="44"/>
  <c r="Q12" i="44"/>
  <c r="Q16" i="44" s="1"/>
  <c r="S12" i="44"/>
  <c r="S16" i="44" s="1"/>
  <c r="U12" i="44"/>
  <c r="U16" i="44" s="1"/>
  <c r="W12" i="44"/>
  <c r="Y12" i="44"/>
  <c r="Y16" i="44" s="1"/>
  <c r="AA12" i="44"/>
  <c r="AA16" i="44" s="1"/>
  <c r="AC12" i="44"/>
  <c r="AC16" i="44" s="1"/>
  <c r="AE12" i="44"/>
  <c r="AG12" i="44"/>
  <c r="AG16" i="44" s="1"/>
  <c r="AI14" i="44"/>
  <c r="G16" i="44"/>
  <c r="O16" i="44"/>
  <c r="W16" i="44"/>
  <c r="AE16" i="44"/>
  <c r="D7" i="45"/>
  <c r="F7" i="45"/>
  <c r="H7" i="45"/>
  <c r="J7" i="45"/>
  <c r="L7" i="45"/>
  <c r="N7" i="45"/>
  <c r="P7" i="45"/>
  <c r="R7" i="45"/>
  <c r="V7" i="45"/>
  <c r="X7" i="45"/>
  <c r="Z7" i="45"/>
  <c r="Z10" i="45" s="1"/>
  <c r="AB7" i="45"/>
  <c r="AD7" i="45"/>
  <c r="AF7" i="45"/>
  <c r="AL7" i="45"/>
  <c r="AL10" i="45" s="1"/>
  <c r="AL8" i="45"/>
  <c r="D10" i="45"/>
  <c r="F10" i="45"/>
  <c r="H10" i="45"/>
  <c r="J10" i="45"/>
  <c r="L10" i="45"/>
  <c r="N10" i="45"/>
  <c r="P10" i="45"/>
  <c r="R10" i="45"/>
  <c r="T10" i="45"/>
  <c r="V10" i="45"/>
  <c r="X10" i="45"/>
  <c r="W34" i="31" s="1"/>
  <c r="AB10" i="45"/>
  <c r="AD10" i="45"/>
  <c r="AF10" i="45"/>
  <c r="AH10" i="45"/>
  <c r="AJ10" i="45"/>
  <c r="D72" i="45"/>
  <c r="F72" i="45"/>
  <c r="I9" i="31"/>
  <c r="M9" i="31"/>
  <c r="U9" i="31"/>
  <c r="I10" i="31"/>
  <c r="M10" i="31"/>
  <c r="M11" i="31"/>
  <c r="U11" i="31"/>
  <c r="M12" i="31"/>
  <c r="U12" i="31"/>
  <c r="W12" i="31"/>
  <c r="Y12" i="31"/>
  <c r="I13" i="31"/>
  <c r="M13" i="31"/>
  <c r="U13" i="31"/>
  <c r="M14" i="31"/>
  <c r="U14" i="31"/>
  <c r="M15" i="31"/>
  <c r="M16" i="31"/>
  <c r="U18" i="31" s="1"/>
  <c r="M17" i="31"/>
  <c r="M18" i="31"/>
  <c r="W18" i="31"/>
  <c r="M19" i="31"/>
  <c r="U19" i="31"/>
  <c r="W19" i="31"/>
  <c r="M20" i="31"/>
  <c r="M21" i="31"/>
  <c r="M22" i="31"/>
  <c r="U24" i="31" s="1"/>
  <c r="Y24" i="31" s="1"/>
  <c r="M23" i="31"/>
  <c r="M24" i="31"/>
  <c r="W24" i="31"/>
  <c r="M25" i="31"/>
  <c r="U25" i="31"/>
  <c r="W25" i="31"/>
  <c r="Y25" i="31" s="1"/>
  <c r="M26" i="31"/>
  <c r="M27" i="31"/>
  <c r="M28" i="31"/>
  <c r="U28" i="31"/>
  <c r="W28" i="31"/>
  <c r="M29" i="31"/>
  <c r="M30" i="31"/>
  <c r="U30" i="31"/>
  <c r="W30" i="31"/>
  <c r="Y30" i="31"/>
  <c r="M31" i="31"/>
  <c r="M32" i="31"/>
  <c r="U32" i="31"/>
  <c r="W32" i="31"/>
  <c r="Y32" i="31"/>
  <c r="M33" i="31"/>
  <c r="M34" i="31"/>
  <c r="U34" i="31"/>
  <c r="G38" i="31"/>
  <c r="I38" i="31"/>
  <c r="K38" i="31"/>
  <c r="O38" i="31"/>
  <c r="AG53" i="31"/>
  <c r="AG54" i="31"/>
  <c r="AG55" i="31"/>
  <c r="AG56" i="31"/>
  <c r="AG57" i="31"/>
  <c r="AG58" i="31"/>
  <c r="AG59" i="31"/>
  <c r="AG60" i="31"/>
  <c r="AG61" i="31"/>
  <c r="AG62" i="31"/>
  <c r="AG63" i="31"/>
  <c r="G64" i="31"/>
  <c r="I64" i="31"/>
  <c r="K64" i="31"/>
  <c r="K65" i="31" s="1"/>
  <c r="M64" i="31"/>
  <c r="M65" i="31" s="1"/>
  <c r="O64" i="31"/>
  <c r="Q64" i="31"/>
  <c r="S64" i="31"/>
  <c r="S65" i="31" s="1"/>
  <c r="U64" i="31"/>
  <c r="U65" i="31" s="1"/>
  <c r="W64" i="31"/>
  <c r="Y64" i="31"/>
  <c r="AA64" i="31"/>
  <c r="AA65" i="31" s="1"/>
  <c r="AC64" i="31"/>
  <c r="AC65" i="31" s="1"/>
  <c r="AE64" i="31"/>
  <c r="G65" i="31"/>
  <c r="I65" i="31"/>
  <c r="O65" i="31"/>
  <c r="Q65" i="31"/>
  <c r="W65" i="31"/>
  <c r="Y65" i="31"/>
  <c r="AE65" i="31"/>
  <c r="AE66" i="31"/>
  <c r="I80" i="31"/>
  <c r="K80" i="31"/>
  <c r="M80" i="31"/>
  <c r="O80" i="31"/>
  <c r="I81" i="31"/>
  <c r="K81" i="31"/>
  <c r="I82" i="31"/>
  <c r="K82" i="31" s="1"/>
  <c r="M82" i="31" s="1"/>
  <c r="O82" i="31" s="1"/>
  <c r="Q82" i="31" s="1"/>
  <c r="S82" i="31" s="1"/>
  <c r="U82" i="31" s="1"/>
  <c r="W82" i="31" s="1"/>
  <c r="Y82" i="31" s="1"/>
  <c r="AA82" i="31" s="1"/>
  <c r="AC82" i="31" s="1"/>
  <c r="AE82" i="31" s="1"/>
  <c r="I83" i="31"/>
  <c r="K83" i="31"/>
  <c r="M83" i="31"/>
  <c r="O83" i="31"/>
  <c r="Q83" i="31" s="1"/>
  <c r="S83" i="31" s="1"/>
  <c r="U83" i="31" s="1"/>
  <c r="W83" i="31"/>
  <c r="Y83" i="31" s="1"/>
  <c r="AA83" i="31" s="1"/>
  <c r="AC83" i="31" s="1"/>
  <c r="AE83" i="31" s="1"/>
  <c r="I84" i="31"/>
  <c r="K84" i="31"/>
  <c r="M84" i="31"/>
  <c r="O84" i="31" s="1"/>
  <c r="Q84" i="31" s="1"/>
  <c r="S84" i="31" s="1"/>
  <c r="U84" i="31" s="1"/>
  <c r="W84" i="31" s="1"/>
  <c r="Y84" i="31" s="1"/>
  <c r="AA84" i="31" s="1"/>
  <c r="AC84" i="31" s="1"/>
  <c r="AE84" i="31" s="1"/>
  <c r="I85" i="31"/>
  <c r="K85" i="31"/>
  <c r="M85" i="31" s="1"/>
  <c r="O85" i="31" s="1"/>
  <c r="I86" i="31"/>
  <c r="K86" i="31" s="1"/>
  <c r="M86" i="31" s="1"/>
  <c r="O86" i="31" s="1"/>
  <c r="Q86" i="31" s="1"/>
  <c r="S86" i="31" s="1"/>
  <c r="U86" i="31" s="1"/>
  <c r="W86" i="31" s="1"/>
  <c r="Y86" i="31" s="1"/>
  <c r="AA86" i="31" s="1"/>
  <c r="AC86" i="31" s="1"/>
  <c r="AE86" i="31" s="1"/>
  <c r="I87" i="31"/>
  <c r="K87" i="31"/>
  <c r="G88" i="31"/>
  <c r="I104" i="31"/>
  <c r="K104" i="31"/>
  <c r="M104" i="31"/>
  <c r="O104" i="31" s="1"/>
  <c r="I105" i="31"/>
  <c r="I111" i="31" s="1"/>
  <c r="K105" i="31"/>
  <c r="M105" i="31" s="1"/>
  <c r="I106" i="31"/>
  <c r="K106" i="31" s="1"/>
  <c r="I107" i="31"/>
  <c r="K107" i="31"/>
  <c r="M107" i="31"/>
  <c r="O107" i="31"/>
  <c r="Q107" i="31" s="1"/>
  <c r="S107" i="31" s="1"/>
  <c r="U107" i="31" s="1"/>
  <c r="W107" i="31" s="1"/>
  <c r="Y107" i="31" s="1"/>
  <c r="AA107" i="31" s="1"/>
  <c r="AC107" i="31" s="1"/>
  <c r="AE107" i="31" s="1"/>
  <c r="I108" i="31"/>
  <c r="K108" i="31"/>
  <c r="S108" i="31"/>
  <c r="U108" i="31" s="1"/>
  <c r="W108" i="31" s="1"/>
  <c r="Y108" i="31" s="1"/>
  <c r="AA108" i="31" s="1"/>
  <c r="AC108" i="31" s="1"/>
  <c r="AE108" i="31" s="1"/>
  <c r="I109" i="31"/>
  <c r="K109" i="31" s="1"/>
  <c r="I110" i="31"/>
  <c r="K110" i="31"/>
  <c r="M110" i="31"/>
  <c r="O110" i="31"/>
  <c r="Q110" i="31" s="1"/>
  <c r="S110" i="31" s="1"/>
  <c r="U110" i="31" s="1"/>
  <c r="W110" i="31" s="1"/>
  <c r="Y110" i="31" s="1"/>
  <c r="AA110" i="31" s="1"/>
  <c r="AC110" i="31" s="1"/>
  <c r="AE110" i="31" s="1"/>
  <c r="H19" i="42"/>
  <c r="C20" i="42"/>
  <c r="D20" i="42"/>
  <c r="E20" i="42"/>
  <c r="F20" i="42"/>
  <c r="H41" i="42"/>
  <c r="C42" i="42"/>
  <c r="D42" i="42"/>
  <c r="E42" i="42"/>
  <c r="F42" i="42"/>
  <c r="H62" i="42"/>
  <c r="C63" i="42"/>
  <c r="D63" i="42"/>
  <c r="E63" i="42"/>
  <c r="F63" i="42"/>
  <c r="O40" i="31" s="1"/>
  <c r="H83" i="42"/>
  <c r="C84" i="42"/>
  <c r="D84" i="42"/>
  <c r="E84" i="42"/>
  <c r="F84" i="42"/>
  <c r="C105" i="42"/>
  <c r="D105" i="42"/>
  <c r="E105" i="42"/>
  <c r="F105" i="42"/>
  <c r="C126" i="42"/>
  <c r="D126" i="42"/>
  <c r="E126" i="42"/>
  <c r="F126" i="42"/>
  <c r="C147" i="42"/>
  <c r="D147" i="42"/>
  <c r="E147" i="42"/>
  <c r="F147" i="42"/>
  <c r="C168" i="42"/>
  <c r="D168" i="42"/>
  <c r="E168" i="42"/>
  <c r="F168" i="42"/>
  <c r="C189" i="42"/>
  <c r="D189" i="42"/>
  <c r="E189" i="42"/>
  <c r="F189" i="42"/>
  <c r="L18" i="2"/>
  <c r="L20" i="2"/>
  <c r="L22" i="2"/>
  <c r="I14" i="2"/>
  <c r="N14" i="2" s="1"/>
  <c r="I18" i="2"/>
  <c r="N18" i="2" s="1"/>
  <c r="N16" i="2"/>
  <c r="M16" i="2"/>
  <c r="K22" i="2"/>
  <c r="J14" i="2"/>
  <c r="K14" i="2"/>
  <c r="L14" i="2"/>
  <c r="M14" i="2" s="1"/>
  <c r="K18" i="2"/>
  <c r="E10" i="43" l="1"/>
  <c r="S10" i="43"/>
  <c r="M32" i="2"/>
  <c r="U10" i="43"/>
  <c r="AA10" i="43"/>
  <c r="AA14" i="43" s="1"/>
  <c r="I38" i="2"/>
  <c r="I39" i="2" s="1"/>
  <c r="AC10" i="43"/>
  <c r="AC14" i="43" s="1"/>
  <c r="U14" i="43"/>
  <c r="E14" i="43"/>
  <c r="S14" i="43"/>
  <c r="K14" i="43"/>
  <c r="W10" i="43"/>
  <c r="O10" i="43"/>
  <c r="O14" i="43" s="1"/>
  <c r="Y19" i="31"/>
  <c r="Y18" i="31"/>
  <c r="O24" i="2"/>
  <c r="W39" i="43"/>
  <c r="W43" i="43" s="1"/>
  <c r="W47" i="43" s="1"/>
  <c r="O39" i="43"/>
  <c r="O43" i="43" s="1"/>
  <c r="O47" i="43" s="1"/>
  <c r="G39" i="43"/>
  <c r="G43" i="43" s="1"/>
  <c r="G47" i="43" s="1"/>
  <c r="M14" i="43"/>
  <c r="AI9" i="43"/>
  <c r="U39" i="43"/>
  <c r="U43" i="43" s="1"/>
  <c r="U47" i="43" s="1"/>
  <c r="M39" i="43"/>
  <c r="M43" i="43" s="1"/>
  <c r="M47" i="43" s="1"/>
  <c r="E39" i="43"/>
  <c r="E43" i="43" s="1"/>
  <c r="E47" i="43" s="1"/>
  <c r="Y10" i="43"/>
  <c r="Y14" i="43" s="1"/>
  <c r="Q10" i="43"/>
  <c r="Q14" i="43" s="1"/>
  <c r="AA39" i="43"/>
  <c r="AA43" i="43" s="1"/>
  <c r="AA47" i="43" s="1"/>
  <c r="S39" i="43"/>
  <c r="S43" i="43" s="1"/>
  <c r="S47" i="43" s="1"/>
  <c r="C39" i="43"/>
  <c r="W14" i="43"/>
  <c r="G10" i="43"/>
  <c r="G14" i="43" s="1"/>
  <c r="Y39" i="43"/>
  <c r="Y43" i="43" s="1"/>
  <c r="Y47" i="43" s="1"/>
  <c r="Q39" i="43"/>
  <c r="Q43" i="43" s="1"/>
  <c r="Q47" i="43" s="1"/>
  <c r="I39" i="43"/>
  <c r="I43" i="43" s="1"/>
  <c r="I47" i="43" s="1"/>
  <c r="M28" i="2"/>
  <c r="W11" i="31"/>
  <c r="Y11" i="31" s="1"/>
  <c r="Y28" i="31"/>
  <c r="M109" i="31"/>
  <c r="O109" i="31" s="1"/>
  <c r="Q109" i="31" s="1"/>
  <c r="S109" i="31" s="1"/>
  <c r="U109" i="31" s="1"/>
  <c r="W109" i="31" s="1"/>
  <c r="Y109" i="31" s="1"/>
  <c r="AA109" i="31" s="1"/>
  <c r="AC109" i="31" s="1"/>
  <c r="AE109" i="31" s="1"/>
  <c r="AG109" i="31"/>
  <c r="M106" i="31"/>
  <c r="O106" i="31" s="1"/>
  <c r="Q106" i="31" s="1"/>
  <c r="S106" i="31" s="1"/>
  <c r="U106" i="31" s="1"/>
  <c r="W106" i="31" s="1"/>
  <c r="Y106" i="31" s="1"/>
  <c r="AA106" i="31" s="1"/>
  <c r="AC106" i="31" s="1"/>
  <c r="AE106" i="31" s="1"/>
  <c r="AG110" i="31"/>
  <c r="AG107" i="31"/>
  <c r="O105" i="31"/>
  <c r="Q105" i="31" s="1"/>
  <c r="S105" i="31" s="1"/>
  <c r="U105" i="31" s="1"/>
  <c r="W105" i="31" s="1"/>
  <c r="Y105" i="31" s="1"/>
  <c r="AA105" i="31" s="1"/>
  <c r="AC105" i="31" s="1"/>
  <c r="AE105" i="31" s="1"/>
  <c r="M111" i="31"/>
  <c r="Q104" i="31"/>
  <c r="Q85" i="31"/>
  <c r="S85" i="31" s="1"/>
  <c r="U85" i="31" s="1"/>
  <c r="W85" i="31" s="1"/>
  <c r="Y85" i="31" s="1"/>
  <c r="AA85" i="31" s="1"/>
  <c r="AC85" i="31" s="1"/>
  <c r="AE85" i="31" s="1"/>
  <c r="AG85" i="31"/>
  <c r="Q30" i="2"/>
  <c r="Q18" i="2"/>
  <c r="Y31" i="36"/>
  <c r="BL20" i="38"/>
  <c r="J18" i="2"/>
  <c r="M18" i="2" s="1"/>
  <c r="O18" i="2" s="1"/>
  <c r="K111" i="31"/>
  <c r="AG108" i="31"/>
  <c r="AG105" i="31"/>
  <c r="K88" i="31"/>
  <c r="AG82" i="31"/>
  <c r="I10" i="43"/>
  <c r="I14" i="43" s="1"/>
  <c r="AI6" i="43"/>
  <c r="AY28" i="36"/>
  <c r="BW20" i="36"/>
  <c r="BW31" i="36" s="1"/>
  <c r="AK58" i="36"/>
  <c r="AU20" i="36"/>
  <c r="AU31" i="36" s="1"/>
  <c r="H58" i="36"/>
  <c r="BI31" i="36"/>
  <c r="AY20" i="36"/>
  <c r="AY31" i="36" s="1"/>
  <c r="P28" i="36"/>
  <c r="P31" i="36" s="1"/>
  <c r="CA20" i="36"/>
  <c r="AK31" i="36"/>
  <c r="AA31" i="36"/>
  <c r="AJ31" i="37"/>
  <c r="BL28" i="38"/>
  <c r="X58" i="38"/>
  <c r="Q26" i="2"/>
  <c r="Q22" i="2"/>
  <c r="Y34" i="31"/>
  <c r="AA58" i="36"/>
  <c r="AB20" i="37"/>
  <c r="AB31" i="37" s="1"/>
  <c r="Z31" i="37"/>
  <c r="Q32" i="2"/>
  <c r="Q28" i="2"/>
  <c r="Q24" i="2"/>
  <c r="Q20" i="2"/>
  <c r="I88" i="31"/>
  <c r="AG86" i="31"/>
  <c r="AG84" i="31"/>
  <c r="Q80" i="31"/>
  <c r="AI7" i="43"/>
  <c r="C10" i="43"/>
  <c r="C14" i="43" s="1"/>
  <c r="D86" i="36"/>
  <c r="BM28" i="36"/>
  <c r="Y58" i="36"/>
  <c r="S58" i="36"/>
  <c r="F58" i="36"/>
  <c r="CA28" i="36"/>
  <c r="BY31" i="36"/>
  <c r="U28" i="36"/>
  <c r="S31" i="36"/>
  <c r="AE28" i="36"/>
  <c r="BM20" i="36"/>
  <c r="BM31" i="36" s="1"/>
  <c r="AG31" i="36"/>
  <c r="AI20" i="36"/>
  <c r="AI31" i="36" s="1"/>
  <c r="H31" i="36"/>
  <c r="L31" i="36"/>
  <c r="AM58" i="36" s="1"/>
  <c r="AM61" i="36" s="1"/>
  <c r="AF28" i="37"/>
  <c r="T20" i="37"/>
  <c r="N31" i="37"/>
  <c r="AN20" i="37"/>
  <c r="AN31" i="37" s="1"/>
  <c r="AL31" i="37"/>
  <c r="AX20" i="38"/>
  <c r="AX31" i="38" s="1"/>
  <c r="J58" i="38"/>
  <c r="P28" i="38"/>
  <c r="D58" i="36"/>
  <c r="AE20" i="36"/>
  <c r="AE31" i="36" s="1"/>
  <c r="BH20" i="38"/>
  <c r="BH31" i="38" s="1"/>
  <c r="V58" i="38"/>
  <c r="O16" i="2"/>
  <c r="Q14" i="2"/>
  <c r="M87" i="31"/>
  <c r="O87" i="31" s="1"/>
  <c r="Q87" i="31" s="1"/>
  <c r="S87" i="31" s="1"/>
  <c r="U87" i="31" s="1"/>
  <c r="W87" i="31" s="1"/>
  <c r="Y87" i="31" s="1"/>
  <c r="AA87" i="31" s="1"/>
  <c r="AC87" i="31" s="1"/>
  <c r="AE87" i="31" s="1"/>
  <c r="AG83" i="31"/>
  <c r="M81" i="31"/>
  <c r="AG64" i="31"/>
  <c r="O41" i="31"/>
  <c r="M38" i="31"/>
  <c r="M41" i="31" s="1"/>
  <c r="M16" i="44"/>
  <c r="W14" i="31"/>
  <c r="Y14" i="31" s="1"/>
  <c r="Y35" i="31" s="1"/>
  <c r="E16" i="44"/>
  <c r="W9" i="31"/>
  <c r="Y9" i="31" s="1"/>
  <c r="AI16" i="44"/>
  <c r="AI12" i="43"/>
  <c r="W58" i="36"/>
  <c r="L58" i="36"/>
  <c r="AC58" i="36"/>
  <c r="N58" i="36"/>
  <c r="U20" i="36"/>
  <c r="U31" i="36" s="1"/>
  <c r="AR28" i="37"/>
  <c r="AR31" i="37" s="1"/>
  <c r="AV28" i="37"/>
  <c r="T28" i="37"/>
  <c r="BD28" i="37"/>
  <c r="AV20" i="37"/>
  <c r="AT31" i="37"/>
  <c r="AZ20" i="37"/>
  <c r="AZ31" i="37" s="1"/>
  <c r="AX31" i="37"/>
  <c r="X20" i="37"/>
  <c r="X31" i="37" s="1"/>
  <c r="R31" i="37"/>
  <c r="BD20" i="37"/>
  <c r="BD31" i="37" s="1"/>
  <c r="P20" i="37"/>
  <c r="P31" i="37" s="1"/>
  <c r="BZ28" i="38"/>
  <c r="BX31" i="38"/>
  <c r="T28" i="38"/>
  <c r="R31" i="38"/>
  <c r="AD28" i="38"/>
  <c r="AD31" i="38" s="1"/>
  <c r="AJ31" i="38"/>
  <c r="L31" i="38"/>
  <c r="AL31" i="38"/>
  <c r="Z31" i="38"/>
  <c r="P20" i="38"/>
  <c r="P31" i="38" s="1"/>
  <c r="F31" i="38"/>
  <c r="AK28" i="39"/>
  <c r="AO28" i="39"/>
  <c r="AO20" i="39"/>
  <c r="AO31" i="39" s="1"/>
  <c r="AM31" i="39"/>
  <c r="AI31" i="39"/>
  <c r="AK20" i="39"/>
  <c r="AK31" i="39" s="1"/>
  <c r="Y20" i="39"/>
  <c r="Y31" i="39" s="1"/>
  <c r="S31" i="39"/>
  <c r="U20" i="39"/>
  <c r="U31" i="39" s="1"/>
  <c r="K31" i="39"/>
  <c r="AB20" i="40"/>
  <c r="AB31" i="40" s="1"/>
  <c r="T31" i="40"/>
  <c r="AF20" i="37"/>
  <c r="AF31" i="37" s="1"/>
  <c r="H31" i="37"/>
  <c r="BF31" i="37" s="1"/>
  <c r="BF12" i="37" s="1"/>
  <c r="Z58" i="38"/>
  <c r="F58" i="38"/>
  <c r="BV20" i="38"/>
  <c r="BV31" i="38" s="1"/>
  <c r="BZ20" i="38"/>
  <c r="BZ31" i="38" s="1"/>
  <c r="AL58" i="38"/>
  <c r="AL39" i="38" s="1"/>
  <c r="AT28" i="38"/>
  <c r="S30" i="2"/>
  <c r="S28" i="2"/>
  <c r="M137" i="53"/>
  <c r="BB31" i="37"/>
  <c r="AH28" i="38"/>
  <c r="N31" i="38"/>
  <c r="J31" i="38"/>
  <c r="AG20" i="39"/>
  <c r="AG31" i="39" s="1"/>
  <c r="AE31" i="39"/>
  <c r="AA31" i="39"/>
  <c r="AC20" i="39"/>
  <c r="AC31" i="39" s="1"/>
  <c r="M31" i="39"/>
  <c r="AP31" i="39" s="1"/>
  <c r="AP12" i="39" s="1"/>
  <c r="F58" i="40"/>
  <c r="AR20" i="40"/>
  <c r="N20" i="40"/>
  <c r="AR28" i="40"/>
  <c r="BJ20" i="40"/>
  <c r="BJ31" i="40" s="1"/>
  <c r="BX28" i="40"/>
  <c r="R28" i="40"/>
  <c r="R31" i="40" s="1"/>
  <c r="P31" i="40"/>
  <c r="AB28" i="40"/>
  <c r="Z31" i="40"/>
  <c r="F31" i="40"/>
  <c r="AT20" i="38"/>
  <c r="AT31" i="38" s="1"/>
  <c r="N31" i="40"/>
  <c r="V31" i="40"/>
  <c r="AD31" i="40"/>
  <c r="AF20" i="40"/>
  <c r="AF31" i="40" s="1"/>
  <c r="H31" i="40"/>
  <c r="AI129" i="41"/>
  <c r="AI130" i="41" s="1"/>
  <c r="AI31" i="41"/>
  <c r="AI32" i="41" s="1"/>
  <c r="H13" i="41"/>
  <c r="H16" i="41" s="1"/>
  <c r="F16" i="41"/>
  <c r="AH20" i="38"/>
  <c r="AH31" i="38" s="1"/>
  <c r="T20" i="38"/>
  <c r="T31" i="38" s="1"/>
  <c r="G28" i="39"/>
  <c r="G31" i="39" s="1"/>
  <c r="G33" i="39" s="1"/>
  <c r="Q20" i="39"/>
  <c r="Q31" i="39" s="1"/>
  <c r="BT20" i="40"/>
  <c r="BT31" i="40" s="1"/>
  <c r="J58" i="40"/>
  <c r="H58" i="40"/>
  <c r="AV20" i="40"/>
  <c r="AV31" i="40" s="1"/>
  <c r="BX20" i="40"/>
  <c r="BX31" i="40" s="1"/>
  <c r="AL31" i="40"/>
  <c r="AI23" i="41"/>
  <c r="AI24" i="41" s="1"/>
  <c r="AJ23" i="41"/>
  <c r="S32" i="2"/>
  <c r="S18" i="2"/>
  <c r="AH58" i="40"/>
  <c r="V58" i="40"/>
  <c r="F60" i="41"/>
  <c r="N20" i="2"/>
  <c r="N38" i="2" s="1"/>
  <c r="M22" i="2"/>
  <c r="O22" i="2" s="1"/>
  <c r="M30" i="2"/>
  <c r="O30" i="2" s="1"/>
  <c r="O32" i="2"/>
  <c r="O28" i="2"/>
  <c r="M20" i="2"/>
  <c r="M26" i="2"/>
  <c r="O26" i="2" s="1"/>
  <c r="O14" i="2" l="1"/>
  <c r="M38" i="2"/>
  <c r="S20" i="2"/>
  <c r="S34" i="2"/>
  <c r="S26" i="2"/>
  <c r="S22" i="2"/>
  <c r="S24" i="2"/>
  <c r="Q38" i="2"/>
  <c r="Q41" i="2" s="1"/>
  <c r="S14" i="2"/>
  <c r="C43" i="43"/>
  <c r="C47" i="43" s="1"/>
  <c r="AI39" i="43"/>
  <c r="AI43" i="43" s="1"/>
  <c r="AI47" i="43" s="1"/>
  <c r="AM39" i="36"/>
  <c r="AM63" i="36"/>
  <c r="AI10" i="43"/>
  <c r="AI14" i="43" s="1"/>
  <c r="BL31" i="38"/>
  <c r="Q111" i="31"/>
  <c r="S104" i="31"/>
  <c r="AJ58" i="40"/>
  <c r="AJ62" i="40" s="1"/>
  <c r="AJ39" i="40" s="1"/>
  <c r="AV31" i="37"/>
  <c r="M88" i="31"/>
  <c r="O81" i="31"/>
  <c r="AG87" i="31"/>
  <c r="O111" i="31"/>
  <c r="AG106" i="31"/>
  <c r="AR31" i="40"/>
  <c r="T31" i="37"/>
  <c r="S80" i="31"/>
  <c r="CA31" i="36"/>
  <c r="O20" i="2"/>
  <c r="O38" i="2" l="1"/>
  <c r="S48" i="2" s="1"/>
  <c r="S38" i="2"/>
  <c r="S47" i="2" s="1"/>
  <c r="U80" i="31"/>
  <c r="Q81" i="31"/>
  <c r="O88" i="31"/>
  <c r="U104" i="31"/>
  <c r="S111" i="31"/>
  <c r="S49" i="2" l="1"/>
  <c r="W80" i="31"/>
  <c r="S81" i="31"/>
  <c r="Q88" i="31"/>
  <c r="W104" i="31"/>
  <c r="U111" i="31"/>
  <c r="W111" i="31" l="1"/>
  <c r="Y104" i="31"/>
  <c r="U81" i="31"/>
  <c r="S88" i="31"/>
  <c r="Y80" i="31"/>
  <c r="AG80" i="31"/>
  <c r="W81" i="31" l="1"/>
  <c r="U88" i="31"/>
  <c r="Y111" i="31"/>
  <c r="AA104" i="31"/>
  <c r="Y81" i="31" l="1"/>
  <c r="W88" i="31"/>
  <c r="AC104" i="31"/>
  <c r="AA111" i="31"/>
  <c r="AE104" i="31" l="1"/>
  <c r="AC111" i="31"/>
  <c r="AA81" i="31"/>
  <c r="Y88" i="31"/>
  <c r="AE111" i="31" l="1"/>
  <c r="AG104" i="31"/>
  <c r="AG111" i="31" s="1"/>
  <c r="AC81" i="31"/>
  <c r="AA88" i="31"/>
  <c r="AE81" i="31" l="1"/>
  <c r="AC88" i="31"/>
  <c r="AE88" i="31" l="1"/>
  <c r="AG81" i="31"/>
  <c r="AG88" i="31" s="1"/>
  <c r="Q51" i="63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Spychala, Casey A.</author>
  </authors>
  <commentList>
    <comment ref="Q32" authorId="0" shapeId="0" xr:uid="{4E387BEB-87C9-4CB5-B4E6-98C13E98F5B3}">
      <text>
        <r>
          <rPr>
            <b/>
            <sz val="9"/>
            <color indexed="81"/>
            <rFont val="Tahoma"/>
            <family val="2"/>
          </rPr>
          <t>Spychala, Casey A.:</t>
        </r>
        <r>
          <rPr>
            <sz val="9"/>
            <color indexed="81"/>
            <rFont val="Tahoma"/>
            <family val="2"/>
          </rPr>
          <t xml:space="preserve">
Includes $283k sitting in P01001</t>
        </r>
      </text>
    </comment>
    <comment ref="Q34" authorId="0" shapeId="0" xr:uid="{CD52B3EF-BFF2-4312-90F8-056B57905F85}">
      <text>
        <r>
          <rPr>
            <b/>
            <sz val="9"/>
            <color indexed="81"/>
            <rFont val="Tahoma"/>
            <family val="2"/>
          </rPr>
          <t>Spychala, Casey A.:</t>
        </r>
        <r>
          <rPr>
            <sz val="9"/>
            <color indexed="81"/>
            <rFont val="Tahoma"/>
            <family val="2"/>
          </rPr>
          <t xml:space="preserve">
Includes $283k sitting in P01001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Duran, Emmeline A.</author>
  </authors>
  <commentList>
    <comment ref="AB9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Duran, Emmeline A.:</t>
        </r>
        <r>
          <rPr>
            <sz val="9"/>
            <color indexed="81"/>
            <rFont val="Tahoma"/>
            <family val="2"/>
          </rPr>
          <t xml:space="preserve">
included in PD0019</t>
        </r>
      </text>
    </comment>
    <comment ref="L16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Duran, Emmeline A.:</t>
        </r>
        <r>
          <rPr>
            <sz val="9"/>
            <color indexed="81"/>
            <rFont val="Tahoma"/>
            <family val="2"/>
          </rPr>
          <t xml:space="preserve">
Matches PGS Rate Case amount</t>
        </r>
      </text>
    </comment>
    <comment ref="N32" authorId="0" shapeId="0" xr:uid="{C1019741-B76B-459C-8124-202E33489874}">
      <text>
        <r>
          <rPr>
            <b/>
            <sz val="9"/>
            <color indexed="81"/>
            <rFont val="Tahoma"/>
            <family val="2"/>
          </rPr>
          <t>Duran, Emmeline A.:</t>
        </r>
        <r>
          <rPr>
            <sz val="9"/>
            <color indexed="81"/>
            <rFont val="Tahoma"/>
            <family val="2"/>
          </rPr>
          <t xml:space="preserve">
Need to note 225.788</t>
        </r>
      </text>
    </comment>
    <comment ref="S34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Duran, Emmeline A.:</t>
        </r>
        <r>
          <rPr>
            <sz val="9"/>
            <color indexed="81"/>
            <rFont val="Tahoma"/>
            <family val="2"/>
          </rPr>
          <t xml:space="preserve">
181 Detail
</t>
        </r>
      </text>
    </comment>
    <comment ref="M36" authorId="0" shapeId="0" xr:uid="{A887E286-857A-4AB9-ABE7-A1F9B1D27CA4}">
      <text>
        <r>
          <rPr>
            <b/>
            <sz val="9"/>
            <color indexed="81"/>
            <rFont val="Tahoma"/>
            <family val="2"/>
          </rPr>
          <t>Duran, Emmeline A.:</t>
        </r>
        <r>
          <rPr>
            <sz val="9"/>
            <color indexed="81"/>
            <rFont val="Tahoma"/>
            <family val="2"/>
          </rPr>
          <t xml:space="preserve">
FERD: 9428000-9429000 1-12/2019</t>
        </r>
      </text>
    </comment>
    <comment ref="S36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>Duran, Emmeline A.:</t>
        </r>
        <r>
          <rPr>
            <sz val="9"/>
            <color indexed="81"/>
            <rFont val="Tahoma"/>
            <family val="2"/>
          </rPr>
          <t xml:space="preserve">
189 detail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Heikkinen,Sarah L.</author>
  </authors>
  <commentList>
    <comment ref="O6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Heikkinen,Sarah L.:</t>
        </r>
        <r>
          <rPr>
            <sz val="9"/>
            <color indexed="81"/>
            <rFont val="Tahoma"/>
            <family val="2"/>
          </rPr>
          <t xml:space="preserve">
December 2012 Balance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Duran, Emmeline A.</author>
  </authors>
  <commentList>
    <comment ref="AI31" authorId="0" shapeId="0" xr:uid="{239D42D0-58FA-4A8F-B718-91485F2DD75F}">
      <text>
        <r>
          <rPr>
            <b/>
            <sz val="9"/>
            <color indexed="81"/>
            <rFont val="Tahoma"/>
            <family val="2"/>
          </rPr>
          <t>Duran, Emmeline A.:</t>
        </r>
        <r>
          <rPr>
            <sz val="9"/>
            <color indexed="81"/>
            <rFont val="Tahoma"/>
            <family val="2"/>
          </rPr>
          <t xml:space="preserve">
Balance fro 181XX from ALL Inputs tab</t>
        </r>
      </text>
    </comment>
    <comment ref="AI48" authorId="0" shapeId="0" xr:uid="{95D6E723-49C6-47F8-86B8-FF5A1F89E232}">
      <text>
        <r>
          <rPr>
            <b/>
            <sz val="9"/>
            <color indexed="81"/>
            <rFont val="Tahoma"/>
            <family val="2"/>
          </rPr>
          <t>Duran, Emmeline A.:</t>
        </r>
        <r>
          <rPr>
            <sz val="9"/>
            <color indexed="81"/>
            <rFont val="Tahoma"/>
            <family val="2"/>
          </rPr>
          <t xml:space="preserve">
Balance fro 181XX from ALL Inputs tab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Thuy Bui</author>
    <author>Paul Edwards  Ext-34891</author>
  </authors>
  <commentList>
    <comment ref="E158" authorId="0" shapeId="0" xr:uid="{00000000-0006-0000-0F00-000001000000}">
      <text>
        <r>
          <rPr>
            <b/>
            <sz val="10"/>
            <color indexed="81"/>
            <rFont val="Tahoma"/>
            <family val="2"/>
          </rPr>
          <t>Thuy Bui:</t>
        </r>
        <r>
          <rPr>
            <sz val="10"/>
            <color indexed="81"/>
            <rFont val="Tahoma"/>
            <family val="2"/>
          </rPr>
          <t xml:space="preserve">
Board meeting on Feb. 4 instead of Jan.</t>
        </r>
      </text>
    </comment>
    <comment ref="B188" authorId="0" shapeId="0" xr:uid="{00000000-0006-0000-0F00-000002000000}">
      <text>
        <r>
          <rPr>
            <b/>
            <sz val="10"/>
            <color indexed="81"/>
            <rFont val="Tahoma"/>
            <family val="2"/>
          </rPr>
          <t>Thuy Bui:</t>
        </r>
        <r>
          <rPr>
            <sz val="10"/>
            <color indexed="81"/>
            <rFont val="Tahoma"/>
            <family val="2"/>
          </rPr>
          <t xml:space="preserve">
This act moved to
 186.02</t>
        </r>
      </text>
    </comment>
    <comment ref="A230" authorId="0" shapeId="0" xr:uid="{00000000-0006-0000-0F00-000003000000}">
      <text>
        <r>
          <rPr>
            <b/>
            <sz val="10"/>
            <color indexed="81"/>
            <rFont val="Tahoma"/>
            <family val="2"/>
          </rPr>
          <t>Thuy Bui:</t>
        </r>
        <r>
          <rPr>
            <sz val="10"/>
            <color indexed="81"/>
            <rFont val="Tahoma"/>
            <family val="2"/>
          </rPr>
          <t xml:space="preserve">
Do not update
</t>
        </r>
      </text>
    </comment>
    <comment ref="A231" authorId="0" shapeId="0" xr:uid="{00000000-0006-0000-0F00-000004000000}">
      <text>
        <r>
          <rPr>
            <b/>
            <sz val="10"/>
            <color indexed="81"/>
            <rFont val="Tahoma"/>
            <family val="2"/>
          </rPr>
          <t>Thuy Bui:</t>
        </r>
        <r>
          <rPr>
            <sz val="10"/>
            <color indexed="81"/>
            <rFont val="Tahoma"/>
            <family val="2"/>
          </rPr>
          <t xml:space="preserve">
Do not update</t>
        </r>
      </text>
    </comment>
    <comment ref="B278" authorId="1" shapeId="0" xr:uid="{00000000-0006-0000-0F00-000005000000}">
      <text>
        <r>
          <rPr>
            <b/>
            <sz val="8"/>
            <color indexed="81"/>
            <rFont val="Tahoma"/>
            <family val="2"/>
          </rPr>
          <t xml:space="preserve">Used for plugging balance sheet to put in balance.
</t>
        </r>
      </text>
    </comment>
  </commentList>
</comments>
</file>

<file path=xl/sharedStrings.xml><?xml version="1.0" encoding="utf-8"?>
<sst xmlns="http://schemas.openxmlformats.org/spreadsheetml/2006/main" count="54039" uniqueCount="10672">
  <si>
    <t>DEF CR SALE OF TRAN LINE-FPC</t>
  </si>
  <si>
    <t>25453</t>
  </si>
  <si>
    <t>DEF CR SALE OF LIGHT SYS TO C</t>
  </si>
  <si>
    <t>25454</t>
  </si>
  <si>
    <t xml:space="preserve"> Inj &amp; Dam-Longshoremen Comp Reserve</t>
  </si>
  <si>
    <t xml:space="preserve"> Tampa Electric Qualif Pension</t>
  </si>
  <si>
    <t xml:space="preserve"> Accum Prov. - Pension LT</t>
  </si>
  <si>
    <t xml:space="preserve"> Accum Prov. -  SERP  ST</t>
  </si>
  <si>
    <t xml:space="preserve"> Accum Prov. - SERP</t>
  </si>
  <si>
    <t xml:space="preserve"> Accum Prov - FAS 106 Post Ret.</t>
  </si>
  <si>
    <t xml:space="preserve"> Accum Prov - FAS 112 LTD</t>
  </si>
  <si>
    <t xml:space="preserve"> Accum Prov - FAS 106 Post Ret.  ST</t>
  </si>
  <si>
    <t xml:space="preserve"> Accum Prov - FAS 106 Post Ret.  LT</t>
  </si>
  <si>
    <t xml:space="preserve"> Accum Prov - SERP LT</t>
  </si>
  <si>
    <t>Notes Payable</t>
  </si>
  <si>
    <t xml:space="preserve"> Notes Payable ST Debt (231.75, 76, 77)</t>
  </si>
  <si>
    <t>Accounts Payable</t>
  </si>
  <si>
    <t>23200</t>
  </si>
  <si>
    <t>A/P - All other (derived)</t>
  </si>
  <si>
    <t xml:space="preserve"> Accts Payable-Vouchers</t>
  </si>
  <si>
    <t xml:space="preserve"> Accts Payable-Interchange</t>
  </si>
  <si>
    <t xml:space="preserve"> Accts Payable-Fuel</t>
  </si>
  <si>
    <t xml:space="preserve"> Accts Payable-Manual Accruals</t>
  </si>
  <si>
    <t xml:space="preserve"> Accts Payable-HPP</t>
  </si>
  <si>
    <t xml:space="preserve"> Payroll Accrual</t>
  </si>
  <si>
    <t xml:space="preserve"> Accts Payable-Payroll</t>
  </si>
  <si>
    <t xml:space="preserve"> Accts Payable-Natural Gas</t>
  </si>
  <si>
    <t xml:space="preserve"> A/P Medical/Dental Active</t>
  </si>
  <si>
    <t xml:space="preserve"> Accts Payable-OBO Income Tax</t>
  </si>
  <si>
    <t>Accts Payable-Assoc Co</t>
  </si>
  <si>
    <t>23400</t>
  </si>
  <si>
    <t>All other accts Payable-Assoc Co (derived)</t>
  </si>
  <si>
    <t xml:space="preserve"> Accts Payable-Gulfcoast</t>
  </si>
  <si>
    <t xml:space="preserve"> Accts Payable-Midsouth</t>
  </si>
  <si>
    <t xml:space="preserve"> Accts Payable-TECO Properties</t>
  </si>
  <si>
    <t xml:space="preserve"> Accts Payable-TECO Energy</t>
  </si>
  <si>
    <t>SALE OF SURPLUS PROP - RIVER</t>
  </si>
  <si>
    <t>25626</t>
  </si>
  <si>
    <t>SALE OF TWO SMALL PARCELS TO</t>
  </si>
  <si>
    <t>25627</t>
  </si>
  <si>
    <t>SALE OF PARCEL OF LAND MANATE</t>
  </si>
  <si>
    <t>25666</t>
  </si>
  <si>
    <t>SALE OF 22 ST CAUSEWAY/CENTRA</t>
  </si>
  <si>
    <t>25667</t>
  </si>
  <si>
    <t>SALE OF BRADDICK ROAD TO I-4</t>
  </si>
  <si>
    <t>25668</t>
  </si>
  <si>
    <t>SALE OF A PORTION OF R/W EAST</t>
  </si>
  <si>
    <t>256</t>
  </si>
  <si>
    <t>25701</t>
  </si>
  <si>
    <t>UNAMORTIZED GAIN 2007 BONDS</t>
  </si>
  <si>
    <t>257</t>
  </si>
  <si>
    <t>28110</t>
  </si>
  <si>
    <t>DIT ST ACCEL AMORT</t>
  </si>
  <si>
    <t>28120</t>
  </si>
  <si>
    <t>DIT FD ACCEL AMORT</t>
  </si>
  <si>
    <t>281</t>
  </si>
  <si>
    <t>28201</t>
  </si>
  <si>
    <t>DIT ST COST OF REMOVAL</t>
  </si>
  <si>
    <t>28202</t>
  </si>
  <si>
    <t>DIT FD COST OF REMOVAL</t>
  </si>
  <si>
    <t>28203</t>
  </si>
  <si>
    <t>DIT ST N/B AFUDC RELATED</t>
  </si>
  <si>
    <t>28204</t>
  </si>
  <si>
    <t>23636</t>
  </si>
  <si>
    <t>COMMUNICATIONS SERVICE TAX,TE</t>
  </si>
  <si>
    <t>23640</t>
  </si>
  <si>
    <t>TAX ACCR STATE UNEMPLOYMENT</t>
  </si>
  <si>
    <t>23645</t>
  </si>
  <si>
    <t>TAX ACCR STATE INTANGIBLE</t>
  </si>
  <si>
    <t>23647</t>
  </si>
  <si>
    <t>STATE COMMISSION TAX</t>
  </si>
  <si>
    <t>23650</t>
  </si>
  <si>
    <t>TAX ACCR OC LIC ALL ST CNTY</t>
  </si>
  <si>
    <t>23670</t>
  </si>
  <si>
    <t>TAX ACCR FRANCHISE EAGLE LAKE</t>
  </si>
  <si>
    <t>23671</t>
  </si>
  <si>
    <t>TAX ACCR FRANCHISE TEMPLE TER</t>
  </si>
  <si>
    <t>23672</t>
  </si>
  <si>
    <t>TAX ACCR FRANCHISE PLANT CITY</t>
  </si>
  <si>
    <t>23673</t>
  </si>
  <si>
    <t>TAX ACCR FRANCHISE AUBURNDALE</t>
  </si>
  <si>
    <t>23674</t>
  </si>
  <si>
    <t>TAX ACCR FRANCHISE LK ALFRED</t>
  </si>
  <si>
    <t>23675</t>
  </si>
  <si>
    <t>TAX ACCR FRANCHISE DADE CITY</t>
  </si>
  <si>
    <t>23676</t>
  </si>
  <si>
    <t>TAX ACCR FRANCHISE WINT HAVEN</t>
  </si>
  <si>
    <t>23677</t>
  </si>
  <si>
    <t>TAX ACCR FRANCHISE MULBERRY</t>
  </si>
  <si>
    <t>23678</t>
  </si>
  <si>
    <t>TAX ACCR FRANCHISE SAN ANTON</t>
  </si>
  <si>
    <t>23679</t>
  </si>
  <si>
    <t>TAX ACCR FRANCHISE OLDSMAR</t>
  </si>
  <si>
    <t>23680</t>
  </si>
  <si>
    <t>TAX ACCR FRANCHISE TAMPA</t>
  </si>
  <si>
    <t>23681</t>
  </si>
  <si>
    <t>TAX ACCR FRANCHISE POLK CITY</t>
  </si>
  <si>
    <t>23682</t>
  </si>
  <si>
    <t>TAX ACCR FRANCHISE ST LEO</t>
  </si>
  <si>
    <t>236</t>
  </si>
  <si>
    <t>23708</t>
  </si>
  <si>
    <t>INT ACCR 2030 BONDS 75M</t>
  </si>
  <si>
    <t>23712</t>
  </si>
  <si>
    <t>INT ACCR 2007 BONDS</t>
  </si>
  <si>
    <t>23718</t>
  </si>
  <si>
    <t>INT ACCR CUSTOMER DEPOSITS</t>
  </si>
  <si>
    <t>23726</t>
  </si>
  <si>
    <t>INT ACCR 2025 BONDS</t>
  </si>
  <si>
    <t>23728</t>
  </si>
  <si>
    <t>INT ACCR 2036 BONDS</t>
  </si>
  <si>
    <t>23729</t>
  </si>
  <si>
    <t>INT ACCR 2021 BONDS</t>
  </si>
  <si>
    <t>23730</t>
  </si>
  <si>
    <t>INT ACCR 2022 BONDS</t>
  </si>
  <si>
    <t>23731</t>
  </si>
  <si>
    <t>INT ACCR 2018 BONDS</t>
  </si>
  <si>
    <t>23733</t>
  </si>
  <si>
    <t>23735</t>
  </si>
  <si>
    <t>INT ACCR 2003 BONDS</t>
  </si>
  <si>
    <t>23736</t>
  </si>
  <si>
    <t>INT ACCR 2020 BONDS</t>
  </si>
  <si>
    <t>23737</t>
  </si>
  <si>
    <t>INT ACCR 2034 BONDS</t>
  </si>
  <si>
    <t>23739</t>
  </si>
  <si>
    <t>INT ACCR 2030 BONDS</t>
  </si>
  <si>
    <t>23740</t>
  </si>
  <si>
    <t>INT PAY FIT</t>
  </si>
  <si>
    <t>23744</t>
  </si>
  <si>
    <t>INT ACCR 2037 BONDS 190M</t>
  </si>
  <si>
    <t>23745</t>
  </si>
  <si>
    <t>23746</t>
  </si>
  <si>
    <t>INTEREST ACCR 2012 BONDS</t>
  </si>
  <si>
    <t>23747</t>
  </si>
  <si>
    <t>INTEREST ACCR 2013 BONDS</t>
  </si>
  <si>
    <t>23748</t>
  </si>
  <si>
    <t>INTEREST ACCR 2023 BONDS</t>
  </si>
  <si>
    <t>23749</t>
  </si>
  <si>
    <t>23750</t>
  </si>
  <si>
    <t>INTEREST ACCR 2007 BONDS</t>
  </si>
  <si>
    <t>23751</t>
  </si>
  <si>
    <t>INTEREST ACCR 2016 SENIOR NOT</t>
  </si>
  <si>
    <t>23754</t>
  </si>
  <si>
    <t>23755</t>
  </si>
  <si>
    <t>INT ACCR 2025 BONDS 51.6 M</t>
  </si>
  <si>
    <t>23756</t>
  </si>
  <si>
    <t>INT ACCR 2020 BONDS 20 M</t>
  </si>
  <si>
    <t>23758</t>
  </si>
  <si>
    <t>MISCELLANEOUS INTEREST PAYABL</t>
  </si>
  <si>
    <t>23790</t>
  </si>
  <si>
    <t>INTEREST ACCR BASE RATE LOAN</t>
  </si>
  <si>
    <t>23791</t>
  </si>
  <si>
    <t>INTEREST ACCR LIBOR LOAN</t>
  </si>
  <si>
    <t>23793</t>
  </si>
  <si>
    <t>INTEREST ACCR A/R SECURITIZAT</t>
  </si>
  <si>
    <t>23795</t>
  </si>
  <si>
    <t>INTEREST ACCRUED - FEDERAL FU</t>
  </si>
  <si>
    <t>23799</t>
  </si>
  <si>
    <t>INT ACCR DEF REVENUE 1999</t>
  </si>
  <si>
    <t>237</t>
  </si>
  <si>
    <t>DIT FD N/B AFUDC RELATED</t>
  </si>
  <si>
    <t>28205</t>
  </si>
  <si>
    <t>DIT ST N/B EXCLUDING AFUDC</t>
  </si>
  <si>
    <t>28206</t>
  </si>
  <si>
    <t>DIT FD N/B EXCLUDING AFUDC</t>
  </si>
  <si>
    <t>28207</t>
  </si>
  <si>
    <t>DIT ST ORDER #5571</t>
  </si>
  <si>
    <t>28208</t>
  </si>
  <si>
    <t>DIT FD ORDER #5571</t>
  </si>
  <si>
    <t>28210</t>
  </si>
  <si>
    <t>DIT ST ACC TAX SL TAX</t>
  </si>
  <si>
    <t>28211</t>
  </si>
  <si>
    <t>DIT ST SL TAX SL BOOK</t>
  </si>
  <si>
    <t>28212</t>
  </si>
  <si>
    <t>PROVISION FOR 2001</t>
  </si>
  <si>
    <t>28215</t>
  </si>
  <si>
    <t>PROVISION FOR RAR 1998-1999</t>
  </si>
  <si>
    <t>28216</t>
  </si>
  <si>
    <t>PROVISION FOR 2000</t>
  </si>
  <si>
    <t>28217</t>
  </si>
  <si>
    <t>PROVISION FOR RAR 92-94</t>
  </si>
  <si>
    <t>28218</t>
  </si>
  <si>
    <t>PROVISION FOR RAR 1995-1997</t>
  </si>
  <si>
    <t>28220</t>
  </si>
  <si>
    <t>DIT FD ACC TAX SL TAX</t>
  </si>
  <si>
    <t>28221</t>
  </si>
  <si>
    <t>DIT FD SL TAX SL BOOK</t>
  </si>
  <si>
    <t>28225</t>
  </si>
  <si>
    <t>DIT-FAS109 INC TAX</t>
  </si>
  <si>
    <t>28229</t>
  </si>
  <si>
    <t>DIT FD 48% TO 46%</t>
  </si>
  <si>
    <t>28230</t>
  </si>
  <si>
    <t>DIT ST 5% TO %.5%</t>
  </si>
  <si>
    <t>28231</t>
  </si>
  <si>
    <t>DIT FD 5% TO %.5%</t>
  </si>
  <si>
    <t>282</t>
  </si>
  <si>
    <t>28313</t>
  </si>
  <si>
    <t>DIT ST OTHER</t>
  </si>
  <si>
    <t>28314</t>
  </si>
  <si>
    <t>DIT ST BAD DEBT RESERVE</t>
  </si>
  <si>
    <t>28315</t>
  </si>
  <si>
    <t>INTEREST EXP 2036 BONDS</t>
  </si>
  <si>
    <t>42724</t>
  </si>
  <si>
    <t>INTEREST EXP 2021 REFUNDED BO</t>
  </si>
  <si>
    <t>42725</t>
  </si>
  <si>
    <t>INTEREST EXP 2022 REFUNDED BO</t>
  </si>
  <si>
    <t>42726</t>
  </si>
  <si>
    <t>42728</t>
  </si>
  <si>
    <t>INTEREST EXP 2025 BONDS</t>
  </si>
  <si>
    <t>42729</t>
  </si>
  <si>
    <t>INTEREST EXP 2021 BONDS</t>
  </si>
  <si>
    <t>42730</t>
  </si>
  <si>
    <t>INTEREST EXP 2022 BONDS</t>
  </si>
  <si>
    <t>42731</t>
  </si>
  <si>
    <t>INTEREST EXP 2018 BONDS</t>
  </si>
  <si>
    <t>42733</t>
  </si>
  <si>
    <t>42734</t>
  </si>
  <si>
    <t>INTEREST EXP 2000 BONDS</t>
  </si>
  <si>
    <t>42735</t>
  </si>
  <si>
    <t>INTEREST EXP 2003 BONDS</t>
  </si>
  <si>
    <t>42736</t>
  </si>
  <si>
    <t>INTEREST EXP 2020 BONDS</t>
  </si>
  <si>
    <t>42737</t>
  </si>
  <si>
    <t>INTEREST EXP 2011-14 REFUNDED</t>
  </si>
  <si>
    <t>42738</t>
  </si>
  <si>
    <t>INTEREST EXP 2034 BONDS</t>
  </si>
  <si>
    <t>42739</t>
  </si>
  <si>
    <t>INTEREST EXP 2030 BONDS</t>
  </si>
  <si>
    <t>42744</t>
  </si>
  <si>
    <t>INTEREST EXP 2037 BONDS 190M</t>
  </si>
  <si>
    <t>December</t>
  </si>
  <si>
    <t>Jul 25-31</t>
  </si>
  <si>
    <t>Aug 1-28</t>
  </si>
  <si>
    <t>Subtotal</t>
  </si>
  <si>
    <t>Aug 29-31</t>
  </si>
  <si>
    <t>Sept 1-30</t>
  </si>
  <si>
    <t>Oct 1-2</t>
  </si>
  <si>
    <t>Oct 3-31</t>
  </si>
  <si>
    <t>Nov 1-6</t>
  </si>
  <si>
    <t>Nov 7-30</t>
  </si>
  <si>
    <t>Dec 1-11</t>
  </si>
  <si>
    <t>Dec 12-31</t>
  </si>
  <si>
    <t>Jan 1-15</t>
  </si>
  <si>
    <t>Interest Rate</t>
  </si>
  <si>
    <t>Annual Interest Expense</t>
  </si>
  <si>
    <t>Daily Interest Expense</t>
  </si>
  <si>
    <t># Days in Period</t>
  </si>
  <si>
    <t>Total Interest Expense for Period</t>
  </si>
  <si>
    <t>Annual Fee ($20 M * 0.25%)</t>
  </si>
  <si>
    <t>Daily Fee</t>
  </si>
  <si>
    <t>Total Fee for Period</t>
  </si>
  <si>
    <t>Payment Check Figure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</si>
  <si>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</t>
  </si>
  <si>
    <t>August</t>
  </si>
  <si>
    <t>Sept 1-4</t>
  </si>
  <si>
    <t>September</t>
  </si>
  <si>
    <t>OCT 2</t>
  </si>
  <si>
    <t>Nov 6</t>
  </si>
  <si>
    <t>Dec 4</t>
  </si>
  <si>
    <t>Jan 1st</t>
  </si>
  <si>
    <t>Aug 1-7</t>
  </si>
  <si>
    <t>Int Accr 2016 Bonds @ 6.25% - $250M</t>
  </si>
  <si>
    <t>Int Accr ST Debt (237.90,.91,.93,.95)</t>
  </si>
  <si>
    <t xml:space="preserve"> Int Accr Def Revenue - 1999</t>
  </si>
  <si>
    <t>Dividends Payable</t>
  </si>
  <si>
    <t xml:space="preserve"> Dividend Declared-Common Stock</t>
  </si>
  <si>
    <t>Tax Collections Payable</t>
  </si>
  <si>
    <t>Current &amp; Accrued Liabilities</t>
  </si>
  <si>
    <t xml:space="preserve"> Current Liab Vacations</t>
  </si>
  <si>
    <t>FAS 106 LIABILITY ST - FAS 158</t>
  </si>
  <si>
    <t xml:space="preserve"> Deferred Credit - Derivative</t>
  </si>
  <si>
    <t xml:space="preserve"> Deferred Credit - Reg Derivative</t>
  </si>
  <si>
    <t xml:space="preserve"> Deferred Credit - Reg Tax Liability</t>
  </si>
  <si>
    <t xml:space="preserve"> Deferred Credit - Long Term Derivative</t>
  </si>
  <si>
    <t xml:space="preserve"> Deferred Credit - Reg LT Derivative</t>
  </si>
  <si>
    <t xml:space="preserve"> Deferred Credit - Interest Rate Swap</t>
  </si>
  <si>
    <t>Sales Taxes</t>
  </si>
  <si>
    <t>Other Deferred Credits</t>
  </si>
  <si>
    <t>25300</t>
  </si>
  <si>
    <t xml:space="preserve"> Deferred Credits - All other (derived)</t>
  </si>
  <si>
    <t xml:space="preserve"> Miscellaneous Deferred Credits </t>
  </si>
  <si>
    <t xml:space="preserve"> Deferred Tenants Rent</t>
  </si>
  <si>
    <t xml:space="preserve"> Deferred Lease Pmts Utility</t>
  </si>
  <si>
    <t xml:space="preserve"> Def Lease Pmts Non-Utility</t>
  </si>
  <si>
    <t xml:space="preserve"> Contract Retentions</t>
  </si>
  <si>
    <t xml:space="preserve"> Derivative</t>
  </si>
  <si>
    <t>Regulatory Liabilities</t>
  </si>
  <si>
    <t xml:space="preserve"> Regulatory Liab/FAS109 Inc Taxes</t>
  </si>
  <si>
    <t>Regulatory Liabilities Allowance Auction</t>
  </si>
  <si>
    <t>25402</t>
  </si>
  <si>
    <t>All  Other Regulatory Liabilities (PHFFU)</t>
  </si>
  <si>
    <t xml:space="preserve"> Deferred Aerial Survey Credit</t>
  </si>
  <si>
    <t>ST Def. Gain on Property Sales</t>
  </si>
  <si>
    <t>LT Def. Gain on Property Sales</t>
  </si>
  <si>
    <t>Deferred ITC</t>
  </si>
  <si>
    <t>25500</t>
  </si>
  <si>
    <t>All other deferred ITC (derived)</t>
  </si>
  <si>
    <t xml:space="preserve"> Accum Def ITC 3%</t>
  </si>
  <si>
    <t xml:space="preserve"> Accum Def ITC Non-Utility</t>
  </si>
  <si>
    <t>FACILITY - WATER</t>
  </si>
  <si>
    <t>184</t>
  </si>
  <si>
    <t>18601</t>
  </si>
  <si>
    <t>MISC DEF DEB OTH WRK IN PROG</t>
  </si>
  <si>
    <t>18602</t>
  </si>
  <si>
    <t>PREPAID PENSION - QUALIFIED P</t>
  </si>
  <si>
    <t>18603</t>
  </si>
  <si>
    <t>A/P TRANS PENDING DISTRIBUTIO</t>
  </si>
  <si>
    <t>18604</t>
  </si>
  <si>
    <t>DEFERRED DEBIT - CORP SVS CLE</t>
  </si>
  <si>
    <t>18605</t>
  </si>
  <si>
    <t>TRANSM &amp; INTERCONNECT STUDIES</t>
  </si>
  <si>
    <t>18606</t>
  </si>
  <si>
    <t>DEFERRED DEBIT - GULFSTREAM D</t>
  </si>
  <si>
    <t>18610</t>
  </si>
  <si>
    <t>PROJECT MGMNT PRELIM ENGINEER</t>
  </si>
  <si>
    <t>18613</t>
  </si>
  <si>
    <t>SALE OF HOOKERS PT PWR STA LA</t>
  </si>
  <si>
    <t>18616</t>
  </si>
  <si>
    <t>SALE/TRANSFER DINNER LAKE</t>
  </si>
  <si>
    <t>18621</t>
  </si>
  <si>
    <t>BAYSIDE DISCHARGE FLUME STUDY</t>
  </si>
  <si>
    <t>18624</t>
  </si>
  <si>
    <t>POLK UNIT 1 - UNPLANNED OUTAG</t>
  </si>
  <si>
    <t>18626</t>
  </si>
  <si>
    <t>BB CARBON BURNOUT (FLYASH BEN</t>
  </si>
  <si>
    <t>18646</t>
  </si>
  <si>
    <t>DEFERRED DEBIT - CALPINE REAC</t>
  </si>
  <si>
    <t>18651</t>
  </si>
  <si>
    <t>DEFERRED DEBIT - DERIVATIVE A</t>
  </si>
  <si>
    <t>18699</t>
  </si>
  <si>
    <t>ARM CASH CLEARING ACCOUNT</t>
  </si>
  <si>
    <t>186</t>
  </si>
  <si>
    <t>18800</t>
  </si>
  <si>
    <t>MISC. R &amp; D</t>
  </si>
  <si>
    <t>188</t>
  </si>
  <si>
    <t>19001</t>
  </si>
  <si>
    <t>DIT ST LEASE UTILITY</t>
  </si>
  <si>
    <t>19002</t>
  </si>
  <si>
    <t>DIT FD LEASE UTILITY</t>
  </si>
  <si>
    <t>19003</t>
  </si>
  <si>
    <t>DIT ST UBS RESERVE</t>
  </si>
  <si>
    <t>19004</t>
  </si>
  <si>
    <t>DIT FD INS RESERVE</t>
  </si>
  <si>
    <t>19005</t>
  </si>
  <si>
    <t>DIT ST PORT MANATEE</t>
  </si>
  <si>
    <t>19006</t>
  </si>
  <si>
    <t>DIT FD PORT MANATEE</t>
  </si>
  <si>
    <t>19007</t>
  </si>
  <si>
    <t>DIT ST RATE REFUND</t>
  </si>
  <si>
    <t>19008</t>
  </si>
  <si>
    <t>DIT FD RATE REFUND</t>
  </si>
  <si>
    <t>19009</t>
  </si>
  <si>
    <t>DIT ST CUSTOMER DEPOSITS</t>
  </si>
  <si>
    <t>19010</t>
  </si>
  <si>
    <t>FERC</t>
  </si>
  <si>
    <t xml:space="preserve">Unamortized Debt Expense HCIDA Bonds 2025  51.6 M </t>
  </si>
  <si>
    <t>TAMPA ELECTRIC COMPANY</t>
  </si>
  <si>
    <t>Amortization of Debt Expense</t>
  </si>
  <si>
    <t>ACC DEF ITC 8% 1985</t>
  </si>
  <si>
    <t>25544</t>
  </si>
  <si>
    <t>ACC DEF ITC 10% 1984</t>
  </si>
  <si>
    <t>25545</t>
  </si>
  <si>
    <t>ACC DEF ITC 10% 1986</t>
  </si>
  <si>
    <t>25550</t>
  </si>
  <si>
    <t>$100M  2008 Bonds, 2038 6.1%</t>
  </si>
  <si>
    <t xml:space="preserve"> Int Exp 2008 Bond $100 M 6.1%</t>
  </si>
  <si>
    <t>$100M  2008 Bonds, 2038 6.1% (org. 150M)</t>
  </si>
  <si>
    <t>PEN&amp;BEN SHT TERM DISAB</t>
  </si>
  <si>
    <t>92615</t>
  </si>
  <si>
    <t>WELLNESS PROGRAM EXPENSES</t>
  </si>
  <si>
    <t>92616</t>
  </si>
  <si>
    <t>ADM SRV FEE-FSA,COBRA,EAP,STD</t>
  </si>
  <si>
    <t>92619</t>
  </si>
  <si>
    <t>LONG TERM CARE</t>
  </si>
  <si>
    <t>92620</t>
  </si>
  <si>
    <t>92621</t>
  </si>
  <si>
    <t>92622</t>
  </si>
  <si>
    <t>PROFIT SAVINGS PLAN</t>
  </si>
  <si>
    <t>92623</t>
  </si>
  <si>
    <t>EMPLOYEE RESTRICTED STOCK EXP</t>
  </si>
  <si>
    <t>92624</t>
  </si>
  <si>
    <t>EMPLOYEE STOCK OPTION EXPENSE</t>
  </si>
  <si>
    <t>92625</t>
  </si>
  <si>
    <t>DIRECTORS'RESTRICTED STOCK EX</t>
  </si>
  <si>
    <t>92626</t>
  </si>
  <si>
    <t>SUBSIDIARY FRINGE BENEFITS</t>
  </si>
  <si>
    <t>92628</t>
  </si>
  <si>
    <t>EMPLOYEE SERVICE AWARDS</t>
  </si>
  <si>
    <t>92629</t>
  </si>
  <si>
    <t>EMPLOYEE ASSISTANCE PROGRAM</t>
  </si>
  <si>
    <t>92631</t>
  </si>
  <si>
    <t>FAS 106 RETIREE-POST RETIREME</t>
  </si>
  <si>
    <t>92632</t>
  </si>
  <si>
    <t>FAS 106 ACTIVE-POST RETIREMEN</t>
  </si>
  <si>
    <t>92633</t>
  </si>
  <si>
    <t>SHORT TERM DISABILITY</t>
  </si>
  <si>
    <t>92636</t>
  </si>
  <si>
    <t>LONG TERM DISABILITY</t>
  </si>
  <si>
    <t>92640</t>
  </si>
  <si>
    <t>RESTRUCTURING CHARGES-PENSION</t>
  </si>
  <si>
    <t>92642</t>
  </si>
  <si>
    <t>GENERAL BENEFIT PROGRAM ENHAN</t>
  </si>
  <si>
    <t>92644</t>
  </si>
  <si>
    <t>OTHER RESTRUCTURING COSTS</t>
  </si>
  <si>
    <t>926</t>
  </si>
  <si>
    <t>92800</t>
  </si>
  <si>
    <t>REGULATORY COMMISSION EXP</t>
  </si>
  <si>
    <t>92801</t>
  </si>
  <si>
    <t>MISC FERC DOCKETS</t>
  </si>
  <si>
    <t>92802</t>
  </si>
  <si>
    <t>FUEL, OBO AND GPIF ONGOING DO</t>
  </si>
  <si>
    <t>92803</t>
  </si>
  <si>
    <t>CONSERVATION ONGOING DOCKET</t>
  </si>
  <si>
    <t>92804</t>
  </si>
  <si>
    <t>COGENERATION DOCKETS</t>
  </si>
  <si>
    <t>92807</t>
  </si>
  <si>
    <t>FPL TRANSMISSION DOCKET EXP</t>
  </si>
  <si>
    <t>92808</t>
  </si>
  <si>
    <t>TRANSMISSION ACCESS DOCKETS</t>
  </si>
  <si>
    <t>92809</t>
  </si>
  <si>
    <t>BALANCE SHEET DETAIL</t>
  </si>
  <si>
    <t>FINAL</t>
  </si>
  <si>
    <t>VARIANCE</t>
  </si>
  <si>
    <t>ACTUAL</t>
  </si>
  <si>
    <t>13 MONTH</t>
  </si>
  <si>
    <t>BUDGET</t>
  </si>
  <si>
    <t>ACCT NO</t>
  </si>
  <si>
    <t>DESCRIPTION</t>
  </si>
  <si>
    <t>DEC 2007</t>
  </si>
  <si>
    <t>AVERAGE</t>
  </si>
  <si>
    <t>DEC 2008</t>
  </si>
  <si>
    <t>Util Plant In Svc Classified</t>
  </si>
  <si>
    <t>Asset Retirement Obligation</t>
  </si>
  <si>
    <t>Electric Plant Purchased or Sold</t>
  </si>
  <si>
    <t>Property Held For Future Use</t>
  </si>
  <si>
    <t>Util Plant In Svc Not Classif</t>
  </si>
  <si>
    <t>Construction Work In Progress</t>
  </si>
  <si>
    <t>Accumulated Depreciation</t>
  </si>
  <si>
    <t>Accumulated Depreciation - ARO</t>
  </si>
  <si>
    <t>Accumulated COR- Debit</t>
  </si>
  <si>
    <t>Accumulated Amortization</t>
  </si>
  <si>
    <t>Acquisition Adjustment</t>
  </si>
  <si>
    <t>Non-Utility Property</t>
  </si>
  <si>
    <t>Accum Depr Non-Utility Prop</t>
  </si>
  <si>
    <t>Investment In Assoc Company</t>
  </si>
  <si>
    <t>Advance- RTO</t>
  </si>
  <si>
    <t>Special Funds (Restricted cash)</t>
  </si>
  <si>
    <t>Cash</t>
  </si>
  <si>
    <t>Other Special Deposits</t>
  </si>
  <si>
    <t>Working Fund</t>
  </si>
  <si>
    <t>Temporary Investments</t>
  </si>
  <si>
    <t>Cash Equivalents</t>
  </si>
  <si>
    <t>Notes Receivable</t>
  </si>
  <si>
    <t>Customer Receivables</t>
  </si>
  <si>
    <t>Total  Accounts Receivable</t>
  </si>
  <si>
    <t>14300</t>
  </si>
  <si>
    <t>All other Accouts Receivables (derived)</t>
  </si>
  <si>
    <t xml:space="preserve"> Other Accts Receivable</t>
  </si>
  <si>
    <t xml:space="preserve">  Tax Receivable</t>
  </si>
  <si>
    <t xml:space="preserve"> Employee Loans Rec-Ex Employ</t>
  </si>
  <si>
    <t xml:space="preserve"> Interchange Receivable (143.11-.39&amp;.41-.50,.60,.65-.67)</t>
  </si>
  <si>
    <t>Natural Gas Bookout Receivable</t>
  </si>
  <si>
    <t>Accum Prov Uncollect Accts</t>
  </si>
  <si>
    <t>Accts Receivable-Assoc Co &amp; Others</t>
  </si>
  <si>
    <t>14600</t>
  </si>
  <si>
    <t>All other A/R-Assoc Co &amp; Others (derived)</t>
  </si>
  <si>
    <t>146xx</t>
  </si>
  <si>
    <t>A/R Advance to PGS</t>
  </si>
  <si>
    <t>Fuel Stock</t>
  </si>
  <si>
    <t>Fuel Stock Expense</t>
  </si>
  <si>
    <t>Materials &amp; Supplies (153, 154)</t>
  </si>
  <si>
    <t>CAAA Allowances</t>
  </si>
  <si>
    <t>Stores Clearing</t>
  </si>
  <si>
    <t>Prepayments</t>
  </si>
  <si>
    <t xml:space="preserve"> Prepaid Ins (16501-14,18)</t>
  </si>
  <si>
    <t xml:space="preserve"> Prepaid Insurance Teco Plaza</t>
  </si>
  <si>
    <t>Prepaid Ammonia Supply Line</t>
  </si>
  <si>
    <t xml:space="preserve"> Misc Prepaid Items </t>
  </si>
  <si>
    <t xml:space="preserve"> Prepaid Pension - Qualified PLA</t>
  </si>
  <si>
    <t>Advance-Hills Co Water Serv</t>
  </si>
  <si>
    <t xml:space="preserve"> Syndicated LOC</t>
  </si>
  <si>
    <t>AR Securitization Facility Fees</t>
  </si>
  <si>
    <t>Prepaid Interest Comm Paper</t>
  </si>
  <si>
    <t>Polk G.E.Contract/Turbines</t>
  </si>
  <si>
    <t>LTSA Prepaid - Polk Unit #1</t>
  </si>
  <si>
    <t>CSA Prepaid - Polk (16572, 16573)</t>
  </si>
  <si>
    <t>CSA Prepaid - Polk #4</t>
  </si>
  <si>
    <t>CSA Prepaid - Polk #5</t>
  </si>
  <si>
    <t>CSA Prepaid - Bayside #1</t>
  </si>
  <si>
    <t>CSA Prepaid - Bayside #2</t>
  </si>
  <si>
    <t>Interest Receivable</t>
  </si>
  <si>
    <t>BUILDING SERVICE - SECURITY</t>
  </si>
  <si>
    <t>50698</t>
  </si>
  <si>
    <t>BUILDING SERVICE - TRASH REMO</t>
  </si>
  <si>
    <t>50699</t>
  </si>
  <si>
    <t>BUILDING SERVICE - WATER</t>
  </si>
  <si>
    <t>506</t>
  </si>
  <si>
    <t>50711</t>
  </si>
  <si>
    <t>RENTS - DINNER LAKE</t>
  </si>
  <si>
    <t>50744</t>
  </si>
  <si>
    <t>RENTS - BB4</t>
  </si>
  <si>
    <t>50749</t>
  </si>
  <si>
    <t>RENTS - BIG BEND</t>
  </si>
  <si>
    <t>50750</t>
  </si>
  <si>
    <t>RENTS - GANNON OPER</t>
  </si>
  <si>
    <t>MAINT MISC PWR GEN - BB CT1</t>
  </si>
  <si>
    <t>55442</t>
  </si>
  <si>
    <t>MAINT MISC PWR GEN - BB CT2</t>
  </si>
  <si>
    <t>55443</t>
  </si>
  <si>
    <t>MAINT MISC PWR GEN - BB CT3</t>
  </si>
  <si>
    <t>55451</t>
  </si>
  <si>
    <t>MAINT MISC PWR GEN - GN CT1</t>
  </si>
  <si>
    <t>55470</t>
  </si>
  <si>
    <t>MAINT MISC OTHER POWER GEN PL</t>
  </si>
  <si>
    <t>55471</t>
  </si>
  <si>
    <t>MAINT MISC PWR GEN - POLK #1</t>
  </si>
  <si>
    <t>55497</t>
  </si>
  <si>
    <t>554</t>
  </si>
  <si>
    <t>55501</t>
  </si>
  <si>
    <t>PURCH POWER - LAKELAND</t>
  </si>
  <si>
    <t>55502</t>
  </si>
  <si>
    <t>PURCH POWER - FLA POWER CORP</t>
  </si>
  <si>
    <t>55503</t>
  </si>
  <si>
    <t>PURCH POWER - FLA PWR &amp; LIGHT</t>
  </si>
  <si>
    <t>55504</t>
  </si>
  <si>
    <t>PURCH POWER - ORLANDO</t>
  </si>
  <si>
    <t>55505</t>
  </si>
  <si>
    <t>PURCH POWER - VERO BEACH</t>
  </si>
  <si>
    <t>55506</t>
  </si>
  <si>
    <t>PURCH POWER - HOMESTEAD</t>
  </si>
  <si>
    <t>55507</t>
  </si>
  <si>
    <t>PURCH POWER - LAKE WORTH</t>
  </si>
  <si>
    <t>55508</t>
  </si>
  <si>
    <t>PURCH POWER - JACKSONVILLE</t>
  </si>
  <si>
    <t>55509</t>
  </si>
  <si>
    <t>PURCH POWER - FT PIERCE</t>
  </si>
  <si>
    <t>55510</t>
  </si>
  <si>
    <t>PURCH POWER - GAINESVILLE</t>
  </si>
  <si>
    <t>55511</t>
  </si>
  <si>
    <t>PURCH POWER - TALLAHASSEE</t>
  </si>
  <si>
    <t>55512</t>
  </si>
  <si>
    <t>PURCH POWER - SMYNRA BEACH</t>
  </si>
  <si>
    <t>55513</t>
  </si>
  <si>
    <t>PURCH POWER - SEBRING</t>
  </si>
  <si>
    <t>55514</t>
  </si>
  <si>
    <t>PURCH POWER - KISSIMMEE</t>
  </si>
  <si>
    <t>55515</t>
  </si>
  <si>
    <t>PURCH POWER - ST CLOUD</t>
  </si>
  <si>
    <t>55516</t>
  </si>
  <si>
    <t>PURCH POWER-TECO POWER SERV</t>
  </si>
  <si>
    <t>55517</t>
  </si>
  <si>
    <t>PURCH POWER - KOCH.</t>
  </si>
  <si>
    <t>55518</t>
  </si>
  <si>
    <t>PURCH POWER VIRGINIA.</t>
  </si>
  <si>
    <t>55519</t>
  </si>
  <si>
    <t>COGENERATION</t>
  </si>
  <si>
    <t>55520</t>
  </si>
  <si>
    <t>NONRECOVERABLE INTERCHG REVER</t>
  </si>
  <si>
    <t>55521</t>
  </si>
  <si>
    <t>SMALL BUSINESS AND OTHER C&amp;I</t>
  </si>
  <si>
    <t>90803</t>
  </si>
  <si>
    <t>C&amp;I STANDARD AND KEY ACCOUNTS</t>
  </si>
  <si>
    <t>90812</t>
  </si>
  <si>
    <t>CONSUMER GROUP EXPENSE</t>
  </si>
  <si>
    <t>90820</t>
  </si>
  <si>
    <t>POWER QUALITY ANALYSIS SERVIC</t>
  </si>
  <si>
    <t>90847</t>
  </si>
  <si>
    <t>RECOVERABLE CONSERVATION BENE</t>
  </si>
  <si>
    <t>90848</t>
  </si>
  <si>
    <t>90849</t>
  </si>
  <si>
    <t>Other deferred credits - Energy</t>
  </si>
  <si>
    <t>Common stock (balance sheet)</t>
  </si>
  <si>
    <t>45671</t>
  </si>
  <si>
    <t>UNBILLED REVENUE</t>
  </si>
  <si>
    <t>45677</t>
  </si>
  <si>
    <t>DEFERRED CONSERVATION REV</t>
  </si>
  <si>
    <t>45678</t>
  </si>
  <si>
    <t>DEFERRED CONSERVATION REV-INT</t>
  </si>
  <si>
    <t>45679</t>
  </si>
  <si>
    <t>PRIOR DEF CONSERVATION REV</t>
  </si>
  <si>
    <t>45698</t>
  </si>
  <si>
    <t>DEFERRED REVENUE 1998</t>
  </si>
  <si>
    <t>45699</t>
  </si>
  <si>
    <t>DEFERRED REVENUE</t>
  </si>
  <si>
    <t>456</t>
  </si>
  <si>
    <t>50011</t>
  </si>
  <si>
    <t>SUPV&amp;ENG-DINNER LAKE</t>
  </si>
  <si>
    <t>50040</t>
  </si>
  <si>
    <t>SUPV&amp;ENG-BB MISC</t>
  </si>
  <si>
    <t>50044</t>
  </si>
  <si>
    <t>SUPV&amp;ENG-BB4</t>
  </si>
  <si>
    <t>50049</t>
  </si>
  <si>
    <t>SUPV&amp;ENG-BB</t>
  </si>
  <si>
    <t>50050</t>
  </si>
  <si>
    <t>SUPV&amp;ENG-GN 1-6</t>
  </si>
  <si>
    <t>50058</t>
  </si>
  <si>
    <t>SUPV&amp;ENG-GN 1-4</t>
  </si>
  <si>
    <t>50059</t>
  </si>
  <si>
    <t>SUPV&amp;ENG-GN COAL UNITS</t>
  </si>
  <si>
    <t>50067</t>
  </si>
  <si>
    <t>SUPV&amp;ENG-ENERGY SUPPLY MACHIN</t>
  </si>
  <si>
    <t>50068</t>
  </si>
  <si>
    <t>SUPV&amp;ENG-HP</t>
  </si>
  <si>
    <t>50069</t>
  </si>
  <si>
    <t>SUP &amp; ENG- HOOKERS PT STANDBY</t>
  </si>
  <si>
    <t>50083</t>
  </si>
  <si>
    <t>SUPV &amp; ENG - BB3 FGD</t>
  </si>
  <si>
    <t>50084</t>
  </si>
  <si>
    <t>SUPV&amp;ENG-BB4 FGD</t>
  </si>
  <si>
    <t>500</t>
  </si>
  <si>
    <t>50101</t>
  </si>
  <si>
    <t>RECOVERABLE FUEL-WHLSE</t>
  </si>
  <si>
    <t>50102</t>
  </si>
  <si>
    <t>50103</t>
  </si>
  <si>
    <t>NONRECOVERABLE FUEL-WHSLE</t>
  </si>
  <si>
    <t>50104</t>
  </si>
  <si>
    <t>NONRECOVERABLE FUEL-WHLSE</t>
  </si>
  <si>
    <t>50107</t>
  </si>
  <si>
    <t>NON RECOV FUEL - BB4 COAL</t>
  </si>
  <si>
    <t>50109</t>
  </si>
  <si>
    <t>NON RECOV FUEL - BB COAL</t>
  </si>
  <si>
    <t>50119</t>
  </si>
  <si>
    <t>NON RECOV FUEL - GN COAL</t>
  </si>
  <si>
    <t>50128</t>
  </si>
  <si>
    <t>NON RECOV FUEL - HP1-6 #6 OIL</t>
  </si>
  <si>
    <t>50135</t>
  </si>
  <si>
    <t>NON RECOV FUEL - DL NAT GAS</t>
  </si>
  <si>
    <t>A/P ASSOC CO P.E.C.</t>
  </si>
  <si>
    <t>23421</t>
  </si>
  <si>
    <t>A/P HARDEE POWER PARTNERS LTD</t>
  </si>
  <si>
    <t>23422</t>
  </si>
  <si>
    <t>A/P PGS NATURAL GAS</t>
  </si>
  <si>
    <t>23424</t>
  </si>
  <si>
    <t>A/P TERMCO</t>
  </si>
  <si>
    <t>MISC OPER - BB3 FGD</t>
  </si>
  <si>
    <t>50684</t>
  </si>
  <si>
    <t>MISC OPER - BB4 FGD</t>
  </si>
  <si>
    <t>50685</t>
  </si>
  <si>
    <t>MISC OPERATIONS - BB FGD COMM</t>
  </si>
  <si>
    <t>50688</t>
  </si>
  <si>
    <t>BUILDING SERVICE - CARPET CLE</t>
  </si>
  <si>
    <t>50689</t>
  </si>
  <si>
    <t>BLDG SERV-GENERAL CLEANING</t>
  </si>
  <si>
    <t>50690</t>
  </si>
  <si>
    <t>BUILDING SERVICE - ELECTRICAL</t>
  </si>
  <si>
    <t>50691</t>
  </si>
  <si>
    <t>BUILDING SERVICE - EXTERIOR</t>
  </si>
  <si>
    <t>50692</t>
  </si>
  <si>
    <t>BUILDING SERVICE - HVAC</t>
  </si>
  <si>
    <t>50693</t>
  </si>
  <si>
    <t>BUILDING SERVICE - MISC STRUC</t>
  </si>
  <si>
    <t>50694</t>
  </si>
  <si>
    <t>BUILDING SERVICE - PAINTING</t>
  </si>
  <si>
    <t>50695</t>
  </si>
  <si>
    <t>BUILDING SERVICE - PEST CONTR</t>
  </si>
  <si>
    <t>50696</t>
  </si>
  <si>
    <t>BUILDING SERVICE - PLUMBING</t>
  </si>
  <si>
    <t>50697</t>
  </si>
  <si>
    <t>124</t>
  </si>
  <si>
    <t>12801</t>
  </si>
  <si>
    <t>CONTRACT RETENTION</t>
  </si>
  <si>
    <t>128</t>
  </si>
  <si>
    <t>12901</t>
  </si>
  <si>
    <t>SPECIAL FUNDS</t>
  </si>
  <si>
    <t>129</t>
  </si>
  <si>
    <t>13101</t>
  </si>
  <si>
    <t>FROM AGENTS (CTC SPEEDPAY AM</t>
  </si>
  <si>
    <t>STANDBY GENERATION PROGRAM-AD</t>
  </si>
  <si>
    <t>90970</t>
  </si>
  <si>
    <t>CONSERVATION VALUE PROGRAM-AD</t>
  </si>
  <si>
    <t>90971</t>
  </si>
  <si>
    <t>RES DUCT EFFICIENCY -ADVER</t>
  </si>
  <si>
    <t>90972</t>
  </si>
  <si>
    <t>RENEWABLE ENERGY - ADVERTISIN</t>
  </si>
  <si>
    <t>90991</t>
  </si>
  <si>
    <t>18236</t>
  </si>
  <si>
    <t>DEFERRED DEBIT CAPACITY-CAPIT</t>
  </si>
  <si>
    <t>18237</t>
  </si>
  <si>
    <t>DEFERRED DEBIT - REGULATORY D</t>
  </si>
  <si>
    <t>18238</t>
  </si>
  <si>
    <t>DEF DR ECRC</t>
  </si>
  <si>
    <t>18239</t>
  </si>
  <si>
    <t>FAS 158-PENSION/SERP/FAS 106</t>
  </si>
  <si>
    <t>18240</t>
  </si>
  <si>
    <t>18241</t>
  </si>
  <si>
    <t>DEF INT 2011-14 BONDS</t>
  </si>
  <si>
    <t>18242</t>
  </si>
  <si>
    <t>DEF INT 2001 BONDS</t>
  </si>
  <si>
    <t>18243</t>
  </si>
  <si>
    <t>DEF INT 2011 BONDS</t>
  </si>
  <si>
    <t>18244</t>
  </si>
  <si>
    <t>DEF INT 2012 BONDS</t>
  </si>
  <si>
    <t>18245</t>
  </si>
  <si>
    <t>DEF INT 2002 BONDS</t>
  </si>
  <si>
    <t>18246</t>
  </si>
  <si>
    <t>DEF. PUT OPTION 2011 BONDS</t>
  </si>
  <si>
    <t>18251</t>
  </si>
  <si>
    <t>RESIDENTIAL LOAD MANAGEMENT</t>
  </si>
  <si>
    <t>18252</t>
  </si>
  <si>
    <t>COMM-INDUST LOAD MGT</t>
  </si>
  <si>
    <t>18253</t>
  </si>
  <si>
    <t>PRICE RESPONSIVE LOAD MANAGEM</t>
  </si>
  <si>
    <t>18261</t>
  </si>
  <si>
    <t>RATE CASE EXPENSE</t>
  </si>
  <si>
    <t>18271</t>
  </si>
  <si>
    <t>DEF AERIAL SURVEY DEBIT</t>
  </si>
  <si>
    <t>18276</t>
  </si>
  <si>
    <t>ST DEF BOND REFINANCING COSTS</t>
  </si>
  <si>
    <t>18277</t>
  </si>
  <si>
    <t>18278</t>
  </si>
  <si>
    <t>LT DEF BOND REFINANCING COSTS</t>
  </si>
  <si>
    <t>18279</t>
  </si>
  <si>
    <t>18280</t>
  </si>
  <si>
    <t>UNAM LOSS-PUT OPT 2011 BONDS</t>
  </si>
  <si>
    <t>18281</t>
  </si>
  <si>
    <t>UNAMORTIZED LOSS HCIDA BONDS</t>
  </si>
  <si>
    <t>18283</t>
  </si>
  <si>
    <t>UNAMORTIZED LOSS - 2022 FIRST</t>
  </si>
  <si>
    <t>18284</t>
  </si>
  <si>
    <t>UNAMORTIZED LOSS 2022 BONDS</t>
  </si>
  <si>
    <t>18285</t>
  </si>
  <si>
    <t>18286</t>
  </si>
  <si>
    <t>UNAMORTIZED LOSS 2007 BONDS</t>
  </si>
  <si>
    <t>18287</t>
  </si>
  <si>
    <t>UNAMORTIZED LOSS 2021 BONDS</t>
  </si>
  <si>
    <t>18288</t>
  </si>
  <si>
    <t>18289</t>
  </si>
  <si>
    <t>UNAMORTIZED LOSS 2004 BONDS</t>
  </si>
  <si>
    <t>18290</t>
  </si>
  <si>
    <t>UNAMORTIZED LOSS 2011 BONDS.</t>
  </si>
  <si>
    <t>18291</t>
  </si>
  <si>
    <t>UNAMORTIZED LOSS 2012 BONDS</t>
  </si>
  <si>
    <t>18292</t>
  </si>
  <si>
    <t>UNAMORTIZED LOSS 2005 BONDS</t>
  </si>
  <si>
    <t>18293</t>
  </si>
  <si>
    <t>UNAMORTIZED LOSS ON 2030 BOND</t>
  </si>
  <si>
    <t>18294</t>
  </si>
  <si>
    <t>UNAMORTIZED LOSS 2011 BONDS</t>
  </si>
  <si>
    <t>18295</t>
  </si>
  <si>
    <t>18296</t>
  </si>
  <si>
    <t>UNAMORTIZED LOSS 2034 BONDS.</t>
  </si>
  <si>
    <t>18297</t>
  </si>
  <si>
    <t>UNAM LOSS-PUT OPT 2012 BONDS</t>
  </si>
  <si>
    <t>18298</t>
  </si>
  <si>
    <t>UNAMORTIZED LOSS 2003 BONDS.</t>
  </si>
  <si>
    <t>18299</t>
  </si>
  <si>
    <t>UNAMORTIZED LOSS 2011-14 BOND</t>
  </si>
  <si>
    <t>182</t>
  </si>
  <si>
    <t>18305</t>
  </si>
  <si>
    <t>BB DISSOLVED OXYGEN STUDY PHA</t>
  </si>
  <si>
    <t>18306</t>
  </si>
  <si>
    <t>BB DISSOLVED OXYGEN STUDY-PHA</t>
  </si>
  <si>
    <t>18309</t>
  </si>
  <si>
    <t>BIG BEND BALANCE OF PLANT STU</t>
  </si>
  <si>
    <t>18311</t>
  </si>
  <si>
    <t>READY RESERVE PEAKING POWER E</t>
  </si>
  <si>
    <t>18312</t>
  </si>
  <si>
    <t>GENERATION EXPANSION STUDY-PO</t>
  </si>
  <si>
    <t>18313</t>
  </si>
  <si>
    <t>BB 1-3 SCR STUDY</t>
  </si>
  <si>
    <t>18314</t>
  </si>
  <si>
    <t>BB MATERIAL CONTAINMENT &amp; DUS</t>
  </si>
  <si>
    <t>18315</t>
  </si>
  <si>
    <t>GENERATION EXPANSION 2008-201</t>
  </si>
  <si>
    <t>18316</t>
  </si>
  <si>
    <t>BAYSIDE REVERSE OSMOSIS PRETR</t>
  </si>
  <si>
    <t>OTHER REVENUE-BERS-BLDG ENERG</t>
  </si>
  <si>
    <t>45614</t>
  </si>
  <si>
    <t>WHEELING</t>
  </si>
  <si>
    <t>45615</t>
  </si>
  <si>
    <t>REV-MAINT COGEN TRANS LINES</t>
  </si>
  <si>
    <t>45616</t>
  </si>
  <si>
    <t>DEMOLITION SERVICE CHARGE</t>
  </si>
  <si>
    <t>45621</t>
  </si>
  <si>
    <t>TELECOM./METRO LINK/J.O.</t>
  </si>
  <si>
    <t>45623</t>
  </si>
  <si>
    <t>REV - BB4 GYPSUM SALES</t>
  </si>
  <si>
    <t>45624</t>
  </si>
  <si>
    <t>REV - POLK SULFURIC ACID SALE</t>
  </si>
  <si>
    <t>45625</t>
  </si>
  <si>
    <t>REVENUE - GREEN POWER PROGRAM</t>
  </si>
  <si>
    <t>45626</t>
  </si>
  <si>
    <t>REVENUE - EXHAUST HEAT</t>
  </si>
  <si>
    <t>45627</t>
  </si>
  <si>
    <t>REVENUE - WATER HEATER LEASE</t>
  </si>
  <si>
    <t>45628</t>
  </si>
  <si>
    <t>OTHER OPERATING REVENUE MANAT</t>
  </si>
  <si>
    <t>45629</t>
  </si>
  <si>
    <t>UMG SERVICES - BIG BEND STATI</t>
  </si>
  <si>
    <t>45630</t>
  </si>
  <si>
    <t>45631</t>
  </si>
  <si>
    <t>45632</t>
  </si>
  <si>
    <t>45641</t>
  </si>
  <si>
    <t>REVENUE-JOB ORD-PE&amp;C</t>
  </si>
  <si>
    <t>45642</t>
  </si>
  <si>
    <t>DIRECT COSTS-JOB ORD-PE&amp;C</t>
  </si>
  <si>
    <t>45643</t>
  </si>
  <si>
    <t>HPP OPERATIONS</t>
  </si>
  <si>
    <t>45651</t>
  </si>
  <si>
    <t>REVENUE-JOB ORD-AT COST</t>
  </si>
  <si>
    <t>45652</t>
  </si>
  <si>
    <t>JOB ORDER-DIRECT COSTS-AT COS</t>
  </si>
  <si>
    <t>ZAP CAP IN-SERVICE RESERVE AC</t>
  </si>
  <si>
    <t>12214</t>
  </si>
  <si>
    <t>TRANSMISSION DOBLE TESTING</t>
  </si>
  <si>
    <t>56208</t>
  </si>
  <si>
    <t>TRANSMISSION SUBSTATION INSPE</t>
  </si>
  <si>
    <t>56209</t>
  </si>
  <si>
    <t>TRANSMISSION RELAY TESTING</t>
  </si>
  <si>
    <t>56284</t>
  </si>
  <si>
    <t>TRANSMISSION OPN - B/S MISCEL</t>
  </si>
  <si>
    <t>56285</t>
  </si>
  <si>
    <t>TRANSMISSION OPN - B/S ROOFS.</t>
  </si>
  <si>
    <t>56286</t>
  </si>
  <si>
    <t>TRANSMISSION OPN - B/S CONSUL</t>
  </si>
  <si>
    <t>56288</t>
  </si>
  <si>
    <t>TRANS OPN-B/S CARPET CLEANING</t>
  </si>
  <si>
    <t>56289</t>
  </si>
  <si>
    <t>TRANS OPN-B/S GENERAL CLEANIN</t>
  </si>
  <si>
    <t>56290</t>
  </si>
  <si>
    <t>TRANS OPN-B/S ELECTRICAL</t>
  </si>
  <si>
    <t>56291</t>
  </si>
  <si>
    <t>TRANS OPN B/S - GROUND MAINTE</t>
  </si>
  <si>
    <t>56292</t>
  </si>
  <si>
    <t>TRANS OPN-B/S HVAC</t>
  </si>
  <si>
    <t>56293</t>
  </si>
  <si>
    <t>TRANS OPN-B/S MISC STRUCTURE</t>
  </si>
  <si>
    <t>56294</t>
  </si>
  <si>
    <t>TRANS OPN-B/S PAINTING</t>
  </si>
  <si>
    <t>56295</t>
  </si>
  <si>
    <t>TRANS OPN-B/S PEST CONTROL</t>
  </si>
  <si>
    <t>56296</t>
  </si>
  <si>
    <t>TRANS OPN-B/S PLUMBING</t>
  </si>
  <si>
    <t>56297</t>
  </si>
  <si>
    <t>TRANS OPN B/S - WASTE - SEWAG</t>
  </si>
  <si>
    <t>56298</t>
  </si>
  <si>
    <t>TRANS OPN-B/S TRASH</t>
  </si>
  <si>
    <t>56299</t>
  </si>
  <si>
    <t>TRANS OPN-B/S WATER</t>
  </si>
  <si>
    <t>562</t>
  </si>
  <si>
    <t>56300</t>
  </si>
  <si>
    <t>TRANSMISSION OPN-OVERHEAD LIN</t>
  </si>
  <si>
    <t>56306</t>
  </si>
  <si>
    <t>TRANSMISSION OPN-OH LINES-STO</t>
  </si>
  <si>
    <t>56311</t>
  </si>
  <si>
    <t>INFRARED HELICOPTER PATROL</t>
  </si>
  <si>
    <t>563</t>
  </si>
  <si>
    <t>56400</t>
  </si>
  <si>
    <t>TRANSM-OPN-UNDERGRND LINE</t>
  </si>
  <si>
    <t>564</t>
  </si>
  <si>
    <t>56500</t>
  </si>
  <si>
    <t>TRN OP TRANSM ELECT BY OTHERS</t>
  </si>
  <si>
    <t>56501</t>
  </si>
  <si>
    <t>TRANSMISSION OF ELECTRICITY</t>
  </si>
  <si>
    <t>56502</t>
  </si>
  <si>
    <t>FERC ACCOUNT.</t>
  </si>
  <si>
    <t>565</t>
  </si>
  <si>
    <t>56600</t>
  </si>
  <si>
    <t>TRANSMISSION OPN-MISCELL OTHE</t>
  </si>
  <si>
    <t>56601</t>
  </si>
  <si>
    <t>TRANSMISSION RENTAL PROP EXP</t>
  </si>
  <si>
    <t>56606</t>
  </si>
  <si>
    <t>MISC. TRANSMISSION OPN-STORM</t>
  </si>
  <si>
    <t>56607</t>
  </si>
  <si>
    <t>TRANS TARIFF OFFSYSTEM SALES</t>
  </si>
  <si>
    <t>56608</t>
  </si>
  <si>
    <t>TRANS TARIFF NATIVE LOAD</t>
  </si>
  <si>
    <t>56609</t>
  </si>
  <si>
    <t>TRANS TARIFF REDISPATCH</t>
  </si>
  <si>
    <t>56610</t>
  </si>
  <si>
    <t>TRANSMISSION POLE AUDIT</t>
  </si>
  <si>
    <t>566</t>
  </si>
  <si>
    <t>56700</t>
  </si>
  <si>
    <t>TRANSMISSION OPN-RENTS</t>
  </si>
  <si>
    <t>567</t>
  </si>
  <si>
    <t>56800</t>
  </si>
  <si>
    <t>TRANSMISSION MAINT-SUPV-ENGRG</t>
  </si>
  <si>
    <t>568</t>
  </si>
  <si>
    <t>56900</t>
  </si>
  <si>
    <t>TRANSMISSION MAINT-STRUCTURES</t>
  </si>
  <si>
    <t>56910</t>
  </si>
  <si>
    <t>(1) x (5)</t>
  </si>
  <si>
    <t>(9)+(10)</t>
  </si>
  <si>
    <t>Associated With (5)</t>
  </si>
  <si>
    <t>ARO ASSET COST</t>
  </si>
  <si>
    <t>101</t>
  </si>
  <si>
    <t>FUEL STOCK EXPENSE #2 OIL.</t>
  </si>
  <si>
    <t>15236</t>
  </si>
  <si>
    <t>FUEL STOCK EXPENSE COAL.</t>
  </si>
  <si>
    <t>152</t>
  </si>
  <si>
    <t>15301</t>
  </si>
  <si>
    <t>RESIDUALS FLY ASH GN</t>
  </si>
  <si>
    <t>15302</t>
  </si>
  <si>
    <t>RESIDUALS FLY ASH BB</t>
  </si>
  <si>
    <t>15306</t>
  </si>
  <si>
    <t>RESIDUALS BOTTOM ASH OTHER BB</t>
  </si>
  <si>
    <t>15311</t>
  </si>
  <si>
    <t>RESIDUALS SLAG  GN</t>
  </si>
  <si>
    <t>15312</t>
  </si>
  <si>
    <t>RESIDUALS SLAG  BB</t>
  </si>
  <si>
    <t>15314</t>
  </si>
  <si>
    <t>RESIDUALS SLAG-POLK #1</t>
  </si>
  <si>
    <t>15320</t>
  </si>
  <si>
    <t>RESID BRINE CONCENTRATE POLK</t>
  </si>
  <si>
    <t>15324</t>
  </si>
  <si>
    <t>RESIDUALS SULFURIC ACID POLK</t>
  </si>
  <si>
    <t>153</t>
  </si>
  <si>
    <t>15401</t>
  </si>
  <si>
    <t>MATL &amp; SUPP GEN STORES ISSUE</t>
  </si>
  <si>
    <t>15421</t>
  </si>
  <si>
    <t>MATL &amp; SUPP RNB</t>
  </si>
  <si>
    <t>15425</t>
  </si>
  <si>
    <t>MATL &amp; SUPP OBSOLETE RESERVE</t>
  </si>
  <si>
    <t>15449</t>
  </si>
  <si>
    <t>MATL &amp; SUPP ADDITIVES-BIG BEN</t>
  </si>
  <si>
    <t>15459</t>
  </si>
  <si>
    <t>MATL &amp; SUPP-ADDITIVES-GANNON</t>
  </si>
  <si>
    <t>15470</t>
  </si>
  <si>
    <t>MATL&amp;SUPP-ADDITIVES-POLK</t>
  </si>
  <si>
    <t>154</t>
  </si>
  <si>
    <t>15810</t>
  </si>
  <si>
    <t>CAAA ALLOWANCES</t>
  </si>
  <si>
    <t>158</t>
  </si>
  <si>
    <t>16300</t>
  </si>
  <si>
    <t>T&amp;D STORES CLEARING ACCOUNT</t>
  </si>
  <si>
    <t>16301</t>
  </si>
  <si>
    <t>EXPENSES T&amp;D STOREROOM</t>
  </si>
  <si>
    <t>16302</t>
  </si>
  <si>
    <t>EXPENSES SALVAGE</t>
  </si>
  <si>
    <t>16303</t>
  </si>
  <si>
    <t>EXPENSES MATERIAL MGMT SYS</t>
  </si>
  <si>
    <t>16304</t>
  </si>
  <si>
    <t>EXPENSES PRODUCTION STOREROOM</t>
  </si>
  <si>
    <t>16305</t>
  </si>
  <si>
    <t>FREIGHT &amp; OTHER PRODUCTION</t>
  </si>
  <si>
    <t>16306</t>
  </si>
  <si>
    <t>FREIGHT &amp; OTHER T&amp;D GENERAL</t>
  </si>
  <si>
    <t>16307</t>
  </si>
  <si>
    <t>SALE OF STOCK MATERIALS</t>
  </si>
  <si>
    <t>16310</t>
  </si>
  <si>
    <t>STORES CLEARING GANNON STATIO</t>
  </si>
  <si>
    <t>16311</t>
  </si>
  <si>
    <t>STORES CLEARING BIG BEND STAT</t>
  </si>
  <si>
    <t>16312</t>
  </si>
  <si>
    <t>STORES CLEARING POLK POWER ST</t>
  </si>
  <si>
    <t>16340</t>
  </si>
  <si>
    <t>IT STANDARD CLEARING</t>
  </si>
  <si>
    <t>16341</t>
  </si>
  <si>
    <t>IT SVC-TEC CORPORATE OFFICE</t>
  </si>
  <si>
    <t>16342</t>
  </si>
  <si>
    <t>IT SVC-TEC CUSTOMER SERVICES</t>
  </si>
  <si>
    <t>16343</t>
  </si>
  <si>
    <t>IT SVC-TEC FINANCE</t>
  </si>
  <si>
    <t>16344</t>
  </si>
  <si>
    <t>IT SVC-TEC PROJECT MANAGEMENT</t>
  </si>
  <si>
    <t>16345</t>
  </si>
  <si>
    <t>IT SVC-TEC REG AFFAIRS</t>
  </si>
  <si>
    <t>16346</t>
  </si>
  <si>
    <t>IT SVC-TEC HUMAN RESOURCES</t>
  </si>
  <si>
    <t>16347</t>
  </si>
  <si>
    <t>IT SVC-SERVICES</t>
  </si>
  <si>
    <t>16348</t>
  </si>
  <si>
    <t>IT SVC-TEC INFO TECHNOLOGY</t>
  </si>
  <si>
    <t>16349</t>
  </si>
  <si>
    <t>IT SVC-TEC ENERGY DELIVERY</t>
  </si>
  <si>
    <t>16350</t>
  </si>
  <si>
    <t>IT SVC-TEC CORP COMM</t>
  </si>
  <si>
    <t>16351</t>
  </si>
  <si>
    <t>IT SVC-TEC COMMUNITY AFFAIRS</t>
  </si>
  <si>
    <t>16352</t>
  </si>
  <si>
    <t>IT SVC - TEC FUELS MANAGEMENT</t>
  </si>
  <si>
    <t>16353</t>
  </si>
  <si>
    <t>IT SVC-TEC ENERGY SUPPLY OPS</t>
  </si>
  <si>
    <t>16354</t>
  </si>
  <si>
    <t>IT SVC-TECO ENERGY CORPORATE</t>
  </si>
  <si>
    <t>16355</t>
  </si>
  <si>
    <t>IT SVC - ENVIRONMENTAL</t>
  </si>
  <si>
    <t>16356</t>
  </si>
  <si>
    <t>IT SVC - TECO ENERGY FINANCE</t>
  </si>
  <si>
    <t>16357</t>
  </si>
  <si>
    <t>IT SVC-TECO ENERGY EXTRNL AFF</t>
  </si>
  <si>
    <t>16358</t>
  </si>
  <si>
    <t>IT SVC-TECO ENERGY LEGAL</t>
  </si>
  <si>
    <t>16359</t>
  </si>
  <si>
    <t>IT SVC - PGS</t>
  </si>
  <si>
    <t>16360</t>
  </si>
  <si>
    <t>IT SVC-TECO ENERGY PROPERTIES</t>
  </si>
  <si>
    <t>16361</t>
  </si>
  <si>
    <t>IT SVC-TWG MERCHANT</t>
  </si>
  <si>
    <t>16362</t>
  </si>
  <si>
    <t>IT SVC-TECO ENERGY TRANSPORT</t>
  </si>
  <si>
    <t>16363</t>
  </si>
  <si>
    <t>IT SVC-TECO ENERGY COAL</t>
  </si>
  <si>
    <t>16364</t>
  </si>
  <si>
    <t>IT SVC-TECO ENERGY PARTNERS</t>
  </si>
  <si>
    <t>16365</t>
  </si>
  <si>
    <t>IT SVC-TECO BCH</t>
  </si>
  <si>
    <t>16366</t>
  </si>
  <si>
    <t>IT SVC-TECO GUATEMALA</t>
  </si>
  <si>
    <t>16367</t>
  </si>
  <si>
    <t>IT SVC-TECO ENERGY GAS SERVIC</t>
  </si>
  <si>
    <t>16368</t>
  </si>
  <si>
    <t>ITC SVC - PRIOR</t>
  </si>
  <si>
    <t>16369</t>
  </si>
  <si>
    <t>IT SVC-TECO STEVEDORING</t>
  </si>
  <si>
    <t>16370</t>
  </si>
  <si>
    <t>DESKTOP SUPPORT SERVICES</t>
  </si>
  <si>
    <t>16371</t>
  </si>
  <si>
    <t>DIRECT APPLICATIONS</t>
  </si>
  <si>
    <t>16372</t>
  </si>
  <si>
    <t>DR MAINFRAME</t>
  </si>
  <si>
    <t>16373</t>
  </si>
  <si>
    <t>DISASTER RECOVERY FOR DISTRIB</t>
  </si>
  <si>
    <t>16374</t>
  </si>
  <si>
    <t>GROUPWISE</t>
  </si>
  <si>
    <t>16375</t>
  </si>
  <si>
    <t>HELP DESK SERVICES</t>
  </si>
  <si>
    <t>16376</t>
  </si>
  <si>
    <t>INTERNET CONNECTIVITY</t>
  </si>
  <si>
    <t>16377</t>
  </si>
  <si>
    <t>INTRANET SERVICES</t>
  </si>
  <si>
    <t>16378</t>
  </si>
  <si>
    <t>MAINFRAME CD USAGE</t>
  </si>
  <si>
    <t>16379</t>
  </si>
  <si>
    <t>ANTIVIRUS</t>
  </si>
  <si>
    <t>16380</t>
  </si>
  <si>
    <t>MAINFRAME (TEC DISTRIBUTION)</t>
  </si>
  <si>
    <t>16381</t>
  </si>
  <si>
    <t>IT SHARED SERVICES</t>
  </si>
  <si>
    <t>16385</t>
  </si>
  <si>
    <t>NETWARE HARDWARE &amp; SOFTWARE S</t>
  </si>
  <si>
    <t>16386</t>
  </si>
  <si>
    <t>NETWORK TRANSPORT HARDWARE &amp;</t>
  </si>
  <si>
    <t>16387</t>
  </si>
  <si>
    <t>NT SERVER HARDWARE &amp; SOFTWARE</t>
  </si>
  <si>
    <t>16388</t>
  </si>
  <si>
    <t>OVERHEAD ALLOCATION</t>
  </si>
  <si>
    <t>16389</t>
  </si>
  <si>
    <t>SECURITY ACCESS</t>
  </si>
  <si>
    <t>16390</t>
  </si>
  <si>
    <t>UNIX SERVER HARDWARE &amp; SOFTWA</t>
  </si>
  <si>
    <t>163</t>
  </si>
  <si>
    <t>16501</t>
  </si>
  <si>
    <t>PREPAID INSUR PROPERTY DAMAGE</t>
  </si>
  <si>
    <t>16502</t>
  </si>
  <si>
    <t>PREP INSUR CRIME/BONDING</t>
  </si>
  <si>
    <t>16503</t>
  </si>
  <si>
    <t>PREP INSUR TECO PLAZA PROPERT</t>
  </si>
  <si>
    <t>16504</t>
  </si>
  <si>
    <t>PREP INSUR BLANKET ACCIDENT</t>
  </si>
  <si>
    <t>16505</t>
  </si>
  <si>
    <t>PREP INSUR AUTO LIABILITY</t>
  </si>
  <si>
    <t>16507</t>
  </si>
  <si>
    <t>59501</t>
  </si>
  <si>
    <t>UCD NML MT DIST UNDG TRANSFOR</t>
  </si>
  <si>
    <t>59502</t>
  </si>
  <si>
    <t>URD NML MT DIST UNDG TRANSFOR</t>
  </si>
  <si>
    <t>59503</t>
  </si>
  <si>
    <t>NETWORK NML MAINT DIST UNDG T</t>
  </si>
  <si>
    <t>59504</t>
  </si>
  <si>
    <t>OVHD NML MT DST OVHD TRANSFOR</t>
  </si>
  <si>
    <t>59506</t>
  </si>
  <si>
    <t>UCD STM DMG MT DST UNDG TRNSF</t>
  </si>
  <si>
    <t>59507</t>
  </si>
  <si>
    <t>URD STM DMG MT DST UNDG TRNSF</t>
  </si>
  <si>
    <t>59508</t>
  </si>
  <si>
    <t>NTWK STM DMG MT DST UNDG TRSF</t>
  </si>
  <si>
    <t>59509</t>
  </si>
  <si>
    <t>OVH STM DMG MT DST OVHD TRANS</t>
  </si>
  <si>
    <t>59510</t>
  </si>
  <si>
    <t>TRANSFORMER PAINTING (PREVENT</t>
  </si>
  <si>
    <t>59511</t>
  </si>
  <si>
    <t>TRANSFORMER PAINTING (CORRECT</t>
  </si>
  <si>
    <t>595</t>
  </si>
  <si>
    <t>59601</t>
  </si>
  <si>
    <t>DIST MAINT ST LIGHT-NORMAL</t>
  </si>
  <si>
    <t>59602</t>
  </si>
  <si>
    <t>DIST MAINT ST LIGHT - UNDG</t>
  </si>
  <si>
    <t>59603</t>
  </si>
  <si>
    <t>DST MA ST LIGHT-AREA LT NORM</t>
  </si>
  <si>
    <t>59604</t>
  </si>
  <si>
    <t>DIST MAINT AREA LIGHT - UNDG</t>
  </si>
  <si>
    <t>59605</t>
  </si>
  <si>
    <t>PREM AREA LT- MAINT</t>
  </si>
  <si>
    <t>59606</t>
  </si>
  <si>
    <t>DIST MAINT ST LIGHT-STORM DAM</t>
  </si>
  <si>
    <t>59607</t>
  </si>
  <si>
    <t>PREM AREA LT - MAINT (UNDG)</t>
  </si>
  <si>
    <t>59608</t>
  </si>
  <si>
    <t>DST MA ST LIGHT-AREA LT STORM</t>
  </si>
  <si>
    <t>596</t>
  </si>
  <si>
    <t>59701</t>
  </si>
  <si>
    <t>DIST MAINT METERS-NORMAL</t>
  </si>
  <si>
    <t>59702</t>
  </si>
  <si>
    <t>DEMAND REGISTER UPGRADE</t>
  </si>
  <si>
    <t>59706</t>
  </si>
  <si>
    <t>DIST MAINT METERS-STORM DAMAG</t>
  </si>
  <si>
    <t>597</t>
  </si>
  <si>
    <t>59801</t>
  </si>
  <si>
    <t>DIST MAINT MISC PLANT-NORMAL</t>
  </si>
  <si>
    <t>59806</t>
  </si>
  <si>
    <t>DIST MAINT MISC PLANT-STORM D</t>
  </si>
  <si>
    <t>598</t>
  </si>
  <si>
    <t>90100</t>
  </si>
  <si>
    <t>CUST OPER EXPENSE SUPERVISION</t>
  </si>
  <si>
    <t>901</t>
  </si>
  <si>
    <t>90200</t>
  </si>
  <si>
    <t>CUST OPER EXP-METER READING</t>
  </si>
  <si>
    <t>90201</t>
  </si>
  <si>
    <t>RE-READS DUE TO EQUIPMENT BRE</t>
  </si>
  <si>
    <t>90202</t>
  </si>
  <si>
    <t>RE-READS DUE TO OPERATOR ERRO</t>
  </si>
  <si>
    <t>902</t>
  </si>
  <si>
    <t>90300</t>
  </si>
  <si>
    <t>CUST RECORD &amp; COLL-OPER</t>
  </si>
  <si>
    <t>90302</t>
  </si>
  <si>
    <t>PAYMENT PROCESSING (REMITTANC</t>
  </si>
  <si>
    <t>90303</t>
  </si>
  <si>
    <t>CUST RECORD &amp; COLL-CLERICAL S</t>
  </si>
  <si>
    <t>90304</t>
  </si>
  <si>
    <t>CUST RCDS &amp; COLL - FIELD SUPP</t>
  </si>
  <si>
    <t>90305</t>
  </si>
  <si>
    <t>CUST RECORD &amp; COLL - BILLING</t>
  </si>
  <si>
    <t>90306</t>
  </si>
  <si>
    <t>CUST RECORD &amp; COLL-CUSTOMER P</t>
  </si>
  <si>
    <t>90307</t>
  </si>
  <si>
    <t>CUST RCD &amp; COLL-INTERNAL CRED</t>
  </si>
  <si>
    <t>90389</t>
  </si>
  <si>
    <t>I/TE ALLOCATIONS</t>
  </si>
  <si>
    <t>903</t>
  </si>
  <si>
    <t>90410</t>
  </si>
  <si>
    <t>UNCOLLECTIBLE ACCTS TAMPA</t>
  </si>
  <si>
    <t>90411</t>
  </si>
  <si>
    <t>UNCOLLECTIBLE ACCTS BRANDON</t>
  </si>
  <si>
    <t>90412</t>
  </si>
  <si>
    <t>UNCOLLECTIBLE ACCTS WINTER HA</t>
  </si>
  <si>
    <t>90413</t>
  </si>
  <si>
    <t>UNCOLLECTIBLE ACCTS MULBERRY</t>
  </si>
  <si>
    <t>90414</t>
  </si>
  <si>
    <t>UNCOLLECTIBLE ACCTS PLANT CIT</t>
  </si>
  <si>
    <t>90415</t>
  </si>
  <si>
    <t>12222</t>
  </si>
  <si>
    <t>DEPRECIATION - GTE FCU</t>
  </si>
  <si>
    <t>12226</t>
  </si>
  <si>
    <t>DEPR - REST EQUIP / 2002</t>
  </si>
  <si>
    <t>12230</t>
  </si>
  <si>
    <t>DEPRECIATION - RESTAURANT CAR</t>
  </si>
  <si>
    <t>12232</t>
  </si>
  <si>
    <t>DEPRECIATION - PLAZA 9 - TENA</t>
  </si>
  <si>
    <t>122</t>
  </si>
  <si>
    <t>12301</t>
  </si>
  <si>
    <t>INVESTMENT IN ASSOC CO-TERMCO</t>
  </si>
  <si>
    <t>12302</t>
  </si>
  <si>
    <t>INVESTMENT IN ASSOC CO-P.E.C.</t>
  </si>
  <si>
    <t>123</t>
  </si>
  <si>
    <t>12401</t>
  </si>
  <si>
    <t>ADVANCE- RTO</t>
  </si>
  <si>
    <t>COMMERCIAL SALES LG FUEL ADJ</t>
  </si>
  <si>
    <t>44215</t>
  </si>
  <si>
    <t>COMMERCIAL LARGE CAPACITY REV</t>
  </si>
  <si>
    <t>44216</t>
  </si>
  <si>
    <t>COMMERCIAL LARGE CONSERVATION</t>
  </si>
  <si>
    <t>44217</t>
  </si>
  <si>
    <t>COMMERCIAL LARGE ENVIRONMENTA</t>
  </si>
  <si>
    <t>44218</t>
  </si>
  <si>
    <t>COMMERCIAL LARGE FRANCHISE RE</t>
  </si>
  <si>
    <t>44219</t>
  </si>
  <si>
    <t>COMMERCIAL LARGE GROSS RECEIP</t>
  </si>
  <si>
    <t>44220</t>
  </si>
  <si>
    <t>INDUST-PHOSP SM OPT BILL PROV</t>
  </si>
  <si>
    <t>44222</t>
  </si>
  <si>
    <t>INDUST-PHOSP SM BASE REVENUE.</t>
  </si>
  <si>
    <t>44224</t>
  </si>
  <si>
    <t>INDUST-PHOSP SM FUEL REVENUE.</t>
  </si>
  <si>
    <t>44225</t>
  </si>
  <si>
    <t>INDUST-PHOSP SM CAPACILTY REV</t>
  </si>
  <si>
    <t>ADMIN MAINT-COMMUN EQUIP</t>
  </si>
  <si>
    <t>93205</t>
  </si>
  <si>
    <t>ADMIN MAINT-CONTROL EQUIPMENT</t>
  </si>
  <si>
    <t>93210</t>
  </si>
  <si>
    <t>STORM REPAIR &amp; MAINT-BLDG SER</t>
  </si>
  <si>
    <t>93212</t>
  </si>
  <si>
    <t>TELECOMMUNICATION SERVICES</t>
  </si>
  <si>
    <t>93213</t>
  </si>
  <si>
    <t>59304</t>
  </si>
  <si>
    <t>OVHD SERV MAINT - COMM</t>
  </si>
  <si>
    <t>59305</t>
  </si>
  <si>
    <t>DIST LINE INSPECTION &amp; REPAIR</t>
  </si>
  <si>
    <t>59306</t>
  </si>
  <si>
    <t>DIST MAINT OVHD LINE-STORM DA</t>
  </si>
  <si>
    <t>59307</t>
  </si>
  <si>
    <t>DIST MAINT OVHD - RES</t>
  </si>
  <si>
    <t>59308</t>
  </si>
  <si>
    <t>DIST MAINT OVHD - COMM</t>
  </si>
  <si>
    <t>59309</t>
  </si>
  <si>
    <t>DIST ADOPT A CIRCUIT</t>
  </si>
  <si>
    <t>59310</t>
  </si>
  <si>
    <t>LINE PATROL (OH)</t>
  </si>
  <si>
    <t>59311</t>
  </si>
  <si>
    <t>THERMOVISION</t>
  </si>
  <si>
    <t>59312</t>
  </si>
  <si>
    <t>CAPACITOR PATROL</t>
  </si>
  <si>
    <t>59313</t>
  </si>
  <si>
    <t>DIST MAINT OVHD - FEEDER</t>
  </si>
  <si>
    <t>59315</t>
  </si>
  <si>
    <t>59316</t>
  </si>
  <si>
    <t>DIST MAINT OVHD (CORRECT)</t>
  </si>
  <si>
    <t>59317</t>
  </si>
  <si>
    <t>DIST DAMAGE REPL</t>
  </si>
  <si>
    <t>59318</t>
  </si>
  <si>
    <t>VOLTAGE CONVERSION</t>
  </si>
  <si>
    <t>59319</t>
  </si>
  <si>
    <t>MAINTENANCE OF OVERHEAD - COR</t>
  </si>
  <si>
    <t>59326</t>
  </si>
  <si>
    <t>DIST. RIGHT OF WAY</t>
  </si>
  <si>
    <t>59330</t>
  </si>
  <si>
    <t>DIST MAINT OVHD STORM DAMAGE-</t>
  </si>
  <si>
    <t>59335</t>
  </si>
  <si>
    <t>WORKPRO PAYROLL INTERFACE</t>
  </si>
  <si>
    <t>593</t>
  </si>
  <si>
    <t>59401</t>
  </si>
  <si>
    <t>UCD NML MAINT DIST UNDG LINES</t>
  </si>
  <si>
    <t>41811</t>
  </si>
  <si>
    <t>MAINT EXP-TECO PLAZA TENANTS</t>
  </si>
  <si>
    <t>41812</t>
  </si>
  <si>
    <t>RENT EXP- TECO PLAZA TENANTS</t>
  </si>
  <si>
    <t>41815</t>
  </si>
  <si>
    <t>RENT EXP NON-UTIL PARKING</t>
  </si>
  <si>
    <t>41816</t>
  </si>
  <si>
    <t>RENTAL EXPENSE-RESTAURANT</t>
  </si>
  <si>
    <t>41817</t>
  </si>
  <si>
    <t>RENT EXP - RESTAURANT CARPET/</t>
  </si>
  <si>
    <t>41819</t>
  </si>
  <si>
    <t>EARN ASSOCIATED COMP-PE&amp;C</t>
  </si>
  <si>
    <t>41822</t>
  </si>
  <si>
    <t>RENTAL EXP - GTE FCU</t>
  </si>
  <si>
    <t>41825</t>
  </si>
  <si>
    <t>RENTAL EXPENSE - UNITED MARIT</t>
  </si>
  <si>
    <t>41832</t>
  </si>
  <si>
    <t>RENTAL EXPENSE - PLAZA 9 - TE</t>
  </si>
  <si>
    <t>418</t>
  </si>
  <si>
    <t>41901</t>
  </si>
  <si>
    <t>INTEREST - RTO</t>
  </si>
  <si>
    <t>41910</t>
  </si>
  <si>
    <t>ALLOW FOR FNDS USED DRNG CONS</t>
  </si>
  <si>
    <t>41911</t>
  </si>
  <si>
    <t>DIVIDEND INCOME - TAXABLE</t>
  </si>
  <si>
    <t>41912</t>
  </si>
  <si>
    <t>INTEREST INCOME- TAXABLE</t>
  </si>
  <si>
    <t>41913</t>
  </si>
  <si>
    <t>INTEREST INCOME - AFFILIATES</t>
  </si>
  <si>
    <t>41926</t>
  </si>
  <si>
    <t>MISCELLANEOUS INT &amp; DIV INC</t>
  </si>
  <si>
    <t>419</t>
  </si>
  <si>
    <t>42101</t>
  </si>
  <si>
    <t>GAIN ON SALE OF SECURITIES</t>
  </si>
  <si>
    <t>42110</t>
  </si>
  <si>
    <t>GAIN - UTIL PROP EXCL PHFFU</t>
  </si>
  <si>
    <t>42111</t>
  </si>
  <si>
    <t>GAIN - NON-UTILITY PROPERTY</t>
  </si>
  <si>
    <t>42113</t>
  </si>
  <si>
    <t>GAIN ON DISPOSITION OF BONDS</t>
  </si>
  <si>
    <t>42120</t>
  </si>
  <si>
    <t>LOSS - UTIL PROP EXCL PHFFU</t>
  </si>
  <si>
    <t>42121</t>
  </si>
  <si>
    <t>LOSS - NON-UTILITY PROPERTY</t>
  </si>
  <si>
    <t>42126</t>
  </si>
  <si>
    <t>MISC NONOPERATING INCOME</t>
  </si>
  <si>
    <t>42130</t>
  </si>
  <si>
    <t>DEF FUEL REV INT</t>
  </si>
  <si>
    <t>42131</t>
  </si>
  <si>
    <t>DEF CAP REV INT</t>
  </si>
  <si>
    <t>42132</t>
  </si>
  <si>
    <t>DEF FUEL REV INT WHSL</t>
  </si>
  <si>
    <t>42140</t>
  </si>
  <si>
    <t>INT INC OF DEF FUEL</t>
  </si>
  <si>
    <t>42142</t>
  </si>
  <si>
    <t>INT INC ON DEF CAPACITY</t>
  </si>
  <si>
    <t>42144</t>
  </si>
  <si>
    <t>INT INC ON DEF WHSL FUEL</t>
  </si>
  <si>
    <t>42146</t>
  </si>
  <si>
    <t>INT INC ON DEF ECRC</t>
  </si>
  <si>
    <t>42148</t>
  </si>
  <si>
    <t>INTEREST INCOME DEF CONSERVAT</t>
  </si>
  <si>
    <t>421</t>
  </si>
  <si>
    <t>42501</t>
  </si>
  <si>
    <t>MISC AMORTIZATION - OUC TRANS</t>
  </si>
  <si>
    <t>42502</t>
  </si>
  <si>
    <t>MISC AMORT - ACQUIS ADJ BB TR</t>
  </si>
  <si>
    <t>425</t>
  </si>
  <si>
    <t>42601</t>
  </si>
  <si>
    <t>MISCELLANEOUS OTHER DEDUCTION</t>
  </si>
  <si>
    <t>42603</t>
  </si>
  <si>
    <t>OTHER DEDUCTIONS-DUES</t>
  </si>
  <si>
    <t>42607</t>
  </si>
  <si>
    <t>LEGISLATIVE LOBBYING EXP-OTHE</t>
  </si>
  <si>
    <t>42610</t>
  </si>
  <si>
    <t>DONATIONS</t>
  </si>
  <si>
    <t>42611</t>
  </si>
  <si>
    <t>DONATIONS - 501C3 (NOT FOR PR</t>
  </si>
  <si>
    <t>42612</t>
  </si>
  <si>
    <t>ACC DEF ITC BB4 10% 1981</t>
  </si>
  <si>
    <t>25551</t>
  </si>
  <si>
    <t>ACC DEF ITC BB4 10% 1982</t>
  </si>
  <si>
    <t>25552</t>
  </si>
  <si>
    <t>ACC DEF ITC BB4 8% 1983</t>
  </si>
  <si>
    <t>25553</t>
  </si>
  <si>
    <t>ACC DEF ITC BB4 8% 1984</t>
  </si>
  <si>
    <t>25555</t>
  </si>
  <si>
    <t>ACC DEF ITC BB4 10% 1984</t>
  </si>
  <si>
    <t>25556</t>
  </si>
  <si>
    <t>ACC DEF ITC BB4 1985 8%</t>
  </si>
  <si>
    <t>25557</t>
  </si>
  <si>
    <t>ACC DEF ITC BB4 1986 10%</t>
  </si>
  <si>
    <t>25558</t>
  </si>
  <si>
    <t>ACC DEF ITC 10% 1985</t>
  </si>
  <si>
    <t>25570</t>
  </si>
  <si>
    <t>ACC DEF ITC 10% '81 NONUTILIT</t>
  </si>
  <si>
    <t>25571</t>
  </si>
  <si>
    <t>ACC DEF ITC 10% '82 NONUTILIT</t>
  </si>
  <si>
    <t>25573</t>
  </si>
  <si>
    <t>ACC DEF ITC BB4 10% 1987</t>
  </si>
  <si>
    <t>25574</t>
  </si>
  <si>
    <t>ACC DEF ITC 10% - 1987</t>
  </si>
  <si>
    <t>25575</t>
  </si>
  <si>
    <t>ACC DEF ITC 10% 1988</t>
  </si>
  <si>
    <t>25576</t>
  </si>
  <si>
    <t>ACC DEF ITC 10% 1989</t>
  </si>
  <si>
    <t>25577</t>
  </si>
  <si>
    <t>ACC DEF ITC 10%-1990</t>
  </si>
  <si>
    <t>255</t>
  </si>
  <si>
    <t>25604</t>
  </si>
  <si>
    <t>SALE OF FISHHAWK LAND</t>
  </si>
  <si>
    <t>25605</t>
  </si>
  <si>
    <t>SALE OF DINNER LAKE</t>
  </si>
  <si>
    <t>25607</t>
  </si>
  <si>
    <t>25608</t>
  </si>
  <si>
    <t>Deferred Credit PHFFU</t>
  </si>
  <si>
    <t>Unamortized Gain on LTD</t>
  </si>
  <si>
    <t>Accumulated Deferred Taxes</t>
  </si>
  <si>
    <t>28200</t>
  </si>
  <si>
    <t>All other accum Def. Taxes (derived)</t>
  </si>
  <si>
    <t>Deferred Taxes</t>
  </si>
  <si>
    <t>28300</t>
  </si>
  <si>
    <t>All other accum Def.Taxes (derived)</t>
  </si>
  <si>
    <t>DIT Other-FAS109 Inc Tax</t>
  </si>
  <si>
    <t>DIT ST - Deferred Derivative</t>
  </si>
  <si>
    <t>DIT FD - Deferred Derivative</t>
  </si>
  <si>
    <t>DIT FD -  FAS 158</t>
  </si>
  <si>
    <t>DIT ST - FAS 158</t>
  </si>
  <si>
    <t>DIT FD - Interest Rate Swap D</t>
  </si>
  <si>
    <t>Total Assets</t>
  </si>
  <si>
    <t>Total Liabilities</t>
  </si>
  <si>
    <t>Difference</t>
  </si>
  <si>
    <t>COLUMN NUMBER FOR @VLOOKUP</t>
  </si>
  <si>
    <t>This account is the "amount to balance" - it is not included in total "253" so that it will not effect the cash flow statement</t>
  </si>
  <si>
    <t>(which adjusts notes payable and puts you back out-of-balance) and pulls to "other deferred credits" on the Balance Sheet</t>
  </si>
  <si>
    <t>PROJECTED</t>
  </si>
  <si>
    <t>DEC 2001</t>
  </si>
  <si>
    <t>DEC 2006</t>
  </si>
  <si>
    <t>Deferred Clase Revenue / (Expense) - Cash Flow Statement</t>
  </si>
  <si>
    <t>Source/(Use) of Cash Due to Changes in Def. Expense</t>
  </si>
  <si>
    <t>Source/(Use) of Cash Due to Changes in Def. Revenue</t>
  </si>
  <si>
    <t>Total Source/(Use) of Cash</t>
  </si>
  <si>
    <t>LINKING WORKPAPER ON THE ASSETS SIDE OF THE TECO ENERGY CONSOLIDATIONS</t>
  </si>
  <si>
    <t>DEC 1999</t>
  </si>
  <si>
    <t>JAN 1999</t>
  </si>
  <si>
    <t>FEB 1999</t>
  </si>
  <si>
    <t>MAR 1999</t>
  </si>
  <si>
    <t>APR 1999</t>
  </si>
  <si>
    <t>MAY 1999</t>
  </si>
  <si>
    <t>JUN 1999</t>
  </si>
  <si>
    <t>JUL 1999</t>
  </si>
  <si>
    <t>AUG 1999</t>
  </si>
  <si>
    <t>SEP 1999</t>
  </si>
  <si>
    <t>OCT 1999</t>
  </si>
  <si>
    <t>NOV 1999</t>
  </si>
  <si>
    <t>PE&amp;C</t>
  </si>
  <si>
    <t>TERMCO</t>
  </si>
  <si>
    <t>Total Cash - Energy</t>
  </si>
  <si>
    <t>Eliminate PE&amp;C payable to TEC</t>
  </si>
  <si>
    <t>Total Affil Rec - Energy</t>
  </si>
  <si>
    <t>Total outside rec - Energy</t>
  </si>
  <si>
    <t>Fuel - Energy</t>
  </si>
  <si>
    <t>42745</t>
  </si>
  <si>
    <t>42746</t>
  </si>
  <si>
    <t>INTEREST EXP 2012 BONDS</t>
  </si>
  <si>
    <t>42747</t>
  </si>
  <si>
    <t>INTEREST EXP 2013 BONDS</t>
  </si>
  <si>
    <t>42748</t>
  </si>
  <si>
    <t>INTEREST EXP 2023 BONDS</t>
  </si>
  <si>
    <t>42749</t>
  </si>
  <si>
    <t>42750</t>
  </si>
  <si>
    <t>42751</t>
  </si>
  <si>
    <t>INTEREST EXP 2016 SENIOR NOTE</t>
  </si>
  <si>
    <t>42754</t>
  </si>
  <si>
    <t>42755</t>
  </si>
  <si>
    <t>INTEREST EXP 2025 BONDS 51.6</t>
  </si>
  <si>
    <t>42756</t>
  </si>
  <si>
    <t>INTEREST EX 2020 BONDS 20 M</t>
  </si>
  <si>
    <t>427</t>
  </si>
  <si>
    <t>42808</t>
  </si>
  <si>
    <t>AMORT EXP 2030 BONDS 75M</t>
  </si>
  <si>
    <t>42809</t>
  </si>
  <si>
    <t>AMORT EXP 2007 BONDS</t>
  </si>
  <si>
    <t>42810</t>
  </si>
  <si>
    <t>AMORT EXP 2004 BONDS</t>
  </si>
  <si>
    <t>42816</t>
  </si>
  <si>
    <t>AMORT EXP 2011 BONDS</t>
  </si>
  <si>
    <t>42817</t>
  </si>
  <si>
    <t>AMORT EXP 2012 BONDS</t>
  </si>
  <si>
    <t>42819</t>
  </si>
  <si>
    <t>AMORT EXP 2011-2014 BONDS</t>
  </si>
  <si>
    <t>42822</t>
  </si>
  <si>
    <t>AMORT EXP 2005 BONDS</t>
  </si>
  <si>
    <t>42823</t>
  </si>
  <si>
    <t>AMORT EXP 2036 BONDS</t>
  </si>
  <si>
    <t>42824</t>
  </si>
  <si>
    <t>42825</t>
  </si>
  <si>
    <t>42826</t>
  </si>
  <si>
    <t>AMORT EXP 2034 BONDS</t>
  </si>
  <si>
    <t>42827</t>
  </si>
  <si>
    <t>AMORT EXP 2021 BONDS</t>
  </si>
  <si>
    <t>42828</t>
  </si>
  <si>
    <t>42829</t>
  </si>
  <si>
    <t>AMORT EXP 2022 BONDS</t>
  </si>
  <si>
    <t>42830</t>
  </si>
  <si>
    <t>42831</t>
  </si>
  <si>
    <t>AMORT EXP 2025 BONDS</t>
  </si>
  <si>
    <t>42833</t>
  </si>
  <si>
    <t>42836</t>
  </si>
  <si>
    <t>AMORT EXP 2020 BONDS</t>
  </si>
  <si>
    <t>42837</t>
  </si>
  <si>
    <t>AMORT EXP 2030 BONDS</t>
  </si>
  <si>
    <t>42838</t>
  </si>
  <si>
    <t>AMORT DISCOUNT 2022 BONDS</t>
  </si>
  <si>
    <t>42839</t>
  </si>
  <si>
    <t>AMORT EXP 2018 BONDS</t>
  </si>
  <si>
    <t>42841</t>
  </si>
  <si>
    <t>42842</t>
  </si>
  <si>
    <t>AMORT EXP 2000 BONDS</t>
  </si>
  <si>
    <t>42843</t>
  </si>
  <si>
    <t>AMORT EXP 2003 BONDS</t>
  </si>
  <si>
    <t>42844</t>
  </si>
  <si>
    <t>AMORT EXP 2037 BONDS 190M</t>
  </si>
  <si>
    <t>42845</t>
  </si>
  <si>
    <t>42846</t>
  </si>
  <si>
    <t>42847</t>
  </si>
  <si>
    <t>AMORT FEES/EXP 2013 BONDS</t>
  </si>
  <si>
    <t>42848</t>
  </si>
  <si>
    <t>59184</t>
  </si>
  <si>
    <t>DIST MAINT STRUCTURE - MISCEL</t>
  </si>
  <si>
    <t>59185</t>
  </si>
  <si>
    <t>DIST MAINT STRUCTURE - ROOFS.</t>
  </si>
  <si>
    <t>59186</t>
  </si>
  <si>
    <t>DIST MAINT STRUCTURE - CONSUL</t>
  </si>
  <si>
    <t>59188</t>
  </si>
  <si>
    <t>DIST MAINT STRUC-CARPET CLEAN</t>
  </si>
  <si>
    <t>59189</t>
  </si>
  <si>
    <t>DIST MAINT STRUC-GENERAL CLEA</t>
  </si>
  <si>
    <t>59190</t>
  </si>
  <si>
    <t>DIST MAINT STRUC-ELECTRICAL</t>
  </si>
  <si>
    <t>59191</t>
  </si>
  <si>
    <t>DIST MAINT STRUCTURE - GROUND</t>
  </si>
  <si>
    <t>59192</t>
  </si>
  <si>
    <t>DIST MAINT STRUC-HVAC</t>
  </si>
  <si>
    <t>59193</t>
  </si>
  <si>
    <t>DIST MAINT STRUC-MISC STRUCTU</t>
  </si>
  <si>
    <t>59194</t>
  </si>
  <si>
    <t>DIST MAINT STRUC-PAINTING</t>
  </si>
  <si>
    <t>59195</t>
  </si>
  <si>
    <t>DIST MAINT STRUC-PEST CONTROL</t>
  </si>
  <si>
    <t>59196</t>
  </si>
  <si>
    <t>DIST MAINT STRUC-PLUMBING</t>
  </si>
  <si>
    <t>59197</t>
  </si>
  <si>
    <t>DIST MAINT STRUCTURE - WASTE</t>
  </si>
  <si>
    <t>59198</t>
  </si>
  <si>
    <t>DIST MAINT STRUC-TRASH</t>
  </si>
  <si>
    <t>59199</t>
  </si>
  <si>
    <t>DIST MAINT STRUC-WATER</t>
  </si>
  <si>
    <t>591</t>
  </si>
  <si>
    <t>59200</t>
  </si>
  <si>
    <t>MAINT OF STATION &amp; ANIMAL PRO</t>
  </si>
  <si>
    <t>59201</t>
  </si>
  <si>
    <t>UNAMORT DISC 2037 BONDS 190M</t>
  </si>
  <si>
    <t>22645</t>
  </si>
  <si>
    <t>UNAMORT DISC 2002 BONDS</t>
  </si>
  <si>
    <t>22646</t>
  </si>
  <si>
    <t>UNAMORTIZED DISC 2012 BOND</t>
  </si>
  <si>
    <t>22647</t>
  </si>
  <si>
    <t>UNAMORTIZED DISC. 2023 BONDS</t>
  </si>
  <si>
    <t>22649</t>
  </si>
  <si>
    <t>UNAMORT DISC 2012 BONDS</t>
  </si>
  <si>
    <t>22650</t>
  </si>
  <si>
    <t>UNAMORT DISC 2007 BONDS</t>
  </si>
  <si>
    <t>226</t>
  </si>
  <si>
    <t>22812</t>
  </si>
  <si>
    <t>T&amp;D PROPERTY STORM RESERVE</t>
  </si>
  <si>
    <t>22821</t>
  </si>
  <si>
    <t>INJ &amp; DAM GEN LIAB RESERVE</t>
  </si>
  <si>
    <t>22822</t>
  </si>
  <si>
    <t>INJ &amp; DAM WORK COMP RESERVE</t>
  </si>
  <si>
    <t>22823</t>
  </si>
  <si>
    <t>INJ &amp; DAM RESERVE-WORKERS COM</t>
  </si>
  <si>
    <t>22824</t>
  </si>
  <si>
    <t>INJ &amp; DAM LONGSHORE RESERVE</t>
  </si>
  <si>
    <t>22830</t>
  </si>
  <si>
    <t>ACCUM PROV-PENSION-QUALIFIED</t>
  </si>
  <si>
    <t>22831</t>
  </si>
  <si>
    <t>PENSION LIABILITY LT-FAS 158</t>
  </si>
  <si>
    <t>22832</t>
  </si>
  <si>
    <t>SERP LIABILITY ST - FAS 158</t>
  </si>
  <si>
    <t>22833</t>
  </si>
  <si>
    <t>ACCUM PROV - SERP LT</t>
  </si>
  <si>
    <t>22834</t>
  </si>
  <si>
    <t>ACCUM PROV - FAS 106 POST RET</t>
  </si>
  <si>
    <t>22835</t>
  </si>
  <si>
    <t>ACCUM PROV-FAS 112 LTD</t>
  </si>
  <si>
    <t>22836</t>
  </si>
  <si>
    <t>FAS 106 LIABILITY ST-FAS 158</t>
  </si>
  <si>
    <t>22837</t>
  </si>
  <si>
    <t>FAS 106 LT - FAS 158</t>
  </si>
  <si>
    <t>22838</t>
  </si>
  <si>
    <t>SERP LIABILITY LT - FAS 158</t>
  </si>
  <si>
    <t>228</t>
  </si>
  <si>
    <t>23000</t>
  </si>
  <si>
    <t>ARO REGULATORY LIABILITY - SH</t>
  </si>
  <si>
    <t>23001</t>
  </si>
  <si>
    <t>ARO REGULATORY LIABILITY - LO</t>
  </si>
  <si>
    <t>23004</t>
  </si>
  <si>
    <t>ARO - POLK PARK</t>
  </si>
  <si>
    <t>23005</t>
  </si>
  <si>
    <t>ARO - TPA BAY SUB #177D</t>
  </si>
  <si>
    <t>230</t>
  </si>
  <si>
    <t>23175</t>
  </si>
  <si>
    <t>NOTES PAYABLE COMMERCIAL PAPE</t>
  </si>
  <si>
    <t>23176</t>
  </si>
  <si>
    <t>NOTES PAYABLE - BASE RATE LOA</t>
  </si>
  <si>
    <t>23177</t>
  </si>
  <si>
    <t>NOTES PAYABLE - LIBOR LOAN</t>
  </si>
  <si>
    <t>23178</t>
  </si>
  <si>
    <t>NOTES PAYABLE - A/R SECURITIZ</t>
  </si>
  <si>
    <t>23179</t>
  </si>
  <si>
    <t>NOTES PAYABLE - FEDERAL FUNDS</t>
  </si>
  <si>
    <t>231</t>
  </si>
  <si>
    <t>23201</t>
  </si>
  <si>
    <t>A/P VOUCHERS</t>
  </si>
  <si>
    <t>23202</t>
  </si>
  <si>
    <t>A/P INTERCHANGE</t>
  </si>
  <si>
    <t>23203</t>
  </si>
  <si>
    <t>A/P FUEL</t>
  </si>
  <si>
    <t>23204</t>
  </si>
  <si>
    <t>A/P P/R RELATED</t>
  </si>
  <si>
    <t>23205</t>
  </si>
  <si>
    <t>A/P MANUAL ACCRUALS</t>
  </si>
  <si>
    <t>23206</t>
  </si>
  <si>
    <t>A/P HARDEE</t>
  </si>
  <si>
    <t>23207</t>
  </si>
  <si>
    <t>ACCRUED FPC WHEELING</t>
  </si>
  <si>
    <t>23208</t>
  </si>
  <si>
    <t>A/P ESOP 1/2 %</t>
  </si>
  <si>
    <t>23209</t>
  </si>
  <si>
    <t>PAYROLL ACCRUAL</t>
  </si>
  <si>
    <t>23210</t>
  </si>
  <si>
    <t>A/P M &amp; S RNB</t>
  </si>
  <si>
    <t>23211</t>
  </si>
  <si>
    <t>A/P PAYROLL</t>
  </si>
  <si>
    <t>23212</t>
  </si>
  <si>
    <t>FSA MEDICAL REIMBURSEMENT</t>
  </si>
  <si>
    <t>23213</t>
  </si>
  <si>
    <t>FSA DEPENDENT CARE REIMBURSEM</t>
  </si>
  <si>
    <t>23214</t>
  </si>
  <si>
    <t>DIT LEASE NON UTILITY</t>
  </si>
  <si>
    <t>19023</t>
  </si>
  <si>
    <t>DIT ST EARLY CAPACITY PAYMENT</t>
  </si>
  <si>
    <t>19024</t>
  </si>
  <si>
    <t>DIT FD EARLY CAPACITY PAYMENT</t>
  </si>
  <si>
    <t>19025</t>
  </si>
  <si>
    <t>DIT FD ITC-FAS109 INC TAX</t>
  </si>
  <si>
    <t>19026</t>
  </si>
  <si>
    <t>DIT FEDERAL - FAS 158</t>
  </si>
  <si>
    <t>19027</t>
  </si>
  <si>
    <t>DIT STATE - FAS 158</t>
  </si>
  <si>
    <t>19041</t>
  </si>
  <si>
    <t>DIT ST - DEFERRED DERIVATIVE</t>
  </si>
  <si>
    <t>19042</t>
  </si>
  <si>
    <t>DIT FD - DEFERRED DERIVATIVE</t>
  </si>
  <si>
    <t>19045</t>
  </si>
  <si>
    <t>DIT ST - INTEREST RATE SWAP D</t>
  </si>
  <si>
    <t>19046</t>
  </si>
  <si>
    <t>DIT FD - INTEREST RATE SWAP D</t>
  </si>
  <si>
    <t>190</t>
  </si>
  <si>
    <t>20101</t>
  </si>
  <si>
    <t>COMMON STOCK NO PAR VALUE</t>
  </si>
  <si>
    <t>201</t>
  </si>
  <si>
    <t>21101</t>
  </si>
  <si>
    <t>MISC PAID-IN CAPITAL</t>
  </si>
  <si>
    <t>211</t>
  </si>
  <si>
    <t>21401</t>
  </si>
  <si>
    <t>CAPTL STOCK EXP COMMON</t>
  </si>
  <si>
    <t>21402</t>
  </si>
  <si>
    <t>OCI - DERIVATIVE GAIN/LOSS</t>
  </si>
  <si>
    <t>21403</t>
  </si>
  <si>
    <t>OCI - REGULATORY DERIVATIVE G</t>
  </si>
  <si>
    <t>214</t>
  </si>
  <si>
    <t>21601</t>
  </si>
  <si>
    <t>UNAPP RETAINED EARN TAMPA ELE</t>
  </si>
  <si>
    <t>216</t>
  </si>
  <si>
    <t>21901</t>
  </si>
  <si>
    <t>21902</t>
  </si>
  <si>
    <t>21903</t>
  </si>
  <si>
    <t>AOCI - FAS 158</t>
  </si>
  <si>
    <t>21904</t>
  </si>
  <si>
    <t>AOCI REGULATORY - FAS 158</t>
  </si>
  <si>
    <t>21906</t>
  </si>
  <si>
    <t>OCI - INTEREST RATE SWAP</t>
  </si>
  <si>
    <t>219</t>
  </si>
  <si>
    <t>22108</t>
  </si>
  <si>
    <t>22112</t>
  </si>
  <si>
    <t>CURRENT PORTION DUE 2007 BOND</t>
  </si>
  <si>
    <t>22121</t>
  </si>
  <si>
    <t>2025 BONDS</t>
  </si>
  <si>
    <t>22124</t>
  </si>
  <si>
    <t>CURRENT PORTION DUE 2021 BOND</t>
  </si>
  <si>
    <t>22125</t>
  </si>
  <si>
    <t>CURRENT PORTION DUE 2022 BOND</t>
  </si>
  <si>
    <t>22126</t>
  </si>
  <si>
    <t>2018 BONDS</t>
  </si>
  <si>
    <t>22128</t>
  </si>
  <si>
    <t>2036 BONDS</t>
  </si>
  <si>
    <t>22130</t>
  </si>
  <si>
    <t>CURRENT PORTION DUE 2003 BOND</t>
  </si>
  <si>
    <t>22132</t>
  </si>
  <si>
    <t>2020 BONDS</t>
  </si>
  <si>
    <t>22134</t>
  </si>
  <si>
    <t>2034 BONDS</t>
  </si>
  <si>
    <t>22137</t>
  </si>
  <si>
    <t>2030 BONDS</t>
  </si>
  <si>
    <t>22144</t>
  </si>
  <si>
    <t>2037 BONDS</t>
  </si>
  <si>
    <t>22145</t>
  </si>
  <si>
    <t>22146</t>
  </si>
  <si>
    <t>2012 BONDS</t>
  </si>
  <si>
    <t>22147</t>
  </si>
  <si>
    <t>2013 BONDS</t>
  </si>
  <si>
    <t>22148</t>
  </si>
  <si>
    <t>2023 BONDS</t>
  </si>
  <si>
    <t>22149</t>
  </si>
  <si>
    <t>22150</t>
  </si>
  <si>
    <t>2007 BONDS</t>
  </si>
  <si>
    <t>22151</t>
  </si>
  <si>
    <t>2016 SENIOR NOTES</t>
  </si>
  <si>
    <t>22154</t>
  </si>
  <si>
    <t>22155</t>
  </si>
  <si>
    <t>2025 BONDS 51.6</t>
  </si>
  <si>
    <t>22156</t>
  </si>
  <si>
    <t>2020 BONDS 20 M</t>
  </si>
  <si>
    <t>22158</t>
  </si>
  <si>
    <t>CURRENT PORTION DUE 2002 BOND</t>
  </si>
  <si>
    <t>22162</t>
  </si>
  <si>
    <t>22164</t>
  </si>
  <si>
    <t>CURRENT DUE 2001 BONDS</t>
  </si>
  <si>
    <t>22168</t>
  </si>
  <si>
    <t>221</t>
  </si>
  <si>
    <t>22544</t>
  </si>
  <si>
    <t>UNAMORTIZED PREMIUM 2001 BOND</t>
  </si>
  <si>
    <t>22545</t>
  </si>
  <si>
    <t>UNAMORTIZED PREMIUM 2002 BOND</t>
  </si>
  <si>
    <t>22546</t>
  </si>
  <si>
    <t>UNAMORTIZED PREMIUM 2013 BOND</t>
  </si>
  <si>
    <t>225</t>
  </si>
  <si>
    <t>22601</t>
  </si>
  <si>
    <t>UNAMORT DISC 2022 BONDS</t>
  </si>
  <si>
    <t>22603</t>
  </si>
  <si>
    <t>UNAMORT DISC 2003 BOND</t>
  </si>
  <si>
    <t>22628</t>
  </si>
  <si>
    <t>UNAMORT DISC 2036 BONDS</t>
  </si>
  <si>
    <t>22644</t>
  </si>
  <si>
    <t>55552</t>
  </si>
  <si>
    <t>PURCH POWER-ENTERGY MARKETING</t>
  </si>
  <si>
    <t>55553</t>
  </si>
  <si>
    <t>PURCH POWER - SEMPRA ENERGY T</t>
  </si>
  <si>
    <t>55554</t>
  </si>
  <si>
    <t>PURCH POWER - DISTRIBUTIVE GE</t>
  </si>
  <si>
    <t>55555</t>
  </si>
  <si>
    <t>PURCH POWER - SMITH FIELD</t>
  </si>
  <si>
    <t>55556</t>
  </si>
  <si>
    <t>PURCH POWER - CARGILL - ALLIA</t>
  </si>
  <si>
    <t>55557</t>
  </si>
  <si>
    <t>PURCH POWER - ENRON POWER MAR</t>
  </si>
  <si>
    <t>55558</t>
  </si>
  <si>
    <t>PURCH POWER - CORAL POWER</t>
  </si>
  <si>
    <t>55559</t>
  </si>
  <si>
    <t>PURCH POWER - SOUTHERN COMPAN</t>
  </si>
  <si>
    <t>55560</t>
  </si>
  <si>
    <t>PURCH POWER - DUKE ENERGY TRA</t>
  </si>
  <si>
    <t>55561</t>
  </si>
  <si>
    <t>PURCH POWER-EL PASO ENERGY LP</t>
  </si>
  <si>
    <t>55562</t>
  </si>
  <si>
    <t>PURCH POWER - LOUISVILLE GAS</t>
  </si>
  <si>
    <t>55563</t>
  </si>
  <si>
    <t>PURCH POWER  - DYNERGY POWER</t>
  </si>
  <si>
    <t>55564</t>
  </si>
  <si>
    <t>PURCHASE POWER - CALPINE</t>
  </si>
  <si>
    <t>55565</t>
  </si>
  <si>
    <t>PURCHASE POWER - ACES</t>
  </si>
  <si>
    <t>55566</t>
  </si>
  <si>
    <t>PURCHASE POWER - CAROLINA POW</t>
  </si>
  <si>
    <t>55567</t>
  </si>
  <si>
    <t>PURCHASE POWER - CONACO</t>
  </si>
  <si>
    <t>55568</t>
  </si>
  <si>
    <t>PURCHASE POWER - COBB ELECTRI</t>
  </si>
  <si>
    <t>55569</t>
  </si>
  <si>
    <t>PURCHASE POWER - WHEELABRATOR</t>
  </si>
  <si>
    <t>55570</t>
  </si>
  <si>
    <t>PURCHASE POWER CINERGY</t>
  </si>
  <si>
    <t>55571</t>
  </si>
  <si>
    <t>PURCH POWER - RAINBOW ENERGY</t>
  </si>
  <si>
    <t>55572</t>
  </si>
  <si>
    <t>PURCH POWER - CINCINNATI GAS</t>
  </si>
  <si>
    <t>55573</t>
  </si>
  <si>
    <t>PURCH POWER - CONSTELLATION C</t>
  </si>
  <si>
    <t>55580</t>
  </si>
  <si>
    <t>NONRECOVERABLE GREEN POWER PU</t>
  </si>
  <si>
    <t>55581</t>
  </si>
  <si>
    <t>555</t>
  </si>
  <si>
    <t>55600</t>
  </si>
  <si>
    <t>SYS CONTROL &amp; LOAD DISPATCH</t>
  </si>
  <si>
    <t>556</t>
  </si>
  <si>
    <t>55701</t>
  </si>
  <si>
    <t>BIG BEND RESERVE POWER</t>
  </si>
  <si>
    <t>55702</t>
  </si>
  <si>
    <t>POLK #1 RESERVE POWER</t>
  </si>
  <si>
    <t>55703</t>
  </si>
  <si>
    <t>BB1&amp;2 FGD RESERVE POWER</t>
  </si>
  <si>
    <t>55704</t>
  </si>
  <si>
    <t>BAYSIDE RESERVE POWER</t>
  </si>
  <si>
    <t>55710</t>
  </si>
  <si>
    <t>PYRAMID COST RECOVERY AMORTIZ</t>
  </si>
  <si>
    <t>55711</t>
  </si>
  <si>
    <t>INTEREST ON PYRAMID SETTLEMEN</t>
  </si>
  <si>
    <t>55716</t>
  </si>
  <si>
    <t>AMORTIZATION OF PEABODY BUYOU</t>
  </si>
  <si>
    <t>55717</t>
  </si>
  <si>
    <t>RETURN ON UNAMORT PBDY BUYOUT</t>
  </si>
  <si>
    <t>55752</t>
  </si>
  <si>
    <t>GATLIFF PURCHASE COST ADJUSTM</t>
  </si>
  <si>
    <t>55774</t>
  </si>
  <si>
    <t>DEFERRED OBO EXPENSE</t>
  </si>
  <si>
    <t>55775</t>
  </si>
  <si>
    <t>DEFERRED OBO EXPENSE-INTEREST</t>
  </si>
  <si>
    <t>55776</t>
  </si>
  <si>
    <t>PRIOR DEFERRED OBO EXPENSE</t>
  </si>
  <si>
    <t>55780</t>
  </si>
  <si>
    <t>DEFERRED FUEL EXP</t>
  </si>
  <si>
    <t>55781</t>
  </si>
  <si>
    <t>DEFERRED FUEL INT</t>
  </si>
  <si>
    <t>55782</t>
  </si>
  <si>
    <t>AMORTIZED DEFERRED FUEL EXP</t>
  </si>
  <si>
    <t>55783</t>
  </si>
  <si>
    <t>DEFERRED CAPACITY EXP</t>
  </si>
  <si>
    <t>55784</t>
  </si>
  <si>
    <t>DEFERRED CAPACITY INT</t>
  </si>
  <si>
    <t>55785</t>
  </si>
  <si>
    <t>AMORTIZED DEFERRED CAPACITY</t>
  </si>
  <si>
    <t>55790</t>
  </si>
  <si>
    <t>50759</t>
  </si>
  <si>
    <t>RENTS - GANNON COAL</t>
  </si>
  <si>
    <t>507</t>
  </si>
  <si>
    <t>50903</t>
  </si>
  <si>
    <t>NONRECOV CAA ALOW EXP-WHSLE</t>
  </si>
  <si>
    <t>50904</t>
  </si>
  <si>
    <t>NONRECOV CAA ALLOW EXP-WHSLE</t>
  </si>
  <si>
    <t>50947</t>
  </si>
  <si>
    <t>RECOV. FUEL BB4-ALLOW EXPENSE</t>
  </si>
  <si>
    <t>50948</t>
  </si>
  <si>
    <t>RECOV. FUEL BIG BEND ALLOWANC</t>
  </si>
  <si>
    <t>50949</t>
  </si>
  <si>
    <t>RECOV. FUEL BB3-ALLOW EXPENSE</t>
  </si>
  <si>
    <t>50959</t>
  </si>
  <si>
    <t>DIST OP-GENERAL CLEANING</t>
  </si>
  <si>
    <t>58290</t>
  </si>
  <si>
    <t>DIST OP-ELECTRIC &amp; LIGHT</t>
  </si>
  <si>
    <t>58291</t>
  </si>
  <si>
    <t>DIST OP-EXTERIOR</t>
  </si>
  <si>
    <t>58292</t>
  </si>
  <si>
    <t>DIST OP-HVAC</t>
  </si>
  <si>
    <t>58293</t>
  </si>
  <si>
    <t>DIST OP-MISC STRUCTURES</t>
  </si>
  <si>
    <t>58294</t>
  </si>
  <si>
    <t>DIST OP-PAINTING</t>
  </si>
  <si>
    <t>58295</t>
  </si>
  <si>
    <t>DIST OP-PEST CONTROL</t>
  </si>
  <si>
    <t>58296</t>
  </si>
  <si>
    <t>DIST OP-PLUMBING</t>
  </si>
  <si>
    <t>58297</t>
  </si>
  <si>
    <t>DIST OP-SECURITY</t>
  </si>
  <si>
    <t>58298</t>
  </si>
  <si>
    <t>DIST OP-TRASH</t>
  </si>
  <si>
    <t>58299</t>
  </si>
  <si>
    <t>DIST OP-WATER</t>
  </si>
  <si>
    <t>582</t>
  </si>
  <si>
    <t>58301</t>
  </si>
  <si>
    <t>DIST OP OVHD LINE-NORMAL OPER</t>
  </si>
  <si>
    <t>58302</t>
  </si>
  <si>
    <t>DIST OP OVHD LINE - RES</t>
  </si>
  <si>
    <t>58303</t>
  </si>
  <si>
    <t>DIST OP OVHD LINE - COMM</t>
  </si>
  <si>
    <t>58304</t>
  </si>
  <si>
    <t>OVHD SERVICES - RES</t>
  </si>
  <si>
    <t>58305</t>
  </si>
  <si>
    <t>TECO ENERGY CAPITAL</t>
  </si>
  <si>
    <t>14670</t>
  </si>
  <si>
    <t>TECO PARTNERS CAPITAL</t>
  </si>
  <si>
    <t>14699</t>
  </si>
  <si>
    <t>JOB ORDER CLEARING</t>
  </si>
  <si>
    <t>146</t>
  </si>
  <si>
    <t>15110</t>
  </si>
  <si>
    <t>FUEL STOCK COAL</t>
  </si>
  <si>
    <t>15111</t>
  </si>
  <si>
    <t>FUEL STOCK OIL #6</t>
  </si>
  <si>
    <t>15112</t>
  </si>
  <si>
    <t>FUEL STOCK OIL #2</t>
  </si>
  <si>
    <t>15113</t>
  </si>
  <si>
    <t>FUEL STOCK COAL ADDITIVE</t>
  </si>
  <si>
    <t>15114</t>
  </si>
  <si>
    <t>FUEL STOCK OIL ADDITIVE #6</t>
  </si>
  <si>
    <t>15117</t>
  </si>
  <si>
    <t>FUEL STOCK NATURAL GAS</t>
  </si>
  <si>
    <t>15118</t>
  </si>
  <si>
    <t>FUEL STOCK PROPANE</t>
  </si>
  <si>
    <t>15119</t>
  </si>
  <si>
    <t>FUEL STOCK METHANE</t>
  </si>
  <si>
    <t>151</t>
  </si>
  <si>
    <t>15207</t>
  </si>
  <si>
    <t>FUEL STOCK EXP #6 OIL-LEGAL</t>
  </si>
  <si>
    <t>15209</t>
  </si>
  <si>
    <t>FUEL STOCK EXP LEGAL</t>
  </si>
  <si>
    <t>15214</t>
  </si>
  <si>
    <t>FUEL STOCK EXPENSE OIL #6</t>
  </si>
  <si>
    <t>15215</t>
  </si>
  <si>
    <t>FUEL STOCK EXPENSE OIL #2</t>
  </si>
  <si>
    <t>15216</t>
  </si>
  <si>
    <t>FUEL STOCK EXPENSE COAL</t>
  </si>
  <si>
    <t>15217</t>
  </si>
  <si>
    <t>FUEL STOCK EXPENSE-PROPANE</t>
  </si>
  <si>
    <t>15218</t>
  </si>
  <si>
    <t>FUEL STOCK EXPENSE - NATURAL</t>
  </si>
  <si>
    <t>15234</t>
  </si>
  <si>
    <t>FUEL STOCK EXPENSE #6.</t>
  </si>
  <si>
    <t>15235</t>
  </si>
  <si>
    <t>PROD CONSUMABLES/EXPENDABLES</t>
  </si>
  <si>
    <t>18426</t>
  </si>
  <si>
    <t>PARKING OPER TECO PLAZA</t>
  </si>
  <si>
    <t>18429</t>
  </si>
  <si>
    <t>PROD CLEARING</t>
  </si>
  <si>
    <t>18430</t>
  </si>
  <si>
    <t>UNIFORM RENTAL-GARAGE</t>
  </si>
  <si>
    <t>18431</t>
  </si>
  <si>
    <t>UNIFORM RENTAL-PRODUCTION</t>
  </si>
  <si>
    <t>18440</t>
  </si>
  <si>
    <t>TECO TRANSPORT &amp; TRADE - PAYR</t>
  </si>
  <si>
    <t>18441</t>
  </si>
  <si>
    <t>GENERATION SVCS-COMMON COSTS</t>
  </si>
  <si>
    <t>18450</t>
  </si>
  <si>
    <t>PRINT SHOP SUPPLIES AND MAINT</t>
  </si>
  <si>
    <t>18465</t>
  </si>
  <si>
    <t>CTRF-INDIRECT LABOR</t>
  </si>
  <si>
    <t>18466</t>
  </si>
  <si>
    <t>CTRF/INDIRECT MATERIALS</t>
  </si>
  <si>
    <t>18467</t>
  </si>
  <si>
    <t>TOOL REPAIR CLEARING</t>
  </si>
  <si>
    <t>18468</t>
  </si>
  <si>
    <t>TRANSFORMER REPAIR CLEARING E</t>
  </si>
  <si>
    <t>18469</t>
  </si>
  <si>
    <t>18470</t>
  </si>
  <si>
    <t>TELECOM STANDARD CLEARING</t>
  </si>
  <si>
    <t>18471</t>
  </si>
  <si>
    <t>PBX - MOVES, ADDS, CHANGES</t>
  </si>
  <si>
    <t>18472</t>
  </si>
  <si>
    <t>PBX - NETWORK PROJECTS</t>
  </si>
  <si>
    <t>18473</t>
  </si>
  <si>
    <t>PBX - NETWORK REPAIRS</t>
  </si>
  <si>
    <t>18474</t>
  </si>
  <si>
    <t>BROADBAND - NETWORK PROJECTS</t>
  </si>
  <si>
    <t>18475</t>
  </si>
  <si>
    <t>BROADBAND - NETWORK REPAIRS</t>
  </si>
  <si>
    <t>18476</t>
  </si>
  <si>
    <t>TELECOM - DIRECTLY ALLOCATED</t>
  </si>
  <si>
    <t>18477</t>
  </si>
  <si>
    <t>COMMUNICATIONS INFRASTRUCTURE</t>
  </si>
  <si>
    <t>18478</t>
  </si>
  <si>
    <t>COMMUNICATIONS LEASED SERVICE</t>
  </si>
  <si>
    <t>18479</t>
  </si>
  <si>
    <t>LONG DISTANCE - DIRECT CHARGE</t>
  </si>
  <si>
    <t>18480</t>
  </si>
  <si>
    <t>FACILITY SERVICES - STANDARD</t>
  </si>
  <si>
    <t>18483</t>
  </si>
  <si>
    <t>FACILITY SERVICES OVERHEAD</t>
  </si>
  <si>
    <t>18484</t>
  </si>
  <si>
    <t>FACILITY - MISCELLANEOUS.</t>
  </si>
  <si>
    <t>18485</t>
  </si>
  <si>
    <t>FACILITY - ROOFS.</t>
  </si>
  <si>
    <t>18486</t>
  </si>
  <si>
    <t>FACILITY - CONSULTING.</t>
  </si>
  <si>
    <t>18487</t>
  </si>
  <si>
    <t>FACILITY - FURNITURE</t>
  </si>
  <si>
    <t>18488</t>
  </si>
  <si>
    <t>FACILITY - CARPET CLEANING</t>
  </si>
  <si>
    <t>18489</t>
  </si>
  <si>
    <t>FACILITY - GENERAL CLEANING</t>
  </si>
  <si>
    <t>18490</t>
  </si>
  <si>
    <t>FACILITY - ELECTRICAL WORK</t>
  </si>
  <si>
    <t>18491</t>
  </si>
  <si>
    <t>FACILITY - GROUND MAINTENANCE</t>
  </si>
  <si>
    <t>18492</t>
  </si>
  <si>
    <t>FACILITY - HVAC</t>
  </si>
  <si>
    <t>18493</t>
  </si>
  <si>
    <t>FACILITY - MISC STRUCTURES</t>
  </si>
  <si>
    <t>18494</t>
  </si>
  <si>
    <t>FACILITY - PAINTING</t>
  </si>
  <si>
    <t>18495</t>
  </si>
  <si>
    <t>FACILITY - PEST CONTROL</t>
  </si>
  <si>
    <t>18496</t>
  </si>
  <si>
    <t>FACILITY - PLUMBING</t>
  </si>
  <si>
    <t>18497</t>
  </si>
  <si>
    <t>FACILITY - WASTE - SEWAGE.</t>
  </si>
  <si>
    <t>18498</t>
  </si>
  <si>
    <t>FACILITY - TRASH</t>
  </si>
  <si>
    <t>18499</t>
  </si>
  <si>
    <t>SALE OF 19TH AVE SUB #243D SI</t>
  </si>
  <si>
    <t>25609</t>
  </si>
  <si>
    <t>SALE OF SEFFNER SUB (31D) SUR</t>
  </si>
  <si>
    <t>25610</t>
  </si>
  <si>
    <t>SALE OF LAND TO WIDEN MCMULLE</t>
  </si>
  <si>
    <t>25611</t>
  </si>
  <si>
    <t>SALE OF 45TH ST #109D SITE (1</t>
  </si>
  <si>
    <t>25624</t>
  </si>
  <si>
    <t>SALE OR PORTION OF RIVER SUBS</t>
  </si>
  <si>
    <t>25625</t>
  </si>
  <si>
    <t>A/R ENERGY NONALLOCABLE COSTS</t>
  </si>
  <si>
    <t>14627</t>
  </si>
  <si>
    <t>A/R TWG - MERCHANT</t>
  </si>
  <si>
    <t>14628</t>
  </si>
  <si>
    <t>A/R HPP OPERATIONS</t>
  </si>
  <si>
    <t>14629</t>
  </si>
  <si>
    <t>A/R TECO GUATEMALA, INC.</t>
  </si>
  <si>
    <t>14631</t>
  </si>
  <si>
    <t>A/R MCADAMS</t>
  </si>
  <si>
    <t>14634</t>
  </si>
  <si>
    <t>A/R PRIOR ENERGY</t>
  </si>
  <si>
    <t>14635</t>
  </si>
  <si>
    <t>A/R TCAE PROJECT/GUATEMALA</t>
  </si>
  <si>
    <t>14636</t>
  </si>
  <si>
    <t>A/R TECO ENERGY SERVICES</t>
  </si>
  <si>
    <t>14637</t>
  </si>
  <si>
    <t>BCH O &amp; M</t>
  </si>
  <si>
    <t>14641</t>
  </si>
  <si>
    <t>A/R ASSOC CO TECO SOLUTIONS</t>
  </si>
  <si>
    <t>14650</t>
  </si>
  <si>
    <t>A/R PEOPLES GAS SYSTEM (NATUR</t>
  </si>
  <si>
    <t>14651</t>
  </si>
  <si>
    <t>A/R TECO PEOPLES GAS - GAS SA</t>
  </si>
  <si>
    <t>14652</t>
  </si>
  <si>
    <t>INTEREST RECEIVABLE PGS</t>
  </si>
  <si>
    <t>14653</t>
  </si>
  <si>
    <t>A/R PEOPLES GAS METER READING</t>
  </si>
  <si>
    <t>14654</t>
  </si>
  <si>
    <t>14657</t>
  </si>
  <si>
    <t>A/R TECO GAS SERVICES</t>
  </si>
  <si>
    <t>14658</t>
  </si>
  <si>
    <t>TECO PARTNERS O&amp;M EXPENDITURE</t>
  </si>
  <si>
    <t>14660</t>
  </si>
  <si>
    <t>A/R ASSOC COMPANY-PGS CAPITAL</t>
  </si>
  <si>
    <t>14662</t>
  </si>
  <si>
    <t>TECO POWER SERVICES - CAPITAL</t>
  </si>
  <si>
    <t>14663</t>
  </si>
  <si>
    <t>TECO COAL - CAPITAL</t>
  </si>
  <si>
    <t>14664</t>
  </si>
  <si>
    <t>TECO ENERGY SERVICES CAPITAL</t>
  </si>
  <si>
    <t>14665</t>
  </si>
  <si>
    <t>PRIOR ENERGY - CAPITAL</t>
  </si>
  <si>
    <t>14666</t>
  </si>
  <si>
    <t>TECO GUATEMALA CAPITAL</t>
  </si>
  <si>
    <t>14669</t>
  </si>
  <si>
    <t>All Other Regulatory Assets (derived)</t>
  </si>
  <si>
    <t>PREP INSUR LONGSHORE COMP</t>
  </si>
  <si>
    <t>16508</t>
  </si>
  <si>
    <t>PREP INSUR GENERAL LIABILITY</t>
  </si>
  <si>
    <t>16509</t>
  </si>
  <si>
    <t>PREP INSUR WORKERS COMPENSATI</t>
  </si>
  <si>
    <t>16510</t>
  </si>
  <si>
    <t>PREP INSUR FIDUCIARY</t>
  </si>
  <si>
    <t>16511</t>
  </si>
  <si>
    <t>PREP INS-ERRORS &amp; OMISSIONS</t>
  </si>
  <si>
    <t>16512</t>
  </si>
  <si>
    <t>PREPAID INS - DIRECTORS &amp; OFF</t>
  </si>
  <si>
    <t>16513</t>
  </si>
  <si>
    <t>TAX ACCR STATE INCOME</t>
  </si>
  <si>
    <t>23607</t>
  </si>
  <si>
    <t>TAX ACCR FEDERAL SUPERFUND</t>
  </si>
  <si>
    <t>23608</t>
  </si>
  <si>
    <t>TAX ACCR DIESEL FUEL #2</t>
  </si>
  <si>
    <t>23609</t>
  </si>
  <si>
    <t>FEDERAL EXCISE TAX</t>
  </si>
  <si>
    <t>23611</t>
  </si>
  <si>
    <t>TAX ACCRUAL - COUNTY PROPERTY</t>
  </si>
  <si>
    <t>23612</t>
  </si>
  <si>
    <t>TAX PAYABLE FIT FIN 48 - CURR</t>
  </si>
  <si>
    <t>23613</t>
  </si>
  <si>
    <t>TAX PAYABLE FIT FIN 48 - LT</t>
  </si>
  <si>
    <t>23614</t>
  </si>
  <si>
    <t>TAX PAYABLE STATE FIN 48 - CU</t>
  </si>
  <si>
    <t>23615</t>
  </si>
  <si>
    <t>TAX PAYABLE STATE FIN 48 - LT</t>
  </si>
  <si>
    <t>23630</t>
  </si>
  <si>
    <t>TAX ACCR GROSS RECEIPTS</t>
  </si>
  <si>
    <t>23635</t>
  </si>
  <si>
    <t>SALES TAX COMPANY ELECTRIC US</t>
  </si>
  <si>
    <t xml:space="preserve"> Int Accrued 2030 Bonds 75M</t>
  </si>
  <si>
    <t xml:space="preserve"> Int Accrued Customer Deposits</t>
  </si>
  <si>
    <t xml:space="preserve"> Int Accrued Series 1990</t>
  </si>
  <si>
    <t xml:space="preserve"> Int Accr Series-1991 Ref </t>
  </si>
  <si>
    <t xml:space="preserve"> Int Accr 6.55% Bonds $250M</t>
  </si>
  <si>
    <t xml:space="preserve"> 1992 HCIDA Series-OBO</t>
  </si>
  <si>
    <t xml:space="preserve">  2018 Bonds 54.2M var </t>
  </si>
  <si>
    <t xml:space="preserve">  2025 Bonds 51.6M</t>
  </si>
  <si>
    <t>23757</t>
  </si>
  <si>
    <t xml:space="preserve">  2020 Bonds 20M</t>
  </si>
  <si>
    <t xml:space="preserve"> Int Accr $75M  due 2030 @ 3.80%</t>
  </si>
  <si>
    <t xml:space="preserve"> Misc Interest Payable</t>
  </si>
  <si>
    <t>Int Accr 2007 Bonds @6.15% - $190M</t>
  </si>
  <si>
    <t xml:space="preserve"> Int Accr - 2034 Bonds var.</t>
  </si>
  <si>
    <t>Int Accr 2012 Bonds @6.875%-$210M</t>
  </si>
  <si>
    <t>Int Accr 2013 Bonds @5.1%-$60.685M</t>
  </si>
  <si>
    <t>Int Accr 2023 Bonds @5.5%-86.4M</t>
  </si>
  <si>
    <t>Int Accr 2012 Bond @ 6.375%-$330M</t>
  </si>
  <si>
    <t>Int Accr 2007 Bond @ 5.375%-$125M</t>
  </si>
  <si>
    <t>59402</t>
  </si>
  <si>
    <t>URD NML MAINT DIST UNDG LINES</t>
  </si>
  <si>
    <t>59403</t>
  </si>
  <si>
    <t>UNGD SERV MAINT (CORRECT)</t>
  </si>
  <si>
    <t>59404</t>
  </si>
  <si>
    <t>DISTRIBUTION NETWORK (PREVENT</t>
  </si>
  <si>
    <t>59405</t>
  </si>
  <si>
    <t>DISTRIBUTION NETWORK (CORRECT</t>
  </si>
  <si>
    <t>59406</t>
  </si>
  <si>
    <t>UCD STM DMG MAINT DST UNDG LI</t>
  </si>
  <si>
    <t>59407</t>
  </si>
  <si>
    <t>URD STM DMG MAINT DIST UNDG L</t>
  </si>
  <si>
    <t>59408</t>
  </si>
  <si>
    <t>NTWK STM DMG MT DIST UNDG LIN</t>
  </si>
  <si>
    <t>59409</t>
  </si>
  <si>
    <t>DIST UG LN - ADOPT A CIRCUIT</t>
  </si>
  <si>
    <t>59410</t>
  </si>
  <si>
    <t>LINE PATROL (UG)</t>
  </si>
  <si>
    <t>59411</t>
  </si>
  <si>
    <t>RESET FAULT INDICATORS</t>
  </si>
  <si>
    <t>59412</t>
  </si>
  <si>
    <t>UNDG MAINT - RES</t>
  </si>
  <si>
    <t>59413</t>
  </si>
  <si>
    <t>UNDG MAINT - COMM</t>
  </si>
  <si>
    <t>59414</t>
  </si>
  <si>
    <t>UNGD SERV MAINT - RES</t>
  </si>
  <si>
    <t>59415</t>
  </si>
  <si>
    <t>UNGD SERV MAINT - COMM</t>
  </si>
  <si>
    <t>59416</t>
  </si>
  <si>
    <t>UNGD MAINT - FEEDER</t>
  </si>
  <si>
    <t>59418</t>
  </si>
  <si>
    <t>UNGD REMOVE &amp; RECONSTRUCT</t>
  </si>
  <si>
    <t>59419</t>
  </si>
  <si>
    <t>UNGD MAINT (CORRECT)</t>
  </si>
  <si>
    <t>59420</t>
  </si>
  <si>
    <t>UNGD MAINT (OREVENT)</t>
  </si>
  <si>
    <t>59421</t>
  </si>
  <si>
    <t>DAMAGE REPL</t>
  </si>
  <si>
    <t>594</t>
  </si>
  <si>
    <t>Long-Term Debt Cost Rate</t>
  </si>
  <si>
    <t>Total Long-Term Debt Average</t>
  </si>
  <si>
    <t>Total Interest Average</t>
  </si>
  <si>
    <t>TECO PLAZA OPERATIONS</t>
  </si>
  <si>
    <t>92118</t>
  </si>
  <si>
    <t>92125</t>
  </si>
  <si>
    <t>A &amp; G - BRIGHT CHOICES - MISC</t>
  </si>
  <si>
    <t>92184</t>
  </si>
  <si>
    <t>OFFICE SUPPLY &amp; EXP - MISCELL</t>
  </si>
  <si>
    <t>92187</t>
  </si>
  <si>
    <t>OFFICE SUPP &amp; EXP- TENANT COS</t>
  </si>
  <si>
    <t>92189</t>
  </si>
  <si>
    <t>OFFICE SUPP &amp; EXP - CLEANING</t>
  </si>
  <si>
    <t>92190</t>
  </si>
  <si>
    <t>OFFICE SUPP &amp; EXP - ELECTRICA</t>
  </si>
  <si>
    <t>92191</t>
  </si>
  <si>
    <r>
      <t>Note 1:</t>
    </r>
    <r>
      <rPr>
        <sz val="10"/>
        <rFont val="Arial"/>
        <family val="2"/>
      </rPr>
      <t xml:space="preserve">  The following unamortized debt costs are not associated with any current outstanding long-term debt and subsequently have been excluded, per the instructions, from column (14) of MFR D-4a.</t>
    </r>
  </si>
  <si>
    <r>
      <t xml:space="preserve">Unamortized Debt Expense (Put Option) 2011 Bonds $38M </t>
    </r>
    <r>
      <rPr>
        <sz val="10"/>
        <rFont val="Arial"/>
        <family val="2"/>
      </rPr>
      <t>¹</t>
    </r>
  </si>
  <si>
    <r>
      <t xml:space="preserve">Unamortized Debt Exp. 11 5/8% - 11 7/8% bonds due -2001-2011 </t>
    </r>
    <r>
      <rPr>
        <sz val="10"/>
        <rFont val="Arial"/>
        <family val="2"/>
      </rPr>
      <t>¹</t>
    </r>
  </si>
  <si>
    <t>Unamortized Issuing Expenses &amp; Loss on Reaquired Debt</t>
  </si>
  <si>
    <t>For the Projected Prior Year Ended December 31, 2008</t>
  </si>
  <si>
    <t>Unamortized Debt Expense 75M  2007 Bonds due 2030</t>
  </si>
  <si>
    <t>REG CR-AMORT DEF CAPACITY</t>
  </si>
  <si>
    <t>40744</t>
  </si>
  <si>
    <t>REG CR DEF FUEL WHSL</t>
  </si>
  <si>
    <t>40745</t>
  </si>
  <si>
    <t>REG CR-AMORT DEF FUEL WHSL</t>
  </si>
  <si>
    <t>40746</t>
  </si>
  <si>
    <t>REG CR DEF ECRC</t>
  </si>
  <si>
    <t>40747</t>
  </si>
  <si>
    <t>REG CR-AMORTIZATION OF DEF EC</t>
  </si>
  <si>
    <t>40748</t>
  </si>
  <si>
    <t>REG CR DEF CONSERVATION</t>
  </si>
  <si>
    <t>40749</t>
  </si>
  <si>
    <t>REG CR AMORT DEF CONSERVATION</t>
  </si>
  <si>
    <t>407</t>
  </si>
  <si>
    <t>40800</t>
  </si>
  <si>
    <t>TAXES OTHER THAN INCOME TAXES</t>
  </si>
  <si>
    <t>40810</t>
  </si>
  <si>
    <t>TXES OTR THAN INC TXES ABV LN</t>
  </si>
  <si>
    <t>40812</t>
  </si>
  <si>
    <t>PAYROLL TAX ABOVE THE LINE</t>
  </si>
  <si>
    <t>40813</t>
  </si>
  <si>
    <t>PROPERTY TAX ABOVE THE LINE</t>
  </si>
  <si>
    <t>40814</t>
  </si>
  <si>
    <t>FRANCHISE FEE</t>
  </si>
  <si>
    <t>40815</t>
  </si>
  <si>
    <t>GROSS RECEIPTS TAX</t>
  </si>
  <si>
    <t>40820</t>
  </si>
  <si>
    <t>TXES OTR THAN INC TXES BEL LN</t>
  </si>
  <si>
    <t>408</t>
  </si>
  <si>
    <t>40910</t>
  </si>
  <si>
    <t>INC TAXES CURR PAY ADV THE LN</t>
  </si>
  <si>
    <t>40920</t>
  </si>
  <si>
    <t>INC TAXES CURR PAY BEL THE LN</t>
  </si>
  <si>
    <t>409</t>
  </si>
  <si>
    <t>41001</t>
  </si>
  <si>
    <t>41002</t>
  </si>
  <si>
    <t>41003</t>
  </si>
  <si>
    <t>DIT ST INS RESERVE</t>
  </si>
  <si>
    <t>41004</t>
  </si>
  <si>
    <t>41005</t>
  </si>
  <si>
    <t>41006</t>
  </si>
  <si>
    <t>41007</t>
  </si>
  <si>
    <t>41008</t>
  </si>
  <si>
    <t>DIT FD RETE REFUND</t>
  </si>
  <si>
    <t>41009</t>
  </si>
  <si>
    <t>41010</t>
  </si>
  <si>
    <t>41011</t>
  </si>
  <si>
    <t>DIT ST CAPE INTEREST</t>
  </si>
  <si>
    <t>41012</t>
  </si>
  <si>
    <t>DIT FD CAPT INTEREST</t>
  </si>
  <si>
    <t>41013</t>
  </si>
  <si>
    <t>DIT ST CONT IN AID OF CONST</t>
  </si>
  <si>
    <t>41014</t>
  </si>
  <si>
    <t>DIT FD CONT IN AID OF CONST</t>
  </si>
  <si>
    <t>41015</t>
  </si>
  <si>
    <t>DIT ST LEASE NON UTIL</t>
  </si>
  <si>
    <t>41016</t>
  </si>
  <si>
    <t>DIT FD LEASE NON UTIL</t>
  </si>
  <si>
    <t>41017</t>
  </si>
  <si>
    <t>41018</t>
  </si>
  <si>
    <t>41019</t>
  </si>
  <si>
    <t>41020</t>
  </si>
  <si>
    <t>41021</t>
  </si>
  <si>
    <t>41022</t>
  </si>
  <si>
    <t>41023</t>
  </si>
  <si>
    <t>DIT ST N/B EXCLUDING  AFUDC</t>
  </si>
  <si>
    <t>41024</t>
  </si>
  <si>
    <t>41025</t>
  </si>
  <si>
    <t>41026</t>
  </si>
  <si>
    <t>41027</t>
  </si>
  <si>
    <t>DIT FD RATE CHANGES</t>
  </si>
  <si>
    <t>41028</t>
  </si>
  <si>
    <t>DIT 5% TO %.5%</t>
  </si>
  <si>
    <t>41029</t>
  </si>
  <si>
    <t>41031</t>
  </si>
  <si>
    <t>LEASE STATE-UTILITY</t>
  </si>
  <si>
    <t>41032</t>
  </si>
  <si>
    <t>41033</t>
  </si>
  <si>
    <t>41034</t>
  </si>
  <si>
    <t>41035</t>
  </si>
  <si>
    <t>41036</t>
  </si>
  <si>
    <t>41037</t>
  </si>
  <si>
    <t>41038</t>
  </si>
  <si>
    <t>41039</t>
  </si>
  <si>
    <t>41041</t>
  </si>
  <si>
    <t>LEASE FED-UTILITY</t>
  </si>
  <si>
    <t>41042</t>
  </si>
  <si>
    <t>41043</t>
  </si>
  <si>
    <t>41044</t>
  </si>
  <si>
    <t>41045</t>
  </si>
  <si>
    <t>41046</t>
  </si>
  <si>
    <t>41047</t>
  </si>
  <si>
    <t>41048</t>
  </si>
  <si>
    <t>41050</t>
  </si>
  <si>
    <t>DIT ST-DISMANTLING</t>
  </si>
  <si>
    <t>41051</t>
  </si>
  <si>
    <t>DIT FD-DISMANTLING</t>
  </si>
  <si>
    <t>41052</t>
  </si>
  <si>
    <t>41053</t>
  </si>
  <si>
    <t>41059</t>
  </si>
  <si>
    <t>PROV DIT-DEF LEASE ST-NONUTIL</t>
  </si>
  <si>
    <t>41069</t>
  </si>
  <si>
    <t>PROV DIT-DEF LEASE FEF-NONUTI</t>
  </si>
  <si>
    <t>41071</t>
  </si>
  <si>
    <t>41072</t>
  </si>
  <si>
    <t>41080</t>
  </si>
  <si>
    <t>41081</t>
  </si>
  <si>
    <t>41082</t>
  </si>
  <si>
    <t>AMORT OF DIT - FAS109</t>
  </si>
  <si>
    <t>41083</t>
  </si>
  <si>
    <t>41084</t>
  </si>
  <si>
    <t>41085</t>
  </si>
  <si>
    <t>41086</t>
  </si>
  <si>
    <t>410</t>
  </si>
  <si>
    <t>41101</t>
  </si>
  <si>
    <t>41102</t>
  </si>
  <si>
    <t>41103</t>
  </si>
  <si>
    <t>41104</t>
  </si>
  <si>
    <t>41105</t>
  </si>
  <si>
    <t>41106</t>
  </si>
  <si>
    <t>41107</t>
  </si>
  <si>
    <t>41108</t>
  </si>
  <si>
    <t>41109</t>
  </si>
  <si>
    <t>41110</t>
  </si>
  <si>
    <t>41111</t>
  </si>
  <si>
    <t>DIT ST CAPT INTEREST</t>
  </si>
  <si>
    <t>41112</t>
  </si>
  <si>
    <t>41113</t>
  </si>
  <si>
    <t>41114</t>
  </si>
  <si>
    <t>41115</t>
  </si>
  <si>
    <t>41116</t>
  </si>
  <si>
    <t>41117</t>
  </si>
  <si>
    <t>41118</t>
  </si>
  <si>
    <t>41119</t>
  </si>
  <si>
    <t>41120</t>
  </si>
  <si>
    <t>41121</t>
  </si>
  <si>
    <t>41122</t>
  </si>
  <si>
    <t>41123</t>
  </si>
  <si>
    <t>41124</t>
  </si>
  <si>
    <t>41125</t>
  </si>
  <si>
    <t>41126</t>
  </si>
  <si>
    <t>DOT FD ORDER #5571</t>
  </si>
  <si>
    <t>41127</t>
  </si>
  <si>
    <t>41128</t>
  </si>
  <si>
    <t>41129</t>
  </si>
  <si>
    <t>41130</t>
  </si>
  <si>
    <t>INVESTMENT TAX CREDIT-CURR</t>
  </si>
  <si>
    <t>41131</t>
  </si>
  <si>
    <t>INVESTMENT TAX CREDIT-AMORT</t>
  </si>
  <si>
    <t>41132</t>
  </si>
  <si>
    <t>41133</t>
  </si>
  <si>
    <t>41134</t>
  </si>
  <si>
    <t>41135</t>
  </si>
  <si>
    <t>41136</t>
  </si>
  <si>
    <t>41137</t>
  </si>
  <si>
    <t>41138</t>
  </si>
  <si>
    <t>41139</t>
  </si>
  <si>
    <t>41140</t>
  </si>
  <si>
    <t>ITC CURRENT-NONUTILITY</t>
  </si>
  <si>
    <t>41141</t>
  </si>
  <si>
    <t>ITC AMORT-NONUTILITY</t>
  </si>
  <si>
    <t>41142</t>
  </si>
  <si>
    <t>41143</t>
  </si>
  <si>
    <t>41144</t>
  </si>
  <si>
    <t>41145</t>
  </si>
  <si>
    <t>41146</t>
  </si>
  <si>
    <t>41147</t>
  </si>
  <si>
    <t>41148</t>
  </si>
  <si>
    <t>41149</t>
  </si>
  <si>
    <t>DIT-ADJ 48% TO 46%FED</t>
  </si>
  <si>
    <t>41150</t>
  </si>
  <si>
    <t>41151</t>
  </si>
  <si>
    <t>41152</t>
  </si>
  <si>
    <t>41153</t>
  </si>
  <si>
    <t>41159</t>
  </si>
  <si>
    <t>DIT CR-DEF LEASE ST-NONUTIL</t>
  </si>
  <si>
    <t>41160</t>
  </si>
  <si>
    <t>GAIN-PROP HELD FOR FUTURE USE</t>
  </si>
  <si>
    <t>41169</t>
  </si>
  <si>
    <t>DIT CR-DEF LEASE FED-NONUTIL</t>
  </si>
  <si>
    <t>41170</t>
  </si>
  <si>
    <t>LOSS-PROP HELD FOR FUTURE USE</t>
  </si>
  <si>
    <t>41171</t>
  </si>
  <si>
    <t>41172</t>
  </si>
  <si>
    <t>41180</t>
  </si>
  <si>
    <t>41181</t>
  </si>
  <si>
    <t>41182</t>
  </si>
  <si>
    <t>AMORT OF REG ASSET/LIAB-FAS10</t>
  </si>
  <si>
    <t>41183</t>
  </si>
  <si>
    <t>41184</t>
  </si>
  <si>
    <t>41185</t>
  </si>
  <si>
    <t>41186</t>
  </si>
  <si>
    <t>41188</t>
  </si>
  <si>
    <t>S02 ALLOWANCE SALES - RETAIL</t>
  </si>
  <si>
    <t>41189</t>
  </si>
  <si>
    <t>SO2 ALLOWANCE SALES - WHLSE</t>
  </si>
  <si>
    <t>411</t>
  </si>
  <si>
    <t>41511</t>
  </si>
  <si>
    <t>REV-COMM SURGE SUPPRESSION EQ</t>
  </si>
  <si>
    <t>41512</t>
  </si>
  <si>
    <t>REV-RES SURGE SUPPRESSION EQU</t>
  </si>
  <si>
    <t>41530</t>
  </si>
  <si>
    <t>REV - HURRICANE KITS</t>
  </si>
  <si>
    <t>41531</t>
  </si>
  <si>
    <t>REV - SMALL BUSINESS RESOURCE</t>
  </si>
  <si>
    <t>41532</t>
  </si>
  <si>
    <t>REV - TAMPA ELECTRIC CONNECTI</t>
  </si>
  <si>
    <t>41541</t>
  </si>
  <si>
    <t>REVENUE-TREE TRIMMING</t>
  </si>
  <si>
    <t>41550</t>
  </si>
  <si>
    <t>CUSTOMER OWNED LIGHTING MAINT</t>
  </si>
  <si>
    <t>41568</t>
  </si>
  <si>
    <t>POWER MANAGER REVENUES</t>
  </si>
  <si>
    <t>41571</t>
  </si>
  <si>
    <t>TECO GUARD APPLIANCE GUARANTE</t>
  </si>
  <si>
    <t>41580</t>
  </si>
  <si>
    <t>REV-TECO PROPANE-MTR READING</t>
  </si>
  <si>
    <t>41581</t>
  </si>
  <si>
    <t>REV-SW FLORIDA WATER MGMT DIS</t>
  </si>
  <si>
    <t>415</t>
  </si>
  <si>
    <t>41610</t>
  </si>
  <si>
    <t>COMM UNINTERRUPTIBLE POWER SU</t>
  </si>
  <si>
    <t>41611</t>
  </si>
  <si>
    <t>ZAP CAP FOR BUSINESS</t>
  </si>
  <si>
    <t>41612</t>
  </si>
  <si>
    <t>RESIDENTIAL ZAP CAP</t>
  </si>
  <si>
    <t>41620</t>
  </si>
  <si>
    <t>EQUIPMENT LEASE</t>
  </si>
  <si>
    <t>41630</t>
  </si>
  <si>
    <t>HURRICANE KITS - EXPENSE</t>
  </si>
  <si>
    <t>41631</t>
  </si>
  <si>
    <t xml:space="preserve">Unamortized Debt Expense HCIDA Bonds 2020 20M </t>
  </si>
  <si>
    <t>Unamortized Debt Expense HCIDA Bonds 2018 54.2 M</t>
  </si>
  <si>
    <t>Unamortized Debt Expense 1992 Series $75M</t>
  </si>
  <si>
    <t>Amortization of Bond Discount-1992 Series 1st Mortgage Bonds</t>
  </si>
  <si>
    <t>Amortization of Call Premium-1992 Series 1st Mortgage Bonds</t>
  </si>
  <si>
    <t>Unamortized Debt Expense Series B Bonds $80M</t>
  </si>
  <si>
    <t>Unamortized Debt Expense-Call Prem for Series B Bonds $80M</t>
  </si>
  <si>
    <t>Unamortized Debt Expense-Series B Bonds $20M</t>
  </si>
  <si>
    <t>Unamortized Debt Expense-Call Prem for Series B Bonds $20M</t>
  </si>
  <si>
    <t>Unamortized Debt Expense-Series A Bonds $3.125M</t>
  </si>
  <si>
    <t>Unamortized Debt Expense-Call Prem-Series A Bonds $3.125M</t>
  </si>
  <si>
    <t>Unamortized Debt Expense-Series A Bonds $21.875M</t>
  </si>
  <si>
    <t>Unamrtzed Debt Expense-Call Prem-Series A Bonds $21.875M</t>
  </si>
  <si>
    <t>PREPAID INS-OFFICERS UMBRELLA</t>
  </si>
  <si>
    <t>16514</t>
  </si>
  <si>
    <t>PREP INSUR DIR &amp; OFFICER LIAB</t>
  </si>
  <si>
    <t>16516</t>
  </si>
  <si>
    <t>TECO PLAZA INSURANCE BLDG</t>
  </si>
  <si>
    <t>16518</t>
  </si>
  <si>
    <t>PREP INSUR SPECIAL RISK</t>
  </si>
  <si>
    <t>16519</t>
  </si>
  <si>
    <t>PREPAID AMMONIA SUPPLY LINE</t>
  </si>
  <si>
    <t>16550</t>
  </si>
  <si>
    <t>MISCELLANEOUS PREPAID ITEMS</t>
  </si>
  <si>
    <t>16551</t>
  </si>
  <si>
    <t>PREPAID PENSION-QUALIFIED PLA</t>
  </si>
  <si>
    <t>16552</t>
  </si>
  <si>
    <t>PREPAID WATER</t>
  </si>
  <si>
    <t>16553</t>
  </si>
  <si>
    <t>SYNDICATED LINE OF CREDIT FAC</t>
  </si>
  <si>
    <t>16554</t>
  </si>
  <si>
    <t>A/R SECURITIZATION FACILITY F</t>
  </si>
  <si>
    <t>16560</t>
  </si>
  <si>
    <t>PREP INTEREST COMM PAPER</t>
  </si>
  <si>
    <t>16570</t>
  </si>
  <si>
    <t>POLK UNIT#1 G.E. CONTRACT/GAS</t>
  </si>
  <si>
    <t>16571</t>
  </si>
  <si>
    <t>LTSA PREPAID - POLK UNIT #1</t>
  </si>
  <si>
    <t>16572</t>
  </si>
  <si>
    <t>CSA PREPAID - POLK UNIT #2</t>
  </si>
  <si>
    <t>16573</t>
  </si>
  <si>
    <t>CSA PREPAID - POLK UNIT #3</t>
  </si>
  <si>
    <t>16574</t>
  </si>
  <si>
    <t>CSA PREPAID - POLK UNIT #4</t>
  </si>
  <si>
    <t>16575</t>
  </si>
  <si>
    <t>CSA PREPAID - POLK UNIT #5</t>
  </si>
  <si>
    <t>16580</t>
  </si>
  <si>
    <t>CSA PREPAID - BAYSIDE #1</t>
  </si>
  <si>
    <t>16581</t>
  </si>
  <si>
    <t>CSA PREPAID - BAYSIDE #2</t>
  </si>
  <si>
    <t>165</t>
  </si>
  <si>
    <t>17103</t>
  </si>
  <si>
    <t>INT REC</t>
  </si>
  <si>
    <t>17141</t>
  </si>
  <si>
    <t>INTEREST RECEIVABLE - RTO</t>
  </si>
  <si>
    <t>171</t>
  </si>
  <si>
    <t>17301</t>
  </si>
  <si>
    <t>ACCRUED UTILITY REVENUE</t>
  </si>
  <si>
    <t>17303</t>
  </si>
  <si>
    <t>GTE POLE ATTACHMENT ACCRUAL</t>
  </si>
  <si>
    <t>173</t>
  </si>
  <si>
    <t>17601</t>
  </si>
  <si>
    <t>DEF DR - DERIVATIVE ASSET - S</t>
  </si>
  <si>
    <t>17602</t>
  </si>
  <si>
    <t>DEF DR - REG DERIVATIVE ASSET</t>
  </si>
  <si>
    <t>17603</t>
  </si>
  <si>
    <t>DEFERRED DEBIT - REGULATORY T</t>
  </si>
  <si>
    <t>17604</t>
  </si>
  <si>
    <t>DEF DR-DERIVATIVE ASSET-L/T</t>
  </si>
  <si>
    <t>17605</t>
  </si>
  <si>
    <t>DEF DR-REG DERIVATIVE ASSET -</t>
  </si>
  <si>
    <t>17606</t>
  </si>
  <si>
    <t>DEFERRED DEBIT - INTEREST RAT</t>
  </si>
  <si>
    <t>17607</t>
  </si>
  <si>
    <t>DEF DR-DERV ASSET-NQL-ST</t>
  </si>
  <si>
    <t>17608</t>
  </si>
  <si>
    <t>DEF DR-DERV ASSET-NQL-LT</t>
  </si>
  <si>
    <t>176</t>
  </si>
  <si>
    <t>18108</t>
  </si>
  <si>
    <t>UNAM DEBT EXP 2030 BONDS 75M</t>
  </si>
  <si>
    <t>18109</t>
  </si>
  <si>
    <t>UNAM DEBT EXP 2007 BONDS</t>
  </si>
  <si>
    <t>18127</t>
  </si>
  <si>
    <t>DIT ST DEF FUEL/CONS</t>
  </si>
  <si>
    <t>28316</t>
  </si>
  <si>
    <t>DIT ST UNBILLED REVENUE</t>
  </si>
  <si>
    <t>28323</t>
  </si>
  <si>
    <t>DIT FD OTHER</t>
  </si>
  <si>
    <t>28324</t>
  </si>
  <si>
    <t>DIT FD BAD DEBT RESERVE</t>
  </si>
  <si>
    <t>28325</t>
  </si>
  <si>
    <t>DIT FD DEF FUEL/CONS</t>
  </si>
  <si>
    <t>28326</t>
  </si>
  <si>
    <t>DIT FD UNBILLED REVENUE</t>
  </si>
  <si>
    <t>28330</t>
  </si>
  <si>
    <t>DIT ST BOND REFINANCING</t>
  </si>
  <si>
    <t>28331</t>
  </si>
  <si>
    <t>DIT FD BOND REFINANCING</t>
  </si>
  <si>
    <t>28336</t>
  </si>
  <si>
    <t>DIT ST COAL CONTRACT BUYOUT</t>
  </si>
  <si>
    <t>28337</t>
  </si>
  <si>
    <t>DIT FD COAL CONTRACT BUYOUT</t>
  </si>
  <si>
    <t>28338</t>
  </si>
  <si>
    <t>DIT ST HP START-UP COSTS</t>
  </si>
  <si>
    <t>28339</t>
  </si>
  <si>
    <t>MISC EXP DIRECTORS EXP</t>
  </si>
  <si>
    <t>93004</t>
  </si>
  <si>
    <t>MISC EXP TRANSFER AGENT</t>
  </si>
  <si>
    <t>93006</t>
  </si>
  <si>
    <t>MISC EXP TRUSTEES EXP</t>
  </si>
  <si>
    <t>93020</t>
  </si>
  <si>
    <t>AMORT FEES/EXP 2023 BONDS</t>
  </si>
  <si>
    <t>42849</t>
  </si>
  <si>
    <t>AMORT FEES/EXP 2012 BONDS</t>
  </si>
  <si>
    <t>42850</t>
  </si>
  <si>
    <t>AMORT FEES/EXP 2007 BONDS</t>
  </si>
  <si>
    <t>42851</t>
  </si>
  <si>
    <t>AMORT FEES/EXP 2016 SENIOR NO</t>
  </si>
  <si>
    <t>42854</t>
  </si>
  <si>
    <t>42855</t>
  </si>
  <si>
    <t>AMORT EXP 2025 BOND 51.6</t>
  </si>
  <si>
    <t>42856</t>
  </si>
  <si>
    <t>AMORT EXP 2020 BONDS 20 M</t>
  </si>
  <si>
    <t>428</t>
  </si>
  <si>
    <t>42911</t>
  </si>
  <si>
    <t>AMORT GAIN 2007 BONDS.</t>
  </si>
  <si>
    <t>42944</t>
  </si>
  <si>
    <t>AMORT PREM 2001 BONDS.</t>
  </si>
  <si>
    <t>42945</t>
  </si>
  <si>
    <t>AMORT EXP 2002 BONDS</t>
  </si>
  <si>
    <t>42946</t>
  </si>
  <si>
    <t>AMORT PREM 2013 BONDS</t>
  </si>
  <si>
    <t>429</t>
  </si>
  <si>
    <t>43002</t>
  </si>
  <si>
    <t>INTEREST EXPENSE - ASSOCIATED</t>
  </si>
  <si>
    <t>430</t>
  </si>
  <si>
    <t>43101</t>
  </si>
  <si>
    <t>OTHER INTRST EXP CUST DEPOSIT</t>
  </si>
  <si>
    <t>43102</t>
  </si>
  <si>
    <t>OTHER INTRST EXP FED INCOME T</t>
  </si>
  <si>
    <t>43104</t>
  </si>
  <si>
    <t>OTHER INTEREST EXP COMM PAPER</t>
  </si>
  <si>
    <t>43106</t>
  </si>
  <si>
    <t>INT EXP STATE INCOME TAX.</t>
  </si>
  <si>
    <t>43113</t>
  </si>
  <si>
    <t>TELECOMMUNICATIONS-VOICE &amp; DA</t>
  </si>
  <si>
    <t>93214</t>
  </si>
  <si>
    <t>TELECOMMUNICATIONS-TRANSMISSI</t>
  </si>
  <si>
    <t>93215</t>
  </si>
  <si>
    <t>METRO LINK-DIRECT COSTS</t>
  </si>
  <si>
    <t>93216</t>
  </si>
  <si>
    <t>METRO LINK-INDIRECT COSTS</t>
  </si>
  <si>
    <t>93221</t>
  </si>
  <si>
    <t>GRAY ST SUBSTATION AND 69 KV</t>
  </si>
  <si>
    <t>93249</t>
  </si>
  <si>
    <t>MAINTENANCE-TELECOM CABLE ROU</t>
  </si>
  <si>
    <t>93284</t>
  </si>
  <si>
    <t>ADMIN. MAINTENANCE - MISCELLA</t>
  </si>
  <si>
    <t>93286</t>
  </si>
  <si>
    <t>NERC - ECC AND YBOR</t>
  </si>
  <si>
    <t>93288</t>
  </si>
  <si>
    <t>NERC - SUBSTATIONS</t>
  </si>
  <si>
    <t>93289</t>
  </si>
  <si>
    <t>NERC - COMMON O&amp;M</t>
  </si>
  <si>
    <t>93290</t>
  </si>
  <si>
    <t>ADMIN MAINT-ENVIRONMENTAL</t>
  </si>
  <si>
    <t>93291</t>
  </si>
  <si>
    <t>NERC - COMMON GENERATION</t>
  </si>
  <si>
    <t>93292</t>
  </si>
  <si>
    <t>ADMIN MAINT-HVAC</t>
  </si>
  <si>
    <t>93293</t>
  </si>
  <si>
    <t>ADMIN MAINT-MISC STRUCTURES</t>
  </si>
  <si>
    <t>93294</t>
  </si>
  <si>
    <t>ADMIN MAINT-PAINTING</t>
  </si>
  <si>
    <t>93295</t>
  </si>
  <si>
    <t>ADMIN MAINT-PEST CONTROL</t>
  </si>
  <si>
    <t>93296</t>
  </si>
  <si>
    <t>ADMIN MAINT-PLUMBING</t>
  </si>
  <si>
    <t>93299</t>
  </si>
  <si>
    <t>ADMIN MAINT-WATER</t>
  </si>
  <si>
    <t>932</t>
  </si>
  <si>
    <t>99999</t>
  </si>
  <si>
    <t>XYZ</t>
  </si>
  <si>
    <t>999</t>
  </si>
  <si>
    <t>TAX COL PAY UTIL TX AUBURNDAL</t>
  </si>
  <si>
    <t>24116</t>
  </si>
  <si>
    <t>TAX COL PAY UTIL TX PLANT CIT</t>
  </si>
  <si>
    <t>24117</t>
  </si>
  <si>
    <t>TAX COL PAY UTIL TX MULBERRY</t>
  </si>
  <si>
    <t>24118</t>
  </si>
  <si>
    <t>TAX COL PAY UTIL TX DADE CITY</t>
  </si>
  <si>
    <t>24119</t>
  </si>
  <si>
    <t>TAX COL PAY UTIL TX LAKE ALFD</t>
  </si>
  <si>
    <t>24120</t>
  </si>
  <si>
    <t>TAX COL PAY UTIL TX OLDSMAR</t>
  </si>
  <si>
    <t>24121</t>
  </si>
  <si>
    <t>TAX COL PAY UTIL TX POLK COUN</t>
  </si>
  <si>
    <t>24122</t>
  </si>
  <si>
    <t>TAX COL PAY UTIL TX LAKE WALE</t>
  </si>
  <si>
    <t>24123</t>
  </si>
  <si>
    <t>TAX COL PAY UTIL TX BARTOW</t>
  </si>
  <si>
    <t>24124</t>
  </si>
  <si>
    <t>TAX COL PAY UTIL TAX ST. LEO</t>
  </si>
  <si>
    <t>24130</t>
  </si>
  <si>
    <t>VA. STATE TAX</t>
  </si>
  <si>
    <t>24133</t>
  </si>
  <si>
    <t>DISCRETIONARY SALES SURTAX -</t>
  </si>
  <si>
    <t>24134</t>
  </si>
  <si>
    <t>24135</t>
  </si>
  <si>
    <t>TAX COL PAY FICA EMP PORTION</t>
  </si>
  <si>
    <t>24136</t>
  </si>
  <si>
    <t>TAX COL PAY FED INC TX W/HELD</t>
  </si>
  <si>
    <t>24137</t>
  </si>
  <si>
    <t>ILLINOIS STATE TAX</t>
  </si>
  <si>
    <t>24138</t>
  </si>
  <si>
    <t>TAXES PAY 1099 WITHHOLDING</t>
  </si>
  <si>
    <t>24141</t>
  </si>
  <si>
    <t>SALES TAX ELEC 7% HILLSBOROUG</t>
  </si>
  <si>
    <t>24142</t>
  </si>
  <si>
    <t>SALES TAX ELEC 7% PASCO</t>
  </si>
  <si>
    <t>24143</t>
  </si>
  <si>
    <t>SALES TAX ELEC 7% PINELLAS</t>
  </si>
  <si>
    <t>24144</t>
  </si>
  <si>
    <t>24145</t>
  </si>
  <si>
    <t>SALES TAX LIGHTING FACILITIES</t>
  </si>
  <si>
    <t>24199</t>
  </si>
  <si>
    <t>SALES TAX PAYABLE 0.0%</t>
  </si>
  <si>
    <t>241</t>
  </si>
  <si>
    <t>24202</t>
  </si>
  <si>
    <t>CURR LIAB-VACATIONS</t>
  </si>
  <si>
    <t>24237</t>
  </si>
  <si>
    <t>FAS 106 LIABILITY ST - FAS 15</t>
  </si>
  <si>
    <t>24238</t>
  </si>
  <si>
    <t>24296</t>
  </si>
  <si>
    <t>REVENUE REFUND.</t>
  </si>
  <si>
    <t>24299</t>
  </si>
  <si>
    <t>REVENUE REFUND - 1999</t>
  </si>
  <si>
    <t>242</t>
  </si>
  <si>
    <t>24501</t>
  </si>
  <si>
    <t>CATV PROJECT VAR - PARAGON</t>
  </si>
  <si>
    <t>25317</t>
  </si>
  <si>
    <t>ADVANCES - PARAGON CATV LN VA</t>
  </si>
  <si>
    <t>25318</t>
  </si>
  <si>
    <t>ADVANCES-CATV OTHER-LN ALTR</t>
  </si>
  <si>
    <t>25319</t>
  </si>
  <si>
    <t>DEF LEASE PAYMENTS-UTILITY</t>
  </si>
  <si>
    <t>25320</t>
  </si>
  <si>
    <t>DEF LEASE PAYMENTS-NONUTILITY</t>
  </si>
  <si>
    <t>25321</t>
  </si>
  <si>
    <t>DEF LEASE PAYMENTS-UTIL</t>
  </si>
  <si>
    <t>25322</t>
  </si>
  <si>
    <t>DEF LEASE PAYMENTS-NONUTIL</t>
  </si>
  <si>
    <t>25324</t>
  </si>
  <si>
    <t>CONTRACT RETENTIONS</t>
  </si>
  <si>
    <t>25327</t>
  </si>
  <si>
    <t>25342</t>
  </si>
  <si>
    <t>DEFERRED REV - GTE FCU</t>
  </si>
  <si>
    <t>25350</t>
  </si>
  <si>
    <t>ADVANCE TRANSMISSION BILLING</t>
  </si>
  <si>
    <t>25351</t>
  </si>
  <si>
    <t>DEFERRED CREDIT - DERIVATIVE</t>
  </si>
  <si>
    <t>25355</t>
  </si>
  <si>
    <t>DEF CR - ENVIRON COST RECOV.</t>
  </si>
  <si>
    <t>25361</t>
  </si>
  <si>
    <t>REEDY CREEK SUMMER DEMAND</t>
  </si>
  <si>
    <t>25362</t>
  </si>
  <si>
    <t>CATV SOUTHEAST 1 ADVANCES</t>
  </si>
  <si>
    <t>25363</t>
  </si>
  <si>
    <t>CATV SOUTHEAST 1 VARIANCE ACC</t>
  </si>
  <si>
    <t>25364</t>
  </si>
  <si>
    <t>OTHER DEFERRED CREDIT - MLCI</t>
  </si>
  <si>
    <t>25365</t>
  </si>
  <si>
    <t>OTHER DEFERRED CREDIT - RENEW</t>
  </si>
  <si>
    <t>25370</t>
  </si>
  <si>
    <t>INSURANCE PROCEEDS-CLAIM SETT</t>
  </si>
  <si>
    <t>25371</t>
  </si>
  <si>
    <t>LTSA UNDERPAYMENT - POLK UNIT</t>
  </si>
  <si>
    <t>25372</t>
  </si>
  <si>
    <t>CSA UNDERPAYMENT - POLK UNIT</t>
  </si>
  <si>
    <t>25373</t>
  </si>
  <si>
    <t>25375</t>
  </si>
  <si>
    <t>DEF CR-OUC INTEREST IN 69KV</t>
  </si>
  <si>
    <t>25380</t>
  </si>
  <si>
    <t>CSA UNDERPAYMENT - BAYSIDE UN</t>
  </si>
  <si>
    <t>25381</t>
  </si>
  <si>
    <t>25393</t>
  </si>
  <si>
    <t>DEF REVENUE-FIBER OPTICS</t>
  </si>
  <si>
    <t>253</t>
  </si>
  <si>
    <t>25400</t>
  </si>
  <si>
    <t>OTHER REG LIAB-FAS109 INC TAX</t>
  </si>
  <si>
    <t>25401</t>
  </si>
  <si>
    <t>OTH REG LIAB ALLOW'S AUCTIONE</t>
  </si>
  <si>
    <t>25431</t>
  </si>
  <si>
    <t>DEFERRED CREDIT - REGULATORY</t>
  </si>
  <si>
    <t>25432</t>
  </si>
  <si>
    <t>DEFERRED CREDIT CONSERVATION</t>
  </si>
  <si>
    <t>25433</t>
  </si>
  <si>
    <t>DEFERRED CREDIT FUEL-RETAIL</t>
  </si>
  <si>
    <t>25434</t>
  </si>
  <si>
    <t>DEFERRED CREDIT CAPACITY</t>
  </si>
  <si>
    <t>25435</t>
  </si>
  <si>
    <t>DEFERRED CREDIT-FUEL-WHOLESAL</t>
  </si>
  <si>
    <t>25438</t>
  </si>
  <si>
    <t>DEF CR ECRC</t>
  </si>
  <si>
    <t>25446</t>
  </si>
  <si>
    <t>ST DEF GAIN ON PROPERTY SALES</t>
  </si>
  <si>
    <t>25447</t>
  </si>
  <si>
    <t>25448</t>
  </si>
  <si>
    <t>LT DEF GAIN ON PROPERTY SALES</t>
  </si>
  <si>
    <t>25449</t>
  </si>
  <si>
    <t>25451</t>
  </si>
  <si>
    <t>25452</t>
  </si>
  <si>
    <t>41632</t>
  </si>
  <si>
    <t>EXPENSE - TAMPA ELECTRIC CONN</t>
  </si>
  <si>
    <t>41641</t>
  </si>
  <si>
    <t>EXPENSE-TREE TRIMMING</t>
  </si>
  <si>
    <t>41650</t>
  </si>
  <si>
    <t>41668</t>
  </si>
  <si>
    <t>NEW PRODUCTS - PRELIMINARY</t>
  </si>
  <si>
    <t>41671</t>
  </si>
  <si>
    <t>41680</t>
  </si>
  <si>
    <t>EXPENSE-TECO PROPANE-MTR READ</t>
  </si>
  <si>
    <t>41681</t>
  </si>
  <si>
    <t>EXPENSE-SW FLORIDA WATER MGMT</t>
  </si>
  <si>
    <t>416</t>
  </si>
  <si>
    <t>41802</t>
  </si>
  <si>
    <t>RENTAL INCOME - GTE FCU</t>
  </si>
  <si>
    <t>41805</t>
  </si>
  <si>
    <t>RENTAL INCOME - UNITED MARITI</t>
  </si>
  <si>
    <t>41806</t>
  </si>
  <si>
    <t>RENTAL INCOME TECO PLAZA BLDG</t>
  </si>
  <si>
    <t>41807</t>
  </si>
  <si>
    <t>RENTAL INCOME TECO PLAZA PARK</t>
  </si>
  <si>
    <t>41808</t>
  </si>
  <si>
    <t>RENTAL INCOME-RESTAURANT</t>
  </si>
  <si>
    <t>41810</t>
  </si>
  <si>
    <t>OP EXP-TECO PLAZA TENANTS</t>
  </si>
  <si>
    <t>INTEREST EXPENSE - AFFILIATES</t>
  </si>
  <si>
    <t>43131</t>
  </si>
  <si>
    <t>INT EXP ON DEF FUEL</t>
  </si>
  <si>
    <t>43133</t>
  </si>
  <si>
    <t>SALE OF PORT MANATEE TRANS R/</t>
  </si>
  <si>
    <t>25455</t>
  </si>
  <si>
    <t>SALE OF PSC COMPLEX</t>
  </si>
  <si>
    <t>25456</t>
  </si>
  <si>
    <t>DEF CR - SALE OF TRANS R/W BE</t>
  </si>
  <si>
    <t>25457</t>
  </si>
  <si>
    <t>SALE OF TRACT OF TEC TRANS R/</t>
  </si>
  <si>
    <t>25458</t>
  </si>
  <si>
    <t>SALE OF LAND PARCEL TO FL DOT</t>
  </si>
  <si>
    <t>25459</t>
  </si>
  <si>
    <t>DEF CR - 2006 SALE OF UT LIGH</t>
  </si>
  <si>
    <t>25460</t>
  </si>
  <si>
    <t>DEF CR - BELL CREEEK SUB LAND</t>
  </si>
  <si>
    <t>25462</t>
  </si>
  <si>
    <t>SALE OF LIGHTING SYSTEM TO CI</t>
  </si>
  <si>
    <t>25468</t>
  </si>
  <si>
    <t>DEF CR - CLEARVIEW SUB LAND</t>
  </si>
  <si>
    <t>25469</t>
  </si>
  <si>
    <t>DEF CR - BB TO FPL TRANS R/W</t>
  </si>
  <si>
    <t>25470</t>
  </si>
  <si>
    <t>DEF. CR - SALE OF TURKEY CREE</t>
  </si>
  <si>
    <t>25471</t>
  </si>
  <si>
    <t>DEF AERIAL SURVEY CREDIT</t>
  </si>
  <si>
    <t>25472</t>
  </si>
  <si>
    <t>DEF. CREDIT-SALE OF OLDSMAR B</t>
  </si>
  <si>
    <t>25473</t>
  </si>
  <si>
    <t>DEF. CREDIT SALE OF TAYLOR RD</t>
  </si>
  <si>
    <t>25475</t>
  </si>
  <si>
    <t>DEF CR - SALE OF BERKLEY RD S</t>
  </si>
  <si>
    <t>25477</t>
  </si>
  <si>
    <t>DEF CR 2003 SALE OF TT TX ROW</t>
  </si>
  <si>
    <t>25481</t>
  </si>
  <si>
    <t>DEF CR SALE OF 50TH ST FACILI</t>
  </si>
  <si>
    <t>25485</t>
  </si>
  <si>
    <t>DEF CR SALE OF TEMPLE TERR VA</t>
  </si>
  <si>
    <t>25488</t>
  </si>
  <si>
    <t>DEF CR. SALE OF LITHIA STA BU</t>
  </si>
  <si>
    <t>25493</t>
  </si>
  <si>
    <t>DEF CR. - SALE OF ADJ. PROP-1</t>
  </si>
  <si>
    <t>25494</t>
  </si>
  <si>
    <t>SALE OF HOOKERS POINT SUB LAN</t>
  </si>
  <si>
    <t>25495</t>
  </si>
  <si>
    <t>DEF CR. - SALE OF DADE BUS OF</t>
  </si>
  <si>
    <t>25496</t>
  </si>
  <si>
    <t>DEF CR. - SALE OF BRANDON BUS</t>
  </si>
  <si>
    <t>25497</t>
  </si>
  <si>
    <t>SALE OF TRANS R/W - TEMPLE TE</t>
  </si>
  <si>
    <t>25498</t>
  </si>
  <si>
    <t>DEF CR. - SALE OF WINTER HAVE</t>
  </si>
  <si>
    <t>25499</t>
  </si>
  <si>
    <t>SALE OF METLIFE ASSETS</t>
  </si>
  <si>
    <t>254</t>
  </si>
  <si>
    <t>25501</t>
  </si>
  <si>
    <t>ACC DEF ITC OBO 10% 1975</t>
  </si>
  <si>
    <t>25503</t>
  </si>
  <si>
    <t>ACC DEF ITC OBO  8% 1983</t>
  </si>
  <si>
    <t>25504</t>
  </si>
  <si>
    <t>OFFICE SUPP &amp; EXP - GROUND MA</t>
  </si>
  <si>
    <t>92192</t>
  </si>
  <si>
    <t>OFFICE SUPP &amp; EXP - HVAC</t>
  </si>
  <si>
    <t>92193</t>
  </si>
  <si>
    <t>OFFICE SUPP &amp; EXP - MISC STRU</t>
  </si>
  <si>
    <t>92194</t>
  </si>
  <si>
    <t>OFFICE SUPP &amp; EXP - PAINTING</t>
  </si>
  <si>
    <t>92195</t>
  </si>
  <si>
    <t>OFFICE SUPP &amp; EXP - PEST CONT</t>
  </si>
  <si>
    <t>92196</t>
  </si>
  <si>
    <t>OFFICE SUPP &amp; EXP - PLUMBING</t>
  </si>
  <si>
    <t>92197</t>
  </si>
  <si>
    <t>OFFICE SUPPLY &amp; EXP - WASTE -</t>
  </si>
  <si>
    <t>92198</t>
  </si>
  <si>
    <t>OFFICE SUPP &amp; EXP - TRASH</t>
  </si>
  <si>
    <t>92199</t>
  </si>
  <si>
    <t>OFFICE SUPP &amp; EXP - WATER</t>
  </si>
  <si>
    <t>921</t>
  </si>
  <si>
    <t>92200</t>
  </si>
  <si>
    <t>ADMIN EXP TRANSFERRED</t>
  </si>
  <si>
    <t>922</t>
  </si>
  <si>
    <t>92301</t>
  </si>
  <si>
    <t>MANAGEMENT CONSULTANTS</t>
  </si>
  <si>
    <t>92302</t>
  </si>
  <si>
    <t>AUDITING CONSULTANTS</t>
  </si>
  <si>
    <t>92303</t>
  </si>
  <si>
    <t>LEGAL CONSULTANTS</t>
  </si>
  <si>
    <t>92304</t>
  </si>
  <si>
    <t>CONSULT PSYCHOLOGIST</t>
  </si>
  <si>
    <t>92305</t>
  </si>
  <si>
    <t>OTHER OUTSIDE SERV</t>
  </si>
  <si>
    <t>92306</t>
  </si>
  <si>
    <t>ENVIRONMENTAL LEGISLATION REV</t>
  </si>
  <si>
    <t>923</t>
  </si>
  <si>
    <t>92401</t>
  </si>
  <si>
    <t>PROP INS - GENERAL PROPERTY</t>
  </si>
  <si>
    <t>92402</t>
  </si>
  <si>
    <t>PROP INS - CRIME &amp; FIDELITY</t>
  </si>
  <si>
    <t>92412</t>
  </si>
  <si>
    <t>PROP INS - T &amp; D PROPERTY</t>
  </si>
  <si>
    <t>924</t>
  </si>
  <si>
    <t>92503</t>
  </si>
  <si>
    <t>LIAB INS-ERRORS &amp; OMISSIONS.</t>
  </si>
  <si>
    <t>92504</t>
  </si>
  <si>
    <t>LIAB INS - DIRECTORS &amp; OFFICE</t>
  </si>
  <si>
    <t>92505</t>
  </si>
  <si>
    <t>LIAB INS - SPECIAL RISK</t>
  </si>
  <si>
    <t>92507</t>
  </si>
  <si>
    <t>LIAB INS - LONGSHOREMEN COMP</t>
  </si>
  <si>
    <t>92508</t>
  </si>
  <si>
    <t>LIAB INS - GENERAL LIABILITY</t>
  </si>
  <si>
    <t>92509</t>
  </si>
  <si>
    <t>LIAB INS - WORKERS COMP</t>
  </si>
  <si>
    <t>92510</t>
  </si>
  <si>
    <t>LIAB INS - FIDUCIARY</t>
  </si>
  <si>
    <t>92511</t>
  </si>
  <si>
    <t>I&amp;D CLM SECT ADM &amp; ACC PRV UC</t>
  </si>
  <si>
    <t>92512</t>
  </si>
  <si>
    <t>I&amp;D CLM SECT ADM &amp; ACC PRV UR</t>
  </si>
  <si>
    <t>92513</t>
  </si>
  <si>
    <t>I&amp;D CLM SEC ADM &amp; ACC PRV NTW</t>
  </si>
  <si>
    <t>92514</t>
  </si>
  <si>
    <t>I&amp;D CLM SECT ADM &amp; ACC PRV O/</t>
  </si>
  <si>
    <t>92515</t>
  </si>
  <si>
    <t>I&amp;D CLM SECT ADM &amp; ACC PRV OT</t>
  </si>
  <si>
    <t>92516</t>
  </si>
  <si>
    <t>PROP INS - TECO PLAZA LIABILI</t>
  </si>
  <si>
    <t>92520</t>
  </si>
  <si>
    <t>I&amp;D PROVISION ACCRUAL - GEN L</t>
  </si>
  <si>
    <t>92521</t>
  </si>
  <si>
    <t>I&amp;D PROVISION ACCRUAL - W/COM</t>
  </si>
  <si>
    <t>92522</t>
  </si>
  <si>
    <t>I&amp;D PROVISION ACCRUAL 0 LONGS</t>
  </si>
  <si>
    <t>92590</t>
  </si>
  <si>
    <t>ADMIN &amp; GEN EXP TRANSFER</t>
  </si>
  <si>
    <t>925</t>
  </si>
  <si>
    <t>92600</t>
  </si>
  <si>
    <t>EMP PEN &amp; BENEFITS</t>
  </si>
  <si>
    <t>92601</t>
  </si>
  <si>
    <t>EMPL PEN&amp;BEN REGULAR-ADMIN EX</t>
  </si>
  <si>
    <t>92602</t>
  </si>
  <si>
    <t>PENSIONS-QUALIFIED PLAN</t>
  </si>
  <si>
    <t>92603</t>
  </si>
  <si>
    <t>PEN&amp;BEN CREDIT FOR CAPITALIZA</t>
  </si>
  <si>
    <t>92605</t>
  </si>
  <si>
    <t>EDUCATION REFUND</t>
  </si>
  <si>
    <t>92606</t>
  </si>
  <si>
    <t>PEN&amp;BEN PARTIES</t>
  </si>
  <si>
    <t>92607</t>
  </si>
  <si>
    <t>PEN&amp;BEN GR LIFE INSURANCE.</t>
  </si>
  <si>
    <t>92608</t>
  </si>
  <si>
    <t>MEDICAL/DENTAL ACTIVE</t>
  </si>
  <si>
    <t>92609</t>
  </si>
  <si>
    <t>PEN&amp;BEN RECREATION</t>
  </si>
  <si>
    <t>92610</t>
  </si>
  <si>
    <t>PEN&amp;BEN PHYS EXAM</t>
  </si>
  <si>
    <t>92611</t>
  </si>
  <si>
    <t>PEN&amp;BEN VACATIONS</t>
  </si>
  <si>
    <t>92612</t>
  </si>
  <si>
    <t>PENSION NON-QUALIFIED PLANS</t>
  </si>
  <si>
    <t>92613</t>
  </si>
  <si>
    <t>DONATIONS - NON-TAX DEDUCTIBL</t>
  </si>
  <si>
    <t>42615</t>
  </si>
  <si>
    <t>PRELIM BUSINESS DEVELOP COSTS</t>
  </si>
  <si>
    <t>42630</t>
  </si>
  <si>
    <t>PENALTY- TAXES</t>
  </si>
  <si>
    <t>42631</t>
  </si>
  <si>
    <t>PENALTIES - OTHER</t>
  </si>
  <si>
    <t>42651</t>
  </si>
  <si>
    <t>DEFERRED REVENUE ADJUSTMENT</t>
  </si>
  <si>
    <t>42661</t>
  </si>
  <si>
    <t>CORPORATE BRANDING</t>
  </si>
  <si>
    <t>426</t>
  </si>
  <si>
    <t>42708</t>
  </si>
  <si>
    <t>INTEREST EXP 2030 BONDS 75M</t>
  </si>
  <si>
    <t>42712</t>
  </si>
  <si>
    <t>INTEREST EXP 2007 BONDS</t>
  </si>
  <si>
    <t>42723</t>
  </si>
  <si>
    <t>23801</t>
  </si>
  <si>
    <t>DIVIDEND DECLRD COMMON STOCK</t>
  </si>
  <si>
    <t>238</t>
  </si>
  <si>
    <t>24101</t>
  </si>
  <si>
    <t>SALES TAX ELEC 6% HILLSBOROUG</t>
  </si>
  <si>
    <t>24102</t>
  </si>
  <si>
    <t>SALES TAX ELEC 6% PASCO</t>
  </si>
  <si>
    <t>24103</t>
  </si>
  <si>
    <t>SALES TAX ELEC 6% PINELLAS</t>
  </si>
  <si>
    <t>24104</t>
  </si>
  <si>
    <t>SALES TAX ELEC 6% POLK</t>
  </si>
  <si>
    <t>24106</t>
  </si>
  <si>
    <t>ACCOUNTS PAYABLE USE TAX</t>
  </si>
  <si>
    <t>24107</t>
  </si>
  <si>
    <t>SALES TAX-1% SURTAX-PINELLAS</t>
  </si>
  <si>
    <t>24108</t>
  </si>
  <si>
    <t>1% SURTAX HILLSBOROUGH</t>
  </si>
  <si>
    <t>24109</t>
  </si>
  <si>
    <t>COMMUNICATIONSSS SERVICE TAX</t>
  </si>
  <si>
    <t>24110</t>
  </si>
  <si>
    <t>TAX COL PAY POLK CITY</t>
  </si>
  <si>
    <t>24111</t>
  </si>
  <si>
    <t>TAX COL PAY UTILITY TAX TAMPA</t>
  </si>
  <si>
    <t>24112</t>
  </si>
  <si>
    <t>TAX COL PAY UTIL TX TEMPLE TE</t>
  </si>
  <si>
    <t>24113</t>
  </si>
  <si>
    <t>TAX COL PAY UTIL TX WINT HAVN</t>
  </si>
  <si>
    <t>24114</t>
  </si>
  <si>
    <t>TAX COL PAY UTIL TX EAGLE LKE</t>
  </si>
  <si>
    <t>24115</t>
  </si>
  <si>
    <t>DEF CR - DERIVATIVE LIABILITY</t>
  </si>
  <si>
    <t>24502</t>
  </si>
  <si>
    <t>DEF CR - REG DERIVATIVE LIABI</t>
  </si>
  <si>
    <t>24503</t>
  </si>
  <si>
    <t>DEF CREDIT - REG TAX LIABILIT</t>
  </si>
  <si>
    <t>24504</t>
  </si>
  <si>
    <t>24505</t>
  </si>
  <si>
    <t>24506</t>
  </si>
  <si>
    <t>DEFERRED CREDIT - INTEREST RA</t>
  </si>
  <si>
    <t>24507</t>
  </si>
  <si>
    <t>DEF CR-DERV LIAB-NQL-ST</t>
  </si>
  <si>
    <t>24508</t>
  </si>
  <si>
    <t>DEF CR-DERV LIAB-NQL-LT</t>
  </si>
  <si>
    <t>245</t>
  </si>
  <si>
    <t>24603</t>
  </si>
  <si>
    <t>USE TAX ACCRUAL</t>
  </si>
  <si>
    <t>246</t>
  </si>
  <si>
    <t>25301</t>
  </si>
  <si>
    <t>OTHER DEFERRED CREDITS</t>
  </si>
  <si>
    <t>25306</t>
  </si>
  <si>
    <t>CREDIT ENHANCEMENT DEPOSITS</t>
  </si>
  <si>
    <t>25307</t>
  </si>
  <si>
    <t>OTH DEF CREDITS- TENANTS RENT</t>
  </si>
  <si>
    <t>25309</t>
  </si>
  <si>
    <t>UNCLAIMED ITEMS- A/P CHECKS</t>
  </si>
  <si>
    <t>25310</t>
  </si>
  <si>
    <t>UNCLAIMED WAGES</t>
  </si>
  <si>
    <t>25311</t>
  </si>
  <si>
    <t>PARAGON CABLE-NO MAKE READY W</t>
  </si>
  <si>
    <t>25312</t>
  </si>
  <si>
    <t>JONES CABLE-NO MAKE READY WOR</t>
  </si>
  <si>
    <t>25313</t>
  </si>
  <si>
    <t>FL SATELLITE NET CABLE</t>
  </si>
  <si>
    <t>25315</t>
  </si>
  <si>
    <t>ADVANCES-TELESAT CATV LN AIT</t>
  </si>
  <si>
    <t>25316</t>
  </si>
  <si>
    <t xml:space="preserve"> Bonds 2009 Series 125M @ 6.9%</t>
  </si>
  <si>
    <t xml:space="preserve"> Int Accr $125M   2009 Series @ 6.90%</t>
  </si>
  <si>
    <t>2009 BUDGET</t>
  </si>
  <si>
    <t>JAN 2009</t>
  </si>
  <si>
    <t>FEB 2009</t>
  </si>
  <si>
    <t>MAR 2009</t>
  </si>
  <si>
    <t>APR 2009</t>
  </si>
  <si>
    <t>MAY 2009</t>
  </si>
  <si>
    <t>JUN 2009</t>
  </si>
  <si>
    <t>JUL 2009</t>
  </si>
  <si>
    <t>AUG 2009</t>
  </si>
  <si>
    <t>SEP 2009</t>
  </si>
  <si>
    <t>OCT 2009</t>
  </si>
  <si>
    <t>NOV 2009</t>
  </si>
  <si>
    <t>DEC 2009</t>
  </si>
  <si>
    <t>For the Projected Test Year Ended December 31, 2009</t>
  </si>
  <si>
    <r>
      <t xml:space="preserve">Unamortized Debt Expense 1992 Series $75M </t>
    </r>
    <r>
      <rPr>
        <sz val="10"/>
        <rFont val="Arial"/>
        <family val="2"/>
      </rPr>
      <t>¹</t>
    </r>
  </si>
  <si>
    <r>
      <t xml:space="preserve">Amortization of Bond Discount-1992 Series 1st Mortgage Bonds </t>
    </r>
    <r>
      <rPr>
        <sz val="10"/>
        <rFont val="Arial"/>
        <family val="2"/>
      </rPr>
      <t>¹</t>
    </r>
  </si>
  <si>
    <r>
      <t xml:space="preserve">Amortization of Call Premium-1992 Series 1st Mortgage Bonds </t>
    </r>
    <r>
      <rPr>
        <sz val="10"/>
        <rFont val="Arial"/>
        <family val="2"/>
      </rPr>
      <t>¹</t>
    </r>
  </si>
  <si>
    <r>
      <t xml:space="preserve">Unamortized Debt Expense 75M  Bonds 2030 </t>
    </r>
    <r>
      <rPr>
        <sz val="10"/>
        <rFont val="Arial"/>
        <family val="2"/>
      </rPr>
      <t>¹</t>
    </r>
  </si>
  <si>
    <t>Unamortized Debt Expense 75M  Bonds 2030 ¹</t>
  </si>
  <si>
    <r>
      <t xml:space="preserve">Unamortized Debt Expense 75M  2007 Bonds due 2030 </t>
    </r>
    <r>
      <rPr>
        <sz val="10"/>
        <rFont val="Arial"/>
        <family val="2"/>
      </rPr>
      <t>¹</t>
    </r>
  </si>
  <si>
    <r>
      <t xml:space="preserve">Unamortized Debt Expense HCIDA Bonds 2020 20M </t>
    </r>
    <r>
      <rPr>
        <sz val="10"/>
        <rFont val="Arial"/>
        <family val="2"/>
      </rPr>
      <t>¹</t>
    </r>
  </si>
  <si>
    <r>
      <t xml:space="preserve">Unamortized Debt Expense 20M  2007 Bonds due 2020 </t>
    </r>
    <r>
      <rPr>
        <sz val="10"/>
        <rFont val="Arial"/>
        <family val="2"/>
      </rPr>
      <t>¹</t>
    </r>
  </si>
  <si>
    <t xml:space="preserve"> Interest Rec-Comm Paper</t>
  </si>
  <si>
    <t>Interest Receivable - RTO</t>
  </si>
  <si>
    <t>Unbilled Revenue Rec (17301,17303 GTE)</t>
  </si>
  <si>
    <t>Accrued Utility Revenue</t>
  </si>
  <si>
    <t>GTE Pole Attachment Accrual</t>
  </si>
  <si>
    <t>Derivative</t>
  </si>
  <si>
    <t xml:space="preserve"> Deferred Debit - Derivative</t>
  </si>
  <si>
    <t>Aug 8-14</t>
  </si>
  <si>
    <t>Aug 15-21</t>
  </si>
  <si>
    <t>Aug 22-28</t>
  </si>
  <si>
    <t>Sept 5-11</t>
  </si>
  <si>
    <t>Sept 12-18</t>
  </si>
  <si>
    <t>Sept 19-25</t>
  </si>
  <si>
    <t>Sept 26-30</t>
  </si>
  <si>
    <t>Oct 3-9</t>
  </si>
  <si>
    <t>Oct 10-16</t>
  </si>
  <si>
    <t>Oct 17-23</t>
  </si>
  <si>
    <t>Oct 24-30</t>
  </si>
  <si>
    <t>Nov 7-13</t>
  </si>
  <si>
    <t>Nov 14-20</t>
  </si>
  <si>
    <t>Nov 21-27</t>
  </si>
  <si>
    <t>Nov 28-30</t>
  </si>
  <si>
    <t>Dec 1-4</t>
  </si>
  <si>
    <t>Dec 5-11</t>
  </si>
  <si>
    <t>Dec 12-18</t>
  </si>
  <si>
    <t>Dec 19-25</t>
  </si>
  <si>
    <t>Dec 26-31</t>
  </si>
  <si>
    <t>Annual Fee ($51.6M * 0.25%)</t>
  </si>
  <si>
    <t xml:space="preserve">    $51.6M Bonds - 2007 Series Due 2025 (Acct 221.55)</t>
  </si>
  <si>
    <t>Annual Fee ($54.2M * 0.25%)</t>
  </si>
  <si>
    <t xml:space="preserve">$54.2M Bonds - 2007 Series Due 2018 (Acct 221.54)  </t>
  </si>
  <si>
    <t>Oct 31</t>
  </si>
  <si>
    <t>Annual Fee ($89.95M * 0.25%)</t>
  </si>
  <si>
    <t xml:space="preserve">    $85.95M Bonds - 2006 Series Due 2034 (Acct 221.45)</t>
  </si>
  <si>
    <t xml:space="preserve">December </t>
  </si>
  <si>
    <t>Jul 1-24</t>
  </si>
  <si>
    <t>July Total</t>
  </si>
  <si>
    <t>Aug Total</t>
  </si>
  <si>
    <t>Sept Total</t>
  </si>
  <si>
    <t>October Total</t>
  </si>
  <si>
    <t>Annual Fee ($ 75M * 0.25%)</t>
  </si>
  <si>
    <t>May 14-31</t>
  </si>
  <si>
    <t>Jun 21-30</t>
  </si>
  <si>
    <t>Jun 1-20</t>
  </si>
  <si>
    <t xml:space="preserve">    $75.0M Bonds - 2007 Series Due 2030 (Acct 221.08)</t>
  </si>
  <si>
    <t>Jan 1-3</t>
  </si>
  <si>
    <t>Interest Expense Jul 25-Jul 31</t>
  </si>
  <si>
    <t>$54.2M</t>
  </si>
  <si>
    <t>Series A Due May 15, 2018</t>
  </si>
  <si>
    <t>$51.6M</t>
  </si>
  <si>
    <t>Series B Due September 1, 2025</t>
  </si>
  <si>
    <t>$20.0M</t>
  </si>
  <si>
    <t>Series C Due November 1, 2020</t>
  </si>
  <si>
    <t>% of Total</t>
  </si>
  <si>
    <t>Description</t>
  </si>
  <si>
    <t>13 Month Average - account balance 182.81</t>
  </si>
  <si>
    <t>Unamortized Issuing Exp</t>
  </si>
  <si>
    <t>On Reaquired Debt</t>
  </si>
  <si>
    <t>13 Month Average - account balance 182.83</t>
  </si>
  <si>
    <t>13 Month Average - account balance 182.93</t>
  </si>
  <si>
    <t>51444</t>
  </si>
  <si>
    <t>STEAM MAINT MISC-BB4</t>
  </si>
  <si>
    <t>51449</t>
  </si>
  <si>
    <t>STEAM MAINT MISC-BB1-4</t>
  </si>
  <si>
    <t>51450</t>
  </si>
  <si>
    <t>STEAM MAINT MISC-GN1-6</t>
  </si>
  <si>
    <t>51459</t>
  </si>
  <si>
    <t>STEAM MAINT MISC-GN COAL</t>
  </si>
  <si>
    <t>51468</t>
  </si>
  <si>
    <t>STEAM MAINT MISC-HP1-6</t>
  </si>
  <si>
    <t>51469</t>
  </si>
  <si>
    <t>HP TEMP ACCT</t>
  </si>
  <si>
    <t>6.550% Due 2036</t>
  </si>
  <si>
    <t>COMMERCIAL SMALL FRANCHISE RE</t>
  </si>
  <si>
    <t>44209</t>
  </si>
  <si>
    <t>COMMERCIAL SMALL GROSS RECEIP</t>
  </si>
  <si>
    <t>44210</t>
  </si>
  <si>
    <t>COMMERCIAL LG OPT BILLING PRO</t>
  </si>
  <si>
    <t>44212</t>
  </si>
  <si>
    <t>COMMERCIAL LARGE BASE REVENUE</t>
  </si>
  <si>
    <t>44214</t>
  </si>
  <si>
    <t>13 Month Average - account balance 182.96</t>
  </si>
  <si>
    <t>13 Month Average - account balance 182.99</t>
  </si>
  <si>
    <t>18317</t>
  </si>
  <si>
    <t>BS 1A CT COMPRESSOR FAILURE</t>
  </si>
  <si>
    <t>18318</t>
  </si>
  <si>
    <t>BB/BAYSIDE 316 STUDY</t>
  </si>
  <si>
    <t>18319</t>
  </si>
  <si>
    <t>BB3 DUCT WORK ANALYSIS</t>
  </si>
  <si>
    <t>18320</t>
  </si>
  <si>
    <t>NONRECOVERABLE INTERCHG</t>
  </si>
  <si>
    <t>55522</t>
  </si>
  <si>
    <t>NONRECOVERABLE COGENERATION</t>
  </si>
  <si>
    <t>55523</t>
  </si>
  <si>
    <t>CAPACITY-PURCHASE POWER</t>
  </si>
  <si>
    <t>55524</t>
  </si>
  <si>
    <t>NONRECOVERABLE CAPACITY</t>
  </si>
  <si>
    <t>55525</t>
  </si>
  <si>
    <t>55526</t>
  </si>
  <si>
    <t>PURCH POWER - FMPA</t>
  </si>
  <si>
    <t>55527</t>
  </si>
  <si>
    <t>PURCH POWER - SEMINOLE ELECT</t>
  </si>
  <si>
    <t>55528</t>
  </si>
  <si>
    <t>PURCHASE POWER - SONAT.</t>
  </si>
  <si>
    <t>55529</t>
  </si>
  <si>
    <t>PURCH POWER-REEDY CREEK</t>
  </si>
  <si>
    <t>55530</t>
  </si>
  <si>
    <t>PURCH POWER - KEY WEST</t>
  </si>
  <si>
    <t>55531</t>
  </si>
  <si>
    <t>PURCHASED POWER OGLETHORPE</t>
  </si>
  <si>
    <t>55532</t>
  </si>
  <si>
    <t>PURCH POWER-PECO</t>
  </si>
  <si>
    <t>55533</t>
  </si>
  <si>
    <t>NONRECOVERABLE INTERCHG-WHSL</t>
  </si>
  <si>
    <t>55534</t>
  </si>
  <si>
    <t>NONRECOVERABLE INTERCHG-WHLSE</t>
  </si>
  <si>
    <t>55535</t>
  </si>
  <si>
    <t>RECOVERABLE INTERCHG-WHLSE</t>
  </si>
  <si>
    <t>55536</t>
  </si>
  <si>
    <t>55537</t>
  </si>
  <si>
    <t>PURCH POWER - AQUILA POWER CO</t>
  </si>
  <si>
    <t>55538</t>
  </si>
  <si>
    <t>PURCH POWER - OKEELANTA CORP</t>
  </si>
  <si>
    <t>55539</t>
  </si>
  <si>
    <t>MKT BASED INTERCHG PURCHASE</t>
  </si>
  <si>
    <t>55540</t>
  </si>
  <si>
    <t>FUEL TPS CONTRACT</t>
  </si>
  <si>
    <t>55541</t>
  </si>
  <si>
    <t>O&amp;M TPS CONTRACT</t>
  </si>
  <si>
    <t>55542</t>
  </si>
  <si>
    <t>CAPACITY TPS CONTRACT</t>
  </si>
  <si>
    <t>55543</t>
  </si>
  <si>
    <t>PURCH POWER-FARMLAND HYDRO</t>
  </si>
  <si>
    <t>55544</t>
  </si>
  <si>
    <t>PURCH POWER-AUBURNDALE POWER</t>
  </si>
  <si>
    <t>55545</t>
  </si>
  <si>
    <t>PURCH POWER - CF INDUSTRIES I</t>
  </si>
  <si>
    <t>55546</t>
  </si>
  <si>
    <t>PURCH POWER - CARGILL FERTILI</t>
  </si>
  <si>
    <t>55547</t>
  </si>
  <si>
    <t>PURCH POWER - IMC - AGRICO CO</t>
  </si>
  <si>
    <t>55548</t>
  </si>
  <si>
    <t>PURCH POWER-MORGAN STANLEY GR</t>
  </si>
  <si>
    <t>55549</t>
  </si>
  <si>
    <t>PURCH POWER-CUTRALE CITRUS JU</t>
  </si>
  <si>
    <t>55551</t>
  </si>
  <si>
    <t>PURCH POWER-RELIANT ENERGY SE</t>
  </si>
  <si>
    <t>DIST MAINT STA EQUIP-NORMAL</t>
  </si>
  <si>
    <t>59202</t>
  </si>
  <si>
    <t>MAINT OF STATION - LINE DEPT.</t>
  </si>
  <si>
    <t>59203</t>
  </si>
  <si>
    <t>MAINT OF STATION - CASCADE EQ</t>
  </si>
  <si>
    <t>59205</t>
  </si>
  <si>
    <t>DISTR EMER SUBSTA MAINT</t>
  </si>
  <si>
    <t>59206</t>
  </si>
  <si>
    <t>DIST MAINT STA EQUIP-STORM DA</t>
  </si>
  <si>
    <t>592</t>
  </si>
  <si>
    <t>59301</t>
  </si>
  <si>
    <t>DIST MAINT OVHD LINE-NORMAL</t>
  </si>
  <si>
    <t>59302</t>
  </si>
  <si>
    <t>DIST MA OVH</t>
  </si>
  <si>
    <t>59303</t>
  </si>
  <si>
    <t>OVHD SERV MAINT (CORRECT)</t>
  </si>
  <si>
    <t>UNAM DEBT EXP 2021 REFUNDED B</t>
  </si>
  <si>
    <t>18128</t>
  </si>
  <si>
    <t>UNAM DEBT EXP 2036 BONDS</t>
  </si>
  <si>
    <t>18129</t>
  </si>
  <si>
    <t>UNAM DEBT EXP 2022 REFUNDED B</t>
  </si>
  <si>
    <t>18130</t>
  </si>
  <si>
    <t>18131</t>
  </si>
  <si>
    <t>UNAM DEBT EXP 2025 BONDS</t>
  </si>
  <si>
    <t>18133</t>
  </si>
  <si>
    <t>UNAM DEBT EXP 2022 BONDS</t>
  </si>
  <si>
    <t>18136</t>
  </si>
  <si>
    <t>UNAM DEBT EXP 2020 BONDS</t>
  </si>
  <si>
    <t>18137</t>
  </si>
  <si>
    <t>UNAM DEBT EXP 2030 BONDS</t>
  </si>
  <si>
    <t>18139</t>
  </si>
  <si>
    <t>UNAM DEBT EXP 2018 BONDS</t>
  </si>
  <si>
    <t>18141</t>
  </si>
  <si>
    <t>UNAM DEBT EXP 2034 BONDS</t>
  </si>
  <si>
    <t>18143</t>
  </si>
  <si>
    <t>UNAM DEBT EXP 2003 BONDS</t>
  </si>
  <si>
    <t>18144</t>
  </si>
  <si>
    <t>UNAM DEBT EXP 2037 BONDS</t>
  </si>
  <si>
    <t>18145</t>
  </si>
  <si>
    <t>18146</t>
  </si>
  <si>
    <t>UNAM DEBT EXP - 2012 BONDS</t>
  </si>
  <si>
    <t>18147</t>
  </si>
  <si>
    <t>UNAM FEES &amp; EXPENSES - 2013 B</t>
  </si>
  <si>
    <t>18148</t>
  </si>
  <si>
    <t>UNAM FEES AND EXPENSES - 2023</t>
  </si>
  <si>
    <t>18149</t>
  </si>
  <si>
    <t>UNAM FEES &amp; EXPENSES - 2012 B</t>
  </si>
  <si>
    <t>18150</t>
  </si>
  <si>
    <t>UNAM FEES &amp; EXPENSES - 2007 B</t>
  </si>
  <si>
    <t>18151</t>
  </si>
  <si>
    <t>UNAM FEES &amp; EXPENSES - 2016 S</t>
  </si>
  <si>
    <t>18152</t>
  </si>
  <si>
    <t>UNAM DEBT EXP BONDS TO BE ISS</t>
  </si>
  <si>
    <t>18153</t>
  </si>
  <si>
    <t>UNAM DEBT EXP POLK BONDS TO B</t>
  </si>
  <si>
    <t>18154</t>
  </si>
  <si>
    <t>18155</t>
  </si>
  <si>
    <t>UNAM DEBT EXP 2025 BONDS 51.6</t>
  </si>
  <si>
    <t>18156</t>
  </si>
  <si>
    <t>UNAM DEBT EXP 2020 BONDS 20 M</t>
  </si>
  <si>
    <t>181</t>
  </si>
  <si>
    <t>18200</t>
  </si>
  <si>
    <t>ARO REGULATORY ASSET - SHORT</t>
  </si>
  <si>
    <t>18201</t>
  </si>
  <si>
    <t>ARO REGULATORY ASSET - LONG T</t>
  </si>
  <si>
    <t>18230</t>
  </si>
  <si>
    <t>OTHER REG ASSET-FAS109 INC TA</t>
  </si>
  <si>
    <t>18231</t>
  </si>
  <si>
    <t>18232</t>
  </si>
  <si>
    <t>DEFERRED DEBIT CONSERVATION</t>
  </si>
  <si>
    <t>18233</t>
  </si>
  <si>
    <t>DEFERRED DEBIT FUEL - RETAIL</t>
  </si>
  <si>
    <t>18234</t>
  </si>
  <si>
    <t>DEFERRED DEBIT CAPACITY</t>
  </si>
  <si>
    <t>18235</t>
  </si>
  <si>
    <t>DEFERRED DEBIT FUEL-WHOLESALE</t>
  </si>
  <si>
    <t>A/P MEDICAL/DENTAL ACTIVE</t>
  </si>
  <si>
    <t>23240</t>
  </si>
  <si>
    <t>A/P IBEW UNION DUES</t>
  </si>
  <si>
    <t>23241</t>
  </si>
  <si>
    <t>A/P OPEIU UNION DUES</t>
  </si>
  <si>
    <t>23242</t>
  </si>
  <si>
    <t>A/P UNITED WAY</t>
  </si>
  <si>
    <t>23243</t>
  </si>
  <si>
    <t>A/P DRIP</t>
  </si>
  <si>
    <t>23244</t>
  </si>
  <si>
    <t>A/P-PUTNAM SAVINGS</t>
  </si>
  <si>
    <t>23245</t>
  </si>
  <si>
    <t>A/P TECO NMA CHAPTER</t>
  </si>
  <si>
    <t>23246</t>
  </si>
  <si>
    <t>ELEC EMP COMM FR GOOD GOVERN</t>
  </si>
  <si>
    <t>23247</t>
  </si>
  <si>
    <t>A/P SHARE</t>
  </si>
  <si>
    <t>23252</t>
  </si>
  <si>
    <t>A/P SAR</t>
  </si>
  <si>
    <t>23253</t>
  </si>
  <si>
    <t>A/P UTILITY TAX</t>
  </si>
  <si>
    <t>23256</t>
  </si>
  <si>
    <t>OBO INCOME TAX</t>
  </si>
  <si>
    <t>23271</t>
  </si>
  <si>
    <t>LTSA PAYABLE - POLK UNIT #1</t>
  </si>
  <si>
    <t>23272</t>
  </si>
  <si>
    <t>CSA PAYABLE - POLK UNIT #2</t>
  </si>
  <si>
    <t>23273</t>
  </si>
  <si>
    <t>CSA PAYABLE - POLK UNIT #3</t>
  </si>
  <si>
    <t>23274</t>
  </si>
  <si>
    <t>CSA PAYABLE - POLK UNIT #4</t>
  </si>
  <si>
    <t>23275</t>
  </si>
  <si>
    <t>CSA PAYABLE - POLK UNIT #5</t>
  </si>
  <si>
    <t>23280</t>
  </si>
  <si>
    <t>CSA PAYABLE - BAYSIDE #1</t>
  </si>
  <si>
    <t>23281</t>
  </si>
  <si>
    <t>CSA PAYABLE - BAYSIDE #2</t>
  </si>
  <si>
    <t>232</t>
  </si>
  <si>
    <t>23402</t>
  </si>
  <si>
    <t>A/P ASSOC CO TECO TRANSPORT -</t>
  </si>
  <si>
    <t>23403</t>
  </si>
  <si>
    <t>A/P ASSOC CO TECO BARGE LINE</t>
  </si>
  <si>
    <t>23404</t>
  </si>
  <si>
    <t>A/P ASSOC CO TECO PROPERTIES</t>
  </si>
  <si>
    <t>23407</t>
  </si>
  <si>
    <t>A/P ASSOC CO TECO GEMSTONE IN</t>
  </si>
  <si>
    <t>23409</t>
  </si>
  <si>
    <t>A/P ASSOC CO TECO ENERGY</t>
  </si>
  <si>
    <t>23410</t>
  </si>
  <si>
    <t>13102</t>
  </si>
  <si>
    <t>23425</t>
  </si>
  <si>
    <t>A/P TPS - BAYSIDE</t>
  </si>
  <si>
    <t>23426</t>
  </si>
  <si>
    <t>A/P TPS - BIG BEND</t>
  </si>
  <si>
    <t>23427</t>
  </si>
  <si>
    <t>A/P TPS - POLK</t>
  </si>
  <si>
    <t>23450</t>
  </si>
  <si>
    <t>A/P PEOPLES GAS SYSTEM (NATUR</t>
  </si>
  <si>
    <t>23452</t>
  </si>
  <si>
    <t>INTEREST PAYABLE PGS</t>
  </si>
  <si>
    <t>23455</t>
  </si>
  <si>
    <t>PEOPLES GAS COMPANY (PROPANE)</t>
  </si>
  <si>
    <t>234</t>
  </si>
  <si>
    <t>23500</t>
  </si>
  <si>
    <t>CUSTOMER DEPOSITS</t>
  </si>
  <si>
    <t>235</t>
  </si>
  <si>
    <t>23600</t>
  </si>
  <si>
    <t>TAX ACCR FIT BEF PR YR</t>
  </si>
  <si>
    <t>23601</t>
  </si>
  <si>
    <t>TAX ACCR FIT PR YEAR</t>
  </si>
  <si>
    <t>23602</t>
  </si>
  <si>
    <t>TAX ACCR FIT CURR YEAR</t>
  </si>
  <si>
    <t>23603</t>
  </si>
  <si>
    <t>54701</t>
  </si>
  <si>
    <t>RECOVEREABLE FUEL-WHLSE</t>
  </si>
  <si>
    <t>54702</t>
  </si>
  <si>
    <t>54703</t>
  </si>
  <si>
    <t>54704</t>
  </si>
  <si>
    <t>54708</t>
  </si>
  <si>
    <t>NON RECOV FUEL - BB #2 OIL</t>
  </si>
  <si>
    <t>54718</t>
  </si>
  <si>
    <t>NON RECOV FUEL - GN #2 OIL</t>
  </si>
  <si>
    <t>54721</t>
  </si>
  <si>
    <t>NON RECOV FUEL-POLK #1 COAL</t>
  </si>
  <si>
    <t>54725</t>
  </si>
  <si>
    <t>NON RECOV FUEL-POLK #2 OIL</t>
  </si>
  <si>
    <t>54728</t>
  </si>
  <si>
    <t>NON RECOV FUEL - PS - OIL#6</t>
  </si>
  <si>
    <t>54731</t>
  </si>
  <si>
    <t>NON RECOV FUEL - GASIFIER CAP</t>
  </si>
  <si>
    <t>54732</t>
  </si>
  <si>
    <t>NON RECOV RUEL - GASIFIER OTH</t>
  </si>
  <si>
    <t>54738</t>
  </si>
  <si>
    <t>NON RECOV FUEL - PH #6 OIL</t>
  </si>
  <si>
    <t>54748</t>
  </si>
  <si>
    <t>RECOV FUEL - BB CT1-3</t>
  </si>
  <si>
    <t>54756</t>
  </si>
  <si>
    <t>RECOV FUEL - TAYLOR LANDFILL</t>
  </si>
  <si>
    <t>54758</t>
  </si>
  <si>
    <t>RECOV FUEL - GN CT1</t>
  </si>
  <si>
    <t>54773</t>
  </si>
  <si>
    <t>RECOV FUEL - POLK #5 CT NATUR</t>
  </si>
  <si>
    <t>54774</t>
  </si>
  <si>
    <t>RECOV FUEL - POLK #4 CT NATUR</t>
  </si>
  <si>
    <t>54775</t>
  </si>
  <si>
    <t>RECOV FUEL-POLK#3 CT NATURAL</t>
  </si>
  <si>
    <t>54776</t>
  </si>
  <si>
    <t>RECOV FUEL-POLK#2 CT NATURAL</t>
  </si>
  <si>
    <t>54777</t>
  </si>
  <si>
    <t>RECOV FUEL - POLK #2 CT - #2</t>
  </si>
  <si>
    <t>54778</t>
  </si>
  <si>
    <t>RECOV FUEL - PH #6 OIL</t>
  </si>
  <si>
    <t>54781</t>
  </si>
  <si>
    <t>RECOV FUEL-POLK #1 COAL</t>
  </si>
  <si>
    <t>54785</t>
  </si>
  <si>
    <t>RECOV FUEL-POLK #1 CT - #2 OI</t>
  </si>
  <si>
    <t>54786</t>
  </si>
  <si>
    <t>RECOV FUEL - CITY OF TAMPA NA</t>
  </si>
  <si>
    <t>54787</t>
  </si>
  <si>
    <t>RECOV FUEL - POLK#3 CT - #2 O</t>
  </si>
  <si>
    <t>54788</t>
  </si>
  <si>
    <t>RECOV FUEL - PS - OIL#6</t>
  </si>
  <si>
    <t>54789</t>
  </si>
  <si>
    <t>RECOV FUEL-POLK DOE FUNDING</t>
  </si>
  <si>
    <t>54790</t>
  </si>
  <si>
    <t>RECOV FUEL - BAYSIDE #1 CT NA</t>
  </si>
  <si>
    <t>54791</t>
  </si>
  <si>
    <t>RECOV FUEL - BAYSIDE #2 CT NA</t>
  </si>
  <si>
    <t>54794</t>
  </si>
  <si>
    <t>RECOV FUEL-NG-NQL SWAP</t>
  </si>
  <si>
    <t>54795</t>
  </si>
  <si>
    <t>NON RECOV FUEL - BAYSIDE CT N</t>
  </si>
  <si>
    <t>54796</t>
  </si>
  <si>
    <t>NON-RECOV FUEL - POLK NATURAL</t>
  </si>
  <si>
    <t>547</t>
  </si>
  <si>
    <t>54828</t>
  </si>
  <si>
    <t>GENERATION EXP-PH CT1-3</t>
  </si>
  <si>
    <t>54838</t>
  </si>
  <si>
    <t>GENERATION EXP-PARK ST CT1-9</t>
  </si>
  <si>
    <t>54848</t>
  </si>
  <si>
    <t>GENERATION EXP-BB CT'S</t>
  </si>
  <si>
    <t>54850</t>
  </si>
  <si>
    <t>GENERATION OPERATIONS EXPENSE</t>
  </si>
  <si>
    <t>54851</t>
  </si>
  <si>
    <t>GENERATION EXP-BAYSIDE ARSENI</t>
  </si>
  <si>
    <t>54858</t>
  </si>
  <si>
    <t>PUB ST HIGH LTG FRAN REV.</t>
  </si>
  <si>
    <t>44409</t>
  </si>
  <si>
    <t>PUB ST HIGH LTG GRS RECPT TAX</t>
  </si>
  <si>
    <t>444</t>
  </si>
  <si>
    <t>44500</t>
  </si>
  <si>
    <t>OTH SLS PUB AUTH OPT BILL PRO</t>
  </si>
  <si>
    <t>44501</t>
  </si>
  <si>
    <t>OTR SLS PUB AUTH BASE REVENUE</t>
  </si>
  <si>
    <t>44503</t>
  </si>
  <si>
    <t>OTHR SALES PUB AUTH FUEL ADJ</t>
  </si>
  <si>
    <t>44505</t>
  </si>
  <si>
    <t>OTR SLS PUB AUTH CAPAC REV.</t>
  </si>
  <si>
    <t>44506</t>
  </si>
  <si>
    <t>OTR SLS PUB AUTH CONSERVA REV</t>
  </si>
  <si>
    <t>44507</t>
  </si>
  <si>
    <t>OTR SLS PUB AUTH ENVIRON REV.</t>
  </si>
  <si>
    <t>44508</t>
  </si>
  <si>
    <t>OTR SLS PUB AUTH FRAN REV.</t>
  </si>
  <si>
    <t>44509</t>
  </si>
  <si>
    <t>OTR SLS PUB AUTH GRS RECPT TA</t>
  </si>
  <si>
    <t>445</t>
  </si>
  <si>
    <t>44701</t>
  </si>
  <si>
    <t>RECOVERABLE SALES FOR RESALE</t>
  </si>
  <si>
    <t>44702</t>
  </si>
  <si>
    <t>NON-RECOVBL SALES FOR RESALE</t>
  </si>
  <si>
    <t>44703</t>
  </si>
  <si>
    <t>44704</t>
  </si>
  <si>
    <t>44705</t>
  </si>
  <si>
    <t>PT TO PT TRANS SERVICE</t>
  </si>
  <si>
    <t>44706</t>
  </si>
  <si>
    <t>PT TO PT TRANS SERVICE ANCILL</t>
  </si>
  <si>
    <t>44707</t>
  </si>
  <si>
    <t>PT TO PT TRANS TARIFF-REACT P</t>
  </si>
  <si>
    <t>44710</t>
  </si>
  <si>
    <t>UNUSED RESERVED-FIRM PT TO PT</t>
  </si>
  <si>
    <t>44711</t>
  </si>
  <si>
    <t>CAPACITY CONTRACT BB#4</t>
  </si>
  <si>
    <t>44712</t>
  </si>
  <si>
    <t>UNUSED RESERVED - FIRM REACTI</t>
  </si>
  <si>
    <t>44713</t>
  </si>
  <si>
    <t>O&amp;M CONTRACT BB#4</t>
  </si>
  <si>
    <t>44715</t>
  </si>
  <si>
    <t>UNUSED RESERVED-NONFIRM PT TO</t>
  </si>
  <si>
    <t>44717</t>
  </si>
  <si>
    <t>UNUSED RESERVED - NONFIRM REA</t>
  </si>
  <si>
    <t>44720</t>
  </si>
  <si>
    <t>SALES FOR RESALE - P/R</t>
  </si>
  <si>
    <t>44731</t>
  </si>
  <si>
    <t>FUEL - RETL BB4/HPP CONTRACT</t>
  </si>
  <si>
    <t>44732</t>
  </si>
  <si>
    <t>FUEL - WHSL BB4/HPP CONTRACT</t>
  </si>
  <si>
    <t>44733</t>
  </si>
  <si>
    <t>O&amp;M BB4/HPP CONTRACT</t>
  </si>
  <si>
    <t>44734</t>
  </si>
  <si>
    <t>CAPACITY BB4/HPP CONTRACT</t>
  </si>
  <si>
    <t>44739</t>
  </si>
  <si>
    <t>MKT BASED SALES</t>
  </si>
  <si>
    <t>44741</t>
  </si>
  <si>
    <t>FUEL-RETL BB STATION SALES</t>
  </si>
  <si>
    <t>44742</t>
  </si>
  <si>
    <t>FUEL-WHSL BB STATION SALES</t>
  </si>
  <si>
    <t>44743</t>
  </si>
  <si>
    <t>O&amp;M BB STATION SALES</t>
  </si>
  <si>
    <t>44744</t>
  </si>
  <si>
    <t>CAPACITY BB STATION SALES</t>
  </si>
  <si>
    <t>44745</t>
  </si>
  <si>
    <t>PT TO PT TRANS TARIFF-SRVC CH</t>
  </si>
  <si>
    <t>44746</t>
  </si>
  <si>
    <t>PT TO PT TRANS TARIFF-ANCILLA</t>
  </si>
  <si>
    <t>44747</t>
  </si>
  <si>
    <t>PT TO PT TRAN TARIFF-REACT PW</t>
  </si>
  <si>
    <t>44753</t>
  </si>
  <si>
    <t>SALES FOR RESALE FUEL/O&amp;M REV</t>
  </si>
  <si>
    <t>44755</t>
  </si>
  <si>
    <t>PT TO PT TRANS TARIFF-SERVICE</t>
  </si>
  <si>
    <t>44756</t>
  </si>
  <si>
    <t>44757</t>
  </si>
  <si>
    <t>PT TO PT TRANS TARIFF-REACTIV</t>
  </si>
  <si>
    <t>447</t>
  </si>
  <si>
    <t>44901</t>
  </si>
  <si>
    <t>PROVISION FOR RATE REFUNDS</t>
  </si>
  <si>
    <t>449</t>
  </si>
  <si>
    <t>45100</t>
  </si>
  <si>
    <t>MISC SERV REVENUE SERVICE CHG</t>
  </si>
  <si>
    <t>451</t>
  </si>
  <si>
    <t>45400</t>
  </si>
  <si>
    <t>RENT REVENUE-COMMERCIAL PROP</t>
  </si>
  <si>
    <t>45401</t>
  </si>
  <si>
    <t>RENT FROM ELECTRICAL EQUIPMEN</t>
  </si>
  <si>
    <t>45402</t>
  </si>
  <si>
    <t>RENT REVENUE AGRICULTURAL PRO</t>
  </si>
  <si>
    <t>45403</t>
  </si>
  <si>
    <t>RENT- POLE ATTACHMENTS</t>
  </si>
  <si>
    <t>45404</t>
  </si>
  <si>
    <t>PLAZA MEETING ROOM RENTS</t>
  </si>
  <si>
    <t>45405</t>
  </si>
  <si>
    <t>TELECOMMUNICATIONS/METRO LINK</t>
  </si>
  <si>
    <t>45406</t>
  </si>
  <si>
    <t>TELECOMM/METROLINK/POLE ATTAC</t>
  </si>
  <si>
    <t>45407</t>
  </si>
  <si>
    <t>RENTS-BIG BEND STATION</t>
  </si>
  <si>
    <t>45410</t>
  </si>
  <si>
    <t>RENTAL INCOME-AFFILIATES</t>
  </si>
  <si>
    <t>454</t>
  </si>
  <si>
    <t>45510</t>
  </si>
  <si>
    <t>RENTAL INCOME-DIVISIONS</t>
  </si>
  <si>
    <t>455</t>
  </si>
  <si>
    <t>45601</t>
  </si>
  <si>
    <t>OTHER ELEC REV OTH SALES, NET</t>
  </si>
  <si>
    <t>45602</t>
  </si>
  <si>
    <t>OTHR ELECT REVENUE STEAM SALE</t>
  </si>
  <si>
    <t>45603</t>
  </si>
  <si>
    <t>COMM/IND E S JOB ORDER REVENU</t>
  </si>
  <si>
    <t>45604</t>
  </si>
  <si>
    <t>OTHR ELEC REVENUE SALES TAX</t>
  </si>
  <si>
    <t>45605</t>
  </si>
  <si>
    <t>COSMOS-AFFIL REV-FIXED CAP</t>
  </si>
  <si>
    <t>45606</t>
  </si>
  <si>
    <t>COSMOS-DIVISIONS REV-FIXED CA</t>
  </si>
  <si>
    <t>45607</t>
  </si>
  <si>
    <t>REV-SALE OF TRAINING PROGRAMS</t>
  </si>
  <si>
    <t>45609</t>
  </si>
  <si>
    <t>OTHER REV-COMM &amp; IND AUDIT</t>
  </si>
  <si>
    <t>45610</t>
  </si>
  <si>
    <t>OTH ELECTRIC REVENUE PARKING</t>
  </si>
  <si>
    <t>45611</t>
  </si>
  <si>
    <t>JOB ORDER REVENUES</t>
  </si>
  <si>
    <t>45612</t>
  </si>
  <si>
    <t>13 Month Average - account balance 182.97</t>
  </si>
  <si>
    <t>13 Month Average - account balance 182.95</t>
  </si>
  <si>
    <t>13 Month Average - account balance 182.84</t>
  </si>
  <si>
    <t>$147.085M Hillsborough County Series 2002 (Acct 221.47 &amp; 221.48)</t>
  </si>
  <si>
    <t>$125.8M Hillsborough County Series (221.54. 221.55 &amp; 221.56)</t>
  </si>
  <si>
    <t>$75.0M 1992 Bond Series Due 2022 (Acct 221.08)</t>
  </si>
  <si>
    <t>$75.0M 1996 Bond Series Due 2030 (Acct 221.08)</t>
  </si>
  <si>
    <t>13 Month Average - account balance 182.85</t>
  </si>
  <si>
    <t>13 Month Average - account balance 182.87</t>
  </si>
  <si>
    <t>13 Month Average - account balance 182.94</t>
  </si>
  <si>
    <t>$60.685M</t>
  </si>
  <si>
    <t>$86.4M</t>
  </si>
  <si>
    <t>Term Bonds due October 1, 2013</t>
  </si>
  <si>
    <t>Term Bonds due October 1, 2023</t>
  </si>
  <si>
    <t>13 Month Average - account balance 182.88</t>
  </si>
  <si>
    <t>13 Month Average - account balance 182.91</t>
  </si>
  <si>
    <t>Unamortized Issuing Expense &amp; Loss on Reaquired Debt</t>
  </si>
  <si>
    <t>13 Month Average - account balance 182.80</t>
  </si>
  <si>
    <t>13 Month Average - account balance 182.86</t>
  </si>
  <si>
    <t>13 Month Average - account balance 182.90</t>
  </si>
  <si>
    <r>
      <t>Note:</t>
    </r>
    <r>
      <rPr>
        <sz val="10"/>
        <rFont val="Arial"/>
        <family val="2"/>
      </rPr>
      <t xml:space="preserve">  The following unamortized debt costs are not associated with any current outstanding long-term debt and subsequently have been excluded, per the instructions, from column (14) of MFR D-4a.</t>
    </r>
  </si>
  <si>
    <t>BUILDING SERVICE-PAINTING</t>
  </si>
  <si>
    <t>51195</t>
  </si>
  <si>
    <t>BUILDING SERVICE-PEST CONTROL</t>
  </si>
  <si>
    <t>51196</t>
  </si>
  <si>
    <t>BUILDING SERVICE-PLUMBING</t>
  </si>
  <si>
    <t>51197</t>
  </si>
  <si>
    <t>BUILDING SERVICE-SECURITY</t>
  </si>
  <si>
    <t>51198</t>
  </si>
  <si>
    <t>BUILDING SERVICE-TRASH</t>
  </si>
  <si>
    <t>51199</t>
  </si>
  <si>
    <t>BUILDING SERVICE-WATER</t>
  </si>
  <si>
    <t>511</t>
  </si>
  <si>
    <t>51224</t>
  </si>
  <si>
    <t>BB4 SCR MAINTENANCE - REACTOR</t>
  </si>
  <si>
    <t>51225</t>
  </si>
  <si>
    <t>BBC SCR MAINTENANCE - REACTOR</t>
  </si>
  <si>
    <t>51241</t>
  </si>
  <si>
    <t>STEAM MAINT BOILER-BB1</t>
  </si>
  <si>
    <t>51242</t>
  </si>
  <si>
    <t>STEAM MAINT BOILER-BB2</t>
  </si>
  <si>
    <t>51243</t>
  </si>
  <si>
    <t>STEAM MAINT BOILER-BB3</t>
  </si>
  <si>
    <t>51244</t>
  </si>
  <si>
    <t>STEAM MAINT BOILER-BB4</t>
  </si>
  <si>
    <t>51247</t>
  </si>
  <si>
    <t>O&amp;M EPA CONSENT DECREE FOR RE</t>
  </si>
  <si>
    <t>51248</t>
  </si>
  <si>
    <t>O&amp;M - EPA CONSENT DECREE - EA</t>
  </si>
  <si>
    <t>51249</t>
  </si>
  <si>
    <t>STEAM MAINT BOILER-BB COMMON</t>
  </si>
  <si>
    <t>51250</t>
  </si>
  <si>
    <t>STEAM MAINT BOILER-GN1-6</t>
  </si>
  <si>
    <t>51251</t>
  </si>
  <si>
    <t>STEAM MAINT BOILER-GN1</t>
  </si>
  <si>
    <t>51252</t>
  </si>
  <si>
    <t>STEAM MAINT BOILER-GN2</t>
  </si>
  <si>
    <t>51253</t>
  </si>
  <si>
    <t>STEAM MAINT BOILER-GN3</t>
  </si>
  <si>
    <t>51254</t>
  </si>
  <si>
    <t>STEAM MAINT BOILER-GN4</t>
  </si>
  <si>
    <t>51255</t>
  </si>
  <si>
    <t>STEAM MAINT BOILER-GN5</t>
  </si>
  <si>
    <t>51256</t>
  </si>
  <si>
    <t>STEAM MAINT BOILER-GN6</t>
  </si>
  <si>
    <t>51257</t>
  </si>
  <si>
    <t>STEAM MAINT BOILER-GN DUAL FI</t>
  </si>
  <si>
    <t>51258</t>
  </si>
  <si>
    <t>STEAM MAINT BOILER-GN1-4 COMM</t>
  </si>
  <si>
    <t>51259</t>
  </si>
  <si>
    <t>STEAM MAINT BOILER-GN COAL UN</t>
  </si>
  <si>
    <t>51261</t>
  </si>
  <si>
    <t>STEAM MAINT BOILER-HP1</t>
  </si>
  <si>
    <t xml:space="preserve">    $20.0M Bonds - 2007 Series Due 2020 (Acct 221.56)</t>
  </si>
  <si>
    <t>Interest Expense Calculation</t>
  </si>
  <si>
    <t>STEAM MAINT BOILER-HP3</t>
  </si>
  <si>
    <t>51264</t>
  </si>
  <si>
    <t>STEAM MAINT BOILER-HP4</t>
  </si>
  <si>
    <t>51265</t>
  </si>
  <si>
    <t>STEAM MAINT BOILER-HP5</t>
  </si>
  <si>
    <t>51266</t>
  </si>
  <si>
    <t>STEAM MAINT BOILER-HP6</t>
  </si>
  <si>
    <t>51268</t>
  </si>
  <si>
    <t>STEAM MAINT BOILER-HP COMMON</t>
  </si>
  <si>
    <t>51269</t>
  </si>
  <si>
    <t>STEAM MAINT- H. P. STANDBY</t>
  </si>
  <si>
    <t>51270</t>
  </si>
  <si>
    <t>BIG BEND STATION TRANSLOADER</t>
  </si>
  <si>
    <t>51280</t>
  </si>
  <si>
    <t>STEAM MAINT BOILER - BB3 FGD</t>
  </si>
  <si>
    <t>51281</t>
  </si>
  <si>
    <t>STEAM MAINT BOILER - BB1 FGD.</t>
  </si>
  <si>
    <t>51282</t>
  </si>
  <si>
    <t>STEAM MAINT BOILER - BB2 FGD.</t>
  </si>
  <si>
    <t>51283</t>
  </si>
  <si>
    <t>STEAM MAINT BOILER-BB3 FGD</t>
  </si>
  <si>
    <t>51284</t>
  </si>
  <si>
    <t>STEAM MAINT BOILER-BB4 FGD</t>
  </si>
  <si>
    <t>51285</t>
  </si>
  <si>
    <t>STEAM MAINT BOILER - BB FGD C</t>
  </si>
  <si>
    <t>51286</t>
  </si>
  <si>
    <t>STEAM MAINT BOILER BB1&amp;2 FLUE</t>
  </si>
  <si>
    <t>51287</t>
  </si>
  <si>
    <t>STEAM MAINT BOILER BB1P2 FLUE</t>
  </si>
  <si>
    <t>51288</t>
  </si>
  <si>
    <t>BIG BEND NOX REDUCTION</t>
  </si>
  <si>
    <t>51291</t>
  </si>
  <si>
    <t>NOX REDUCTIONS:  BIG BEND UNI</t>
  </si>
  <si>
    <t>51292</t>
  </si>
  <si>
    <t>51293</t>
  </si>
  <si>
    <t>51294</t>
  </si>
  <si>
    <t>512</t>
  </si>
  <si>
    <t>51324</t>
  </si>
  <si>
    <t>BB4 SCR MAINT-ELECTRICAL</t>
  </si>
  <si>
    <t>51325</t>
  </si>
  <si>
    <t>BBC SCR MAINT-ELECTRICAL</t>
  </si>
  <si>
    <t>51341</t>
  </si>
  <si>
    <t>STEAM MAINT ELECT-BB1</t>
  </si>
  <si>
    <t>51342</t>
  </si>
  <si>
    <t>STEAM MAINT ELECT-BB2</t>
  </si>
  <si>
    <t>51343</t>
  </si>
  <si>
    <t>STEAM MAINT ELECT-BB3</t>
  </si>
  <si>
    <t>51344</t>
  </si>
  <si>
    <t>STEAM MAINT ELECT-BB4</t>
  </si>
  <si>
    <t>51349</t>
  </si>
  <si>
    <t>STEAM MAINT ELECT-BB COMMON</t>
  </si>
  <si>
    <t>51350</t>
  </si>
  <si>
    <t>STEAM MAINT ELECT-GN1-6</t>
  </si>
  <si>
    <t>51351</t>
  </si>
  <si>
    <t>STEAM MAINT ELECT-GN1</t>
  </si>
  <si>
    <t>51352</t>
  </si>
  <si>
    <t>STEAM MAINT ELECT-GN2</t>
  </si>
  <si>
    <t>51353</t>
  </si>
  <si>
    <t>STEAM MAINT ELECT-GN3</t>
  </si>
  <si>
    <t>51354</t>
  </si>
  <si>
    <t>STEAM MAINT ELECT-GN4</t>
  </si>
  <si>
    <t>51355</t>
  </si>
  <si>
    <t>STEAM MAINT ELECT-GN5</t>
  </si>
  <si>
    <t>51356</t>
  </si>
  <si>
    <t>STEAM MAINT ELECT-GN6</t>
  </si>
  <si>
    <t>51359</t>
  </si>
  <si>
    <t>STEAM MAINT ELECT-GN COAL</t>
  </si>
  <si>
    <t>51361</t>
  </si>
  <si>
    <t>STEAM MAINT ELECT-HP1</t>
  </si>
  <si>
    <t>51362</t>
  </si>
  <si>
    <t>STEAM MAINT ELECT-HP2</t>
  </si>
  <si>
    <t>51363</t>
  </si>
  <si>
    <t>STEAM MAINT ELECT-HP3</t>
  </si>
  <si>
    <t>51364</t>
  </si>
  <si>
    <t>STEAM MAINT ELECT-HP4</t>
  </si>
  <si>
    <t>51365</t>
  </si>
  <si>
    <t>STEAM MAINT ELECT-HP5</t>
  </si>
  <si>
    <t>51366</t>
  </si>
  <si>
    <t>STEAM MAINT ELECT - HP6</t>
  </si>
  <si>
    <t>51368</t>
  </si>
  <si>
    <t>STEAM MAINT ELECT-HP1-6</t>
  </si>
  <si>
    <t>51369</t>
  </si>
  <si>
    <t>STM MA-ELE-GEN'L UNITS 1-6 H.</t>
  </si>
  <si>
    <t>51381</t>
  </si>
  <si>
    <t>STEAM MAINT ELECT - BB1 FGD.</t>
  </si>
  <si>
    <t>51382</t>
  </si>
  <si>
    <t>STEAM MAINT ELECT - BB2 FGD.</t>
  </si>
  <si>
    <t>51383</t>
  </si>
  <si>
    <t>STEAM MAINT ELECT-BB3 FGD</t>
  </si>
  <si>
    <t>SCHEDULE D-4a</t>
  </si>
  <si>
    <t>LONG-TERM DEBT OUTSTANDING</t>
  </si>
  <si>
    <t>FLORIDA PUBLIC SERVICE COMMISSION</t>
  </si>
  <si>
    <t xml:space="preserve">                  EXPLANATION:</t>
  </si>
  <si>
    <t>Provide the specified data on long-term debt issues on a 13-month average basis for the test year,</t>
  </si>
  <si>
    <t xml:space="preserve">       Type of data shown:</t>
  </si>
  <si>
    <t>XX</t>
  </si>
  <si>
    <t>COMPANY: TAMPA ELECTRIC COMPANY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</si>
  <si>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</si>
  <si>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</si>
  <si>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</si>
  <si>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</si>
  <si>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</si>
  <si>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</si>
  <si>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</si>
  <si>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</si>
  <si>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</si>
  <si>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</si>
  <si>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</si>
  <si>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(12)</t>
  </si>
  <si>
    <t>(13)</t>
  </si>
  <si>
    <t>13-Month</t>
  </si>
  <si>
    <t>Discount</t>
  </si>
  <si>
    <t>Issuing</t>
  </si>
  <si>
    <t xml:space="preserve"> </t>
  </si>
  <si>
    <t>Interest</t>
  </si>
  <si>
    <t>Total</t>
  </si>
  <si>
    <t>Unamortized</t>
  </si>
  <si>
    <t>Unamort. Issuing</t>
  </si>
  <si>
    <t>Principal</t>
  </si>
  <si>
    <t>Average</t>
  </si>
  <si>
    <t>(Premium) on</t>
  </si>
  <si>
    <t>Expense On</t>
  </si>
  <si>
    <t>Annual</t>
  </si>
  <si>
    <t>Expense</t>
  </si>
  <si>
    <t>Expense &amp; Loss on</t>
  </si>
  <si>
    <t>Line</t>
  </si>
  <si>
    <t>Description,</t>
  </si>
  <si>
    <t>Issue</t>
  </si>
  <si>
    <t>Maturity</t>
  </si>
  <si>
    <t>Amount Sold</t>
  </si>
  <si>
    <t>Principal Amt.</t>
  </si>
  <si>
    <t>Life</t>
  </si>
  <si>
    <t>ACCUM COR ST - DEBIT</t>
  </si>
  <si>
    <t>10809</t>
  </si>
  <si>
    <t>ACCUM COR ST - CREDIT</t>
  </si>
  <si>
    <t>10810</t>
  </si>
  <si>
    <t>ACCUM COR LT - DEBIT</t>
  </si>
  <si>
    <t>10811</t>
  </si>
  <si>
    <t>ACCUM COR LT - CREDIT</t>
  </si>
  <si>
    <t>10850</t>
  </si>
  <si>
    <t>DISMANTLING - GANNON COMMON</t>
  </si>
  <si>
    <t>10851</t>
  </si>
  <si>
    <t>DISMANTLING - GANNON UNIT 1</t>
  </si>
  <si>
    <t>10852</t>
  </si>
  <si>
    <t>DISMANTLING - GANNON UNIT 2</t>
  </si>
  <si>
    <t>10853</t>
  </si>
  <si>
    <t>DISMANTLING - GANNON UNIT 3</t>
  </si>
  <si>
    <t>10854</t>
  </si>
  <si>
    <t>DISMANTLING - GANNON UNIT 4</t>
  </si>
  <si>
    <t>10855</t>
  </si>
  <si>
    <t>DISMANTLING - GANNON UNIT 5</t>
  </si>
  <si>
    <t>10856</t>
  </si>
  <si>
    <t>DISMANTLING - GANNON UNIT 6</t>
  </si>
  <si>
    <t>108</t>
  </si>
  <si>
    <t>11100</t>
  </si>
  <si>
    <t>ACCUM AMORT PLANT IN SERVICE</t>
  </si>
  <si>
    <t>111</t>
  </si>
  <si>
    <t>11401</t>
  </si>
  <si>
    <t>ACQUIS ADJ OUC TRANS LINE</t>
  </si>
  <si>
    <t>11402</t>
  </si>
  <si>
    <t>ACQUIS ADJ BB TRANS LINE (FPL</t>
  </si>
  <si>
    <t>114</t>
  </si>
  <si>
    <t>12102</t>
  </si>
  <si>
    <t>PALM RIVER OP SYSTEM-LAND</t>
  </si>
  <si>
    <t>12106</t>
  </si>
  <si>
    <t>LAKE LUCERNE SUB</t>
  </si>
  <si>
    <t>12108</t>
  </si>
  <si>
    <t>POLK PACKING SUB</t>
  </si>
  <si>
    <t>12112</t>
  </si>
  <si>
    <t>ZAP CAP IN-SERVICE ACCOUNT</t>
  </si>
  <si>
    <t>12114</t>
  </si>
  <si>
    <t>ZAP FOR BUSINESS</t>
  </si>
  <si>
    <t>12117</t>
  </si>
  <si>
    <t>ARTWORK-TECO PLAZA</t>
  </si>
  <si>
    <t>12122</t>
  </si>
  <si>
    <t>GTE FCU</t>
  </si>
  <si>
    <t>12126</t>
  </si>
  <si>
    <t>REST EQUIP - PLAZA / 2002</t>
  </si>
  <si>
    <t>12130</t>
  </si>
  <si>
    <t>RESTAURANT CARPET/FURNITURE -</t>
  </si>
  <si>
    <t>12132</t>
  </si>
  <si>
    <t>PLAZA 9 - TENANT FIT-UP</t>
  </si>
  <si>
    <t>12141</t>
  </si>
  <si>
    <t>TAMPA PALMS II</t>
  </si>
  <si>
    <t>12143</t>
  </si>
  <si>
    <t>SO HOOKERS PT 334D</t>
  </si>
  <si>
    <t>12144</t>
  </si>
  <si>
    <t>SEFFNER SUB 31D</t>
  </si>
  <si>
    <t>12150</t>
  </si>
  <si>
    <t>PORT MANATEE</t>
  </si>
  <si>
    <t>12161</t>
  </si>
  <si>
    <t>GRANVILLE #19D</t>
  </si>
  <si>
    <t>12163</t>
  </si>
  <si>
    <t>OSBORNE #82D</t>
  </si>
  <si>
    <t>12164</t>
  </si>
  <si>
    <t>45TH STREET #109D</t>
  </si>
  <si>
    <t>12165</t>
  </si>
  <si>
    <t>VAN DYKE TEMP #168</t>
  </si>
  <si>
    <t>121</t>
  </si>
  <si>
    <t>12212</t>
  </si>
  <si>
    <t>Paid-in capital (balance sheet)</t>
  </si>
  <si>
    <t>Capital stock issuance exp (balance sheet)</t>
  </si>
  <si>
    <t>Common stock - Tampa - Energy</t>
  </si>
  <si>
    <t>Retained earnings (balance sheet)</t>
  </si>
  <si>
    <t>Long-term debt (balance sheet)</t>
  </si>
  <si>
    <t>Liabilities &amp; capitalization - Energy</t>
  </si>
  <si>
    <t>TOTAL LIABS &amp; CAPITAL PER ELECTRIC BS</t>
  </si>
  <si>
    <t>TOTAL LIABS &amp; CAPITAL PER ENERGY</t>
  </si>
  <si>
    <t>2008 BUDGET</t>
  </si>
  <si>
    <t>JAN 2008</t>
  </si>
  <si>
    <t>FEB 2008</t>
  </si>
  <si>
    <t>MAR 2008</t>
  </si>
  <si>
    <t>APR 2008</t>
  </si>
  <si>
    <t>MAY 2008</t>
  </si>
  <si>
    <t>JUN 2008</t>
  </si>
  <si>
    <t>JUL 2008</t>
  </si>
  <si>
    <t>AUG 2008</t>
  </si>
  <si>
    <t>SEP 2008</t>
  </si>
  <si>
    <t>OCT 2008</t>
  </si>
  <si>
    <t>NOV 2008</t>
  </si>
  <si>
    <t xml:space="preserve">  Other Payables &amp; Deposits</t>
  </si>
  <si>
    <t xml:space="preserve">  Vouchers Payable</t>
  </si>
  <si>
    <t xml:space="preserve">  Accrued Vacation Pay</t>
  </si>
  <si>
    <t xml:space="preserve">  Other Misc. Liabilities</t>
  </si>
  <si>
    <t xml:space="preserve">  Other Deferred Credits</t>
  </si>
  <si>
    <t xml:space="preserve">  Reserve for Injuries &amp; Damages </t>
  </si>
  <si>
    <t>50138</t>
  </si>
  <si>
    <t>NON RECOV FUEL - DL #6 OIL</t>
  </si>
  <si>
    <t>50147</t>
  </si>
  <si>
    <t>RECOV FUEL - BB4 COAL</t>
  </si>
  <si>
    <t>50149</t>
  </si>
  <si>
    <t>RECOV FUEL - BB COAL</t>
  </si>
  <si>
    <t>50159</t>
  </si>
  <si>
    <t>RECOV FUEL - GN COAL</t>
  </si>
  <si>
    <t>50168</t>
  </si>
  <si>
    <t>RECOV FUEL - HP #6 OIL</t>
  </si>
  <si>
    <t>50175</t>
  </si>
  <si>
    <t>RECOV FUEL - DL NAT GAS</t>
  </si>
  <si>
    <t>50178</t>
  </si>
  <si>
    <t>RECOV FUEL - DL #6 OIL</t>
  </si>
  <si>
    <t>501</t>
  </si>
  <si>
    <t>50211</t>
  </si>
  <si>
    <t>STEAM OPERATIONS-DINNER LAKE</t>
  </si>
  <si>
    <t>50224</t>
  </si>
  <si>
    <t>BB4 SCR OPERATIONS</t>
  </si>
  <si>
    <t>50225</t>
  </si>
  <si>
    <t>BBC SCR OPERATIONS</t>
  </si>
  <si>
    <t>50244</t>
  </si>
  <si>
    <t>STEAM OPERATIONS-BB4</t>
  </si>
  <si>
    <t>50249</t>
  </si>
  <si>
    <t>STEAM OPERATIONS-BIG BEND</t>
  </si>
  <si>
    <t>50250</t>
  </si>
  <si>
    <t>STEAM OPERATIONS-GN1-4</t>
  </si>
  <si>
    <t>50258</t>
  </si>
  <si>
    <t>STEAM OPERATIONS-UNIT GN1-4</t>
  </si>
  <si>
    <t>50259</t>
  </si>
  <si>
    <t>STEAM OPERATIONS-GN COAL</t>
  </si>
  <si>
    <t>50268</t>
  </si>
  <si>
    <t>STEAM OPERATIONS-HOOKERS PT</t>
  </si>
  <si>
    <t>50281</t>
  </si>
  <si>
    <t>STEAM OPERATIONS - BB1 FGD.</t>
  </si>
  <si>
    <t>50282</t>
  </si>
  <si>
    <t>STEAM OPERATIONS - BB2 FGD.</t>
  </si>
  <si>
    <t>50283</t>
  </si>
  <si>
    <t>STEAM OPERATIONS-BB3 FGD</t>
  </si>
  <si>
    <t>50284</t>
  </si>
  <si>
    <t>STEAM OPERATIONS-BB4 FGD</t>
  </si>
  <si>
    <t>50285</t>
  </si>
  <si>
    <t>STEAM OPERATIONS - BB COMMON</t>
  </si>
  <si>
    <t>50290</t>
  </si>
  <si>
    <t>STEAM OPERATIONS -BB COMMON A</t>
  </si>
  <si>
    <t>44226</t>
  </si>
  <si>
    <t>INDUST-PHOSP SM CONSERVA REV.</t>
  </si>
  <si>
    <t>44227</t>
  </si>
  <si>
    <t>INDUST-PHOSP SM ENVIRON REV.</t>
  </si>
  <si>
    <t>44228</t>
  </si>
  <si>
    <t>INDUST-PHOSP SM FRANCHISE REV</t>
  </si>
  <si>
    <t>44229</t>
  </si>
  <si>
    <t>INDUST-PHOSP SM GRS RECPT TAX</t>
  </si>
  <si>
    <t>44230</t>
  </si>
  <si>
    <t>MAINTENANCE OF COMPUTER HARDW</t>
  </si>
  <si>
    <t>56920</t>
  </si>
  <si>
    <t>MAINTENANCE OF COMPUTER SOFTW</t>
  </si>
  <si>
    <t>56930</t>
  </si>
  <si>
    <t>MAINTENANCE OF COMMUNICATION</t>
  </si>
  <si>
    <t>569</t>
  </si>
  <si>
    <t>57000</t>
  </si>
  <si>
    <t>TRANSM MAINT-STA EQUIP</t>
  </si>
  <si>
    <t>57002</t>
  </si>
  <si>
    <t>TRANS MAINT - LINE DEPARTMENT</t>
  </si>
  <si>
    <t>57003</t>
  </si>
  <si>
    <t>TRANS MAINT - CASCADE EQUIPME</t>
  </si>
  <si>
    <t>57005</t>
  </si>
  <si>
    <t>UNPLAN TRANS SUBSTA MAINT</t>
  </si>
  <si>
    <t>57006</t>
  </si>
  <si>
    <t>TRANS MAINT - STORM</t>
  </si>
  <si>
    <t>570</t>
  </si>
  <si>
    <t>57100</t>
  </si>
  <si>
    <t>TRANSMISSION MAINT-OVH LINE</t>
  </si>
  <si>
    <t>57105</t>
  </si>
  <si>
    <t>PLANNED TRANSMISSION MAINTENA</t>
  </si>
  <si>
    <t>57106</t>
  </si>
  <si>
    <t>TRANSMISSION MAITENANCE OVERH</t>
  </si>
  <si>
    <t>57111</t>
  </si>
  <si>
    <t>WOOD POLE INSPECTION PROGRAM</t>
  </si>
  <si>
    <t>57112</t>
  </si>
  <si>
    <t>REPAIR WOOD POLES</t>
  </si>
  <si>
    <t>57113</t>
  </si>
  <si>
    <t>WOODPECKER WRAP FOR WOOD POLE</t>
  </si>
  <si>
    <t>57114</t>
  </si>
  <si>
    <t>STEEL TOWER LINE INSPECTION P</t>
  </si>
  <si>
    <t>57115</t>
  </si>
  <si>
    <t>PAINT STEEL TOWERS</t>
  </si>
  <si>
    <t>57116</t>
  </si>
  <si>
    <t>RIGHT-OF-WAY MAINTENANCE</t>
  </si>
  <si>
    <t>57117</t>
  </si>
  <si>
    <t>ENVIRONMENTAL PERMITTING</t>
  </si>
  <si>
    <t>57119</t>
  </si>
  <si>
    <t>TRANSMISSION MTCE-CONTRACT</t>
  </si>
  <si>
    <t>Amortization</t>
  </si>
  <si>
    <t>(Coupon Rate)</t>
  </si>
  <si>
    <t>Cost</t>
  </si>
  <si>
    <t>(Premium)</t>
  </si>
  <si>
    <t>Reacquired Debt</t>
  </si>
  <si>
    <t>No.</t>
  </si>
  <si>
    <t>Coupon Rate</t>
  </si>
  <si>
    <t>Date</t>
  </si>
  <si>
    <t>(Face Value)</t>
  </si>
  <si>
    <t>Outstanding</t>
  </si>
  <si>
    <t>(Years)</t>
  </si>
  <si>
    <t>51384</t>
  </si>
  <si>
    <t>STEAM MAINT ELECT-BB4 FGD SWI</t>
  </si>
  <si>
    <t>51385</t>
  </si>
  <si>
    <t>STEAM MAINT ELECT - BB FGD CO</t>
  </si>
  <si>
    <t>51391</t>
  </si>
  <si>
    <t>INTAKE STRUCTURE UNITS 1&amp;2</t>
  </si>
  <si>
    <t>51393</t>
  </si>
  <si>
    <t>INTAKE STRUCTURE UNITS 3&amp;4</t>
  </si>
  <si>
    <t>51395</t>
  </si>
  <si>
    <t>INTAKE STRUCTURE COMMON</t>
  </si>
  <si>
    <t>513</t>
  </si>
  <si>
    <t>CATV PROJECT VAR - CABLEVISIO</t>
  </si>
  <si>
    <t>25328</t>
  </si>
  <si>
    <t>ADVANCES- CABLEVISION CATV LN</t>
  </si>
  <si>
    <t>25330</t>
  </si>
  <si>
    <t>ED CHARGEABLE/CIAC CONST 2007</t>
  </si>
  <si>
    <t>25332</t>
  </si>
  <si>
    <t>DEFERRED COMPENSATION</t>
  </si>
  <si>
    <t>25333</t>
  </si>
  <si>
    <t>DIRECTORS FEES</t>
  </si>
  <si>
    <t>25341</t>
  </si>
  <si>
    <t>DEFERRED CREDIT - RTO</t>
  </si>
  <si>
    <t>51480</t>
  </si>
  <si>
    <t>STEAM MAINT MISC - BB3 FGD</t>
  </si>
  <si>
    <t>51481</t>
  </si>
  <si>
    <t>STEAM MAINT MISC - BB1 FGD.</t>
  </si>
  <si>
    <t>51482</t>
  </si>
  <si>
    <t>STEAM MAINT MISC - BB2 FGD.</t>
  </si>
  <si>
    <t>51483</t>
  </si>
  <si>
    <t>STEAM MAINT MISC-BB3 FGD</t>
  </si>
  <si>
    <t>51484</t>
  </si>
  <si>
    <t>STEAM MAINT MISC-BB4 FGD</t>
  </si>
  <si>
    <t>51485</t>
  </si>
  <si>
    <t>STEAM MAINT MISC. - BB2 FGD C</t>
  </si>
  <si>
    <t>514</t>
  </si>
  <si>
    <t>54628</t>
  </si>
  <si>
    <t>SUPV &amp; ENG-COMB TURBINE PH</t>
  </si>
  <si>
    <t>54638</t>
  </si>
  <si>
    <t>SUPV &amp; ENG-CT PARK STREET</t>
  </si>
  <si>
    <t>54648</t>
  </si>
  <si>
    <t>SUPV &amp; ENG-COMB TURBINE BB</t>
  </si>
  <si>
    <t>54650</t>
  </si>
  <si>
    <t>SUPERVISOR &amp; ENGINEER - BAYSI</t>
  </si>
  <si>
    <t>54658</t>
  </si>
  <si>
    <t>SUPV &amp; ENG-COMB TURBINE GN1</t>
  </si>
  <si>
    <t>54670</t>
  </si>
  <si>
    <t>SUPV &amp; ENGR - POLK</t>
  </si>
  <si>
    <t>54678</t>
  </si>
  <si>
    <t>"PARTNERSHIP PROJECT 1 "</t>
  </si>
  <si>
    <t>546</t>
  </si>
  <si>
    <t>1207 Final DL w/Taxes &amp; PE&amp;C</t>
  </si>
  <si>
    <t>10100</t>
  </si>
  <si>
    <t>ELECTRIC PLANT IN SERVICE</t>
  </si>
  <si>
    <t>10102</t>
  </si>
  <si>
    <t>INDUST-PHOSP LG OPT BILL PROV</t>
  </si>
  <si>
    <t>44232</t>
  </si>
  <si>
    <t>INDUST-PHOSP LG BASE REVENUE.</t>
  </si>
  <si>
    <t>44234</t>
  </si>
  <si>
    <t>INDUST-PHOPS LG FUEL REVENUE.</t>
  </si>
  <si>
    <t>44235</t>
  </si>
  <si>
    <t>INDUST-PHOSP LG CAPACITY REV.</t>
  </si>
  <si>
    <t>44236</t>
  </si>
  <si>
    <t>INDUST-PHOSP LG CONSERVA REV.</t>
  </si>
  <si>
    <t>44237</t>
  </si>
  <si>
    <t>INDUST-PHOSP LG ENVIRON REV.</t>
  </si>
  <si>
    <t>44238</t>
  </si>
  <si>
    <t>INDUST-PHOSP LG FRANCHISE REV</t>
  </si>
  <si>
    <t>44239</t>
  </si>
  <si>
    <t>INDUST-PHOSP LG GRS RECPT TAX</t>
  </si>
  <si>
    <t>44240</t>
  </si>
  <si>
    <t>INDUST-OTHER SM OPT BILL PROV</t>
  </si>
  <si>
    <t>44242</t>
  </si>
  <si>
    <t>INDUST-OTHER SM BASE REVENUE</t>
  </si>
  <si>
    <t>44244</t>
  </si>
  <si>
    <t>INDUST-OTHER SM FUEL REV.</t>
  </si>
  <si>
    <t>44245</t>
  </si>
  <si>
    <t>INDUST-OTHER SM CAPACITY REV.</t>
  </si>
  <si>
    <t>44246</t>
  </si>
  <si>
    <t>INDUST-OTHER SM CONSERVA REV.</t>
  </si>
  <si>
    <t>44247</t>
  </si>
  <si>
    <t>INDUST-OTHER SM ENVIRON REV.</t>
  </si>
  <si>
    <t>44248</t>
  </si>
  <si>
    <t>INDUST-OTHER SM FRANCHISE REV</t>
  </si>
  <si>
    <t>44249</t>
  </si>
  <si>
    <t>INDUST-OTHER SM GRS RECPT TAX</t>
  </si>
  <si>
    <t>44250</t>
  </si>
  <si>
    <t>INDUST-OTHER LG OPT BILL PROV</t>
  </si>
  <si>
    <t>44252</t>
  </si>
  <si>
    <t>INDUST-OTHER LG BASE REVENUE</t>
  </si>
  <si>
    <t>44254</t>
  </si>
  <si>
    <t>INDUST-OTHER LG FUEL REV.</t>
  </si>
  <si>
    <t>44255</t>
  </si>
  <si>
    <t>INDUST-OTHER LG CAPACITY REV.</t>
  </si>
  <si>
    <t>44256</t>
  </si>
  <si>
    <t>INDUST-OTHER LG CONSERVA REV.</t>
  </si>
  <si>
    <t>44257</t>
  </si>
  <si>
    <t>INDUST-OTHER LG ENVIRON REV.</t>
  </si>
  <si>
    <t>44258</t>
  </si>
  <si>
    <t>INDUST-OTHER LG FRANCHISE REV</t>
  </si>
  <si>
    <t>44259</t>
  </si>
  <si>
    <t>INDUST-OTHER LG GRS RECPT TAX</t>
  </si>
  <si>
    <t>442</t>
  </si>
  <si>
    <t>44401</t>
  </si>
  <si>
    <t>PUB ST HIGH LGT BASE REVENUE.</t>
  </si>
  <si>
    <t>44403</t>
  </si>
  <si>
    <t>PUBLIC STR &amp; HWY LTG FUEL ADJ</t>
  </si>
  <si>
    <t>44405</t>
  </si>
  <si>
    <t>PUB ST HIGH LTG CAPAC REV.</t>
  </si>
  <si>
    <t>44406</t>
  </si>
  <si>
    <t>PUB ST HIGH LIG CONSERVA REV.</t>
  </si>
  <si>
    <t>44407</t>
  </si>
  <si>
    <t>PUB ST HIGH LTG ENVIRON REV.</t>
  </si>
  <si>
    <t>44408</t>
  </si>
  <si>
    <t>ELECTRIC PLANT PURCHASED OR S</t>
  </si>
  <si>
    <t>102</t>
  </si>
  <si>
    <t>10501</t>
  </si>
  <si>
    <t>COMPARK SUB 428D</t>
  </si>
  <si>
    <t>10502</t>
  </si>
  <si>
    <t>BEACON KEY TRANSMISSION R/W</t>
  </si>
  <si>
    <t>10503</t>
  </si>
  <si>
    <t>RIVER TO SO. HILLS TRANSM R/W</t>
  </si>
  <si>
    <t>10504</t>
  </si>
  <si>
    <t>500/230 KV R/W TO PHOSP AREA</t>
  </si>
  <si>
    <t>10505</t>
  </si>
  <si>
    <t>Unamortized loss on reacquired debt</t>
  </si>
  <si>
    <t>COMMON RECOVERABLE CONS COSTS</t>
  </si>
  <si>
    <t>90850</t>
  </si>
  <si>
    <t>HEATING &amp; COOLING PROGRAM</t>
  </si>
  <si>
    <t>90851</t>
  </si>
  <si>
    <t>PRIME TIME EXPENSES</t>
  </si>
  <si>
    <t>90852</t>
  </si>
  <si>
    <t>RES MAIL-IN AUDIT</t>
  </si>
  <si>
    <t>90853</t>
  </si>
  <si>
    <t>RESIDENTIAL PHONE-ASSISTED AU</t>
  </si>
  <si>
    <t>90854</t>
  </si>
  <si>
    <t>COMPREHENSIVE HOME SURVEY</t>
  </si>
  <si>
    <t>90855</t>
  </si>
  <si>
    <t>FREE HOME ENERGY CHECK</t>
  </si>
  <si>
    <t>90856</t>
  </si>
  <si>
    <t>COMPREHENSIVE C/I AUDIT</t>
  </si>
  <si>
    <t>90857</t>
  </si>
  <si>
    <t>FREE C/I AUDIT</t>
  </si>
  <si>
    <t>90858</t>
  </si>
  <si>
    <t>WALL INSULATION</t>
  </si>
  <si>
    <t>90859</t>
  </si>
  <si>
    <t>WINDOW REPLACEMENT</t>
  </si>
  <si>
    <t>90860</t>
  </si>
  <si>
    <t>RES BERS AUDIT.</t>
  </si>
  <si>
    <t>90861</t>
  </si>
  <si>
    <t>90862</t>
  </si>
  <si>
    <t>WINDOW FILM</t>
  </si>
  <si>
    <t>90863</t>
  </si>
  <si>
    <t>EDUCATIONAL ENERGY AWARENESS</t>
  </si>
  <si>
    <t>90864</t>
  </si>
  <si>
    <t>COMMERCIAL DUCT REPAIR PROGRA</t>
  </si>
  <si>
    <t>90865</t>
  </si>
  <si>
    <t>INDUSTRIAL LOAD MANAGEMENT</t>
  </si>
  <si>
    <t>90866</t>
  </si>
  <si>
    <t>CEILING INSULATIONS</t>
  </si>
  <si>
    <t>90867</t>
  </si>
  <si>
    <t>COMM &amp; INDUST LOAD MGMT</t>
  </si>
  <si>
    <t>90868</t>
  </si>
  <si>
    <t>COMMERCIAL LIGHTING PROGRAM.</t>
  </si>
  <si>
    <t>90869</t>
  </si>
  <si>
    <t>STANDBY GENERATION PROGRAM.</t>
  </si>
  <si>
    <t>90870</t>
  </si>
  <si>
    <t>CONSERVATION VALUE PROGRAM</t>
  </si>
  <si>
    <t>90871</t>
  </si>
  <si>
    <t>RESIDENTIAL DUCT EFFICIENCY</t>
  </si>
  <si>
    <t>90872</t>
  </si>
  <si>
    <t>RENEWABLE ENERGY INITIATIVE</t>
  </si>
  <si>
    <t>90873</t>
  </si>
  <si>
    <t>COMMERCIAL SOLAR WINDOW FILM</t>
  </si>
  <si>
    <t>90874</t>
  </si>
  <si>
    <t>COMMERCIAL CEILING INSULATION</t>
  </si>
  <si>
    <t>90875</t>
  </si>
  <si>
    <t>COMMERCIAL WALL INSULATION</t>
  </si>
  <si>
    <t>90876</t>
  </si>
  <si>
    <t>COMMERCIAL ENERGY EFFICIENT M</t>
  </si>
  <si>
    <t>90877</t>
  </si>
  <si>
    <t>DEFERRED CONSERVATION EXPENSE</t>
  </si>
  <si>
    <t>90878</t>
  </si>
  <si>
    <t>DEFERRED CONSERVATION INTERES</t>
  </si>
  <si>
    <t>90879</t>
  </si>
  <si>
    <t>AMORTIZED DEFERRED CONSV EXP</t>
  </si>
  <si>
    <t>90880</t>
  </si>
  <si>
    <t>COMMERCIAL DEMAND RESPONSE</t>
  </si>
  <si>
    <t>90881</t>
  </si>
  <si>
    <t>COMMERCIAL CHILLER</t>
  </si>
  <si>
    <t>90882</t>
  </si>
  <si>
    <t>COMMERCIAL LIGHTING OCCUPANCY</t>
  </si>
  <si>
    <t>90883</t>
  </si>
  <si>
    <t>COMMERCIAL REFRIGERATION (ANT</t>
  </si>
  <si>
    <t>90884</t>
  </si>
  <si>
    <t>COMMERCIAL WATER HEATING PROG</t>
  </si>
  <si>
    <t>90885</t>
  </si>
  <si>
    <t>R &amp; D LANDFILL GAS MICROTURBI</t>
  </si>
  <si>
    <t>90886</t>
  </si>
  <si>
    <t>EPRI BIO-DIESEL PROJECT</t>
  </si>
  <si>
    <t>90887</t>
  </si>
  <si>
    <t>R &amp; D SOLAR PHOTOVOLTAICS - S</t>
  </si>
  <si>
    <t>90888</t>
  </si>
  <si>
    <t>LOW INCOME WEATHERIZATION</t>
  </si>
  <si>
    <t>90890</t>
  </si>
  <si>
    <t>DSM COMMERCIAL R&amp;D</t>
  </si>
  <si>
    <t>90891</t>
  </si>
  <si>
    <t>DSM PROGRAM - COMMERCIAL COOL</t>
  </si>
  <si>
    <t>90892</t>
  </si>
  <si>
    <t>DSM - RESIDENTIAL NEW CONSTRU</t>
  </si>
  <si>
    <t>90893</t>
  </si>
  <si>
    <t>PILOT - PRICE RESPONSIVE LOAD</t>
  </si>
  <si>
    <t>908</t>
  </si>
  <si>
    <t>90912</t>
  </si>
  <si>
    <t>INFO/INSTRUCT ADVERTISE EXPEN</t>
  </si>
  <si>
    <t>90913</t>
  </si>
  <si>
    <t>SAFETY ADVERTISING</t>
  </si>
  <si>
    <t>90950</t>
  </si>
  <si>
    <t>HEATING &amp; COOLING PROG ADVERT</t>
  </si>
  <si>
    <t>90951</t>
  </si>
  <si>
    <t>PRIME TIME ADVERTISING</t>
  </si>
  <si>
    <t>90952</t>
  </si>
  <si>
    <t>RES MAIL-IN AUDIT - ADVERTISI</t>
  </si>
  <si>
    <t>90954</t>
  </si>
  <si>
    <t>COMPREHENSIVE HOME SURVEY ADV</t>
  </si>
  <si>
    <t>90955</t>
  </si>
  <si>
    <t>FREE HOME ENERGY CHECK ADVERT</t>
  </si>
  <si>
    <t>90957</t>
  </si>
  <si>
    <t>FREE C/I AUDIT ADVERTISING</t>
  </si>
  <si>
    <t>90965</t>
  </si>
  <si>
    <t>INDUSTRIAL LOAD MANAGEMENT -</t>
  </si>
  <si>
    <t>90966</t>
  </si>
  <si>
    <t>CEILING INSULATION ADVERTISIN</t>
  </si>
  <si>
    <t>90967</t>
  </si>
  <si>
    <t>C&amp;I LOAD MGT ADVERTISING</t>
  </si>
  <si>
    <t>90968</t>
  </si>
  <si>
    <t>COMMERCIAL LIGHTING PROGRAM-A</t>
  </si>
  <si>
    <t>90969</t>
  </si>
  <si>
    <t>A/P TECO GUATEMALA</t>
  </si>
  <si>
    <t>23411</t>
  </si>
  <si>
    <t>A/P TECO STEVADORING</t>
  </si>
  <si>
    <t>23416</t>
  </si>
  <si>
    <t>ENVIRONMENTAL ONGOING DOCKET</t>
  </si>
  <si>
    <t>92810</t>
  </si>
  <si>
    <t>GANNON RE-POWERING PROJECT</t>
  </si>
  <si>
    <t>92811</t>
  </si>
  <si>
    <t>REGIONAL TRANSMISSION ORGANIZ</t>
  </si>
  <si>
    <t>92812</t>
  </si>
  <si>
    <t>FLORIDA ENERGY 2020 STUDY</t>
  </si>
  <si>
    <t>92813</t>
  </si>
  <si>
    <t>GRIDFLORIDA (RTO)</t>
  </si>
  <si>
    <t>92814</t>
  </si>
  <si>
    <t>FLORIDA GAS TRANSMISSION CO.(</t>
  </si>
  <si>
    <t>928</t>
  </si>
  <si>
    <t>92901</t>
  </si>
  <si>
    <t>FRINGE ALLOCATION</t>
  </si>
  <si>
    <t>929</t>
  </si>
  <si>
    <t>93001</t>
  </si>
  <si>
    <t>MISC EXP REGULAR</t>
  </si>
  <si>
    <t>93002</t>
  </si>
  <si>
    <t>MISC EXP COMPANY DUES</t>
  </si>
  <si>
    <t>93003</t>
  </si>
  <si>
    <t>55428</t>
  </si>
  <si>
    <t>MAINT MISC PWR GEN - PH1-3</t>
  </si>
  <si>
    <t>55440</t>
  </si>
  <si>
    <t>MAINT MISC PWR GEN - BB COMMO</t>
  </si>
  <si>
    <t>55441</t>
  </si>
  <si>
    <t>Unamortized Debt Expense 20M  2007 Bonds due 2020</t>
  </si>
  <si>
    <t>91301</t>
  </si>
  <si>
    <t>SALES-RELATED ADVERTISING EXP</t>
  </si>
  <si>
    <t>91310</t>
  </si>
  <si>
    <t>ADVERTISING-RESIDENTIAL SECUR</t>
  </si>
  <si>
    <t>91314</t>
  </si>
  <si>
    <t>ADVERTISING-BRIGHT CHOICES</t>
  </si>
  <si>
    <t>913</t>
  </si>
  <si>
    <t>91601</t>
  </si>
  <si>
    <t>GYPSUM SALES EXPENSE</t>
  </si>
  <si>
    <t>91602</t>
  </si>
  <si>
    <t>RESIDUALS SLAG/ASH SALES EXP</t>
  </si>
  <si>
    <t>91603</t>
  </si>
  <si>
    <t>SULFURIC ACID SALES EXPENSE.</t>
  </si>
  <si>
    <t>91604</t>
  </si>
  <si>
    <t>BRINE SALES EXPENSE.</t>
  </si>
  <si>
    <t>916</t>
  </si>
  <si>
    <t>92001</t>
  </si>
  <si>
    <t>ADMIN GENL SALARIES-REGULAR</t>
  </si>
  <si>
    <t>92010</t>
  </si>
  <si>
    <t>SNACK BAR OPERATIONS</t>
  </si>
  <si>
    <t>92012</t>
  </si>
  <si>
    <t>TEMPORARY PAYROLL ACCOUNT</t>
  </si>
  <si>
    <t>92018</t>
  </si>
  <si>
    <t>COMMUNITY LEADERS/SMALL BUSIN</t>
  </si>
  <si>
    <t>92020</t>
  </si>
  <si>
    <t>MILITARY CALL UP 2001</t>
  </si>
  <si>
    <t>92025</t>
  </si>
  <si>
    <t>A &amp; G - BRIGHT CHOICES - SALA</t>
  </si>
  <si>
    <t>92084</t>
  </si>
  <si>
    <t>ADMIN &amp; GEN SALARIES - MISC</t>
  </si>
  <si>
    <t>92087</t>
  </si>
  <si>
    <t>ADMIN &amp; GEN SALARIES - TENANT</t>
  </si>
  <si>
    <t>92090</t>
  </si>
  <si>
    <t>ADMIN &amp; GEN SALARIES - ELECTR</t>
  </si>
  <si>
    <t>92092</t>
  </si>
  <si>
    <t>ADMIN &amp; GEN SALARIES - HVAC</t>
  </si>
  <si>
    <t>92093</t>
  </si>
  <si>
    <t>ADMIN &amp; GEN SALARIES - MISC S</t>
  </si>
  <si>
    <t>92096</t>
  </si>
  <si>
    <t>ADMIN &amp; GEN SALARIES - PLUMBI</t>
  </si>
  <si>
    <t>92097</t>
  </si>
  <si>
    <t>ADMIN &amp; GEN SALARIES - WASTE/</t>
  </si>
  <si>
    <t>920</t>
  </si>
  <si>
    <t>92101</t>
  </si>
  <si>
    <t>DIT FD CUSTOMER DEPOSITS</t>
  </si>
  <si>
    <t>19012</t>
  </si>
  <si>
    <t>DIT ST CAPITAL INTEREST</t>
  </si>
  <si>
    <t>19013</t>
  </si>
  <si>
    <t>DIT FD CAPITAL INTEREST</t>
  </si>
  <si>
    <t>19014</t>
  </si>
  <si>
    <t>DIT ST CONTRIB IN AID TO CONS</t>
  </si>
  <si>
    <t>19015</t>
  </si>
  <si>
    <t>DIT FD CONTRIB IN AID TO CONS</t>
  </si>
  <si>
    <t>19016</t>
  </si>
  <si>
    <t>DIT ST DISMANTLING</t>
  </si>
  <si>
    <t>19017</t>
  </si>
  <si>
    <t>DIT FD DISMANTLING</t>
  </si>
  <si>
    <t>19021</t>
  </si>
  <si>
    <t>DIT ST LEASE NON UTILITY</t>
  </si>
  <si>
    <t>19022</t>
  </si>
  <si>
    <t>ADMIN MAINT-OFF EQUIP</t>
  </si>
  <si>
    <t>93204</t>
  </si>
  <si>
    <t>502</t>
  </si>
  <si>
    <t>50301</t>
  </si>
  <si>
    <t>BB2 TEST BURN EVALUATION</t>
  </si>
  <si>
    <t>50353</t>
  </si>
  <si>
    <t>GN3 FUEL TEST EXPENSE</t>
  </si>
  <si>
    <t>50354</t>
  </si>
  <si>
    <t>STM OPERATIONS-GN4 FUEL TESTS</t>
  </si>
  <si>
    <t>50355</t>
  </si>
  <si>
    <t>STM OPERATION - GN5 FUEL TEST</t>
  </si>
  <si>
    <t>50356</t>
  </si>
  <si>
    <t>STM OPERATION - GN6 FUEL TEST</t>
  </si>
  <si>
    <t>50375</t>
  </si>
  <si>
    <t>BB/GN ACID RAIN GENERAL/COMMO</t>
  </si>
  <si>
    <t>50399</t>
  </si>
  <si>
    <t>ENVIRONMENTAL TESTING CLEARIN</t>
  </si>
  <si>
    <t>503</t>
  </si>
  <si>
    <t>50511</t>
  </si>
  <si>
    <t>ELECTRIC OPER - DINNER LAKE</t>
  </si>
  <si>
    <t>50544</t>
  </si>
  <si>
    <t>ELECTRIC OPER - BB4</t>
  </si>
  <si>
    <t>50549</t>
  </si>
  <si>
    <t>ELECTRIC OPER - BIG BEND</t>
  </si>
  <si>
    <t>50550</t>
  </si>
  <si>
    <t>ELECTRIC OPER - GN1-6</t>
  </si>
  <si>
    <t>50559</t>
  </si>
  <si>
    <t>ELECTRIC OPER - GN COAL</t>
  </si>
  <si>
    <t>50568</t>
  </si>
  <si>
    <t>ELECTRIC OPER - HOOKERS POINT</t>
  </si>
  <si>
    <t>505</t>
  </si>
  <si>
    <t>50611</t>
  </si>
  <si>
    <t>MISC OPER - DINNER LAKE</t>
  </si>
  <si>
    <t>50634</t>
  </si>
  <si>
    <t>NOX TESTING - BIG BEND STATIO</t>
  </si>
  <si>
    <t>50635</t>
  </si>
  <si>
    <t>NOX TESTING - GANNON STATION</t>
  </si>
  <si>
    <t>50644</t>
  </si>
  <si>
    <t>MISC OPER - BB4</t>
  </si>
  <si>
    <t>50649</t>
  </si>
  <si>
    <t>MISC OPER - BB</t>
  </si>
  <si>
    <t>50650</t>
  </si>
  <si>
    <t>MISC OPER - GN1-6</t>
  </si>
  <si>
    <t>50652</t>
  </si>
  <si>
    <t>GANNON THERMAL DISCHARGE STUD</t>
  </si>
  <si>
    <t>50653</t>
  </si>
  <si>
    <t>50654</t>
  </si>
  <si>
    <t>STM OPERATION - GN4 FUEL TEST</t>
  </si>
  <si>
    <t>50655</t>
  </si>
  <si>
    <t>50656</t>
  </si>
  <si>
    <t>50659</t>
  </si>
  <si>
    <t>MISC OPER - GN COAL</t>
  </si>
  <si>
    <t>50667</t>
  </si>
  <si>
    <t>MISC OPER - ENERGY SUPPLY MAC</t>
  </si>
  <si>
    <t>50668</t>
  </si>
  <si>
    <t>MISC OPER - HP</t>
  </si>
  <si>
    <t>50669</t>
  </si>
  <si>
    <t>MISC OPER HOOKERS PT STANDBY</t>
  </si>
  <si>
    <t>50681</t>
  </si>
  <si>
    <t>MISC OPERATIONS - BB1 FGD.</t>
  </si>
  <si>
    <t>50682</t>
  </si>
  <si>
    <t>MISC OPERATIONS - BB2 FGD.</t>
  </si>
  <si>
    <t>50683</t>
  </si>
  <si>
    <t>ACH AND WIRES (OPERATING ACCT</t>
  </si>
  <si>
    <t>13104</t>
  </si>
  <si>
    <t>FIRST UNION DEPOSITS - DADE C</t>
  </si>
  <si>
    <t>13105</t>
  </si>
  <si>
    <t>E-BILL DEPOSIT ACCOUNT</t>
  </si>
  <si>
    <t>13106</t>
  </si>
  <si>
    <t>ENCODED DEPOSITS</t>
  </si>
  <si>
    <t>13107</t>
  </si>
  <si>
    <t>UNENCODED DEPOSITS</t>
  </si>
  <si>
    <t>13108</t>
  </si>
  <si>
    <t>TEC PAYROLL ACCOUNT</t>
  </si>
  <si>
    <t>13109</t>
  </si>
  <si>
    <t>DEPOSIT REFUND ACCOUNT</t>
  </si>
  <si>
    <t>13110</t>
  </si>
  <si>
    <t>CONSTRUCTION COSTS CREDIT CAR</t>
  </si>
  <si>
    <t>13111</t>
  </si>
  <si>
    <t>DOE GRANT FUND</t>
  </si>
  <si>
    <t>13115</t>
  </si>
  <si>
    <t>CASH-MISC ADJUSTMENTS</t>
  </si>
  <si>
    <t>13116</t>
  </si>
  <si>
    <t>TAMPA ELECTRIC DEPOSITS</t>
  </si>
  <si>
    <t>13117</t>
  </si>
  <si>
    <t>TAMPA ELECTRIC DEPOSITS MISC.</t>
  </si>
  <si>
    <t>13118</t>
  </si>
  <si>
    <t>RECOV. FUEL GANNON-ALLOW EXPE</t>
  </si>
  <si>
    <t>50968</t>
  </si>
  <si>
    <t>RECOV. FUEL HP-ALLOW EXPENSE</t>
  </si>
  <si>
    <t>50970</t>
  </si>
  <si>
    <t>RECOV. FUEL POLK-ALLOW EXPENS</t>
  </si>
  <si>
    <t>509</t>
  </si>
  <si>
    <t>51044</t>
  </si>
  <si>
    <t>SUPV &amp; ENG - BB4</t>
  </si>
  <si>
    <t>51049</t>
  </si>
  <si>
    <t>SUPV &amp; ENG - BIG BEND</t>
  </si>
  <si>
    <t>51059</t>
  </si>
  <si>
    <t>SUPV &amp; ENG - GANNON COAL</t>
  </si>
  <si>
    <t>51068</t>
  </si>
  <si>
    <t>SUPV &amp; ENG - HOOKERS POINT</t>
  </si>
  <si>
    <t>51081</t>
  </si>
  <si>
    <t>SUPV &amp; ENG - BB1 FGD</t>
  </si>
  <si>
    <t>51082</t>
  </si>
  <si>
    <t>SUPV &amp; ENG - BB2 FGD.</t>
  </si>
  <si>
    <t>51083</t>
  </si>
  <si>
    <t>SUPV&amp;ENG-BB3 FGD</t>
  </si>
  <si>
    <t>51084</t>
  </si>
  <si>
    <t>SUPV &amp; ENG - BB4 FGD</t>
  </si>
  <si>
    <t>51085</t>
  </si>
  <si>
    <t>SUPV &amp; ENG - BB FGD COMMON.</t>
  </si>
  <si>
    <t>510</t>
  </si>
  <si>
    <t>51124</t>
  </si>
  <si>
    <t>BB4 SCR MAINT-STRUCTURES</t>
  </si>
  <si>
    <t>51125</t>
  </si>
  <si>
    <t>BBC SCR MAINT-STRUCTURES</t>
  </si>
  <si>
    <t>51140</t>
  </si>
  <si>
    <t>BB EAST/WEST CHANNEL DREDGING</t>
  </si>
  <si>
    <t>51141</t>
  </si>
  <si>
    <t>MAINT PROD STRUC BB-1</t>
  </si>
  <si>
    <t>51142</t>
  </si>
  <si>
    <t>MAINT PROD STRUC BB-2</t>
  </si>
  <si>
    <t>51143</t>
  </si>
  <si>
    <t>MAINT PROD STRUC BB-3</t>
  </si>
  <si>
    <t>51144</t>
  </si>
  <si>
    <t>MAINT PROD STRUC-BB4</t>
  </si>
  <si>
    <t>51149</t>
  </si>
  <si>
    <t>MAINT PROD STRUC-BB1-4</t>
  </si>
  <si>
    <t>51150</t>
  </si>
  <si>
    <t>MAINT PROD STRUC-GN1-6</t>
  </si>
  <si>
    <t>51159</t>
  </si>
  <si>
    <t>MAINT PROD STRUC-GN COAL</t>
  </si>
  <si>
    <t>51168</t>
  </si>
  <si>
    <t>MAINT PROD STRUC-HP1-6</t>
  </si>
  <si>
    <t>51169</t>
  </si>
  <si>
    <t>MAINT PROD STRUC-UNITS 1-6 H.</t>
  </si>
  <si>
    <t>51180</t>
  </si>
  <si>
    <t>MAINT PROD STRUC- BB3 FGD SYS</t>
  </si>
  <si>
    <t>51181</t>
  </si>
  <si>
    <t>MAINT PROD STRUC - BB1 FGD.</t>
  </si>
  <si>
    <t>51182</t>
  </si>
  <si>
    <t>MAINT PROD STRUC - BB2 FGD.</t>
  </si>
  <si>
    <t>51183</t>
  </si>
  <si>
    <t>MAINT PROD STRUC-BB3 FGD</t>
  </si>
  <si>
    <t>51184</t>
  </si>
  <si>
    <t>MAINT PROD STRUC-BB4 FGD</t>
  </si>
  <si>
    <t>51185</t>
  </si>
  <si>
    <t>MAINT PROD STRUC - BB FGD COM</t>
  </si>
  <si>
    <t>51188</t>
  </si>
  <si>
    <t>BUILDING SERVICE-CARPET CLEAN</t>
  </si>
  <si>
    <t>51189</t>
  </si>
  <si>
    <t>BUILDING SERVICE-GENERAL CLEA</t>
  </si>
  <si>
    <t>51190</t>
  </si>
  <si>
    <t>BUILDING SERVICE-ELECTRICAL</t>
  </si>
  <si>
    <t>51191</t>
  </si>
  <si>
    <t>BUILDING SERVICE-EXTERIOR</t>
  </si>
  <si>
    <t>51192</t>
  </si>
  <si>
    <t>BUILDING SERVICE-HVAC</t>
  </si>
  <si>
    <t>51193</t>
  </si>
  <si>
    <t>BUILDING SERVICE-MISC STRUCTU</t>
  </si>
  <si>
    <t>51194</t>
  </si>
  <si>
    <t>(Dollars in 000's)</t>
  </si>
  <si>
    <t>Tampa Electric Company</t>
  </si>
  <si>
    <t xml:space="preserve">    $330.0M BONDS - 2002 SERIES DUE 2012 (Acct 221.49)</t>
  </si>
  <si>
    <t xml:space="preserve">    $85.95M BONDS - 2006 SERIES DUE 2034 (Acct 221.45)</t>
  </si>
  <si>
    <t>prior year, and historical base year.  Arrange by type of issue (i.e., first mortgage bonds).</t>
  </si>
  <si>
    <t>Totals may be affected due to rounding.</t>
  </si>
  <si>
    <t>INTERCHG RECV KISSIMMEE</t>
  </si>
  <si>
    <t>14325</t>
  </si>
  <si>
    <t>INTERCHG RECV ST CLOUD</t>
  </si>
  <si>
    <t>14326</t>
  </si>
  <si>
    <t>INTERCHG RECV FLA MUN POWER A</t>
  </si>
  <si>
    <t>14327</t>
  </si>
  <si>
    <t>INTERCHG RECV SEMINOLE</t>
  </si>
  <si>
    <t>14328</t>
  </si>
  <si>
    <t>INTERCHG RECV STARKE</t>
  </si>
  <si>
    <t>14329</t>
  </si>
  <si>
    <t>INTERCHG RECV GROSS RECPT TAX</t>
  </si>
  <si>
    <t>14330</t>
  </si>
  <si>
    <t>INTERCHG RECV KEY WEST</t>
  </si>
  <si>
    <t>14331</t>
  </si>
  <si>
    <t>INTERCHG RECV REEDY CREEK</t>
  </si>
  <si>
    <t>14332</t>
  </si>
  <si>
    <t>INTERCHG RECV WAUCHULA</t>
  </si>
  <si>
    <t>14333</t>
  </si>
  <si>
    <t>DEFERRED FUEL EXP-WHOLESALE</t>
  </si>
  <si>
    <t>55791</t>
  </si>
  <si>
    <t>DEFERRED FUEL INT-WHOLESALE</t>
  </si>
  <si>
    <t>55792</t>
  </si>
  <si>
    <t>DEFERRED FUEL AMORT-WHOLESALE</t>
  </si>
  <si>
    <t>55798</t>
  </si>
  <si>
    <t>CONTRACT REASSIGNMENT</t>
  </si>
  <si>
    <t>55799</t>
  </si>
  <si>
    <t>CONTRACT REASSIGNMENT AMORTIZ</t>
  </si>
  <si>
    <t>557</t>
  </si>
  <si>
    <t>56000</t>
  </si>
  <si>
    <t>TRANSMISSION OPN SUPV &amp; ENG</t>
  </si>
  <si>
    <t>560</t>
  </si>
  <si>
    <t>56100</t>
  </si>
  <si>
    <t>TRANSMISSION OPN-LOAD DISPATC</t>
  </si>
  <si>
    <t>56101</t>
  </si>
  <si>
    <t>COGENERATION CREDIT</t>
  </si>
  <si>
    <t>56110</t>
  </si>
  <si>
    <t>LOAD DISPATCH - RELIABILITY</t>
  </si>
  <si>
    <t>56120</t>
  </si>
  <si>
    <t>LOAD DISPATCH - MONITOR AND O</t>
  </si>
  <si>
    <t>56130</t>
  </si>
  <si>
    <t>LOAD DISPATCH - TRANSMISSION</t>
  </si>
  <si>
    <t>56140</t>
  </si>
  <si>
    <t>SCHEDULING, SYSTEM CONTROL AN</t>
  </si>
  <si>
    <t>56150</t>
  </si>
  <si>
    <t>RELIABILITY, PLANNING AND STA</t>
  </si>
  <si>
    <t>56160</t>
  </si>
  <si>
    <t>TRANSMISSION SERVICE STUDIES</t>
  </si>
  <si>
    <t>56170</t>
  </si>
  <si>
    <t>GENERATION INTERCONNECTION ST</t>
  </si>
  <si>
    <t>56180</t>
  </si>
  <si>
    <t>561</t>
  </si>
  <si>
    <t>56200</t>
  </si>
  <si>
    <t>TRANSMISSION OPN-SUBSTATION E</t>
  </si>
  <si>
    <t>56202</t>
  </si>
  <si>
    <t>TRANSMISSION SUBSTATION LINE</t>
  </si>
  <si>
    <t>56203</t>
  </si>
  <si>
    <t>TRANS OPN - CASCADE EQUIPMENT</t>
  </si>
  <si>
    <t>56205</t>
  </si>
  <si>
    <t>TRANSMISSION OPER SUB-PCB</t>
  </si>
  <si>
    <t>56206</t>
  </si>
  <si>
    <t>TRANS OPNS - SUBSTA - STORM</t>
  </si>
  <si>
    <t>56207</t>
  </si>
  <si>
    <t>UNCOLLECTIBLE ACCTS DADE CITY</t>
  </si>
  <si>
    <t>90416</t>
  </si>
  <si>
    <t>UNCOLLECTIBLE ACCTS SOUTH HIL</t>
  </si>
  <si>
    <t>90421</t>
  </si>
  <si>
    <t>90422</t>
  </si>
  <si>
    <t>904</t>
  </si>
  <si>
    <t>90801</t>
  </si>
  <si>
    <t>BB COALFIELD CLEANUP</t>
  </si>
  <si>
    <t>18321</t>
  </si>
  <si>
    <t>HEIGHTS OF TAMPA PROJECT</t>
  </si>
  <si>
    <t>18322</t>
  </si>
  <si>
    <t>GENERATION EXPANSION 2011-201</t>
  </si>
  <si>
    <t>18323</t>
  </si>
  <si>
    <t>ED LAKE ANGNES TO GIFFORD TRA</t>
  </si>
  <si>
    <t>18324</t>
  </si>
  <si>
    <t>ED LAKE AGNES TO CANE ISLAND</t>
  </si>
  <si>
    <t>18325</t>
  </si>
  <si>
    <t>ED WILLOW OAK TO DAVIS ROAD T</t>
  </si>
  <si>
    <t>18326</t>
  </si>
  <si>
    <t>ED MACDILL PRIVITAZATION</t>
  </si>
  <si>
    <t>18327</t>
  </si>
  <si>
    <t>PK 6 INFRASTRUCTURE-WATER &amp; D</t>
  </si>
  <si>
    <t>18328</t>
  </si>
  <si>
    <t>GENERATION EXPANSION - LONG T</t>
  </si>
  <si>
    <t>18329</t>
  </si>
  <si>
    <t>BB3 LP TURBINE</t>
  </si>
  <si>
    <t>18340</t>
  </si>
  <si>
    <t>BB BLENDING BIN FIRE INVESTIG</t>
  </si>
  <si>
    <t>18342</t>
  </si>
  <si>
    <t>BB1 BOILER PRESSURE PARTS INS</t>
  </si>
  <si>
    <t>18343</t>
  </si>
  <si>
    <t>BB3 BOILER TUBE UT READING/AN</t>
  </si>
  <si>
    <t>18344</t>
  </si>
  <si>
    <t>BB3 BOILER PRESSURE PARTS INS</t>
  </si>
  <si>
    <t>18345</t>
  </si>
  <si>
    <t>BB2 BOILER PRESSURE PARTS INS</t>
  </si>
  <si>
    <t>18346</t>
  </si>
  <si>
    <t>ENV MERCURY STUDY</t>
  </si>
  <si>
    <t>18347</t>
  </si>
  <si>
    <t>BB FGD GYPSUM STORAGE RELOCAT</t>
  </si>
  <si>
    <t>18348</t>
  </si>
  <si>
    <t>BB4 ECONOMIZER ASH POND STUDY</t>
  </si>
  <si>
    <t>18349</t>
  </si>
  <si>
    <t>PK1 CARBON SEQUESTRATION PROJ</t>
  </si>
  <si>
    <t>18367</t>
  </si>
  <si>
    <t>2007 ENERGY DELIVERY PROJECT</t>
  </si>
  <si>
    <t>18368</t>
  </si>
  <si>
    <t>TRANSMISSION LINE STUDDY ACCT</t>
  </si>
  <si>
    <t>18369</t>
  </si>
  <si>
    <t>POWER PLANT STUDY ACCOUNT</t>
  </si>
  <si>
    <t>183</t>
  </si>
  <si>
    <t>18401</t>
  </si>
  <si>
    <t>CLEARING ACCOUNT LIGHT VEHICL</t>
  </si>
  <si>
    <t>18402</t>
  </si>
  <si>
    <t>CLEARING ACCOUNT MEDIUM VEHIC</t>
  </si>
  <si>
    <t>18403</t>
  </si>
  <si>
    <t>CLEARING ACCOUNT HEAVY VEHICL</t>
  </si>
  <si>
    <t>18405</t>
  </si>
  <si>
    <t>SMALL TOOLS DEFAULT / JE 5021</t>
  </si>
  <si>
    <t>18409</t>
  </si>
  <si>
    <t>MEDIUM VEHICLE DIRECT EXPENSE</t>
  </si>
  <si>
    <t>18410</t>
  </si>
  <si>
    <t>LIGHT VEHICLE DIRECT EXPENSES</t>
  </si>
  <si>
    <t>18411</t>
  </si>
  <si>
    <t>HEAVY VEHICLE DIRECT EXPENSES</t>
  </si>
  <si>
    <t>18412</t>
  </si>
  <si>
    <t>HEAVY VEHICLE ASSOCIATED EQUI</t>
  </si>
  <si>
    <t>18413</t>
  </si>
  <si>
    <t>LIGHT-MEDIUM-HEAVY VEHICLE AD</t>
  </si>
  <si>
    <t>18414</t>
  </si>
  <si>
    <t>VEHICLE GASOLINE, OIL, LUBRIC</t>
  </si>
  <si>
    <t>18415</t>
  </si>
  <si>
    <t>CONSTRUCTION/AGRICULTURAL EQU</t>
  </si>
  <si>
    <t>18416</t>
  </si>
  <si>
    <t>VEHICLE FUEL - DIESEL</t>
  </si>
  <si>
    <t>18417</t>
  </si>
  <si>
    <t>PRODUCTION COAL HANDLING EQUI</t>
  </si>
  <si>
    <t>18418</t>
  </si>
  <si>
    <t>TRAILERS</t>
  </si>
  <si>
    <t>18419</t>
  </si>
  <si>
    <t>MISC. NON-FLEET RELATED SERVI</t>
  </si>
  <si>
    <t>18420</t>
  </si>
  <si>
    <t>SM TOOL PURCH (0-$500)</t>
  </si>
  <si>
    <t>18421</t>
  </si>
  <si>
    <t>PROD SM TOOLS CLEARING-NON-PE</t>
  </si>
  <si>
    <t>18422</t>
  </si>
  <si>
    <t>PROD SM HAND TOOLS CLEARING P</t>
  </si>
  <si>
    <t>18423</t>
  </si>
  <si>
    <t>ACCOUNT TOTAL</t>
  </si>
  <si>
    <t>10200</t>
  </si>
  <si>
    <t>GENERATION EXP-GN CT1</t>
  </si>
  <si>
    <t>54870</t>
  </si>
  <si>
    <t>GENERATIONS EXP - POLK</t>
  </si>
  <si>
    <t>54872</t>
  </si>
  <si>
    <t>GENERATION EXPENSE-POLK UNIT</t>
  </si>
  <si>
    <t>548</t>
  </si>
  <si>
    <t>54928</t>
  </si>
  <si>
    <t>MISC OTHER PWR EXP - PH CT1-6</t>
  </si>
  <si>
    <t>54938</t>
  </si>
  <si>
    <t>MISC OTHER PWR EXP - PARK ST</t>
  </si>
  <si>
    <t>54948</t>
  </si>
  <si>
    <t>MISC OTHER PWR EXP - BB CT1-3</t>
  </si>
  <si>
    <t>54950</t>
  </si>
  <si>
    <t>MISCELLANEOUS OTHER EXPENSE</t>
  </si>
  <si>
    <t>54958</t>
  </si>
  <si>
    <t>MISC OTHER PWR EXP - GN CT1</t>
  </si>
  <si>
    <t>54970</t>
  </si>
  <si>
    <t>MISC OTHER PWR EXP-POLK</t>
  </si>
  <si>
    <t>54997</t>
  </si>
  <si>
    <t>DOE REIMBURSEMENT</t>
  </si>
  <si>
    <t>549</t>
  </si>
  <si>
    <t>55028</t>
  </si>
  <si>
    <t>RENTS - PH</t>
  </si>
  <si>
    <t>55038</t>
  </si>
  <si>
    <t>RENTS - PARK STREET STATION</t>
  </si>
  <si>
    <t>55070</t>
  </si>
  <si>
    <t>RENTS - POLK</t>
  </si>
  <si>
    <t>550</t>
  </si>
  <si>
    <t>55128</t>
  </si>
  <si>
    <t>MAINT SUPV &amp; ENG - PH1-3</t>
  </si>
  <si>
    <t>55170</t>
  </si>
  <si>
    <t>MAINT SUPV &amp; ENG - POLK #1</t>
  </si>
  <si>
    <t>551</t>
  </si>
  <si>
    <t>55228</t>
  </si>
  <si>
    <t>MAINT PROD STRUC - PH CT1-3</t>
  </si>
  <si>
    <t>55240</t>
  </si>
  <si>
    <t>MAINT STRUCT - BB CT1-3</t>
  </si>
  <si>
    <t>55241</t>
  </si>
  <si>
    <t>MAINT STRUCT - BB CT1</t>
  </si>
  <si>
    <t>55242</t>
  </si>
  <si>
    <t>MAINT STRUCT - BB CT2</t>
  </si>
  <si>
    <t>55243</t>
  </si>
  <si>
    <t>MAINT STRUCT - BB CT3</t>
  </si>
  <si>
    <t>55250</t>
  </si>
  <si>
    <t>MAINT STRUCTURES BAYSIDE POWE</t>
  </si>
  <si>
    <t>55251</t>
  </si>
  <si>
    <t>INTAKE STRUCTURE BAYSIDE</t>
  </si>
  <si>
    <t>55270</t>
  </si>
  <si>
    <t>MAINT STRUC FUEL HOLD &amp; PROD</t>
  </si>
  <si>
    <t>55271</t>
  </si>
  <si>
    <t>MAINT PROD STRUC - POLK#1</t>
  </si>
  <si>
    <t>55274</t>
  </si>
  <si>
    <t>COAL HANDLING/SLURRY PREP</t>
  </si>
  <si>
    <t>55275</t>
  </si>
  <si>
    <t>GASIFICATION AREA CONT</t>
  </si>
  <si>
    <t>55276</t>
  </si>
  <si>
    <t>SULFURIC ACID PLANT</t>
  </si>
  <si>
    <t>55277</t>
  </si>
  <si>
    <t>AIR SEPARATION UNIT</t>
  </si>
  <si>
    <t>55278</t>
  </si>
  <si>
    <t>BRINE CONC SYSTEM/WASTER WATE</t>
  </si>
  <si>
    <t>552</t>
  </si>
  <si>
    <t>55321</t>
  </si>
  <si>
    <t>MAINT GEN &amp; ELECT - PH1</t>
  </si>
  <si>
    <t>55322</t>
  </si>
  <si>
    <t>MAINT GEN &amp; ELECT - PH2</t>
  </si>
  <si>
    <t>55323</t>
  </si>
  <si>
    <t>MAINT GEN &amp; ELECT - PH3</t>
  </si>
  <si>
    <t>55328</t>
  </si>
  <si>
    <t>MAINT GEN &amp; ELECT - PH1-3</t>
  </si>
  <si>
    <t>55340</t>
  </si>
  <si>
    <t>MAINT GEN &amp; ELEC - BB CT1-3</t>
  </si>
  <si>
    <t>55341</t>
  </si>
  <si>
    <t>MAINT GEN &amp; ELEC - BB CT1</t>
  </si>
  <si>
    <t>55342</t>
  </si>
  <si>
    <t>MAINT GEN &amp; ELEC - BB CT2</t>
  </si>
  <si>
    <t>55343</t>
  </si>
  <si>
    <t>MAINT GEN &amp; ELEC - BB CT3</t>
  </si>
  <si>
    <t>55350</t>
  </si>
  <si>
    <t>MAINTENANCE POWER BLOCK - BAY</t>
  </si>
  <si>
    <t>55351</t>
  </si>
  <si>
    <t>MAIN POWER BLOCK - BS1A</t>
  </si>
  <si>
    <t>55352</t>
  </si>
  <si>
    <t>MAINT POWER BLOCK - BS1B</t>
  </si>
  <si>
    <t>55353</t>
  </si>
  <si>
    <t>MAINT POWER BLOCK - BS1C</t>
  </si>
  <si>
    <t>55354</t>
  </si>
  <si>
    <t>MAINT POWER BLOCK - BS2A</t>
  </si>
  <si>
    <t>55355</t>
  </si>
  <si>
    <t>MAINT POWER BLOCK - BS2B</t>
  </si>
  <si>
    <t>55356</t>
  </si>
  <si>
    <t>MAINT POWER BLOCK - BS2C</t>
  </si>
  <si>
    <t>55357</t>
  </si>
  <si>
    <t>MAINT POWER BLOCK - BS2D</t>
  </si>
  <si>
    <t>55358</t>
  </si>
  <si>
    <t>BS1 STEAM TURBINE/COMMON EQP</t>
  </si>
  <si>
    <t>55359</t>
  </si>
  <si>
    <t>BS2 STEAM TURBINE/COMMON EQP</t>
  </si>
  <si>
    <t>55361</t>
  </si>
  <si>
    <t>HOOKERS POINT GENERATION - 50</t>
  </si>
  <si>
    <t>55379</t>
  </si>
  <si>
    <t>POLK POWER GENERATION - UNIT</t>
  </si>
  <si>
    <t>55380</t>
  </si>
  <si>
    <t>55381</t>
  </si>
  <si>
    <t>55382</t>
  </si>
  <si>
    <t>POLK POWER GENERATION UNIT #4</t>
  </si>
  <si>
    <t>55383</t>
  </si>
  <si>
    <t>553</t>
  </si>
  <si>
    <t>DIT FD HP START-UP COSTS</t>
  </si>
  <si>
    <t>28340</t>
  </si>
  <si>
    <t>DIT OTHER-FAS109 INC TAX</t>
  </si>
  <si>
    <t>28341</t>
  </si>
  <si>
    <t>28342</t>
  </si>
  <si>
    <t>28343</t>
  </si>
  <si>
    <t>28344</t>
  </si>
  <si>
    <t>28345</t>
  </si>
  <si>
    <t>28346</t>
  </si>
  <si>
    <t>283</t>
  </si>
  <si>
    <t>29999</t>
  </si>
  <si>
    <t>NET INCOME FOR PERIOD</t>
  </si>
  <si>
    <t>299</t>
  </si>
  <si>
    <t>40101</t>
  </si>
  <si>
    <t>OPERATIONS FUEL</t>
  </si>
  <si>
    <t>40102</t>
  </si>
  <si>
    <t>OPERATIONS OTHER</t>
  </si>
  <si>
    <t>401</t>
  </si>
  <si>
    <t>40200</t>
  </si>
  <si>
    <t>MAINTENANCE EXPENSES TOTAL</t>
  </si>
  <si>
    <t>402</t>
  </si>
  <si>
    <t>40300</t>
  </si>
  <si>
    <t>DEPRECIATION EXPENSE</t>
  </si>
  <si>
    <t>40303</t>
  </si>
  <si>
    <t>DISMANTLING ACCRUAL</t>
  </si>
  <si>
    <t>40330</t>
  </si>
  <si>
    <t>DEPRECIATION EXPENSE - ENVIRO</t>
  </si>
  <si>
    <t>403</t>
  </si>
  <si>
    <t>40400</t>
  </si>
  <si>
    <t>AMORT LIMTD TERM UTILITY PLAN</t>
  </si>
  <si>
    <t>404</t>
  </si>
  <si>
    <t>40601</t>
  </si>
  <si>
    <t>MISC AMORT - AQUIS ADJ OUC TR</t>
  </si>
  <si>
    <t>40604</t>
  </si>
  <si>
    <t>MISC AMORT - ACQUIS ADJ SEBRI</t>
  </si>
  <si>
    <t>406</t>
  </si>
  <si>
    <t>40730</t>
  </si>
  <si>
    <t>REG DEBIT - AMORT DEF FUEL</t>
  </si>
  <si>
    <t>40731</t>
  </si>
  <si>
    <t>REG DR DEF FUEL</t>
  </si>
  <si>
    <t>40732</t>
  </si>
  <si>
    <t>REG DEBIT-AMORT DEF CAPACITY</t>
  </si>
  <si>
    <t>40733</t>
  </si>
  <si>
    <t>REG DR DEF CAPACITY</t>
  </si>
  <si>
    <t>40734</t>
  </si>
  <si>
    <t>REG DR-AMORT DEF FUEL WHSL</t>
  </si>
  <si>
    <t>40735</t>
  </si>
  <si>
    <t>REG DR DEF FUEL WHSL</t>
  </si>
  <si>
    <t>40736</t>
  </si>
  <si>
    <t>REG DR-AMORT OF DEF ECRC</t>
  </si>
  <si>
    <t>40737</t>
  </si>
  <si>
    <t>REG DR DEF ECRC</t>
  </si>
  <si>
    <t>40738</t>
  </si>
  <si>
    <t>REG DR AMORT DEF CONSERVATION</t>
  </si>
  <si>
    <t>40739</t>
  </si>
  <si>
    <t>REG DR DEF CONSERVATION</t>
  </si>
  <si>
    <t>40740</t>
  </si>
  <si>
    <t>REG CREDIT DEF FUEL</t>
  </si>
  <si>
    <t>40741</t>
  </si>
  <si>
    <t>REG CR-AMORT DEF FUEL</t>
  </si>
  <si>
    <t>40742</t>
  </si>
  <si>
    <t>REG CREDIT DEF CAPACITY</t>
  </si>
  <si>
    <t>40743</t>
  </si>
  <si>
    <t>OFFICE EXPENSES</t>
  </si>
  <si>
    <t>92102</t>
  </si>
  <si>
    <t>OFF EXP EMPL DUES</t>
  </si>
  <si>
    <t>92103</t>
  </si>
  <si>
    <t>MATL MGM EXP OTHER THAN COMP</t>
  </si>
  <si>
    <t>92105</t>
  </si>
  <si>
    <t>PLT VISITS EXPENSE</t>
  </si>
  <si>
    <t>92106</t>
  </si>
  <si>
    <t>EMPLOYEE MOVING EXPENSE</t>
  </si>
  <si>
    <t>92107</t>
  </si>
  <si>
    <t>RECRUIT ADVERTISING EXP</t>
  </si>
  <si>
    <t>92108</t>
  </si>
  <si>
    <t>JANIT SUPPLIES M.O.</t>
  </si>
  <si>
    <t>92109</t>
  </si>
  <si>
    <t>SUBSCRIPTIONS EXPENSE</t>
  </si>
  <si>
    <t>92110</t>
  </si>
  <si>
    <t>SNACK BAR OPER EXP M.O.</t>
  </si>
  <si>
    <t>92111</t>
  </si>
  <si>
    <t>M.O. SERVICES-POSTAGE</t>
  </si>
  <si>
    <t>92112</t>
  </si>
  <si>
    <t>SECURITY</t>
  </si>
  <si>
    <t>92113</t>
  </si>
  <si>
    <t>PARKING OPERATIONS DOWNTOWN</t>
  </si>
  <si>
    <t>92114</t>
  </si>
  <si>
    <t>OVHD SERVICES - COMM</t>
  </si>
  <si>
    <t>58306</t>
  </si>
  <si>
    <t>DIST OP OVHD LINE-STORM DAMAG</t>
  </si>
  <si>
    <t>58307</t>
  </si>
  <si>
    <t>DIST OP OVHD LINE - FEEDER</t>
  </si>
  <si>
    <t>58308</t>
  </si>
  <si>
    <t>OVHD REMOVE &amp; RECONSTRUCT</t>
  </si>
  <si>
    <t>58309</t>
  </si>
  <si>
    <t>OVHD MAINT (CORRECT)</t>
  </si>
  <si>
    <t>583</t>
  </si>
  <si>
    <t>58401</t>
  </si>
  <si>
    <t>UCD NML OPER OF DIST UNDG LIN</t>
  </si>
  <si>
    <t>58402</t>
  </si>
  <si>
    <t>URD NML OPER OF DIST UNDG LIN</t>
  </si>
  <si>
    <t>58403</t>
  </si>
  <si>
    <t>NETWK NML OPER DIST UNDG LIN</t>
  </si>
  <si>
    <t>58404</t>
  </si>
  <si>
    <t>DIST UNDG LINE - RES</t>
  </si>
  <si>
    <t>58405</t>
  </si>
  <si>
    <t>DISY UNDG LINE - COMM</t>
  </si>
  <si>
    <t>58406</t>
  </si>
  <si>
    <t>UCD STM DMG OPER DIST UNDG LI</t>
  </si>
  <si>
    <t>58407</t>
  </si>
  <si>
    <t>URD STM DMG OPER DIST UNDG LN</t>
  </si>
  <si>
    <t>58408</t>
  </si>
  <si>
    <t>NETW STM DMG OPER DIST UDG LN</t>
  </si>
  <si>
    <t>58409</t>
  </si>
  <si>
    <t>DISY UNDG SERVICES - RES</t>
  </si>
  <si>
    <t>58410</t>
  </si>
  <si>
    <t>DIST UNDG SERVICES - COMM</t>
  </si>
  <si>
    <t>58411</t>
  </si>
  <si>
    <t>DIST UNDG LINE - FEEDER</t>
  </si>
  <si>
    <t>58412</t>
  </si>
  <si>
    <t>UNDG REMOVE &amp; RECONSTRUCT</t>
  </si>
  <si>
    <t>58413</t>
  </si>
  <si>
    <t>UNDG MAINT (CORRECT)</t>
  </si>
  <si>
    <t>584</t>
  </si>
  <si>
    <t>58501</t>
  </si>
  <si>
    <t>DIST OP ST LIGHT-NORMAL OPERA</t>
  </si>
  <si>
    <t>58502</t>
  </si>
  <si>
    <t>DIST OP ST LIGHT INV PROJECT</t>
  </si>
  <si>
    <t>58503</t>
  </si>
  <si>
    <t>DIST OP ST LIGHT NORMAL DAMG</t>
  </si>
  <si>
    <t>58504</t>
  </si>
  <si>
    <t>LIGHTING CUT INS/CUT OUTS</t>
  </si>
  <si>
    <t>58505</t>
  </si>
  <si>
    <t>PREM AREA LT-OPERATIONS</t>
  </si>
  <si>
    <t>58506</t>
  </si>
  <si>
    <t>DIST OP ST LIGHT-STORM DAMAGE</t>
  </si>
  <si>
    <t>58511</t>
  </si>
  <si>
    <t>RELAMPING</t>
  </si>
  <si>
    <t>585</t>
  </si>
  <si>
    <t>58601</t>
  </si>
  <si>
    <t>DIST OP METER EXP-NORMAL OPER</t>
  </si>
  <si>
    <t>58602</t>
  </si>
  <si>
    <t>TEMPORARY CONST POLE CONVERSI</t>
  </si>
  <si>
    <t>58603</t>
  </si>
  <si>
    <t>DST OP METER EXP SEL TEST 197</t>
  </si>
  <si>
    <t>58605</t>
  </si>
  <si>
    <t>METER CREDIT-INSTALL &amp; REM CO</t>
  </si>
  <si>
    <t>58606</t>
  </si>
  <si>
    <t>DST OP METER EXP ***STORM DAM</t>
  </si>
  <si>
    <t>58607</t>
  </si>
  <si>
    <t>1977 METER SEAL PROGRAM</t>
  </si>
  <si>
    <t>58608</t>
  </si>
  <si>
    <t>LOAD SURVEY BILLING</t>
  </si>
  <si>
    <t>58609</t>
  </si>
  <si>
    <t>METER EXP DATA PULSE CUST USE</t>
  </si>
  <si>
    <t>58610</t>
  </si>
  <si>
    <t>DCI CENTURY PROJECT</t>
  </si>
  <si>
    <t>58612</t>
  </si>
  <si>
    <t>METER MAINTENANCE/TESTING</t>
  </si>
  <si>
    <t>58613</t>
  </si>
  <si>
    <t>METER SET</t>
  </si>
  <si>
    <t>586</t>
  </si>
  <si>
    <t>58701</t>
  </si>
  <si>
    <t>DST OP CUST INST-TRBL EXP</t>
  </si>
  <si>
    <t>58703</t>
  </si>
  <si>
    <t>CUST INST-CUST PREMISE</t>
  </si>
  <si>
    <t>58704</t>
  </si>
  <si>
    <t>CUSTOMER COMPLAINT EXP</t>
  </si>
  <si>
    <t>58705</t>
  </si>
  <si>
    <t>CURRENT DIVERSION</t>
  </si>
  <si>
    <t>58773</t>
  </si>
  <si>
    <t>CUST INST EXP FR APPLICATIONS</t>
  </si>
  <si>
    <t>587</t>
  </si>
  <si>
    <t>58801</t>
  </si>
  <si>
    <t>DIST OP MISC EXP-NORMAL OPERA</t>
  </si>
  <si>
    <t>58805</t>
  </si>
  <si>
    <t>DIST OP MISC EXP-PCB</t>
  </si>
  <si>
    <t>58806</t>
  </si>
  <si>
    <t>DIST OP MISC EXP-STORM DAMAGE</t>
  </si>
  <si>
    <t>58810</t>
  </si>
  <si>
    <t>DISTRIBUTION POLE AUDIT</t>
  </si>
  <si>
    <t>58884</t>
  </si>
  <si>
    <t>MISC. DIST EXPENSE - MISCELLA</t>
  </si>
  <si>
    <t>58885</t>
  </si>
  <si>
    <t>MISC DIST EXPENSE - ROOFS.</t>
  </si>
  <si>
    <t>58886</t>
  </si>
  <si>
    <t>MISC DIST EXPENSE - CONSULTIN</t>
  </si>
  <si>
    <t>58888</t>
  </si>
  <si>
    <t>MISC DIST EXP - CARPET CLEANI</t>
  </si>
  <si>
    <t>58889</t>
  </si>
  <si>
    <t>MISC DIST EXP - GENERAL CLEAN</t>
  </si>
  <si>
    <t>58890</t>
  </si>
  <si>
    <t>MISC DIST EXP - ELECTRICAL</t>
  </si>
  <si>
    <t>58891</t>
  </si>
  <si>
    <t>MISC DIST EXPENSE - GROUND MA</t>
  </si>
  <si>
    <t>58892</t>
  </si>
  <si>
    <t>MISC DIST EXP - HVAC</t>
  </si>
  <si>
    <t>58893</t>
  </si>
  <si>
    <t>MISC DIST EXP - MISC STRUCTUR</t>
  </si>
  <si>
    <t>58894</t>
  </si>
  <si>
    <t>MISC DIST EXP - PAINTING</t>
  </si>
  <si>
    <t>58895</t>
  </si>
  <si>
    <t>MISC DIST EXP - PEST CONTROL</t>
  </si>
  <si>
    <t>58896</t>
  </si>
  <si>
    <t>MISC DIST EXP - PLUMBING</t>
  </si>
  <si>
    <t>58897</t>
  </si>
  <si>
    <t>MISC DIST EXPENSE - WASTE - S</t>
  </si>
  <si>
    <t>58898</t>
  </si>
  <si>
    <t>MISC DIST EXP - TRASH</t>
  </si>
  <si>
    <t>58899</t>
  </si>
  <si>
    <t>MISC DIST EXP - WATER</t>
  </si>
  <si>
    <t>588</t>
  </si>
  <si>
    <t>58901</t>
  </si>
  <si>
    <t>DIST OP-RENTS</t>
  </si>
  <si>
    <t>58902</t>
  </si>
  <si>
    <t>DIST OP RENTS WIRELINE</t>
  </si>
  <si>
    <t>58903</t>
  </si>
  <si>
    <t>POLE ATTACHMENT RENT EXPENSE</t>
  </si>
  <si>
    <t>589</t>
  </si>
  <si>
    <t>59001</t>
  </si>
  <si>
    <t>DIST MAINT SUP&amp;ENG-NORMAL</t>
  </si>
  <si>
    <t>59006</t>
  </si>
  <si>
    <t>DIST MAINT SUP&amp;ENG-STORM DAMG</t>
  </si>
  <si>
    <t>590</t>
  </si>
  <si>
    <t>59101</t>
  </si>
  <si>
    <t>DIST MAINT STRUC-NORMAL</t>
  </si>
  <si>
    <t>59106</t>
  </si>
  <si>
    <t>DIST MAINT STRUC-STORM DAMAGE</t>
  </si>
  <si>
    <t>MISC EXP MISC RSCH</t>
  </si>
  <si>
    <t>93022</t>
  </si>
  <si>
    <t>FINANCIAL REPORTS</t>
  </si>
  <si>
    <t>93023</t>
  </si>
  <si>
    <t>AUDIO VISUAL SUPPLIES/SUPPLIE</t>
  </si>
  <si>
    <t>93024</t>
  </si>
  <si>
    <t>EMPLOYEE COMMUNICATIONS</t>
  </si>
  <si>
    <t>93026</t>
  </si>
  <si>
    <t>EMPLOYEE MEETING EXP</t>
  </si>
  <si>
    <t>93028</t>
  </si>
  <si>
    <t>ENVIRONMENTAL EXPENSES-GENERA</t>
  </si>
  <si>
    <t>93029</t>
  </si>
  <si>
    <t>NEWS MEDIA INFO</t>
  </si>
  <si>
    <t>93030</t>
  </si>
  <si>
    <t>MISC. EXPENSE - BRANDING</t>
  </si>
  <si>
    <t>93031</t>
  </si>
  <si>
    <t>MISC EXP INSTITUTIONAL COMM</t>
  </si>
  <si>
    <t>93036</t>
  </si>
  <si>
    <t>MANATEE FACILITY</t>
  </si>
  <si>
    <t>93046</t>
  </si>
  <si>
    <t>TECO ENERGY ALLOCATION</t>
  </si>
  <si>
    <t>930</t>
  </si>
  <si>
    <t>93100</t>
  </si>
  <si>
    <t>RENTS</t>
  </si>
  <si>
    <t>931</t>
  </si>
  <si>
    <t>93201</t>
  </si>
  <si>
    <t>ADMIN MAINT-MISC EQUIP</t>
  </si>
  <si>
    <t>93202</t>
  </si>
  <si>
    <t>ADMIN MAINT-BUILDINGS</t>
  </si>
  <si>
    <t>93203</t>
  </si>
  <si>
    <t>$75M</t>
  </si>
  <si>
    <t>$75M Call Premium</t>
  </si>
  <si>
    <t>$75M Bond Discount</t>
  </si>
  <si>
    <t>$80M</t>
  </si>
  <si>
    <t>$80M Call Premium</t>
  </si>
  <si>
    <t xml:space="preserve">$20M </t>
  </si>
  <si>
    <t>$20M Call Premium</t>
  </si>
  <si>
    <t>$3.125M</t>
  </si>
  <si>
    <t>$3.125M Call Premium</t>
  </si>
  <si>
    <t xml:space="preserve">$21.875M </t>
  </si>
  <si>
    <t>$21.875M Call Premium</t>
  </si>
  <si>
    <t xml:space="preserve">$85.95M </t>
  </si>
  <si>
    <t>$85.95M Call Premium</t>
  </si>
  <si>
    <t>$82M</t>
  </si>
  <si>
    <t>Arbitrage</t>
  </si>
  <si>
    <t>$20M</t>
  </si>
  <si>
    <t>Acct.</t>
  </si>
  <si>
    <t>Annual Amortization</t>
  </si>
  <si>
    <t>Interest Expense</t>
  </si>
  <si>
    <t>Total Annual Cost</t>
  </si>
  <si>
    <t>$51.605M</t>
  </si>
  <si>
    <t>A/P LONG TERM CARE</t>
  </si>
  <si>
    <t>23215</t>
  </si>
  <si>
    <t>A/P NATURAL GAS</t>
  </si>
  <si>
    <t>23216</t>
  </si>
  <si>
    <t>EMP EXPENSE A/P RELATED</t>
  </si>
  <si>
    <t>23218</t>
  </si>
  <si>
    <t>FSA PARKING/TRANSIT REIMBURSE</t>
  </si>
  <si>
    <t>23220</t>
  </si>
  <si>
    <t>RETIREMENT SAVINGS COMPANY MA</t>
  </si>
  <si>
    <t>23221</t>
  </si>
  <si>
    <t>RETIREMENT SAVINGS PERFORMANC</t>
  </si>
  <si>
    <t>23222</t>
  </si>
  <si>
    <t>GROUP UNIVERSAL LIFE</t>
  </si>
  <si>
    <t>23223</t>
  </si>
  <si>
    <t>SUPPLEMENTAL LIFE INSURANCE.</t>
  </si>
  <si>
    <t>23224</t>
  </si>
  <si>
    <t>REWARDS PLUS</t>
  </si>
  <si>
    <t>23229</t>
  </si>
  <si>
    <t>TECO COMPUTER USERS GROUP</t>
  </si>
  <si>
    <t>23230</t>
  </si>
  <si>
    <t>CHILD SUPPORT, LEVY, GARNISHM</t>
  </si>
  <si>
    <t>23231</t>
  </si>
  <si>
    <t>A/P TECO BENEFIT ASSN</t>
  </si>
  <si>
    <t>23232</t>
  </si>
  <si>
    <t>A/P U S SAVINGS BONDS</t>
  </si>
  <si>
    <t>23233</t>
  </si>
  <si>
    <t>A/P GROUP LIFE INSUR</t>
  </si>
  <si>
    <t>23234</t>
  </si>
  <si>
    <t>COMMERCIAL COOLING ADVERTISIN</t>
  </si>
  <si>
    <t>90992</t>
  </si>
  <si>
    <t>ENERGY PLUS HOMES - ADVERTISI</t>
  </si>
  <si>
    <t>90993</t>
  </si>
  <si>
    <t>PRICE RESPONSIVENESS LOAD MGT</t>
  </si>
  <si>
    <t>909</t>
  </si>
  <si>
    <t>91101</t>
  </si>
  <si>
    <t>SALES EXPENSES - SUPERVISION</t>
  </si>
  <si>
    <t>911</t>
  </si>
  <si>
    <t>91201</t>
  </si>
  <si>
    <t>DEMONSTRATING AND SELLING EXP</t>
  </si>
  <si>
    <t>91205</t>
  </si>
  <si>
    <t>NEW PRODUCTS AND SERVICES DEV</t>
  </si>
  <si>
    <t>91210</t>
  </si>
  <si>
    <t>DEM &amp; SELL - RESIDENTIAL SECU</t>
  </si>
  <si>
    <t>91212</t>
  </si>
  <si>
    <t>DEM &amp; SELL - RESIDENTIAL POOL</t>
  </si>
  <si>
    <t>91225</t>
  </si>
  <si>
    <t>BRIGHT CHOICES</t>
  </si>
  <si>
    <t>91250</t>
  </si>
  <si>
    <t>ECONOMIC DEVELOPMENT</t>
  </si>
  <si>
    <t>912</t>
  </si>
  <si>
    <t>INTERCHG REC OGLETHORPE</t>
  </si>
  <si>
    <t>14334</t>
  </si>
  <si>
    <t>INTERCHG RECV FT MEADE</t>
  </si>
  <si>
    <t>14335</t>
  </si>
  <si>
    <t>INTERCHG RECV TENN VALLEY AUT</t>
  </si>
  <si>
    <t>14336</t>
  </si>
  <si>
    <t>INTERCHG RECV SOUTHERN COMPAN</t>
  </si>
  <si>
    <t>14337</t>
  </si>
  <si>
    <t>INTERCHG RECV GEORGIA POWER</t>
  </si>
  <si>
    <t>14338</t>
  </si>
  <si>
    <t>INTERCHG RECV AUBURNDALE PWR</t>
  </si>
  <si>
    <t>14339</t>
  </si>
  <si>
    <t>INTERCHANGE RECV. SONAT POWER</t>
  </si>
  <si>
    <t>14340</t>
  </si>
  <si>
    <t>A/R EMPLOYEE PAYROLL ADVANCES</t>
  </si>
  <si>
    <t>14341</t>
  </si>
  <si>
    <t>INTERCHG RECV KOCH.</t>
  </si>
  <si>
    <t>14342</t>
  </si>
  <si>
    <t>INTERCHG RECV MORGAN STANLEY</t>
  </si>
  <si>
    <t>14343</t>
  </si>
  <si>
    <t>INTERCHG RECV AQUILA ENERGY M</t>
  </si>
  <si>
    <t>14344</t>
  </si>
  <si>
    <t>INTERCHG RECV RELIANT ENERGY</t>
  </si>
  <si>
    <t>14345</t>
  </si>
  <si>
    <t>INTERCHG RECV CARGIL-ALLIANT,</t>
  </si>
  <si>
    <t>14346</t>
  </si>
  <si>
    <t>A/R CARGILL FERTILIZER</t>
  </si>
  <si>
    <t>14347</t>
  </si>
  <si>
    <t>INTERCHG RECV DUKE</t>
  </si>
  <si>
    <t>14348</t>
  </si>
  <si>
    <t>INTERCHG RECV CORAL ENERGY</t>
  </si>
  <si>
    <t>14349</t>
  </si>
  <si>
    <t>INTERCHG RECV ENRON</t>
  </si>
  <si>
    <t>14350</t>
  </si>
  <si>
    <t>INTERCHANGE RECV IMC</t>
  </si>
  <si>
    <t>14352</t>
  </si>
  <si>
    <t>M &amp; S RETURNED TO VENDOR</t>
  </si>
  <si>
    <t>14360</t>
  </si>
  <si>
    <t>INTERCHANGE RECV EL PASO</t>
  </si>
  <si>
    <t>14364</t>
  </si>
  <si>
    <t>NATURAL GAS - BOOK OUT REC.</t>
  </si>
  <si>
    <t>14365</t>
  </si>
  <si>
    <t>INTERCHG RECV CAROLINA POWER</t>
  </si>
  <si>
    <t>14366</t>
  </si>
  <si>
    <t>INTERCHG RECV CONOCO</t>
  </si>
  <si>
    <t>14367</t>
  </si>
  <si>
    <t>INTERCHG RECV DYNEGY POWER</t>
  </si>
  <si>
    <t>14368</t>
  </si>
  <si>
    <t>INTERCHG RECV COBB ELECTRIC M</t>
  </si>
  <si>
    <t>14369</t>
  </si>
  <si>
    <t>INTERCHANGE RECEIVABLE TWG</t>
  </si>
  <si>
    <t>14370</t>
  </si>
  <si>
    <t>INTERCHANGE RECEIVABLE CINERG</t>
  </si>
  <si>
    <t>14371</t>
  </si>
  <si>
    <t>INTERCHG RECV TENASKA POWER S</t>
  </si>
  <si>
    <t>14372</t>
  </si>
  <si>
    <t>INTRCHG RECV CINCINATTI GAS &amp;</t>
  </si>
  <si>
    <t>14373</t>
  </si>
  <si>
    <t>INTRCHG RECV CONSTELLATION CO</t>
  </si>
  <si>
    <t>143</t>
  </si>
  <si>
    <t>14400</t>
  </si>
  <si>
    <t>ACCUM PROV FOR UNCOLL ACCTS</t>
  </si>
  <si>
    <t>14422</t>
  </si>
  <si>
    <t>BAD DEBT RESERVE ADJUSTMENT</t>
  </si>
  <si>
    <t>144</t>
  </si>
  <si>
    <t>14603</t>
  </si>
  <si>
    <t>A/R ASSOC CO TECO PROPERTIES</t>
  </si>
  <si>
    <t>14604</t>
  </si>
  <si>
    <t>A/R ASSOC CO TECO BULK TERMIN</t>
  </si>
  <si>
    <t>14605</t>
  </si>
  <si>
    <t>A/R ASSOC CO TECO BARGE LINE</t>
  </si>
  <si>
    <t>14606</t>
  </si>
  <si>
    <t>A/R ASSOC CO TECO OCEAN SHIPP</t>
  </si>
  <si>
    <t>14607</t>
  </si>
  <si>
    <t>A/R ASSOC CO TECO GEMSTONE IN</t>
  </si>
  <si>
    <t>14608</t>
  </si>
  <si>
    <t>A/R ASSOC CO TECO DIVERSIFIED</t>
  </si>
  <si>
    <t>14609</t>
  </si>
  <si>
    <t>A/R ASSOC CO TECO ENERGY</t>
  </si>
  <si>
    <t>14610</t>
  </si>
  <si>
    <t>A/R ASSOC CO TECO TRANS &amp; TRA</t>
  </si>
  <si>
    <t>14611</t>
  </si>
  <si>
    <t>A/R ASSOC CO TECO COAL CORP</t>
  </si>
  <si>
    <t>14615</t>
  </si>
  <si>
    <t>A/R TECO PROP BUS DEV COSTS</t>
  </si>
  <si>
    <t>14616</t>
  </si>
  <si>
    <t>A/R ASSOC CO  P.E.C</t>
  </si>
  <si>
    <t>14618</t>
  </si>
  <si>
    <t>A/R ASSOC CO TECO FINANCE</t>
  </si>
  <si>
    <t>14620</t>
  </si>
  <si>
    <t>A/R TECO ENERGY DONATIONS</t>
  </si>
  <si>
    <t>14621</t>
  </si>
  <si>
    <t>A/R HPP INTERCHANGE</t>
  </si>
  <si>
    <t>14622</t>
  </si>
  <si>
    <t>A/R ASSOC CO TPS - SAN JOSE P</t>
  </si>
  <si>
    <t>14623</t>
  </si>
  <si>
    <t>A/R ASSOC CO TECO POWER SERVI</t>
  </si>
  <si>
    <t>14625</t>
  </si>
  <si>
    <t>A/R TECO ENERGY SOURCE</t>
  </si>
  <si>
    <t>14626</t>
  </si>
  <si>
    <t xml:space="preserve"> Accts Payable-TECO Guatemala</t>
  </si>
  <si>
    <t xml:space="preserve"> Accts Payable-TECO Stevedoring</t>
  </si>
  <si>
    <t xml:space="preserve"> Accts Payable-PE&amp;C</t>
  </si>
  <si>
    <t xml:space="preserve"> Accts Payable-Hardee Power Part</t>
  </si>
  <si>
    <t xml:space="preserve"> Accts Payable-TERMCO</t>
  </si>
  <si>
    <t>A/P Peoples Gas System (Natural)</t>
  </si>
  <si>
    <t>Peoples Gas Sales &amp; Service Co.</t>
  </si>
  <si>
    <t>Peoples Gas Company (Propane)</t>
  </si>
  <si>
    <t>Customer Deposits</t>
  </si>
  <si>
    <t xml:space="preserve"> Customer Deposits</t>
  </si>
  <si>
    <t>Accrued Taxes</t>
  </si>
  <si>
    <t xml:space="preserve"> Tax Accr. FIT before prior yr</t>
  </si>
  <si>
    <t xml:space="preserve"> Tax Accr. FIT prior yr</t>
  </si>
  <si>
    <t xml:space="preserve"> Tax Accr. FIT current yr</t>
  </si>
  <si>
    <t xml:space="preserve"> Tax Accr. Fed Unemployment</t>
  </si>
  <si>
    <t xml:space="preserve"> Tax Accr. State Income Tax</t>
  </si>
  <si>
    <t>All Other Tax Other Than Inc Tax (derived)</t>
  </si>
  <si>
    <t xml:space="preserve"> Tax Accr. Total Property Taxes</t>
  </si>
  <si>
    <t>Interest Accrued</t>
  </si>
  <si>
    <t xml:space="preserve"> Deferred Debit - Regulatory Derivative</t>
  </si>
  <si>
    <t xml:space="preserve"> Deferred Debit - Reg Tax Derivative</t>
  </si>
  <si>
    <t xml:space="preserve"> Deferred Debit - Long Term Derivative</t>
  </si>
  <si>
    <t xml:space="preserve"> Deferred Debit - Reg LT Derivative</t>
  </si>
  <si>
    <t xml:space="preserve"> Deferred Debit - Interest Rate</t>
  </si>
  <si>
    <t>Unamortized Debt Expense</t>
  </si>
  <si>
    <t>Regulatory Assets</t>
  </si>
  <si>
    <t>182xx</t>
  </si>
  <si>
    <t>ARO Regulatory Asset ST</t>
  </si>
  <si>
    <t>ARO Regulatory Asset LT</t>
  </si>
  <si>
    <t xml:space="preserve"> Regulatory Assets/FAS109 Inc Taxes</t>
  </si>
  <si>
    <t xml:space="preserve"> Deferred Debit - Regulatory Tax Asset</t>
  </si>
  <si>
    <t xml:space="preserve"> Deferred Conservation</t>
  </si>
  <si>
    <t xml:space="preserve"> Deferred Fuel - Retail</t>
  </si>
  <si>
    <t xml:space="preserve"> Deferred Capacity</t>
  </si>
  <si>
    <t xml:space="preserve"> Deferred Fuel - Wholesale</t>
  </si>
  <si>
    <t xml:space="preserve">  Deferred Capacity - NERC Capital</t>
  </si>
  <si>
    <t xml:space="preserve"> Deferred Environmental</t>
  </si>
  <si>
    <t>FAS 158-Pension/SERP/FAS106 LT</t>
  </si>
  <si>
    <t>FAS 158-Pension/SERP/FAS106 ST</t>
  </si>
  <si>
    <t xml:space="preserve"> Deferred Interest Expense (182.41-.46)</t>
  </si>
  <si>
    <t xml:space="preserve"> Residential Load Management</t>
  </si>
  <si>
    <t xml:space="preserve"> Comm-Indust Load Management</t>
  </si>
  <si>
    <t xml:space="preserve"> Price Responsive Load Management</t>
  </si>
  <si>
    <t xml:space="preserve"> Def. Aerial Survey Debit</t>
  </si>
  <si>
    <t>Unamortized Loss (182.80 -.99)</t>
  </si>
  <si>
    <t xml:space="preserve">ST Def. Refinancing Costs </t>
  </si>
  <si>
    <t xml:space="preserve">LT Def. Refinancing Costs </t>
  </si>
  <si>
    <t>Preliminary Survey &amp; Investigation</t>
  </si>
  <si>
    <t>Clearing Accounts</t>
  </si>
  <si>
    <t>Deferred Debits</t>
  </si>
  <si>
    <t>18600</t>
  </si>
  <si>
    <t>All  Other Misc. Deferred Debits (derived)</t>
  </si>
  <si>
    <t>Prepaid Pension - Qualified Plan</t>
  </si>
  <si>
    <t>18641</t>
  </si>
  <si>
    <t>Deferred Debit RTO</t>
  </si>
  <si>
    <t>Derivative (no longer used)</t>
  </si>
  <si>
    <t>Deferred Income Taxes</t>
  </si>
  <si>
    <t>19000</t>
  </si>
  <si>
    <t>All other def Income Taxes (derived)</t>
  </si>
  <si>
    <t xml:space="preserve"> Def Income Tax Non-Utility</t>
  </si>
  <si>
    <t xml:space="preserve"> Def FD ITC - FAS109 Inc Tax</t>
  </si>
  <si>
    <t>DIT Fed - FAS 158</t>
  </si>
  <si>
    <t>DIT State - FAS 158</t>
  </si>
  <si>
    <t>DIT State - Derivative</t>
  </si>
  <si>
    <t>DIT Fed - Derivative</t>
  </si>
  <si>
    <t>DIT ST - Interest Rate Swap D</t>
  </si>
  <si>
    <t>DIT Fed - Interest Rate Swap D</t>
  </si>
  <si>
    <t>Common Stock</t>
  </si>
  <si>
    <t/>
  </si>
  <si>
    <t xml:space="preserve"> Misc Paid In Capital</t>
  </si>
  <si>
    <t xml:space="preserve">   Beg Balance</t>
  </si>
  <si>
    <t xml:space="preserve">   Equity Contribution</t>
  </si>
  <si>
    <t>End Bal Misc Paid In Capital</t>
  </si>
  <si>
    <t>Capital Stock Expense</t>
  </si>
  <si>
    <t xml:space="preserve">   Beg Bal Retained Earnings</t>
  </si>
  <si>
    <t xml:space="preserve">   Net Income</t>
  </si>
  <si>
    <t xml:space="preserve">   Common Dividends</t>
  </si>
  <si>
    <t xml:space="preserve">   Adjustments (manual input)</t>
  </si>
  <si>
    <t>Unappropr Retained Earnings</t>
  </si>
  <si>
    <t xml:space="preserve"> OCI - Derivative</t>
  </si>
  <si>
    <t>Bonds Payable</t>
  </si>
  <si>
    <t xml:space="preserve"> Bonds Var $51.605 1990 Series</t>
  </si>
  <si>
    <t xml:space="preserve"> Bonds 1992 HCIDA Series-OBO Tariff</t>
  </si>
  <si>
    <t xml:space="preserve"> Bonds Due 2036</t>
  </si>
  <si>
    <t xml:space="preserve"> Bonds Var $20M Due 2020</t>
  </si>
  <si>
    <t>Bonds 75M due 2030 3.8% Variance rate</t>
  </si>
  <si>
    <t xml:space="preserve"> Bonds 2030 Series 75M </t>
  </si>
  <si>
    <t>Refinance $85.95 at 3.5%</t>
  </si>
  <si>
    <t xml:space="preserve"> Bond 6.875% 2001 Series Due 2012</t>
  </si>
  <si>
    <t xml:space="preserve"> Bond 5.1% 2002 Series Due 2013</t>
  </si>
  <si>
    <t xml:space="preserve"> Bond 5.5% 2002 Series Due 2023</t>
  </si>
  <si>
    <t xml:space="preserve"> Bond $330M 6.375% 2002 Series Due 2012</t>
  </si>
  <si>
    <t>22157</t>
  </si>
  <si>
    <t xml:space="preserve"> Bond $250M 6.5% 2003 Series Due 2013</t>
  </si>
  <si>
    <t xml:space="preserve"> Curr Due $125M 5.375% 2002 Series Due 2007 </t>
  </si>
  <si>
    <t>Bonds $190M 6.15% 2007 Series due 2037</t>
  </si>
  <si>
    <t>2018 Bonds</t>
  </si>
  <si>
    <t>2025 Bonds 51.6M</t>
  </si>
  <si>
    <t>2020 Bonds 20 M</t>
  </si>
  <si>
    <t>Unamortized Bond Premium</t>
  </si>
  <si>
    <t>Unamortized Bond Discount</t>
  </si>
  <si>
    <t>Misc Current Liabilities</t>
  </si>
  <si>
    <t xml:space="preserve"> T &amp; D Property Reserve</t>
  </si>
  <si>
    <t xml:space="preserve"> Gen Liability Reserve</t>
  </si>
  <si>
    <t xml:space="preserve"> Inj &amp; Dam-Work Comp Res (228.22-.23)</t>
  </si>
  <si>
    <t>REFORECAST</t>
  </si>
  <si>
    <t>INT EXP ON DEF CAPACITY</t>
  </si>
  <si>
    <t>43135</t>
  </si>
  <si>
    <t>INT EXP ON DEF WHSL FUEL</t>
  </si>
  <si>
    <t>43137</t>
  </si>
  <si>
    <t>INT EXP ON DEF ECRC</t>
  </si>
  <si>
    <t>43139</t>
  </si>
  <si>
    <t>INTEREST EXPENSE DEF CONSERVA</t>
  </si>
  <si>
    <t>43186</t>
  </si>
  <si>
    <t>INT ON REVENUE REFUND</t>
  </si>
  <si>
    <t>43189</t>
  </si>
  <si>
    <t>INTEREST ON DEF REVENUE 1999</t>
  </si>
  <si>
    <t>43190</t>
  </si>
  <si>
    <t>INT EXP ON BASE RATE LOAN</t>
  </si>
  <si>
    <t>43191</t>
  </si>
  <si>
    <t>INT EXP ON LIBOR LOAN</t>
  </si>
  <si>
    <t>43192</t>
  </si>
  <si>
    <t>LINE OF CREDIT EXPENSES</t>
  </si>
  <si>
    <t>43193</t>
  </si>
  <si>
    <t>INT EXP ON A/R SECURITIZATION</t>
  </si>
  <si>
    <t>43194</t>
  </si>
  <si>
    <t>A/R SECURITIZATION LOAN EXPEN</t>
  </si>
  <si>
    <t>43195</t>
  </si>
  <si>
    <t>INTEREST EXPENSE - FEDERAL FU</t>
  </si>
  <si>
    <t>43199</t>
  </si>
  <si>
    <t>MISC OTHER INTEREST EXPENSE</t>
  </si>
  <si>
    <t>431</t>
  </si>
  <si>
    <t>43201</t>
  </si>
  <si>
    <t>ALOW BOR FNDS USD DUR CONST C</t>
  </si>
  <si>
    <t>432</t>
  </si>
  <si>
    <t>43901</t>
  </si>
  <si>
    <t>ADJUSTMENTS TO RET EARNINGS</t>
  </si>
  <si>
    <t>439</t>
  </si>
  <si>
    <t>44002</t>
  </si>
  <si>
    <t>RESIDENTIAL BASE REVENUE.</t>
  </si>
  <si>
    <t>44004</t>
  </si>
  <si>
    <t>RESIDENTIAL SALES FUEL ADJ</t>
  </si>
  <si>
    <t>44005</t>
  </si>
  <si>
    <t>RESIDENTIAL CAPACITY REVENUE.</t>
  </si>
  <si>
    <t>44006</t>
  </si>
  <si>
    <t>RESIDENTIAL CONSERVATION REVE</t>
  </si>
  <si>
    <t>44007</t>
  </si>
  <si>
    <t>RESIDENTIAL ENVIRONMENTAL REV</t>
  </si>
  <si>
    <t>44008</t>
  </si>
  <si>
    <t>RESIDENTIAL FRANCHISE REVENUE</t>
  </si>
  <si>
    <t>44009</t>
  </si>
  <si>
    <t>RESIDENTIAL GROSS RECEIPTS TA</t>
  </si>
  <si>
    <t>440</t>
  </si>
  <si>
    <t>44200</t>
  </si>
  <si>
    <t>COMMERCIAL SM OPT BILLING PRO</t>
  </si>
  <si>
    <t>44202</t>
  </si>
  <si>
    <t>COMMERCIAL SMALL BASE REVENUE</t>
  </si>
  <si>
    <t>44204</t>
  </si>
  <si>
    <t>COMMERCIAL SALES SM FUEL ADJ</t>
  </si>
  <si>
    <t>44205</t>
  </si>
  <si>
    <t>COMMERCIAL SMALL CAPACITY REV</t>
  </si>
  <si>
    <t>44206</t>
  </si>
  <si>
    <t>COMMERCIAL SMALL CONSERVATION</t>
  </si>
  <si>
    <t>44207</t>
  </si>
  <si>
    <t>COMMERCIAL SMALL ENVIRONMENTA</t>
  </si>
  <si>
    <t>44208</t>
  </si>
  <si>
    <t>TAX ACCR FEDERAL UNEMPLOYMENT</t>
  </si>
  <si>
    <t>23604</t>
  </si>
  <si>
    <t>TAX ACCR FEDERAL OLD AGE BENF</t>
  </si>
  <si>
    <t>23605</t>
  </si>
  <si>
    <t>TAX ACCR FEDERAL VEHICLE USE</t>
  </si>
  <si>
    <t>23606</t>
  </si>
  <si>
    <t>Unamortized Debt Exp. 12 1/4% - 12 5/8% bonds due -2002-2012</t>
  </si>
  <si>
    <t>Unamortized Debt Expense 75M  Bonds 2030</t>
  </si>
  <si>
    <t>Unamortized Debt Exp. SERIES A &amp; B (21.875)</t>
  </si>
  <si>
    <t>Unamortized Debt Exp. SERIES A &amp; B (80)</t>
  </si>
  <si>
    <t>Unamortized Premium - 9.9% $85.95M</t>
  </si>
  <si>
    <t>Unamortized Debt Expense-1993 Series Bonds $85.95M</t>
  </si>
  <si>
    <t>Unam. Debt Expense-Option Premium 2002 Bonds due 2012</t>
  </si>
  <si>
    <t>Unamortized premium - 9.9% $82M (of $85.95M)</t>
  </si>
  <si>
    <t>Unamortized premium - 9.9% $3.95M (of $85.95M)</t>
  </si>
  <si>
    <t>Uanmortized Arbitrage Loss on 9.9% Series bonds</t>
  </si>
  <si>
    <t>Unamortized Debt Exp. PCB SERIES 1984 AND 1984A</t>
  </si>
  <si>
    <t>182.80-182.99 TOTALS</t>
  </si>
  <si>
    <t>182.80</t>
  </si>
  <si>
    <t>182.90</t>
  </si>
  <si>
    <t>ACC DEF ITC OBO 10% 1984</t>
  </si>
  <si>
    <t>25505</t>
  </si>
  <si>
    <t>ACC DEF ITC OBO 10% 1985</t>
  </si>
  <si>
    <t>25506</t>
  </si>
  <si>
    <t>ACC DEF ITC- OBO 10% 1986</t>
  </si>
  <si>
    <t>25517</t>
  </si>
  <si>
    <t>ACC DEF INVEST TAX CR 3%  67</t>
  </si>
  <si>
    <t>25518</t>
  </si>
  <si>
    <t>ACC DEF INVEST TAX CR 3%  68</t>
  </si>
  <si>
    <t>25519</t>
  </si>
  <si>
    <t>ACC DEF INVEST TAX CR 3%  69</t>
  </si>
  <si>
    <t>25520</t>
  </si>
  <si>
    <t>ACC DEF INVEST TAX CR 3%  70</t>
  </si>
  <si>
    <t>25521</t>
  </si>
  <si>
    <t>ACC DEF INVEST TAX CR 3%  71</t>
  </si>
  <si>
    <t>25522</t>
  </si>
  <si>
    <t>ACC DEF INVEST TAX CR 4%  71</t>
  </si>
  <si>
    <t>25523</t>
  </si>
  <si>
    <t>ACC DEF INVEST TAX CR 4%  72</t>
  </si>
  <si>
    <t>25524</t>
  </si>
  <si>
    <t>ACC DEF INVEST TAX CR 4%  73</t>
  </si>
  <si>
    <t>25525</t>
  </si>
  <si>
    <t>ACC DEF INVEST TAX CR 4%  74</t>
  </si>
  <si>
    <t>25526</t>
  </si>
  <si>
    <t>ACC DEF INVEST TAX CR 4%  75</t>
  </si>
  <si>
    <t>25527</t>
  </si>
  <si>
    <t>ACC DEF INVEST TAX CR 10% 75</t>
  </si>
  <si>
    <t>25528</t>
  </si>
  <si>
    <t>ACC DEF INVEST TAX CR 4%  76</t>
  </si>
  <si>
    <t>25529</t>
  </si>
  <si>
    <t>ACC DEF INVEST TAX CR 10% 76</t>
  </si>
  <si>
    <t>25530</t>
  </si>
  <si>
    <t>ACC DEF INVEST TAX CR 4%  77</t>
  </si>
  <si>
    <t>25531</t>
  </si>
  <si>
    <t>ACC DEF INVEST TAX CR 10% 77</t>
  </si>
  <si>
    <t>25532</t>
  </si>
  <si>
    <t>ACC DEF INVEST TAX CR 4%  78</t>
  </si>
  <si>
    <t>25533</t>
  </si>
  <si>
    <t>ACC DEF INVEST TAX CR 10% 78</t>
  </si>
  <si>
    <t>25534</t>
  </si>
  <si>
    <t>ACC DEF INVEST TX CR 4% 79</t>
  </si>
  <si>
    <t>25535</t>
  </si>
  <si>
    <t>ACC DEF INVEST TX CR 10% 79</t>
  </si>
  <si>
    <t>25536</t>
  </si>
  <si>
    <t>ACC DEF INVEST TX CR 10% 80</t>
  </si>
  <si>
    <t>25539</t>
  </si>
  <si>
    <t>ACC DEF INVEST TX CR10% 81</t>
  </si>
  <si>
    <t>25540</t>
  </si>
  <si>
    <t>ACC DEF INVEST TX CR 10% 82</t>
  </si>
  <si>
    <t>25541</t>
  </si>
  <si>
    <t>ACC DEF ITC 8% 1983 UTIL</t>
  </si>
  <si>
    <t>For the Period Ended December 31, 2007</t>
  </si>
  <si>
    <t>October</t>
  </si>
  <si>
    <t>November</t>
  </si>
  <si>
    <t>Current assets - Energy</t>
  </si>
  <si>
    <t>Plant in service - Energy</t>
  </si>
  <si>
    <t>CWIP - Energy</t>
  </si>
  <si>
    <t>Other property - Energy (Balance Sheet)</t>
  </si>
  <si>
    <t>Accuml Dep - Energy (Balance Sheet)</t>
  </si>
  <si>
    <t>Elimination entry</t>
  </si>
  <si>
    <t>Investments - Energy</t>
  </si>
  <si>
    <t>Unamort debt exp - Energy (Balance Sheet)</t>
  </si>
  <si>
    <t>Deferred clause expense - Energy</t>
  </si>
  <si>
    <t>MISC DEFERRED DEBITS</t>
  </si>
  <si>
    <t>OTHER - FROM THE BS</t>
  </si>
  <si>
    <t>Less:  deferred clause expense above</t>
  </si>
  <si>
    <t>Other assets - Energy</t>
  </si>
  <si>
    <t>Total assets per Energy</t>
  </si>
  <si>
    <t>TOTAL ASSETS - PER ELECTRIC</t>
  </si>
  <si>
    <t>Cash - PE&amp;C</t>
  </si>
  <si>
    <t>Cash - Termco</t>
  </si>
  <si>
    <t>PE&amp;C customer receivables</t>
  </si>
  <si>
    <t>Eliminate TEC investment in PE&amp;C</t>
  </si>
  <si>
    <t>TOTAL ASSETS - PER ENERGY</t>
  </si>
  <si>
    <t>LINKING WORKPAPER ON THE LIABILITY AND CAPITAL  SIDE OF THE TECO ENERGY CONSOLIDATIONS</t>
  </si>
  <si>
    <t>Curr Port Long term debt (balance sheet)</t>
  </si>
  <si>
    <t>Notes payable other (balance sheet)</t>
  </si>
  <si>
    <t>ACCOUNTS PAYABLE TO OUTSIDERS</t>
  </si>
  <si>
    <t>Revenue refund</t>
  </si>
  <si>
    <t>LESS:</t>
  </si>
  <si>
    <t>Less: PE&amp;C receivable from TEC</t>
  </si>
  <si>
    <t>Less: TERMCO receivable from TEC</t>
  </si>
  <si>
    <t>Affiliate payable - Energy</t>
  </si>
  <si>
    <t>Dividends declared (balance sheet)</t>
  </si>
  <si>
    <t>Customer deposits (balance sheet)</t>
  </si>
  <si>
    <t>Interest accured - LT debt (balance sheet)</t>
  </si>
  <si>
    <t>Interest accured - Other (balance sheet)</t>
  </si>
  <si>
    <t>Interest accrued - Energy</t>
  </si>
  <si>
    <t>Taxes accrued (balance sheet)</t>
  </si>
  <si>
    <t>Accrued taxes - PE&amp;C</t>
  </si>
  <si>
    <t>Taxes accrued - Energy</t>
  </si>
  <si>
    <t>Current liabilities - Energy</t>
  </si>
  <si>
    <t>DEFERRED INCOME TAX - PER ELECTRIC</t>
  </si>
  <si>
    <t>DEFERRED INCOME TAX - PER ENERGY</t>
  </si>
  <si>
    <t>Investment credit (balance sheet)</t>
  </si>
  <si>
    <t>DEFERRED CLAUSE ITEMS:</t>
  </si>
  <si>
    <t>Deferred clause revenue - Energy</t>
  </si>
  <si>
    <t>REGULATORY TAX LIABILITY - PER ELECTRIC</t>
  </si>
  <si>
    <t>REGULATORY TAX LIABILITY - PER ENERGY</t>
  </si>
  <si>
    <t>Deferred revenues (balance sheet)</t>
  </si>
  <si>
    <t>OTHER :</t>
  </si>
  <si>
    <t>PE&amp;C unearned revenue</t>
  </si>
  <si>
    <t xml:space="preserve">  Less deferred clause above</t>
  </si>
  <si>
    <t>TRANSMISSION SUBSTATION SITES</t>
  </si>
  <si>
    <t>10506</t>
  </si>
  <si>
    <t>DISTRIBUTION SUBSTATION SITES</t>
  </si>
  <si>
    <t>10507</t>
  </si>
  <si>
    <t>BIG BEND BUFFER LAND</t>
  </si>
  <si>
    <t>10508</t>
  </si>
  <si>
    <t>MANGO SUBSTN 421D</t>
  </si>
  <si>
    <t>10509</t>
  </si>
  <si>
    <t>SILVER DOLLAR SUBSTN 418D</t>
  </si>
  <si>
    <t>10510</t>
  </si>
  <si>
    <t>VALROY DIST SUB</t>
  </si>
  <si>
    <t>10511</t>
  </si>
  <si>
    <t>NEW TAMPA TRANSMISSION EASEME</t>
  </si>
  <si>
    <t>10512</t>
  </si>
  <si>
    <t>WILLOW OAK TRANS &amp; DIST SUB</t>
  </si>
  <si>
    <t>10513</t>
  </si>
  <si>
    <t>WILDERNESS TRANS &amp; DIST SUB</t>
  </si>
  <si>
    <t>10514</t>
  </si>
  <si>
    <t>EAGLE PALM SUBSTN 417D</t>
  </si>
  <si>
    <t>10515</t>
  </si>
  <si>
    <t>ST RD 672 II - ADDT'L LAND 25</t>
  </si>
  <si>
    <t>10516</t>
  </si>
  <si>
    <t>CHAPMAN ADDITION</t>
  </si>
  <si>
    <t>10517</t>
  </si>
  <si>
    <t>PEARSON RD SUB EXPANSION</t>
  </si>
  <si>
    <t>10518</t>
  </si>
  <si>
    <t>LAKE HUTTO DIST SUB</t>
  </si>
  <si>
    <t>10519</t>
  </si>
  <si>
    <t>HANDCART TRANS SWITCH STATION</t>
  </si>
  <si>
    <t>10520</t>
  </si>
  <si>
    <t>SOUTH BEND #3</t>
  </si>
  <si>
    <t>10521</t>
  </si>
  <si>
    <t>SUN CITY SUB - ADDT'L LAND</t>
  </si>
  <si>
    <t>10522</t>
  </si>
  <si>
    <t>10523</t>
  </si>
  <si>
    <t>OHIO TRANS SUB-ADDL LAND 173T</t>
  </si>
  <si>
    <t>10524</t>
  </si>
  <si>
    <t>PEBBLEDALE TRAN SUB-ADDL LAND</t>
  </si>
  <si>
    <t>10525</t>
  </si>
  <si>
    <t>RIVER TRANS SUB-ADDL LAND 89T</t>
  </si>
  <si>
    <t>10527</t>
  </si>
  <si>
    <t>PALM RIVER OPR CTR-ADDL LAND</t>
  </si>
  <si>
    <t>10528</t>
  </si>
  <si>
    <t>CASS ST II - ADDT'L LAND 335D</t>
  </si>
  <si>
    <t>10529</t>
  </si>
  <si>
    <t>THORNHILL SUB 316D</t>
  </si>
  <si>
    <t>10530</t>
  </si>
  <si>
    <t>SKYWAY 138KV ADD'L LAND 140D</t>
  </si>
  <si>
    <t>10531</t>
  </si>
  <si>
    <t>CYPRESS CREEK (298D)</t>
  </si>
  <si>
    <t>10532</t>
  </si>
  <si>
    <t>WHITEHURST SUBSTATION</t>
  </si>
  <si>
    <t>10533</t>
  </si>
  <si>
    <t>KINGSMILL SUB</t>
  </si>
  <si>
    <t>10534</t>
  </si>
  <si>
    <t>PENDOLA POINT SUBSTATION</t>
  </si>
  <si>
    <t>10535</t>
  </si>
  <si>
    <t>INDIAN CREEK SUB</t>
  </si>
  <si>
    <t>10536</t>
  </si>
  <si>
    <t>SUN CITY 100D</t>
  </si>
  <si>
    <t>10561</t>
  </si>
  <si>
    <t>LITHIA SWITCHING STATION 374T</t>
  </si>
  <si>
    <t>10565</t>
  </si>
  <si>
    <t>49TH STREET SUB #29D</t>
  </si>
  <si>
    <t>10567</t>
  </si>
  <si>
    <t>JUNEAU SUBSTATION LAND 83T</t>
  </si>
  <si>
    <t>10569</t>
  </si>
  <si>
    <t>WILDERNESS TRANSMISSION SUB S</t>
  </si>
  <si>
    <t>10570</t>
  </si>
  <si>
    <t>BIG BEND BUFFER II</t>
  </si>
  <si>
    <t>10571</t>
  </si>
  <si>
    <t>CAUSEWAY BLVD. SUB 411D</t>
  </si>
  <si>
    <t>10573</t>
  </si>
  <si>
    <t>NORTH MOBLEY RD SUBSTATION</t>
  </si>
  <si>
    <t>105</t>
  </si>
  <si>
    <t>10600</t>
  </si>
  <si>
    <t>COMP CONSTRUCTION NOT CLASSFD</t>
  </si>
  <si>
    <t>106</t>
  </si>
  <si>
    <t>10700</t>
  </si>
  <si>
    <t>CONSTRUCT WORK IN PROGRESS</t>
  </si>
  <si>
    <t>107</t>
  </si>
  <si>
    <t>10801</t>
  </si>
  <si>
    <t>ACCUM DEPR ELEC UTIL PLANT</t>
  </si>
  <si>
    <t>10802</t>
  </si>
  <si>
    <t>RETIREMENT WORK IN PROGRESS</t>
  </si>
  <si>
    <t>10803</t>
  </si>
  <si>
    <t>ACCUM ACCRUAL FOR DISMANTLING</t>
  </si>
  <si>
    <t>10804</t>
  </si>
  <si>
    <t>ACQUIS ADJ SEBRING</t>
  </si>
  <si>
    <t>10805</t>
  </si>
  <si>
    <t>ACCUM DEPREC - ARO</t>
  </si>
  <si>
    <t>10808</t>
  </si>
  <si>
    <t>57120</t>
  </si>
  <si>
    <t>TECO TRANSMISSION MAINTENANCE</t>
  </si>
  <si>
    <t>57125</t>
  </si>
  <si>
    <t>SHELDON RD WIDENING (HILLS TO</t>
  </si>
  <si>
    <t>57126</t>
  </si>
  <si>
    <t>571</t>
  </si>
  <si>
    <t>57200</t>
  </si>
  <si>
    <t>TRANSMISSION MAINT-UDG LINE</t>
  </si>
  <si>
    <t>57205</t>
  </si>
  <si>
    <t>TRANS EMER SUBSTA MAINT</t>
  </si>
  <si>
    <t>572</t>
  </si>
  <si>
    <t>57300</t>
  </si>
  <si>
    <t>TRANSMISSION MAINT-MISC PLANT</t>
  </si>
  <si>
    <t>573</t>
  </si>
  <si>
    <t>57400</t>
  </si>
  <si>
    <t>MAINTENANCE OF TRANSMISSION N</t>
  </si>
  <si>
    <t>574</t>
  </si>
  <si>
    <t>58000</t>
  </si>
  <si>
    <t>DIST OPER-BUDGET ONLY</t>
  </si>
  <si>
    <t>58001</t>
  </si>
  <si>
    <t>DIST OP SUP&amp;ENG-NORMAL OPERAT</t>
  </si>
  <si>
    <t>58006</t>
  </si>
  <si>
    <t>DIST OP SUP&amp;ENG-STORM DAMAGE</t>
  </si>
  <si>
    <t>58010</t>
  </si>
  <si>
    <t>UNDERGROUND CABLE LOCATING</t>
  </si>
  <si>
    <t>58073</t>
  </si>
  <si>
    <t>DIST OP SUP&amp;ENG FR APP EXP</t>
  </si>
  <si>
    <t>580</t>
  </si>
  <si>
    <t>58200</t>
  </si>
  <si>
    <t>DIST OPER ST EXP</t>
  </si>
  <si>
    <t>58201</t>
  </si>
  <si>
    <t>CITY OF TAMPA STATION EXP.</t>
  </si>
  <si>
    <t>58202</t>
  </si>
  <si>
    <t>DIST OPER - LINE DEPARTMENT S</t>
  </si>
  <si>
    <t>58203</t>
  </si>
  <si>
    <t>DIST OPER - CASCADE EQP TRACK</t>
  </si>
  <si>
    <t>58205</t>
  </si>
  <si>
    <t>DIST OP-STATION EXP- PCB</t>
  </si>
  <si>
    <t>58206</t>
  </si>
  <si>
    <t>DIST OP-STA EXP-STORM DAMAGE</t>
  </si>
  <si>
    <t>58207</t>
  </si>
  <si>
    <t>DISTRIBUTION DOBLE TESTINGS</t>
  </si>
  <si>
    <t>58208</t>
  </si>
  <si>
    <t>DISTRIBUTION SUBSTATION INSPE</t>
  </si>
  <si>
    <t>58209</t>
  </si>
  <si>
    <t>DISTRIBUTION RELAY TESTING</t>
  </si>
  <si>
    <t>58210</t>
  </si>
  <si>
    <t>EXPENSE - EXHAUST HEAT</t>
  </si>
  <si>
    <t>58212</t>
  </si>
  <si>
    <t>MOSI SOLAR ARRAY</t>
  </si>
  <si>
    <t>58217</t>
  </si>
  <si>
    <t>ENVIRONMENTAL EXPENSES-DISTRI</t>
  </si>
  <si>
    <t>58288</t>
  </si>
  <si>
    <t>DIST OP-CARPET CLEANING</t>
  </si>
  <si>
    <t>58289</t>
  </si>
  <si>
    <t>13119</t>
  </si>
  <si>
    <t>ACCOUNTS PAYABLE DISBURSEMENT</t>
  </si>
  <si>
    <t>13120</t>
  </si>
  <si>
    <t>13121</t>
  </si>
  <si>
    <t>CHASE MANHATTAN INVESTMENT AC</t>
  </si>
  <si>
    <t>13125</t>
  </si>
  <si>
    <t>TEC CONCENTRATION ACCOUNT</t>
  </si>
  <si>
    <t>13126</t>
  </si>
  <si>
    <t>TEC-R BANK OF AMERICA</t>
  </si>
  <si>
    <t>131</t>
  </si>
  <si>
    <t>13401</t>
  </si>
  <si>
    <t>SPEC DEPOSIT-WATER</t>
  </si>
  <si>
    <t>13403</t>
  </si>
  <si>
    <t>SPEC DEPOSIT-OTHER</t>
  </si>
  <si>
    <t>13404</t>
  </si>
  <si>
    <t>SPEC DEPOSIT-CABLE REELS</t>
  </si>
  <si>
    <t>13406</t>
  </si>
  <si>
    <t>SPEC DEPOSIT-HILLS CO SOLID W</t>
  </si>
  <si>
    <t>13407</t>
  </si>
  <si>
    <t>SPEC DEPOSIT-TAMPA SOLID WAST</t>
  </si>
  <si>
    <t>13408</t>
  </si>
  <si>
    <t>SPEC DEPOSIT-MARGIN CALLS ENE</t>
  </si>
  <si>
    <t>13409</t>
  </si>
  <si>
    <t>SPEC DEPOSITS-MARGIN CALLS CA</t>
  </si>
  <si>
    <t>134</t>
  </si>
  <si>
    <t>13501</t>
  </si>
  <si>
    <t>WORKING FUNDS INTRA-COMPANY</t>
  </si>
  <si>
    <t>13504</t>
  </si>
  <si>
    <t>WORKING FUNDS UNITED PARKING</t>
  </si>
  <si>
    <t>13505</t>
  </si>
  <si>
    <t>WORKING FUNDS HILLS TRNS PASS</t>
  </si>
  <si>
    <t>135</t>
  </si>
  <si>
    <t>13620</t>
  </si>
  <si>
    <t>CASH EQUIVALENTS</t>
  </si>
  <si>
    <t>13621</t>
  </si>
  <si>
    <t>CASH EQUIVALENTS - MELLON BAN</t>
  </si>
  <si>
    <t>136</t>
  </si>
  <si>
    <t>14101</t>
  </si>
  <si>
    <t>NOTES RECEIVABLE - RTO</t>
  </si>
  <si>
    <t>141</t>
  </si>
  <si>
    <t>14201</t>
  </si>
  <si>
    <t>DEFERRED LEVELIZED RECEIVABLE</t>
  </si>
  <si>
    <t>14202</t>
  </si>
  <si>
    <t>CUST ACCT REC REGULAR (TEC R)</t>
  </si>
  <si>
    <t>14203</t>
  </si>
  <si>
    <t>A/R  SECURITY LIGHTING</t>
  </si>
  <si>
    <t>142</t>
  </si>
  <si>
    <t>14301</t>
  </si>
  <si>
    <t>OTHER ACCT REC</t>
  </si>
  <si>
    <t>14302</t>
  </si>
  <si>
    <t>INCOME TAX RECEIVABLE</t>
  </si>
  <si>
    <t>14303</t>
  </si>
  <si>
    <t>EMPLOYEE LOAN REC-EX-EMPLOYEE</t>
  </si>
  <si>
    <t>14304</t>
  </si>
  <si>
    <t>A/R - PAYROLL TAXES</t>
  </si>
  <si>
    <t>14305</t>
  </si>
  <si>
    <t>ACCTS REC-EMPLOYEE PURCH</t>
  </si>
  <si>
    <t>14306</t>
  </si>
  <si>
    <t>ESOP 1/2 % EMPLOYEE CONTRIBUT</t>
  </si>
  <si>
    <t>14311</t>
  </si>
  <si>
    <t>INTERCHG RECV LAKELAND</t>
  </si>
  <si>
    <t>14312</t>
  </si>
  <si>
    <t>INTERCHG RECV FLA POWER CORP</t>
  </si>
  <si>
    <t>14313</t>
  </si>
  <si>
    <t>INTERCHG RECV FLA PWR &amp; LIGHT</t>
  </si>
  <si>
    <t>14314</t>
  </si>
  <si>
    <t>INTERCHG RECV ORLANDO</t>
  </si>
  <si>
    <t>14315</t>
  </si>
  <si>
    <t>INTERCHG RECV NP ENERGY</t>
  </si>
  <si>
    <t>14316</t>
  </si>
  <si>
    <t>INTERCHG RECV HOMESTEAD</t>
  </si>
  <si>
    <t>14317</t>
  </si>
  <si>
    <t>INTERCHG RECV LAKEWORTH</t>
  </si>
  <si>
    <t>14318</t>
  </si>
  <si>
    <t>INTERCHG RECV THE ENERGY AUTH</t>
  </si>
  <si>
    <t>14319</t>
  </si>
  <si>
    <t>INTERCHG RECV FT PIERCE</t>
  </si>
  <si>
    <t>14320</t>
  </si>
  <si>
    <t>INTERCHG RECV GAINESVILLE</t>
  </si>
  <si>
    <t>14321</t>
  </si>
  <si>
    <t>INTERCHG RECV TALLAHASSEE</t>
  </si>
  <si>
    <t>14322</t>
  </si>
  <si>
    <t>INTERCHG RECV NEW SMYRNA BEAC</t>
  </si>
  <si>
    <t>14323</t>
  </si>
  <si>
    <t>INTERCHG RECV SEBRING</t>
  </si>
  <si>
    <t>14324</t>
  </si>
  <si>
    <t>51262</t>
  </si>
  <si>
    <t>STEAM MAINT BOILER-HP2</t>
  </si>
  <si>
    <t>51263</t>
  </si>
  <si>
    <t>25542</t>
  </si>
  <si>
    <t>ACC DEF ITC 8% 1984</t>
  </si>
  <si>
    <t>25543</t>
  </si>
  <si>
    <t>EXPENSE - SMALL BUSINESS RESO</t>
  </si>
  <si>
    <t xml:space="preserve">6.150% Due 2037 </t>
  </si>
  <si>
    <t>ck</t>
  </si>
  <si>
    <t>Month</t>
  </si>
  <si>
    <t>Debit</t>
  </si>
  <si>
    <t>Credit</t>
  </si>
  <si>
    <t>Balance</t>
  </si>
  <si>
    <t>Cumulative balance</t>
  </si>
  <si>
    <t>Bal.Carryforward</t>
  </si>
  <si>
    <t>January</t>
  </si>
  <si>
    <t>February</t>
  </si>
  <si>
    <t>March</t>
  </si>
  <si>
    <t>April</t>
  </si>
  <si>
    <t>May</t>
  </si>
  <si>
    <t>June</t>
  </si>
  <si>
    <t>July</t>
  </si>
  <si>
    <t>5/15/2021</t>
  </si>
  <si>
    <t>Total Bonds - Current and Non Current</t>
  </si>
  <si>
    <t>Accounts 2210100 &amp; 2210200</t>
  </si>
  <si>
    <t>Total Bond Premiums and Discounts</t>
  </si>
  <si>
    <t>Accounts 2250200 &amp; 2260200</t>
  </si>
  <si>
    <t>Amortization of Reaquired Debt</t>
  </si>
  <si>
    <t>Accounts 1890100 &amp; 1890200</t>
  </si>
  <si>
    <t>Amortization of Debt Expenses</t>
  </si>
  <si>
    <t>Account 1810200</t>
  </si>
  <si>
    <t>PD0013</t>
  </si>
  <si>
    <t>Monthly Amortization</t>
  </si>
  <si>
    <t>2012 Amortization Acct's 1890100 &amp; 1890200</t>
  </si>
  <si>
    <t>PD0011</t>
  </si>
  <si>
    <t>PD0010</t>
  </si>
  <si>
    <t>PD0012</t>
  </si>
  <si>
    <t>PD0023</t>
  </si>
  <si>
    <t>PD0900</t>
  </si>
  <si>
    <t>PD0014</t>
  </si>
  <si>
    <t>PD0008</t>
  </si>
  <si>
    <t>12/9/2010</t>
  </si>
  <si>
    <t>SAP Profit Center</t>
  </si>
  <si>
    <t>PD0015</t>
  </si>
  <si>
    <t>PD0020</t>
  </si>
  <si>
    <t>PD0016</t>
  </si>
  <si>
    <t>PD0017</t>
  </si>
  <si>
    <t>PD0025</t>
  </si>
  <si>
    <t>PD0009</t>
  </si>
  <si>
    <t>PD0018</t>
  </si>
  <si>
    <t>PD0019</t>
  </si>
  <si>
    <t>PD0026</t>
  </si>
  <si>
    <t>Amortization Exp</t>
  </si>
  <si>
    <t>Reclassed to 1890200</t>
  </si>
  <si>
    <t>New Issuance Costs</t>
  </si>
  <si>
    <t>Ending Balance per G/L</t>
  </si>
  <si>
    <t>Check</t>
  </si>
  <si>
    <t>1890100 &amp; 1890200 Rollforward</t>
  </si>
  <si>
    <t>$85.95M</t>
  </si>
  <si>
    <t>189 Reclass</t>
  </si>
  <si>
    <t>LT/ST Split</t>
  </si>
  <si>
    <t>Conversion Corrections</t>
  </si>
  <si>
    <t>Amortization of Reacquired Debt</t>
  </si>
  <si>
    <t>PD0900 Rollforward</t>
  </si>
  <si>
    <t>ST Reversal</t>
  </si>
  <si>
    <t xml:space="preserve">Profit </t>
  </si>
  <si>
    <t>Center</t>
  </si>
  <si>
    <t>Legacy</t>
  </si>
  <si>
    <t>DOCKET No. 130040-EI</t>
  </si>
  <si>
    <t>Interest Expense - LTD</t>
  </si>
  <si>
    <t>Account 7500110</t>
  </si>
  <si>
    <t>Amortization of Fees - LTD</t>
  </si>
  <si>
    <t>Account 7500130</t>
  </si>
  <si>
    <t>Amortization of Premium - LTD</t>
  </si>
  <si>
    <t>Account 7500125</t>
  </si>
  <si>
    <t>SAP</t>
  </si>
  <si>
    <t>$60.685M Premium</t>
  </si>
  <si>
    <t>Check Figures to Rollforward Schedule</t>
  </si>
  <si>
    <t>$86.4M Discount</t>
  </si>
  <si>
    <t>13-Month Average</t>
  </si>
  <si>
    <t>Accounts 2190040 &amp; 2190041</t>
  </si>
  <si>
    <t>OCI Cash Flow Hedges</t>
  </si>
  <si>
    <t>$99.571M</t>
  </si>
  <si>
    <t>$208.698M</t>
  </si>
  <si>
    <t>$200M</t>
  </si>
  <si>
    <t>SAP Debt Conversion</t>
  </si>
  <si>
    <t>13-Month Average by Profit Center</t>
  </si>
  <si>
    <t xml:space="preserve">Accounts 1890100 &amp; 1890200 </t>
  </si>
  <si>
    <t>Profit Center</t>
  </si>
  <si>
    <t>9500000101</t>
  </si>
  <si>
    <t>YZ</t>
  </si>
  <si>
    <t>201201</t>
  </si>
  <si>
    <t>7500110</t>
  </si>
  <si>
    <t>42744 TEC CONVERSION ACCOUNT SUMMARY</t>
  </si>
  <si>
    <t>20120326</t>
  </si>
  <si>
    <t>P01001</t>
  </si>
  <si>
    <t>F260000</t>
  </si>
  <si>
    <t>42723 TEC CONVERSION ACCOUNT SUMMARY</t>
  </si>
  <si>
    <t>9500000102</t>
  </si>
  <si>
    <t>42745 TEC CONVERSION ACCOUNT SUMMARY</t>
  </si>
  <si>
    <t>42746 TEC CONVERSION ACCOUNT SUMMARY</t>
  </si>
  <si>
    <t>42747 TEC CONVERSION ACCOUNT SUMMARY</t>
  </si>
  <si>
    <t>42748 TEC CONVERSION ACCOUNT SUMMARY</t>
  </si>
  <si>
    <t>42749 TEC CONVERSION ACCOUNT SUMMARY</t>
  </si>
  <si>
    <t>42751 TEC CONVERSION ACCOUNT SUMMARY</t>
  </si>
  <si>
    <t>42754 TEC CONVERSION ACCOUNT SUMMARY</t>
  </si>
  <si>
    <t>42755 TEC CONVERSION ACCOUNT SUMMARY</t>
  </si>
  <si>
    <t>42757 TEC CONVERSION ACCOUNT SUMMARY</t>
  </si>
  <si>
    <t>42760 TEC CONVERSION ACCOUNT SUMMARY</t>
  </si>
  <si>
    <t>9500000105</t>
  </si>
  <si>
    <t>201202</t>
  </si>
  <si>
    <t>20120402</t>
  </si>
  <si>
    <t>9500000106</t>
  </si>
  <si>
    <t>9500000110</t>
  </si>
  <si>
    <t>201203</t>
  </si>
  <si>
    <t>20120424</t>
  </si>
  <si>
    <t>9500000115</t>
  </si>
  <si>
    <t>201204</t>
  </si>
  <si>
    <t>20120516</t>
  </si>
  <si>
    <t>9500000131</t>
  </si>
  <si>
    <t>201205</t>
  </si>
  <si>
    <t>20120614</t>
  </si>
  <si>
    <t>9500000132</t>
  </si>
  <si>
    <t>100000051</t>
  </si>
  <si>
    <t>SA</t>
  </si>
  <si>
    <t>40650</t>
  </si>
  <si>
    <t>20120701</t>
  </si>
  <si>
    <t>9500000140</t>
  </si>
  <si>
    <t>201206</t>
  </si>
  <si>
    <t>20120722</t>
  </si>
  <si>
    <t>42750 TEC CONVERSION ACCOUNT SUMMARY</t>
  </si>
  <si>
    <t>9500000148</t>
  </si>
  <si>
    <t>9500000156</t>
  </si>
  <si>
    <t>100018248</t>
  </si>
  <si>
    <t>20120801</t>
  </si>
  <si>
    <t>100024355</t>
  </si>
  <si>
    <t>20120901</t>
  </si>
  <si>
    <t>100034010</t>
  </si>
  <si>
    <t>20121001</t>
  </si>
  <si>
    <t>October Interest Accrual</t>
  </si>
  <si>
    <t>Sept Interest Accrual</t>
  </si>
  <si>
    <t>100041200</t>
  </si>
  <si>
    <t>20121101</t>
  </si>
  <si>
    <t>100049143</t>
  </si>
  <si>
    <t>20121201</t>
  </si>
  <si>
    <t>42737 TEC CONVERSION ACCOUNT SUMMARY</t>
  </si>
  <si>
    <t>INTEREST EXP 2011-</t>
  </si>
  <si>
    <t>42725 TEC CONVERSION ACCOUNT SUMMARY</t>
  </si>
  <si>
    <t>INTEREST EXP 2022</t>
  </si>
  <si>
    <t>162</t>
  </si>
  <si>
    <t>23</t>
  </si>
  <si>
    <t>000</t>
  </si>
  <si>
    <t>RECORD INTEREST EXPENS</t>
  </si>
  <si>
    <t>090002</t>
  </si>
  <si>
    <t>25</t>
  </si>
  <si>
    <t>37</t>
  </si>
  <si>
    <t>44</t>
  </si>
  <si>
    <t>45</t>
  </si>
  <si>
    <t>46</t>
  </si>
  <si>
    <t>47</t>
  </si>
  <si>
    <t>48</t>
  </si>
  <si>
    <t>49</t>
  </si>
  <si>
    <t>51</t>
  </si>
  <si>
    <t>54</t>
  </si>
  <si>
    <t>55</t>
  </si>
  <si>
    <t>57</t>
  </si>
  <si>
    <t>60</t>
  </si>
  <si>
    <t>Legacy Account 427.23</t>
  </si>
  <si>
    <t>Profit Center PD0015</t>
  </si>
  <si>
    <t>13-Month Total</t>
  </si>
  <si>
    <t>Legacy Account 427.51</t>
  </si>
  <si>
    <t>Profit Center PD0009</t>
  </si>
  <si>
    <t>Legacy Account 427.49</t>
  </si>
  <si>
    <t>Profit Center PD0017</t>
  </si>
  <si>
    <t>Legacy Account 427.60</t>
  </si>
  <si>
    <t>Profit Center PD0019</t>
  </si>
  <si>
    <t>Legacy Account 427.57</t>
  </si>
  <si>
    <t>Profit Center PD0018</t>
  </si>
  <si>
    <t>Legacy Account 427.44</t>
  </si>
  <si>
    <t>Profit Center PD0020</t>
  </si>
  <si>
    <t>Profit Center PD0025</t>
  </si>
  <si>
    <t>Legacy Account 427.46</t>
  </si>
  <si>
    <t xml:space="preserve">Profit Center </t>
  </si>
  <si>
    <t>Legacy Account 427.50</t>
  </si>
  <si>
    <t>Legacy Account 427.48</t>
  </si>
  <si>
    <t>Profit Center  PD0011</t>
  </si>
  <si>
    <t>Profit Center  PD0026</t>
  </si>
  <si>
    <t>Legacy Account 427.47</t>
  </si>
  <si>
    <t>Profit Center  PD0008</t>
  </si>
  <si>
    <t>Legacy Account 427.54</t>
  </si>
  <si>
    <t>Profit Center  PD0010</t>
  </si>
  <si>
    <t>Legacy Account 427.55</t>
  </si>
  <si>
    <t>Profit Center  PD0012</t>
  </si>
  <si>
    <t>Legacy Account 427.37</t>
  </si>
  <si>
    <t>Profit Center  PD0014</t>
  </si>
  <si>
    <t>Grand Total</t>
  </si>
  <si>
    <t>$51.6M Bonds due 2025</t>
  </si>
  <si>
    <t>12-Month Total</t>
  </si>
  <si>
    <t>$54.2M Bonds Due 2021</t>
  </si>
  <si>
    <t>$60.685M Bonds</t>
  </si>
  <si>
    <t>$86.4M Bonds Due 2023</t>
  </si>
  <si>
    <t>$190M Bonds Due 2037</t>
  </si>
  <si>
    <t>$250M Bonds Due 2042</t>
  </si>
  <si>
    <t>$200M Bonds Due 2018</t>
  </si>
  <si>
    <t>$330M Bonds</t>
  </si>
  <si>
    <t>$231M Bonds</t>
  </si>
  <si>
    <t>$250M Bonds Due 2016</t>
  </si>
  <si>
    <t>$250M Bonds Due 2036</t>
  </si>
  <si>
    <t>Legacy Account 427.45 &amp; 427.25</t>
  </si>
  <si>
    <t>$85.95M Bonds</t>
  </si>
  <si>
    <t>Account 7500120</t>
  </si>
  <si>
    <t>Amortization of Discount - LTD</t>
  </si>
  <si>
    <t>PD0027</t>
  </si>
  <si>
    <t>PD0028</t>
  </si>
  <si>
    <t>For the Year Ending December 31, 2013</t>
  </si>
  <si>
    <t>For the Year Ending December 31, 2012</t>
  </si>
  <si>
    <t>For the Year Ending December 31, 2014</t>
  </si>
  <si>
    <t>Purchased in Leiu of Redemption</t>
  </si>
  <si>
    <t>Accts 225 &amp; 226</t>
  </si>
  <si>
    <t>Acct 221</t>
  </si>
  <si>
    <t>Acct 428 &amp; 429</t>
  </si>
  <si>
    <t>Acct 427</t>
  </si>
  <si>
    <t>DocumentNo</t>
  </si>
  <si>
    <t>Type</t>
  </si>
  <si>
    <t>Reference</t>
  </si>
  <si>
    <t>Account</t>
  </si>
  <si>
    <t>Text</t>
  </si>
  <si>
    <t>Assignment</t>
  </si>
  <si>
    <t>Profit Ctr</t>
  </si>
  <si>
    <t>Pstng Date</t>
  </si>
  <si>
    <t>9500000000</t>
  </si>
  <si>
    <t>DEC 31 2010</t>
  </si>
  <si>
    <t>1900307</t>
  </si>
  <si>
    <t>19046 TEC GL CONV YE 2010</t>
  </si>
  <si>
    <t>20101231</t>
  </si>
  <si>
    <t>9500000001</t>
  </si>
  <si>
    <t>9500000002</t>
  </si>
  <si>
    <t>9500000006</t>
  </si>
  <si>
    <t>201101</t>
  </si>
  <si>
    <t>19046 TEC CONVERSION ACCOUNT SUMMARY</t>
  </si>
  <si>
    <t>9500000010</t>
  </si>
  <si>
    <t>201102</t>
  </si>
  <si>
    <t>9500000015</t>
  </si>
  <si>
    <t>201103</t>
  </si>
  <si>
    <t>9500000020</t>
  </si>
  <si>
    <t>201104</t>
  </si>
  <si>
    <t>9500000025</t>
  </si>
  <si>
    <t>201105</t>
  </si>
  <si>
    <t>9500000030</t>
  </si>
  <si>
    <t>201106</t>
  </si>
  <si>
    <t>9500000035</t>
  </si>
  <si>
    <t>201107</t>
  </si>
  <si>
    <t>9500000040</t>
  </si>
  <si>
    <t>201108</t>
  </si>
  <si>
    <t>9500000045</t>
  </si>
  <si>
    <t>201109</t>
  </si>
  <si>
    <t>9500000050</t>
  </si>
  <si>
    <t>201110</t>
  </si>
  <si>
    <t>9500000055</t>
  </si>
  <si>
    <t>201111</t>
  </si>
  <si>
    <t>9500000060</t>
  </si>
  <si>
    <t>201112</t>
  </si>
  <si>
    <t>9500000109</t>
  </si>
  <si>
    <t>9500000114</t>
  </si>
  <si>
    <t>100000053</t>
  </si>
  <si>
    <t>40501</t>
  </si>
  <si>
    <t>9500000139</t>
  </si>
  <si>
    <t>9500000147</t>
  </si>
  <si>
    <t>9500000155</t>
  </si>
  <si>
    <t>100018957</t>
  </si>
  <si>
    <t>40501_PD0025</t>
  </si>
  <si>
    <t>RECURRING ENTRY ENDS 04/42; FV50 NEEDED 05/42</t>
  </si>
  <si>
    <t>20120831</t>
  </si>
  <si>
    <t>100018958</t>
  </si>
  <si>
    <t>40501_PD0018</t>
  </si>
  <si>
    <t>RECURRING ENTRY ENDS 04/18; FV50 NEEDED 05/18</t>
  </si>
  <si>
    <t>100027515</t>
  </si>
  <si>
    <t>20120930</t>
  </si>
  <si>
    <t>100027516</t>
  </si>
  <si>
    <t>100036818</t>
  </si>
  <si>
    <t>20121031</t>
  </si>
  <si>
    <t>100036819</t>
  </si>
  <si>
    <t>100036857</t>
  </si>
  <si>
    <t>AB</t>
  </si>
  <si>
    <t>100036858</t>
  </si>
  <si>
    <t>100037868</t>
  </si>
  <si>
    <t>DIT Federal - Interest Rate Swap</t>
  </si>
  <si>
    <t>100037892</t>
  </si>
  <si>
    <t>DIT Fed- Interest Rate Swap</t>
  </si>
  <si>
    <t>100044337</t>
  </si>
  <si>
    <t>20121130</t>
  </si>
  <si>
    <t>100044360</t>
  </si>
  <si>
    <t>100051577</t>
  </si>
  <si>
    <t>89850-2</t>
  </si>
  <si>
    <t>100051650</t>
  </si>
  <si>
    <t>20121231</t>
  </si>
  <si>
    <t>100051673</t>
  </si>
  <si>
    <t>1900407</t>
  </si>
  <si>
    <t>19045 TEC GL CONV YE 2010</t>
  </si>
  <si>
    <t>19045 TEC CONVERSION ACCOUNT SUMMARY</t>
  </si>
  <si>
    <t>DIT State - Interest Rate Swap</t>
  </si>
  <si>
    <t>2190040</t>
  </si>
  <si>
    <t>21906 TEC GL CONV YE 2010</t>
  </si>
  <si>
    <t>21906 TEC CONVERSION ACCOUNT SUMMARY</t>
  </si>
  <si>
    <t>100028155</t>
  </si>
  <si>
    <t>89800-09</t>
  </si>
  <si>
    <t>OCI -Interest Rate Swap (Gross)</t>
  </si>
  <si>
    <t>OCI - Interest Rate Swap (Gross)</t>
  </si>
  <si>
    <t>2190041</t>
  </si>
  <si>
    <t>OCI -Interest Rate Swap -DIT State</t>
  </si>
  <si>
    <t>OCI -Interest Rate Swap -DIT Federal</t>
  </si>
  <si>
    <t>OCI - Interest Rate Swap DIT State</t>
  </si>
  <si>
    <t>OCI - Interest Rate Swap DIT Federal</t>
  </si>
  <si>
    <t>1900307 Total</t>
  </si>
  <si>
    <t>1900407 Total</t>
  </si>
  <si>
    <t>2190040 Total</t>
  </si>
  <si>
    <t>2190041 Total</t>
  </si>
  <si>
    <t>1810200</t>
  </si>
  <si>
    <t>18108 TEC GL CONV YE 2010</t>
  </si>
  <si>
    <t>18128 TEC GL CONV YE 2010</t>
  </si>
  <si>
    <t>18144 TEC GL CONV YE 2010</t>
  </si>
  <si>
    <t>18145 TEC GL CONV YE 2010</t>
  </si>
  <si>
    <t>18146 TEC GL CONV YE 2010</t>
  </si>
  <si>
    <t>18147 TEC GL CONV YE 2010</t>
  </si>
  <si>
    <t>18148 TEC GL CONV YE 2010</t>
  </si>
  <si>
    <t>18149 TEC GL CONV YE 2010</t>
  </si>
  <si>
    <t>18151 TEC GL CONV YE 2010</t>
  </si>
  <si>
    <t>18153 TEC GL CONV YE 2010</t>
  </si>
  <si>
    <t>18154 TEC GL CONV YE 2010</t>
  </si>
  <si>
    <t>18155 TEC GL CONV YE 2010</t>
  </si>
  <si>
    <t>18156 TEC GL CONV YE 2010</t>
  </si>
  <si>
    <t>18157 TEC GL CONV YE 2010</t>
  </si>
  <si>
    <t>18160 TEC GL CONV YE 2010</t>
  </si>
  <si>
    <t>100000000</t>
  </si>
  <si>
    <t>DEC CLOSE</t>
  </si>
  <si>
    <t>1890100</t>
  </si>
  <si>
    <t>1890200</t>
  </si>
  <si>
    <t>18246 TEC GL CONV YE 2010</t>
  </si>
  <si>
    <t>18283 TEC GL CONV YE 2010</t>
  </si>
  <si>
    <t>18290 TEC GL CONV YE 2010</t>
  </si>
  <si>
    <t>18293 TEC GL CONV YE 2010</t>
  </si>
  <si>
    <t>18296 TEC GL CONV YE 2010</t>
  </si>
  <si>
    <t>18297 TEC GL CONV YE 2010</t>
  </si>
  <si>
    <t>18299 TEC GL CONV YE 2010</t>
  </si>
  <si>
    <t>18243 TEC GL CONV YE 2010</t>
  </si>
  <si>
    <t>18241 TEC GL CONV YE 2010</t>
  </si>
  <si>
    <t>DEF INT 2011-14 BD</t>
  </si>
  <si>
    <t>18244 TEC GL CONV YE 2010</t>
  </si>
  <si>
    <t>18278 TEC GL CONV YE 2010</t>
  </si>
  <si>
    <t>LT DEF BOND RF CST</t>
  </si>
  <si>
    <t>18279 TEC GL CONV YE 2010</t>
  </si>
  <si>
    <t>18276 TEC GL CONV YE 2010</t>
  </si>
  <si>
    <t>ST DEF BOND RF CST</t>
  </si>
  <si>
    <t>18277 TEC GL CONV YE 2010</t>
  </si>
  <si>
    <t>18294 TEC GL CONV YE 2010</t>
  </si>
  <si>
    <t>UNAM LOSS 2011 BDS</t>
  </si>
  <si>
    <t>18291 TEC GL CONV YE 2010</t>
  </si>
  <si>
    <t>UNAM LOSS 2012 BDS</t>
  </si>
  <si>
    <t>18295 TEC GL CONV YE 2010</t>
  </si>
  <si>
    <t>18287 TEC GL CONV YE 2010</t>
  </si>
  <si>
    <t>UNAM LOSS 2021 BDS</t>
  </si>
  <si>
    <t>18288 TEC GL CONV YE 2010</t>
  </si>
  <si>
    <t>18284 TEC GL CONV YE 2010</t>
  </si>
  <si>
    <t>UNAM LOSS 2022 BDS</t>
  </si>
  <si>
    <t>18285 TEC GL CONV YE 2010</t>
  </si>
  <si>
    <t>18281 TEC GL CONV YE 2010</t>
  </si>
  <si>
    <t>UNAM LOSS HCIDA</t>
  </si>
  <si>
    <t>18280 TEC GL CONV YE 2010</t>
  </si>
  <si>
    <t>UNAM LOSS-P/O 2011</t>
  </si>
  <si>
    <t>18147 TEC CONVERSION ACCOUNT SUMMARY</t>
  </si>
  <si>
    <t>18108 TEC CONVERSION ACCOUNT SUMMARY</t>
  </si>
  <si>
    <t>18128 TEC CONVERSION ACCOUNT SUMMARY</t>
  </si>
  <si>
    <t>18144 TEC CONVERSION ACCOUNT SUMMARY</t>
  </si>
  <si>
    <t>18145 TEC CONVERSION ACCOUNT SUMMARY</t>
  </si>
  <si>
    <t>18146 TEC CONVERSION ACCOUNT SUMMARY</t>
  </si>
  <si>
    <t>18148 TEC CONVERSION ACCOUNT SUMMARY</t>
  </si>
  <si>
    <t>18149 TEC CONVERSION ACCOUNT SUMMARY</t>
  </si>
  <si>
    <t>18151 TEC CONVERSION ACCOUNT SUMMARY</t>
  </si>
  <si>
    <t>18153 TEC CONVERSION ACCOUNT SUMMARY</t>
  </si>
  <si>
    <t>18154 TEC CONVERSION ACCOUNT SUMMARY</t>
  </si>
  <si>
    <t>18155 TEC CONVERSION ACCOUNT SUMMARY</t>
  </si>
  <si>
    <t>18156 TEC CONVERSION ACCOUNT SUMMARY</t>
  </si>
  <si>
    <t>18157 TEC CONVERSION ACCOUNT SUMMARY</t>
  </si>
  <si>
    <t>18160 TEC CONVERSION ACCOUNT SUMMARY</t>
  </si>
  <si>
    <t>100000001</t>
  </si>
  <si>
    <t>20110131</t>
  </si>
  <si>
    <t>18246 TEC CONVERSION ACCOUNT SUMMARY</t>
  </si>
  <si>
    <t>18283 TEC CONVERSION ACCOUNT SUMMARY</t>
  </si>
  <si>
    <t>18290 TEC CONVERSION ACCOUNT SUMMARY</t>
  </si>
  <si>
    <t>18293 TEC CONVERSION ACCOUNT SUMMARY</t>
  </si>
  <si>
    <t>18296 TEC CONVERSION ACCOUNT SUMMARY</t>
  </si>
  <si>
    <t>18297 TEC CONVERSION ACCOUNT SUMMARY</t>
  </si>
  <si>
    <t>18299 TEC CONVERSION ACCOUNT SUMMARY</t>
  </si>
  <si>
    <t>18243 TEC CONVERSION ACCOUNT SUMMARY</t>
  </si>
  <si>
    <t>18241 TEC CONVERSION ACCOUNT SUMMARY</t>
  </si>
  <si>
    <t>18244 TEC CONVERSION ACCOUNT SUMMARY</t>
  </si>
  <si>
    <t>18278 TEC CONVERSION ACCOUNT SUMMARY</t>
  </si>
  <si>
    <t>18279 TEC CONVERSION ACCOUNT SUMMARY</t>
  </si>
  <si>
    <t>18276 TEC CONVERSION ACCOUNT SUMMARY</t>
  </si>
  <si>
    <t>18277 TEC CONVERSION ACCOUNT SUMMARY</t>
  </si>
  <si>
    <t>18294 TEC CONVERSION ACCOUNT SUMMARY</t>
  </si>
  <si>
    <t>18291 TEC CONVERSION ACCOUNT SUMMARY</t>
  </si>
  <si>
    <t>18295 TEC CONVERSION ACCOUNT SUMMARY</t>
  </si>
  <si>
    <t>18287 TEC CONVERSION ACCOUNT SUMMARY</t>
  </si>
  <si>
    <t>18288 TEC CONVERSION ACCOUNT SUMMARY</t>
  </si>
  <si>
    <t>18284 TEC CONVERSION ACCOUNT SUMMARY</t>
  </si>
  <si>
    <t>18285 TEC CONVERSION ACCOUNT SUMMARY</t>
  </si>
  <si>
    <t>18281 TEC CONVERSION ACCOUNT SUMMARY</t>
  </si>
  <si>
    <t>18280 TEC CONVERSION ACCOUNT SUMMARY</t>
  </si>
  <si>
    <t>100000002</t>
  </si>
  <si>
    <t>20110228</t>
  </si>
  <si>
    <t>100000004</t>
  </si>
  <si>
    <t>20110331</t>
  </si>
  <si>
    <t>100000005</t>
  </si>
  <si>
    <t>20110430</t>
  </si>
  <si>
    <t>100000006</t>
  </si>
  <si>
    <t>20110531</t>
  </si>
  <si>
    <t>100000007</t>
  </si>
  <si>
    <t>20110630</t>
  </si>
  <si>
    <t>100000008</t>
  </si>
  <si>
    <t>20110731</t>
  </si>
  <si>
    <t>100000009</t>
  </si>
  <si>
    <t>20110831</t>
  </si>
  <si>
    <t>100000010</t>
  </si>
  <si>
    <t>20110930</t>
  </si>
  <si>
    <t>100000011</t>
  </si>
  <si>
    <t>20111031</t>
  </si>
  <si>
    <t>100000012</t>
  </si>
  <si>
    <t>20111130</t>
  </si>
  <si>
    <t>100000013</t>
  </si>
  <si>
    <t>20111231</t>
  </si>
  <si>
    <t>100000003</t>
  </si>
  <si>
    <t>20120131</t>
  </si>
  <si>
    <t>20120229</t>
  </si>
  <si>
    <t>20120331</t>
  </si>
  <si>
    <t>20120430</t>
  </si>
  <si>
    <t>20120531</t>
  </si>
  <si>
    <t>18150 TEC CONVERSION ACCOUNT SUMMARY</t>
  </si>
  <si>
    <t>100000263</t>
  </si>
  <si>
    <t>20120630</t>
  </si>
  <si>
    <t>1900001707</t>
  </si>
  <si>
    <t>KR</t>
  </si>
  <si>
    <t>1236107000</t>
  </si>
  <si>
    <t>20120625</t>
  </si>
  <si>
    <t>100000701</t>
  </si>
  <si>
    <t>40505</t>
  </si>
  <si>
    <t>$250M 2036 6.55% Notes</t>
  </si>
  <si>
    <t>20120730</t>
  </si>
  <si>
    <t>$190M 2037 6.15% Notes</t>
  </si>
  <si>
    <t>$85.95M 2034 5.0% Refunding Bonds</t>
  </si>
  <si>
    <t>$60.685M 2013 5.10% Refunding Bonds</t>
  </si>
  <si>
    <t>$86.4M 2023 5.50% Refunding Bonds</t>
  </si>
  <si>
    <t>$330M 2012 6.375% Notes</t>
  </si>
  <si>
    <t>$250M 2042 4.1% Notes</t>
  </si>
  <si>
    <t>$250M 2014-2016 6.25% Notes</t>
  </si>
  <si>
    <t>$54.2M 2018 5.65% Refunding Bonds</t>
  </si>
  <si>
    <t>$51.6M 2025 5.15% Refunding Bonds</t>
  </si>
  <si>
    <t>$20M 2020 Bond Purch in Lieu Redemption</t>
  </si>
  <si>
    <t>$200M 2018 6.1% Notes</t>
  </si>
  <si>
    <t>$231.73M 2012 6.875% Notes</t>
  </si>
  <si>
    <t>$75M 2030 Variable Rate Bonds</t>
  </si>
  <si>
    <t>Short-Term</t>
  </si>
  <si>
    <t>Short-Term Reversal</t>
  </si>
  <si>
    <t>$80M Due 2022</t>
  </si>
  <si>
    <t>$3.125M Due 2021</t>
  </si>
  <si>
    <t>$3.123M Call Premium</t>
  </si>
  <si>
    <t>$21.875M Due 2021</t>
  </si>
  <si>
    <t>9100000178</t>
  </si>
  <si>
    <t>YP</t>
  </si>
  <si>
    <t>1828876</t>
  </si>
  <si>
    <t>20120629</t>
  </si>
  <si>
    <t>9100000179</t>
  </si>
  <si>
    <t>1837682</t>
  </si>
  <si>
    <t>20120731</t>
  </si>
  <si>
    <t>1900003525</t>
  </si>
  <si>
    <t>1828877</t>
  </si>
  <si>
    <t>1900004036</t>
  </si>
  <si>
    <t>1111521311</t>
  </si>
  <si>
    <t>20120718</t>
  </si>
  <si>
    <t>9100000223</t>
  </si>
  <si>
    <t>1837836</t>
  </si>
  <si>
    <t>9100000225</t>
  </si>
  <si>
    <t>111-1518425</t>
  </si>
  <si>
    <t>20120618</t>
  </si>
  <si>
    <t>100018917</t>
  </si>
  <si>
    <t>40540</t>
  </si>
  <si>
    <t>RECURRING ENTRY ENDS 10/30; FV50 NEEDED 11/30</t>
  </si>
  <si>
    <t>100018918</t>
  </si>
  <si>
    <t>40547 PD0013</t>
  </si>
  <si>
    <t>100018919</t>
  </si>
  <si>
    <t>40540 PD0015</t>
  </si>
  <si>
    <t>RECURRING ENTRY ENDS 04/36; FV50 NEEDED 05/36</t>
  </si>
  <si>
    <t>100018920</t>
  </si>
  <si>
    <t>40548 PD0015</t>
  </si>
  <si>
    <t>100018921</t>
  </si>
  <si>
    <t>40540 PD0020</t>
  </si>
  <si>
    <t>RECURRING ENTRY ENDS 04/37; FV50 NEEDED 05/37</t>
  </si>
  <si>
    <t>100018922</t>
  </si>
  <si>
    <t>40540 PD0014</t>
  </si>
  <si>
    <t>RECURRING ENTRY ENDS 10/34; FV50 NEEDED 11/34</t>
  </si>
  <si>
    <t>100018923</t>
  </si>
  <si>
    <t>40540 PD0008</t>
  </si>
  <si>
    <t>RECURRING ENTRY ENDS 08/13; FV50 NEEDED 09/13</t>
  </si>
  <si>
    <t>100018924</t>
  </si>
  <si>
    <t>40540 PD0011</t>
  </si>
  <si>
    <t>RECURRING ENTRY ENDS 08/23; FV50 NEEDED 09/23</t>
  </si>
  <si>
    <t>100018925</t>
  </si>
  <si>
    <t>40540 PD0009</t>
  </si>
  <si>
    <t>RECURRING ENTRY ENDS 03/16; FV50 NEEDED 04/16</t>
  </si>
  <si>
    <t>100018926</t>
  </si>
  <si>
    <t>40540 PD0010</t>
  </si>
  <si>
    <t>100018927</t>
  </si>
  <si>
    <t>40547 PD0010</t>
  </si>
  <si>
    <t>100018928</t>
  </si>
  <si>
    <t>40540 PD0012</t>
  </si>
  <si>
    <t>RECURRING ENTRY ENDS 07/25; FV50 NEEDED 08/25</t>
  </si>
  <si>
    <t>100018929</t>
  </si>
  <si>
    <t>40547 PD0012</t>
  </si>
  <si>
    <t>RECURRING ENTRY ENDS 07/13; FV50 NEEDED 08/13</t>
  </si>
  <si>
    <t>100018930</t>
  </si>
  <si>
    <t>40540 PD0023</t>
  </si>
  <si>
    <t>RECURRING ENTRY ENDS 09/20; FV50 NEEDED 10/20</t>
  </si>
  <si>
    <t>100018931</t>
  </si>
  <si>
    <t>40547 PD0023</t>
  </si>
  <si>
    <t>100018932</t>
  </si>
  <si>
    <t>40540 PD0018</t>
  </si>
  <si>
    <t>100018933</t>
  </si>
  <si>
    <t>40549 PD0018</t>
  </si>
  <si>
    <t>100019344</t>
  </si>
  <si>
    <t>Final Amortization</t>
  </si>
  <si>
    <t>20120904</t>
  </si>
  <si>
    <t>100019483</t>
  </si>
  <si>
    <t>89800-5</t>
  </si>
  <si>
    <t>Reclass Trustee Fee</t>
  </si>
  <si>
    <t>20120905</t>
  </si>
  <si>
    <t>Short-term Reversal</t>
  </si>
  <si>
    <t>Short-term</t>
  </si>
  <si>
    <t>100018934</t>
  </si>
  <si>
    <t>40544 PD0013</t>
  </si>
  <si>
    <t>RECURRING ENTRY ENDS 09/22; FV50 NEEDED 10/22</t>
  </si>
  <si>
    <t>100018935</t>
  </si>
  <si>
    <t>40542 PD0023</t>
  </si>
  <si>
    <t>RECURRING ENTRY ENDS 03/22; FV50 NEEDED 04/22</t>
  </si>
  <si>
    <t>100018936</t>
  </si>
  <si>
    <t>40542 PD0014</t>
  </si>
  <si>
    <t>100018937</t>
  </si>
  <si>
    <t>40546 PD0014</t>
  </si>
  <si>
    <t>RECURRING ENTRY ENDS 01/14; FV50 NEEDED 02/14</t>
  </si>
  <si>
    <t>100018943</t>
  </si>
  <si>
    <t>40545 PD0013-A</t>
  </si>
  <si>
    <t>100018944</t>
  </si>
  <si>
    <t>40542 PD0013-A</t>
  </si>
  <si>
    <t>100018945</t>
  </si>
  <si>
    <t>40545 PD0900-A</t>
  </si>
  <si>
    <t>100018946</t>
  </si>
  <si>
    <t>40542 PD0900-A</t>
  </si>
  <si>
    <t>100018947</t>
  </si>
  <si>
    <t>40545 PD0023-B</t>
  </si>
  <si>
    <t>100018948</t>
  </si>
  <si>
    <t>40545 PD0900-B</t>
  </si>
  <si>
    <t>RECURRING ENTRY ENDS 06/21; FV50 NEEDED 07/21</t>
  </si>
  <si>
    <t>100018949</t>
  </si>
  <si>
    <t>40542 PD0900-B</t>
  </si>
  <si>
    <t>100018950</t>
  </si>
  <si>
    <t>40545 PD0900-C</t>
  </si>
  <si>
    <t>100018951</t>
  </si>
  <si>
    <t>40542 PD0900-C</t>
  </si>
  <si>
    <t>100018952</t>
  </si>
  <si>
    <t>40545 PD0013-B</t>
  </si>
  <si>
    <t>RECURRING ENTRY ENDS 11/30; FV50 NEEDED 12/30</t>
  </si>
  <si>
    <t>100018953</t>
  </si>
  <si>
    <t>40542 PD0013-B</t>
  </si>
  <si>
    <t>100018954</t>
  </si>
  <si>
    <t>40545 PD0014-A</t>
  </si>
  <si>
    <t>100018955</t>
  </si>
  <si>
    <t>40545 PD0014-B</t>
  </si>
  <si>
    <t>RECURRING ENTRY ENDS 12/13; FV50 NEEDED 01/14</t>
  </si>
  <si>
    <t>100018956</t>
  </si>
  <si>
    <t>40545 PD0014-C</t>
  </si>
  <si>
    <t>100018959</t>
  </si>
  <si>
    <t>40545 PD0010</t>
  </si>
  <si>
    <t>100018960</t>
  </si>
  <si>
    <t>40545 PD0012</t>
  </si>
  <si>
    <t>100018961</t>
  </si>
  <si>
    <t>40545 PD0023-A</t>
  </si>
  <si>
    <t>9100000353</t>
  </si>
  <si>
    <t>0712 SERVICES</t>
  </si>
  <si>
    <t>20120723</t>
  </si>
  <si>
    <t>9100000405</t>
  </si>
  <si>
    <t>SEC FILING 0912</t>
  </si>
  <si>
    <t>20120919</t>
  </si>
  <si>
    <t>600016045</t>
  </si>
  <si>
    <t>YO</t>
  </si>
  <si>
    <t>JPMN ACWI 12063</t>
  </si>
  <si>
    <t>0000196400002USD</t>
  </si>
  <si>
    <t>9100000402</t>
  </si>
  <si>
    <t>1837854</t>
  </si>
  <si>
    <t>100026823</t>
  </si>
  <si>
    <t>100027478</t>
  </si>
  <si>
    <t>100027479</t>
  </si>
  <si>
    <t>100027480</t>
  </si>
  <si>
    <t>100027481</t>
  </si>
  <si>
    <t>100027482</t>
  </si>
  <si>
    <t>100027483</t>
  </si>
  <si>
    <t>100027484</t>
  </si>
  <si>
    <t>100027485</t>
  </si>
  <si>
    <t>100027486</t>
  </si>
  <si>
    <t>100027487</t>
  </si>
  <si>
    <t>100027488</t>
  </si>
  <si>
    <t>100027489</t>
  </si>
  <si>
    <t>100027490</t>
  </si>
  <si>
    <t>100027491</t>
  </si>
  <si>
    <t>100027492</t>
  </si>
  <si>
    <t>100027493</t>
  </si>
  <si>
    <t>100027494</t>
  </si>
  <si>
    <t>100027495</t>
  </si>
  <si>
    <t>100027496</t>
  </si>
  <si>
    <t>100027497</t>
  </si>
  <si>
    <t>100027498</t>
  </si>
  <si>
    <t>100027501</t>
  </si>
  <si>
    <t>100027502</t>
  </si>
  <si>
    <t>100027503</t>
  </si>
  <si>
    <t>100027504</t>
  </si>
  <si>
    <t>100027505</t>
  </si>
  <si>
    <t>100027506</t>
  </si>
  <si>
    <t>100027507</t>
  </si>
  <si>
    <t>100027508</t>
  </si>
  <si>
    <t>100027509</t>
  </si>
  <si>
    <t>100027510</t>
  </si>
  <si>
    <t>100027511</t>
  </si>
  <si>
    <t>100027512</t>
  </si>
  <si>
    <t>100027513</t>
  </si>
  <si>
    <t>100027514</t>
  </si>
  <si>
    <t>100027517</t>
  </si>
  <si>
    <t>100027518</t>
  </si>
  <si>
    <t>100027519</t>
  </si>
  <si>
    <t>9100000442</t>
  </si>
  <si>
    <t>7119012101</t>
  </si>
  <si>
    <t>20120920</t>
  </si>
  <si>
    <t>9100000456</t>
  </si>
  <si>
    <t>374965</t>
  </si>
  <si>
    <t>20121002</t>
  </si>
  <si>
    <t>9100000462</t>
  </si>
  <si>
    <t>10307093</t>
  </si>
  <si>
    <t>20120927</t>
  </si>
  <si>
    <t>9100000507</t>
  </si>
  <si>
    <t>1855262</t>
  </si>
  <si>
    <t>20121005</t>
  </si>
  <si>
    <t>9100000506</t>
  </si>
  <si>
    <t>761211</t>
  </si>
  <si>
    <t>20121012</t>
  </si>
  <si>
    <t>9100000526</t>
  </si>
  <si>
    <t>2521657910</t>
  </si>
  <si>
    <t>100036835</t>
  </si>
  <si>
    <t>Current Month Amortization</t>
  </si>
  <si>
    <t>100036781</t>
  </si>
  <si>
    <t>100036782</t>
  </si>
  <si>
    <t>100036783</t>
  </si>
  <si>
    <t>100036784</t>
  </si>
  <si>
    <t>100036785</t>
  </si>
  <si>
    <t>100036786</t>
  </si>
  <si>
    <t>100036787</t>
  </si>
  <si>
    <t>100036788</t>
  </si>
  <si>
    <t>100036789</t>
  </si>
  <si>
    <t>100036790</t>
  </si>
  <si>
    <t>100036791</t>
  </si>
  <si>
    <t>100036792</t>
  </si>
  <si>
    <t>100036793</t>
  </si>
  <si>
    <t>100036794</t>
  </si>
  <si>
    <t>100036795</t>
  </si>
  <si>
    <t>100036796</t>
  </si>
  <si>
    <t>100036797</t>
  </si>
  <si>
    <t>100036836</t>
  </si>
  <si>
    <t>100036837</t>
  </si>
  <si>
    <t>9100000589</t>
  </si>
  <si>
    <t>89800-18</t>
  </si>
  <si>
    <t>Voucher Reclass</t>
  </si>
  <si>
    <t>9100000585</t>
  </si>
  <si>
    <t>20121106</t>
  </si>
  <si>
    <t>9100000588</t>
  </si>
  <si>
    <t>Conversion Correction</t>
  </si>
  <si>
    <t>100037869</t>
  </si>
  <si>
    <t>40545 PD0008</t>
  </si>
  <si>
    <t>$60.685M Unamortized Loss Due 2013 (ST)</t>
  </si>
  <si>
    <t>100037890</t>
  </si>
  <si>
    <t>40550 PD0008</t>
  </si>
  <si>
    <t>$60.6855M Bond Premium Due 2013 (ST)</t>
  </si>
  <si>
    <t>100036798</t>
  </si>
  <si>
    <t>100036799</t>
  </si>
  <si>
    <t>100036800</t>
  </si>
  <si>
    <t>100036801</t>
  </si>
  <si>
    <t>100036804</t>
  </si>
  <si>
    <t>100036805</t>
  </si>
  <si>
    <t>100036806</t>
  </si>
  <si>
    <t>100036807</t>
  </si>
  <si>
    <t>100036808</t>
  </si>
  <si>
    <t>100036809</t>
  </si>
  <si>
    <t>100036810</t>
  </si>
  <si>
    <t>100036811</t>
  </si>
  <si>
    <t>100036812</t>
  </si>
  <si>
    <t>100036813</t>
  </si>
  <si>
    <t>100036814</t>
  </si>
  <si>
    <t>100036815</t>
  </si>
  <si>
    <t>100036816</t>
  </si>
  <si>
    <t>100036817</t>
  </si>
  <si>
    <t>100036820</t>
  </si>
  <si>
    <t>100036821</t>
  </si>
  <si>
    <t>100036822</t>
  </si>
  <si>
    <t>100036838</t>
  </si>
  <si>
    <t>100036839</t>
  </si>
  <si>
    <t>100036840</t>
  </si>
  <si>
    <t>100036841</t>
  </si>
  <si>
    <t>100036843</t>
  </si>
  <si>
    <t>100036844</t>
  </si>
  <si>
    <t>100036845</t>
  </si>
  <si>
    <t>100036846</t>
  </si>
  <si>
    <t>100036847</t>
  </si>
  <si>
    <t>100036848</t>
  </si>
  <si>
    <t>100036849</t>
  </si>
  <si>
    <t>100036850</t>
  </si>
  <si>
    <t>100036851</t>
  </si>
  <si>
    <t>100036852</t>
  </si>
  <si>
    <t>100036853</t>
  </si>
  <si>
    <t>100036854</t>
  </si>
  <si>
    <t>100036855</t>
  </si>
  <si>
    <t>100036856</t>
  </si>
  <si>
    <t>100036859</t>
  </si>
  <si>
    <t>100036860</t>
  </si>
  <si>
    <t>100036861</t>
  </si>
  <si>
    <t>100037870</t>
  </si>
  <si>
    <t>40545 PD0011</t>
  </si>
  <si>
    <t>$86.4M Unamortized Loss Due 2023 (LT)</t>
  </si>
  <si>
    <t>100037871</t>
  </si>
  <si>
    <t>$54.2M Unamortized Loss Due 2018 (LT)</t>
  </si>
  <si>
    <t>100037872</t>
  </si>
  <si>
    <t>$51.6M Unamortized Loss Due 2025 (LT)</t>
  </si>
  <si>
    <t>100037873</t>
  </si>
  <si>
    <t>$20M Unamortized Loss Due 2020 (LT)</t>
  </si>
  <si>
    <t>100037874</t>
  </si>
  <si>
    <t>$75M Unamortized Loss Due 2022 (LT)</t>
  </si>
  <si>
    <t>100037875</t>
  </si>
  <si>
    <t>$75M Call Premium Due 2022 (LT)</t>
  </si>
  <si>
    <t>100037876</t>
  </si>
  <si>
    <t>$75M Bond Discount Due 2022 (LT)</t>
  </si>
  <si>
    <t>100037877</t>
  </si>
  <si>
    <t>$80M Unamortized Loss Due 2022 (LT)</t>
  </si>
  <si>
    <t>100037878</t>
  </si>
  <si>
    <t>$80M Call Premium Due 2022 (LT)</t>
  </si>
  <si>
    <t>100037879</t>
  </si>
  <si>
    <t>$20M Unamortized Loss Due 2022 (LT)</t>
  </si>
  <si>
    <t>100037880</t>
  </si>
  <si>
    <t>$20M Call Premium Due 2022 (LT)</t>
  </si>
  <si>
    <t>100037881</t>
  </si>
  <si>
    <t>$3.125M Unamortized Loss Due 2021 (LT)</t>
  </si>
  <si>
    <t>100037882</t>
  </si>
  <si>
    <t>$3.125M Call Premium Due 2021 (LT)</t>
  </si>
  <si>
    <t>100037883</t>
  </si>
  <si>
    <t>$21.875M Unamortized Loss Due 2021 (LT)</t>
  </si>
  <si>
    <t>100037884</t>
  </si>
  <si>
    <t>$21.875M Call Premium Due 2021 (LT)</t>
  </si>
  <si>
    <t>100037885</t>
  </si>
  <si>
    <t>$75M Unamortized Loss Due 2030 (LT)</t>
  </si>
  <si>
    <t>100037886</t>
  </si>
  <si>
    <t>$85.95M Unamortized Loss Due 2034 (LT)</t>
  </si>
  <si>
    <t>100037887</t>
  </si>
  <si>
    <t>$85.95M Call Premium Due 2034 (LT)</t>
  </si>
  <si>
    <t>100037888</t>
  </si>
  <si>
    <t>$82M Unamortized Loss Due 2014 (LT)</t>
  </si>
  <si>
    <t>100037889</t>
  </si>
  <si>
    <t>$85.95M Arbitrage Loss Due 2014 (LT)</t>
  </si>
  <si>
    <t>100037891</t>
  </si>
  <si>
    <t>40543 PD0011</t>
  </si>
  <si>
    <t>$86.4M Bond Discount Due 2023 (LT)</t>
  </si>
  <si>
    <t>100037893</t>
  </si>
  <si>
    <t>$75M Call Premium Due 2030 (LT)</t>
  </si>
  <si>
    <t>100037894</t>
  </si>
  <si>
    <t>$85.95M Unamortized Loss Due 2014 (LT)</t>
  </si>
  <si>
    <t>100044296</t>
  </si>
  <si>
    <t>100044318</t>
  </si>
  <si>
    <t>100044319</t>
  </si>
  <si>
    <t>100044320</t>
  </si>
  <si>
    <t>100044321</t>
  </si>
  <si>
    <t>100044322</t>
  </si>
  <si>
    <t>100044323</t>
  </si>
  <si>
    <t>100044324</t>
  </si>
  <si>
    <t>100044325</t>
  </si>
  <si>
    <t>100044326</t>
  </si>
  <si>
    <t>100044327</t>
  </si>
  <si>
    <t>100044328</t>
  </si>
  <si>
    <t>100044329</t>
  </si>
  <si>
    <t>100044330</t>
  </si>
  <si>
    <t>100044331</t>
  </si>
  <si>
    <t>100044332</t>
  </si>
  <si>
    <t>100044358</t>
  </si>
  <si>
    <t>100044363</t>
  </si>
  <si>
    <t>100044338</t>
  </si>
  <si>
    <t>100044339</t>
  </si>
  <si>
    <t>100044340</t>
  </si>
  <si>
    <t>100044341</t>
  </si>
  <si>
    <t>100044342</t>
  </si>
  <si>
    <t>100044343</t>
  </si>
  <si>
    <t>100044344</t>
  </si>
  <si>
    <t>100044345</t>
  </si>
  <si>
    <t>100044346</t>
  </si>
  <si>
    <t>100044347</t>
  </si>
  <si>
    <t>100044348</t>
  </si>
  <si>
    <t>100044349</t>
  </si>
  <si>
    <t>100044350</t>
  </si>
  <si>
    <t>100044351</t>
  </si>
  <si>
    <t>100044352</t>
  </si>
  <si>
    <t>100044353</t>
  </si>
  <si>
    <t>100044354</t>
  </si>
  <si>
    <t>100044355</t>
  </si>
  <si>
    <t>100044356</t>
  </si>
  <si>
    <t>100044357</t>
  </si>
  <si>
    <t>100044359</t>
  </si>
  <si>
    <t>100044361</t>
  </si>
  <si>
    <t>100044362</t>
  </si>
  <si>
    <t>9100000793</t>
  </si>
  <si>
    <t>1032259114-9</t>
  </si>
  <si>
    <t>20121022</t>
  </si>
  <si>
    <t>9100000775</t>
  </si>
  <si>
    <t>1842630</t>
  </si>
  <si>
    <t>20120829</t>
  </si>
  <si>
    <t>9100000773</t>
  </si>
  <si>
    <t>1850609</t>
  </si>
  <si>
    <t>20120917</t>
  </si>
  <si>
    <t>9100000772</t>
  </si>
  <si>
    <t>1868362</t>
  </si>
  <si>
    <t>20121119</t>
  </si>
  <si>
    <t>9100000774</t>
  </si>
  <si>
    <t>1871860</t>
  </si>
  <si>
    <t>20121206</t>
  </si>
  <si>
    <t>100051583</t>
  </si>
  <si>
    <t>100051631</t>
  </si>
  <si>
    <t>100051632</t>
  </si>
  <si>
    <t>100051633</t>
  </si>
  <si>
    <t>100051634</t>
  </si>
  <si>
    <t>100051635</t>
  </si>
  <si>
    <t>100051636</t>
  </si>
  <si>
    <t>100051637</t>
  </si>
  <si>
    <t>100051638</t>
  </si>
  <si>
    <t>100051639</t>
  </si>
  <si>
    <t>100051640</t>
  </si>
  <si>
    <t>100051641</t>
  </si>
  <si>
    <t>100051642</t>
  </si>
  <si>
    <t>100051643</t>
  </si>
  <si>
    <t>100051644</t>
  </si>
  <si>
    <t>100051645</t>
  </si>
  <si>
    <t>100051671</t>
  </si>
  <si>
    <t>100051676</t>
  </si>
  <si>
    <t>100051651</t>
  </si>
  <si>
    <t>100051652</t>
  </si>
  <si>
    <t>100051653</t>
  </si>
  <si>
    <t>100051654</t>
  </si>
  <si>
    <t>100051655</t>
  </si>
  <si>
    <t>100051656</t>
  </si>
  <si>
    <t>100051657</t>
  </si>
  <si>
    <t>100051658</t>
  </si>
  <si>
    <t>100051659</t>
  </si>
  <si>
    <t>100051660</t>
  </si>
  <si>
    <t>100051661</t>
  </si>
  <si>
    <t>100051662</t>
  </si>
  <si>
    <t>100051663</t>
  </si>
  <si>
    <t>100051664</t>
  </si>
  <si>
    <t>100051665</t>
  </si>
  <si>
    <t>100051666</t>
  </si>
  <si>
    <t>100051667</t>
  </si>
  <si>
    <t>100051668</t>
  </si>
  <si>
    <t>100051669</t>
  </si>
  <si>
    <t>100051670</t>
  </si>
  <si>
    <t>100051672</t>
  </si>
  <si>
    <t>100051674</t>
  </si>
  <si>
    <t>100051675</t>
  </si>
  <si>
    <t>1810200 Total</t>
  </si>
  <si>
    <t>1890100 Total</t>
  </si>
  <si>
    <t>1890200 Total</t>
  </si>
  <si>
    <t>5.40% Due 2021 (a)</t>
  </si>
  <si>
    <t>(a) Part of the 2010 Debt Exchange. Issue costs are amortized over original bond life.</t>
  </si>
  <si>
    <t>$85.95M Bonds (after Purchase in Lieu of Redemption)</t>
  </si>
  <si>
    <t>Page 1 of 3</t>
  </si>
  <si>
    <t>Supporting Schedules: D-4b</t>
  </si>
  <si>
    <t>Recap Schedules: D-1a</t>
  </si>
  <si>
    <t>Projected Test Year Ended 12/31/2021</t>
  </si>
  <si>
    <t>Projected Prior Year Ended 12/31/2020</t>
  </si>
  <si>
    <t>Historical Prior Year Ended 12/31/2019</t>
  </si>
  <si>
    <t>Witness: J. S. Chronister</t>
  </si>
  <si>
    <t>Amount</t>
  </si>
  <si>
    <t>600030982</t>
  </si>
  <si>
    <t>JPMN ACWI 14470</t>
  </si>
  <si>
    <t>0001336600001USD</t>
  </si>
  <si>
    <t>100007998</t>
  </si>
  <si>
    <t>20130101</t>
  </si>
  <si>
    <t>100008021</t>
  </si>
  <si>
    <t>20130131</t>
  </si>
  <si>
    <t>100008022</t>
  </si>
  <si>
    <t>100008023</t>
  </si>
  <si>
    <t>100008024</t>
  </si>
  <si>
    <t>100008025</t>
  </si>
  <si>
    <t>100008026</t>
  </si>
  <si>
    <t>100008027</t>
  </si>
  <si>
    <t>100008028</t>
  </si>
  <si>
    <t>100008029</t>
  </si>
  <si>
    <t>100008030</t>
  </si>
  <si>
    <t>100008031</t>
  </si>
  <si>
    <t>100008032</t>
  </si>
  <si>
    <t>100008033</t>
  </si>
  <si>
    <t>100008034</t>
  </si>
  <si>
    <t>100008035</t>
  </si>
  <si>
    <t>100010203</t>
  </si>
  <si>
    <t>89800-13</t>
  </si>
  <si>
    <t>20130201</t>
  </si>
  <si>
    <t>100010104</t>
  </si>
  <si>
    <t>20130228</t>
  </si>
  <si>
    <t>100010105</t>
  </si>
  <si>
    <t>100010106</t>
  </si>
  <si>
    <t>100010107</t>
  </si>
  <si>
    <t>100010108</t>
  </si>
  <si>
    <t>100010109</t>
  </si>
  <si>
    <t>100010110</t>
  </si>
  <si>
    <t>100010111</t>
  </si>
  <si>
    <t>100010112</t>
  </si>
  <si>
    <t>100010113</t>
  </si>
  <si>
    <t>100010114</t>
  </si>
  <si>
    <t>100010115</t>
  </si>
  <si>
    <t>100010116</t>
  </si>
  <si>
    <t>100010117</t>
  </si>
  <si>
    <t>100010118</t>
  </si>
  <si>
    <t>100010186</t>
  </si>
  <si>
    <t>40540 PD0025</t>
  </si>
  <si>
    <t>100010187</t>
  </si>
  <si>
    <t>40540 PD0026</t>
  </si>
  <si>
    <t>$225M Bonds Due 2022</t>
  </si>
  <si>
    <t>100022128</t>
  </si>
  <si>
    <t>20130331</t>
  </si>
  <si>
    <t>100022129</t>
  </si>
  <si>
    <t>100022130</t>
  </si>
  <si>
    <t>100022131</t>
  </si>
  <si>
    <t>100022132</t>
  </si>
  <si>
    <t>100022133</t>
  </si>
  <si>
    <t>100022134</t>
  </si>
  <si>
    <t>100022135</t>
  </si>
  <si>
    <t>100022136</t>
  </si>
  <si>
    <t>100022137</t>
  </si>
  <si>
    <t>100022138</t>
  </si>
  <si>
    <t>100022139</t>
  </si>
  <si>
    <t>100022140</t>
  </si>
  <si>
    <t>100022141</t>
  </si>
  <si>
    <t>100022142</t>
  </si>
  <si>
    <t>100022186</t>
  </si>
  <si>
    <t>100022187</t>
  </si>
  <si>
    <t>100030381</t>
  </si>
  <si>
    <t>20130401</t>
  </si>
  <si>
    <t>100030973</t>
  </si>
  <si>
    <t>20130430</t>
  </si>
  <si>
    <t>100030974</t>
  </si>
  <si>
    <t>100030975</t>
  </si>
  <si>
    <t>100030976</t>
  </si>
  <si>
    <t>100030977</t>
  </si>
  <si>
    <t>100030978</t>
  </si>
  <si>
    <t>100030979</t>
  </si>
  <si>
    <t>100030980</t>
  </si>
  <si>
    <t>100030981</t>
  </si>
  <si>
    <t>100030982</t>
  </si>
  <si>
    <t>100030983</t>
  </si>
  <si>
    <t>100030984</t>
  </si>
  <si>
    <t>100030985</t>
  </si>
  <si>
    <t>100030986</t>
  </si>
  <si>
    <t>100030987</t>
  </si>
  <si>
    <t>100031031</t>
  </si>
  <si>
    <t>100031032</t>
  </si>
  <si>
    <t>100039230</t>
  </si>
  <si>
    <t>20130531</t>
  </si>
  <si>
    <t>100039231</t>
  </si>
  <si>
    <t>100039232</t>
  </si>
  <si>
    <t>100039233</t>
  </si>
  <si>
    <t>100039234</t>
  </si>
  <si>
    <t>100039235</t>
  </si>
  <si>
    <t>100039236</t>
  </si>
  <si>
    <t>100039237</t>
  </si>
  <si>
    <t>100039238</t>
  </si>
  <si>
    <t>100039239</t>
  </si>
  <si>
    <t>100039240</t>
  </si>
  <si>
    <t>100039241</t>
  </si>
  <si>
    <t>100039242</t>
  </si>
  <si>
    <t>100039243</t>
  </si>
  <si>
    <t>100039244</t>
  </si>
  <si>
    <t>100039286</t>
  </si>
  <si>
    <t>100039287</t>
  </si>
  <si>
    <t>100048002</t>
  </si>
  <si>
    <t>89800-15</t>
  </si>
  <si>
    <t>20130601</t>
  </si>
  <si>
    <t>111-1557728</t>
  </si>
  <si>
    <t>20130626</t>
  </si>
  <si>
    <t>100047580</t>
  </si>
  <si>
    <t>20130630</t>
  </si>
  <si>
    <t>100047581</t>
  </si>
  <si>
    <t>100047582</t>
  </si>
  <si>
    <t>100047583</t>
  </si>
  <si>
    <t>100047584</t>
  </si>
  <si>
    <t>100047585</t>
  </si>
  <si>
    <t>100047586</t>
  </si>
  <si>
    <t>100047587</t>
  </si>
  <si>
    <t>100047588</t>
  </si>
  <si>
    <t>100047589</t>
  </si>
  <si>
    <t>100047590</t>
  </si>
  <si>
    <t>100047591</t>
  </si>
  <si>
    <t>100047592</t>
  </si>
  <si>
    <t>100047593</t>
  </si>
  <si>
    <t>100047594</t>
  </si>
  <si>
    <t>100047632</t>
  </si>
  <si>
    <t>100047633</t>
  </si>
  <si>
    <t>100057385</t>
  </si>
  <si>
    <t>Reclass Trustee Fees</t>
  </si>
  <si>
    <t>20130701</t>
  </si>
  <si>
    <t>1900011449</t>
  </si>
  <si>
    <t>111-1562883</t>
  </si>
  <si>
    <t>20130715</t>
  </si>
  <si>
    <t>100056912</t>
  </si>
  <si>
    <t>20130731</t>
  </si>
  <si>
    <t>100056913</t>
  </si>
  <si>
    <t>100056957</t>
  </si>
  <si>
    <t>100056958</t>
  </si>
  <si>
    <t>100056959</t>
  </si>
  <si>
    <t>100056960</t>
  </si>
  <si>
    <t>100056961</t>
  </si>
  <si>
    <t>100056962</t>
  </si>
  <si>
    <t>100056963</t>
  </si>
  <si>
    <t>100056964</t>
  </si>
  <si>
    <t>100056965</t>
  </si>
  <si>
    <t>100056966</t>
  </si>
  <si>
    <t>100056967</t>
  </si>
  <si>
    <t>100056968</t>
  </si>
  <si>
    <t>100056969</t>
  </si>
  <si>
    <t>100056970</t>
  </si>
  <si>
    <t>100057388</t>
  </si>
  <si>
    <t>100067580</t>
  </si>
  <si>
    <t>20130831</t>
  </si>
  <si>
    <t>100067581</t>
  </si>
  <si>
    <t>100067582</t>
  </si>
  <si>
    <t>100067583</t>
  </si>
  <si>
    <t>100067584</t>
  </si>
  <si>
    <t>100067585</t>
  </si>
  <si>
    <t>100067586</t>
  </si>
  <si>
    <t>100067587</t>
  </si>
  <si>
    <t>100067588</t>
  </si>
  <si>
    <t>100067589</t>
  </si>
  <si>
    <t>100067590</t>
  </si>
  <si>
    <t>100067591</t>
  </si>
  <si>
    <t>100067592</t>
  </si>
  <si>
    <t>100067593</t>
  </si>
  <si>
    <t>100067600</t>
  </si>
  <si>
    <t>FINAL MONTH AMORTIZATION</t>
  </si>
  <si>
    <t>100067630</t>
  </si>
  <si>
    <t>100067631</t>
  </si>
  <si>
    <t>9100001045</t>
  </si>
  <si>
    <t>2521730012</t>
  </si>
  <si>
    <t>20130905</t>
  </si>
  <si>
    <t>100074500</t>
  </si>
  <si>
    <t>20130930</t>
  </si>
  <si>
    <t>100074501</t>
  </si>
  <si>
    <t>100074502</t>
  </si>
  <si>
    <t>100074503</t>
  </si>
  <si>
    <t>100074504</t>
  </si>
  <si>
    <t>100074505</t>
  </si>
  <si>
    <t>100074506</t>
  </si>
  <si>
    <t>100074507</t>
  </si>
  <si>
    <t>100074508</t>
  </si>
  <si>
    <t>100074509</t>
  </si>
  <si>
    <t>100074510</t>
  </si>
  <si>
    <t>100074511</t>
  </si>
  <si>
    <t>100074512</t>
  </si>
  <si>
    <t>100074513</t>
  </si>
  <si>
    <t>100074547</t>
  </si>
  <si>
    <t>100074548</t>
  </si>
  <si>
    <t>100075329</t>
  </si>
  <si>
    <t>89800-24</t>
  </si>
  <si>
    <t>20131002</t>
  </si>
  <si>
    <t>100084178</t>
  </si>
  <si>
    <t>20131031</t>
  </si>
  <si>
    <t>100084179</t>
  </si>
  <si>
    <t>100084180</t>
  </si>
  <si>
    <t>100084181</t>
  </si>
  <si>
    <t>100084182</t>
  </si>
  <si>
    <t>100084183</t>
  </si>
  <si>
    <t>100084184</t>
  </si>
  <si>
    <t>100084185</t>
  </si>
  <si>
    <t>100084186</t>
  </si>
  <si>
    <t>100084187</t>
  </si>
  <si>
    <t>100084188</t>
  </si>
  <si>
    <t>100084189</t>
  </si>
  <si>
    <t>100084190</t>
  </si>
  <si>
    <t>100084191</t>
  </si>
  <si>
    <t>100084224</t>
  </si>
  <si>
    <t>100084225</t>
  </si>
  <si>
    <t>100084272</t>
  </si>
  <si>
    <t>20131105</t>
  </si>
  <si>
    <t>100090835</t>
  </si>
  <si>
    <t>20131130</t>
  </si>
  <si>
    <t>100090836</t>
  </si>
  <si>
    <t>100090837</t>
  </si>
  <si>
    <t>100090838</t>
  </si>
  <si>
    <t>100090839</t>
  </si>
  <si>
    <t>100090840</t>
  </si>
  <si>
    <t>100090841</t>
  </si>
  <si>
    <t>100090842</t>
  </si>
  <si>
    <t>100090843</t>
  </si>
  <si>
    <t>100090844</t>
  </si>
  <si>
    <t>100090845</t>
  </si>
  <si>
    <t>100090846</t>
  </si>
  <si>
    <t>100090847</t>
  </si>
  <si>
    <t>100090848</t>
  </si>
  <si>
    <t>100090878</t>
  </si>
  <si>
    <t>100090879</t>
  </si>
  <si>
    <t>100099892</t>
  </si>
  <si>
    <t>20131231</t>
  </si>
  <si>
    <t>100099893</t>
  </si>
  <si>
    <t>100099894</t>
  </si>
  <si>
    <t>100099895</t>
  </si>
  <si>
    <t>100099896</t>
  </si>
  <si>
    <t>100099897</t>
  </si>
  <si>
    <t>100099898</t>
  </si>
  <si>
    <t>100099899</t>
  </si>
  <si>
    <t>100099900</t>
  </si>
  <si>
    <t>100099901</t>
  </si>
  <si>
    <t>100099902</t>
  </si>
  <si>
    <t>100099903</t>
  </si>
  <si>
    <t>100099904</t>
  </si>
  <si>
    <t>100099905</t>
  </si>
  <si>
    <t>100099933</t>
  </si>
  <si>
    <t>100099934</t>
  </si>
  <si>
    <t>100099998</t>
  </si>
  <si>
    <t>89800-19</t>
  </si>
  <si>
    <t>20140103</t>
  </si>
  <si>
    <t>100008570</t>
  </si>
  <si>
    <t>20140131</t>
  </si>
  <si>
    <t>100008571</t>
  </si>
  <si>
    <t>100008572</t>
  </si>
  <si>
    <t>100008573</t>
  </si>
  <si>
    <t>100008574</t>
  </si>
  <si>
    <t>100008575</t>
  </si>
  <si>
    <t>100008576</t>
  </si>
  <si>
    <t>100008577</t>
  </si>
  <si>
    <t>100008578</t>
  </si>
  <si>
    <t>100008579</t>
  </si>
  <si>
    <t>100008580</t>
  </si>
  <si>
    <t>100008581</t>
  </si>
  <si>
    <t>100008582</t>
  </si>
  <si>
    <t>100008583</t>
  </si>
  <si>
    <t>100008607</t>
  </si>
  <si>
    <t>100008608</t>
  </si>
  <si>
    <t>100016108</t>
  </si>
  <si>
    <t>20140228</t>
  </si>
  <si>
    <t>100016109</t>
  </si>
  <si>
    <t>100016110</t>
  </si>
  <si>
    <t>100016111</t>
  </si>
  <si>
    <t>100016112</t>
  </si>
  <si>
    <t>100016113</t>
  </si>
  <si>
    <t>100016114</t>
  </si>
  <si>
    <t>100016115</t>
  </si>
  <si>
    <t>100016116</t>
  </si>
  <si>
    <t>100016117</t>
  </si>
  <si>
    <t>100016118</t>
  </si>
  <si>
    <t>100016119</t>
  </si>
  <si>
    <t>100016120</t>
  </si>
  <si>
    <t>100016121</t>
  </si>
  <si>
    <t>100016144</t>
  </si>
  <si>
    <t>100016145</t>
  </si>
  <si>
    <t>100023475</t>
  </si>
  <si>
    <t>20140331</t>
  </si>
  <si>
    <t>100023476</t>
  </si>
  <si>
    <t>100023477</t>
  </si>
  <si>
    <t>100023478</t>
  </si>
  <si>
    <t>100023479</t>
  </si>
  <si>
    <t>100023480</t>
  </si>
  <si>
    <t>100023481</t>
  </si>
  <si>
    <t>100023482</t>
  </si>
  <si>
    <t>100023483</t>
  </si>
  <si>
    <t>100023484</t>
  </si>
  <si>
    <t>100023485</t>
  </si>
  <si>
    <t>100023486</t>
  </si>
  <si>
    <t>100023487</t>
  </si>
  <si>
    <t>100023488</t>
  </si>
  <si>
    <t>100023511</t>
  </si>
  <si>
    <t>100023512</t>
  </si>
  <si>
    <t>100024155</t>
  </si>
  <si>
    <t>89800-14</t>
  </si>
  <si>
    <t>20140403</t>
  </si>
  <si>
    <t>100032801</t>
  </si>
  <si>
    <t>20140430</t>
  </si>
  <si>
    <t>100032802</t>
  </si>
  <si>
    <t>100032803</t>
  </si>
  <si>
    <t>100032804</t>
  </si>
  <si>
    <t>100032805</t>
  </si>
  <si>
    <t>100032806</t>
  </si>
  <si>
    <t>100032807</t>
  </si>
  <si>
    <t>100032808</t>
  </si>
  <si>
    <t>100032809</t>
  </si>
  <si>
    <t>100032810</t>
  </si>
  <si>
    <t>100032811</t>
  </si>
  <si>
    <t>100032812</t>
  </si>
  <si>
    <t>100032813</t>
  </si>
  <si>
    <t>100032814</t>
  </si>
  <si>
    <t>100032836</t>
  </si>
  <si>
    <t>100032837</t>
  </si>
  <si>
    <t>9100000636</t>
  </si>
  <si>
    <t>SEC FILING 0514</t>
  </si>
  <si>
    <t>20140512</t>
  </si>
  <si>
    <t>9100000633</t>
  </si>
  <si>
    <t>7119021927</t>
  </si>
  <si>
    <t>20140513</t>
  </si>
  <si>
    <t>9100000688</t>
  </si>
  <si>
    <t>1998245</t>
  </si>
  <si>
    <t>9100000698</t>
  </si>
  <si>
    <t>10327230230</t>
  </si>
  <si>
    <t>20140519</t>
  </si>
  <si>
    <t>9100000632</t>
  </si>
  <si>
    <t>389753</t>
  </si>
  <si>
    <t>20140520</t>
  </si>
  <si>
    <t>9100000634</t>
  </si>
  <si>
    <t>NOTES DUES 2044</t>
  </si>
  <si>
    <t>9100000896</t>
  </si>
  <si>
    <t>1272352100</t>
  </si>
  <si>
    <t>20140530</t>
  </si>
  <si>
    <t>100041405</t>
  </si>
  <si>
    <t>20140531</t>
  </si>
  <si>
    <t>100041406</t>
  </si>
  <si>
    <t>100041407</t>
  </si>
  <si>
    <t>100041408</t>
  </si>
  <si>
    <t>100041409</t>
  </si>
  <si>
    <t>100041410</t>
  </si>
  <si>
    <t>100041411</t>
  </si>
  <si>
    <t>100041412</t>
  </si>
  <si>
    <t>100041413</t>
  </si>
  <si>
    <t>100041414</t>
  </si>
  <si>
    <t>100041415</t>
  </si>
  <si>
    <t>100041416</t>
  </si>
  <si>
    <t>100041417</t>
  </si>
  <si>
    <t>100041418</t>
  </si>
  <si>
    <t>100041440</t>
  </si>
  <si>
    <t>100041441</t>
  </si>
  <si>
    <t>100041496</t>
  </si>
  <si>
    <t>89800-28</t>
  </si>
  <si>
    <t>20140604</t>
  </si>
  <si>
    <t>9100000924</t>
  </si>
  <si>
    <t>2008595</t>
  </si>
  <si>
    <t>20140624</t>
  </si>
  <si>
    <t>100048842</t>
  </si>
  <si>
    <t>20140630</t>
  </si>
  <si>
    <t>100048843</t>
  </si>
  <si>
    <t>100048844</t>
  </si>
  <si>
    <t>100048845</t>
  </si>
  <si>
    <t>100048846</t>
  </si>
  <si>
    <t>100048847</t>
  </si>
  <si>
    <t>100048848</t>
  </si>
  <si>
    <t>100048849</t>
  </si>
  <si>
    <t>100048850</t>
  </si>
  <si>
    <t>100048851</t>
  </si>
  <si>
    <t>100048852</t>
  </si>
  <si>
    <t>100048853</t>
  </si>
  <si>
    <t>100048854</t>
  </si>
  <si>
    <t>100048855</t>
  </si>
  <si>
    <t>100048877</t>
  </si>
  <si>
    <t>100048878</t>
  </si>
  <si>
    <t>100048834</t>
  </si>
  <si>
    <t>20140701</t>
  </si>
  <si>
    <t>100049332</t>
  </si>
  <si>
    <t>20140702</t>
  </si>
  <si>
    <t>9100001123</t>
  </si>
  <si>
    <t>US14015343</t>
  </si>
  <si>
    <t>20140729</t>
  </si>
  <si>
    <t>100058330</t>
  </si>
  <si>
    <t>20140731</t>
  </si>
  <si>
    <t>100058331</t>
  </si>
  <si>
    <t>100058332</t>
  </si>
  <si>
    <t>100058333</t>
  </si>
  <si>
    <t>100058334</t>
  </si>
  <si>
    <t>100058335</t>
  </si>
  <si>
    <t>100058336</t>
  </si>
  <si>
    <t>100058337</t>
  </si>
  <si>
    <t>100058338</t>
  </si>
  <si>
    <t>100058339</t>
  </si>
  <si>
    <t>100058340</t>
  </si>
  <si>
    <t>100058341</t>
  </si>
  <si>
    <t>100058342</t>
  </si>
  <si>
    <t>100058343</t>
  </si>
  <si>
    <t>100058365</t>
  </si>
  <si>
    <t>RECURRING ENTRY ENDS 04/42,FV50 NEEDED 05/42</t>
  </si>
  <si>
    <t>100058366</t>
  </si>
  <si>
    <t>100058417</t>
  </si>
  <si>
    <t>9100001091</t>
  </si>
  <si>
    <t>1111613501</t>
  </si>
  <si>
    <t>20140811</t>
  </si>
  <si>
    <t>100068389</t>
  </si>
  <si>
    <t>20140831</t>
  </si>
  <si>
    <t>100068390</t>
  </si>
  <si>
    <t>100068391</t>
  </si>
  <si>
    <t>100068392</t>
  </si>
  <si>
    <t>100068393</t>
  </si>
  <si>
    <t>100068394</t>
  </si>
  <si>
    <t>100068395</t>
  </si>
  <si>
    <t>100068396</t>
  </si>
  <si>
    <t>100068397</t>
  </si>
  <si>
    <t>100068398</t>
  </si>
  <si>
    <t>100068399</t>
  </si>
  <si>
    <t>100068400</t>
  </si>
  <si>
    <t>100068401</t>
  </si>
  <si>
    <t>100068402</t>
  </si>
  <si>
    <t>100068424</t>
  </si>
  <si>
    <t>100068425</t>
  </si>
  <si>
    <t>9100001219</t>
  </si>
  <si>
    <t>252-1811172</t>
  </si>
  <si>
    <t>20140901</t>
  </si>
  <si>
    <t>100067343</t>
  </si>
  <si>
    <t>20140903</t>
  </si>
  <si>
    <t>9100001212</t>
  </si>
  <si>
    <t>10353675</t>
  </si>
  <si>
    <t>100076029</t>
  </si>
  <si>
    <t>20140930</t>
  </si>
  <si>
    <t>100076030</t>
  </si>
  <si>
    <t>100076031</t>
  </si>
  <si>
    <t>100076032</t>
  </si>
  <si>
    <t>100076033</t>
  </si>
  <si>
    <t>100076034</t>
  </si>
  <si>
    <t>100076035</t>
  </si>
  <si>
    <t>100076036</t>
  </si>
  <si>
    <t>100076037</t>
  </si>
  <si>
    <t>100076038</t>
  </si>
  <si>
    <t>100076039</t>
  </si>
  <si>
    <t>100076040</t>
  </si>
  <si>
    <t>100076041</t>
  </si>
  <si>
    <t>100076042</t>
  </si>
  <si>
    <t>100076063</t>
  </si>
  <si>
    <t>100076064</t>
  </si>
  <si>
    <t>100076125</t>
  </si>
  <si>
    <t>20141002</t>
  </si>
  <si>
    <t>100076129</t>
  </si>
  <si>
    <t>Trustee Fee Exp</t>
  </si>
  <si>
    <t>9100001410</t>
  </si>
  <si>
    <t>878111</t>
  </si>
  <si>
    <t>20141006</t>
  </si>
  <si>
    <t>100085975</t>
  </si>
  <si>
    <t>20141031</t>
  </si>
  <si>
    <t>100085976</t>
  </si>
  <si>
    <t>100085977</t>
  </si>
  <si>
    <t>100085978</t>
  </si>
  <si>
    <t>100085979</t>
  </si>
  <si>
    <t>100085980</t>
  </si>
  <si>
    <t>100085981</t>
  </si>
  <si>
    <t>100085982</t>
  </si>
  <si>
    <t>100085983</t>
  </si>
  <si>
    <t>100085984</t>
  </si>
  <si>
    <t>100085985</t>
  </si>
  <si>
    <t>100085986</t>
  </si>
  <si>
    <t>100085987</t>
  </si>
  <si>
    <t>100085988</t>
  </si>
  <si>
    <t>100086008</t>
  </si>
  <si>
    <t>100086009</t>
  </si>
  <si>
    <t>100086373</t>
  </si>
  <si>
    <t>20141105</t>
  </si>
  <si>
    <t>100093429</t>
  </si>
  <si>
    <t>20141130</t>
  </si>
  <si>
    <t>100093430</t>
  </si>
  <si>
    <t>100093431</t>
  </si>
  <si>
    <t>100093432</t>
  </si>
  <si>
    <t>100093433</t>
  </si>
  <si>
    <t>100093434</t>
  </si>
  <si>
    <t>100093435</t>
  </si>
  <si>
    <t>100093436</t>
  </si>
  <si>
    <t>100093437</t>
  </si>
  <si>
    <t>100093438</t>
  </si>
  <si>
    <t>100093439</t>
  </si>
  <si>
    <t>100093440</t>
  </si>
  <si>
    <t>100093441</t>
  </si>
  <si>
    <t>100093442</t>
  </si>
  <si>
    <t>100093462</t>
  </si>
  <si>
    <t>100093463</t>
  </si>
  <si>
    <t>100093522</t>
  </si>
  <si>
    <t>40540_PD0027</t>
  </si>
  <si>
    <t>RECURRING ENTRY ENDS 03/44; FV50 NEEDED 04/44</t>
  </si>
  <si>
    <t>100102784</t>
  </si>
  <si>
    <t>20141231</t>
  </si>
  <si>
    <t>100102785</t>
  </si>
  <si>
    <t>100102786</t>
  </si>
  <si>
    <t>100102787</t>
  </si>
  <si>
    <t>100102788</t>
  </si>
  <si>
    <t>100102789</t>
  </si>
  <si>
    <t>100102790</t>
  </si>
  <si>
    <t>100102791</t>
  </si>
  <si>
    <t>100102792</t>
  </si>
  <si>
    <t>100102793</t>
  </si>
  <si>
    <t>100102794</t>
  </si>
  <si>
    <t>100102795</t>
  </si>
  <si>
    <t>100102796</t>
  </si>
  <si>
    <t>100102797</t>
  </si>
  <si>
    <t>100102817</t>
  </si>
  <si>
    <t>100102818</t>
  </si>
  <si>
    <t>100102871</t>
  </si>
  <si>
    <t>100007788</t>
  </si>
  <si>
    <t>20150131</t>
  </si>
  <si>
    <t>100007789</t>
  </si>
  <si>
    <t>100007790</t>
  </si>
  <si>
    <t>100007791</t>
  </si>
  <si>
    <t>100007792</t>
  </si>
  <si>
    <t>100007793</t>
  </si>
  <si>
    <t>100007794</t>
  </si>
  <si>
    <t>100007795</t>
  </si>
  <si>
    <t>100007796</t>
  </si>
  <si>
    <t>100007797</t>
  </si>
  <si>
    <t>100007798</t>
  </si>
  <si>
    <t>100007799</t>
  </si>
  <si>
    <t>100007800</t>
  </si>
  <si>
    <t>100007801</t>
  </si>
  <si>
    <t>100007821</t>
  </si>
  <si>
    <t>100007822</t>
  </si>
  <si>
    <t>100007867</t>
  </si>
  <si>
    <t>100015681</t>
  </si>
  <si>
    <t>20150228</t>
  </si>
  <si>
    <t>100015682</t>
  </si>
  <si>
    <t>100015683</t>
  </si>
  <si>
    <t>100015684</t>
  </si>
  <si>
    <t>100015685</t>
  </si>
  <si>
    <t>100015686</t>
  </si>
  <si>
    <t>100015687</t>
  </si>
  <si>
    <t>100015688</t>
  </si>
  <si>
    <t>100015689</t>
  </si>
  <si>
    <t>100015690</t>
  </si>
  <si>
    <t>100015691</t>
  </si>
  <si>
    <t>100015692</t>
  </si>
  <si>
    <t>100015693</t>
  </si>
  <si>
    <t>100015694</t>
  </si>
  <si>
    <t>100015714</t>
  </si>
  <si>
    <t>100015715</t>
  </si>
  <si>
    <t>100015760</t>
  </si>
  <si>
    <t>100024463</t>
  </si>
  <si>
    <t>20150331</t>
  </si>
  <si>
    <t>100024464</t>
  </si>
  <si>
    <t>100024465</t>
  </si>
  <si>
    <t>100024466</t>
  </si>
  <si>
    <t>100024467</t>
  </si>
  <si>
    <t>100024468</t>
  </si>
  <si>
    <t>100024469</t>
  </si>
  <si>
    <t>100024470</t>
  </si>
  <si>
    <t>100024471</t>
  </si>
  <si>
    <t>100024472</t>
  </si>
  <si>
    <t>100024473</t>
  </si>
  <si>
    <t>100024474</t>
  </si>
  <si>
    <t>100024475</t>
  </si>
  <si>
    <t>100024476</t>
  </si>
  <si>
    <t>100024496</t>
  </si>
  <si>
    <t>100024497</t>
  </si>
  <si>
    <t>100024541</t>
  </si>
  <si>
    <t>100033400</t>
  </si>
  <si>
    <t>20150430</t>
  </si>
  <si>
    <t>100033401</t>
  </si>
  <si>
    <t>100033402</t>
  </si>
  <si>
    <t>100033403</t>
  </si>
  <si>
    <t>100033404</t>
  </si>
  <si>
    <t>100033405</t>
  </si>
  <si>
    <t>100033406</t>
  </si>
  <si>
    <t>100033407</t>
  </si>
  <si>
    <t>100033408</t>
  </si>
  <si>
    <t>100033409</t>
  </si>
  <si>
    <t>100033410</t>
  </si>
  <si>
    <t>100033411</t>
  </si>
  <si>
    <t>100033412</t>
  </si>
  <si>
    <t>100033413</t>
  </si>
  <si>
    <t>100033433</t>
  </si>
  <si>
    <t>100033434</t>
  </si>
  <si>
    <t>100033477</t>
  </si>
  <si>
    <t>9100000871</t>
  </si>
  <si>
    <t>SEC FILING FEE</t>
  </si>
  <si>
    <t>20150518</t>
  </si>
  <si>
    <t>9100000877</t>
  </si>
  <si>
    <t>396564</t>
  </si>
  <si>
    <t>20150521</t>
  </si>
  <si>
    <t>9100000907</t>
  </si>
  <si>
    <t>1033033278-3</t>
  </si>
  <si>
    <t>9100001168</t>
  </si>
  <si>
    <t>1292789900</t>
  </si>
  <si>
    <t>9100000878</t>
  </si>
  <si>
    <t>10370654</t>
  </si>
  <si>
    <t>20150522</t>
  </si>
  <si>
    <t>9100000952</t>
  </si>
  <si>
    <t>7119028084</t>
  </si>
  <si>
    <t>9100000872</t>
  </si>
  <si>
    <t>NOTE DUE 2045</t>
  </si>
  <si>
    <t>20150527</t>
  </si>
  <si>
    <t>9100001167</t>
  </si>
  <si>
    <t>1292272200</t>
  </si>
  <si>
    <t>20150529</t>
  </si>
  <si>
    <t>100041648</t>
  </si>
  <si>
    <t>20150531</t>
  </si>
  <si>
    <t>100041649</t>
  </si>
  <si>
    <t>100041650</t>
  </si>
  <si>
    <t>100041651</t>
  </si>
  <si>
    <t>100041652</t>
  </si>
  <si>
    <t>100041653</t>
  </si>
  <si>
    <t>100041654</t>
  </si>
  <si>
    <t>100041655</t>
  </si>
  <si>
    <t>100041656</t>
  </si>
  <si>
    <t>100041657</t>
  </si>
  <si>
    <t>100041658</t>
  </si>
  <si>
    <t>100041659</t>
  </si>
  <si>
    <t>100041660</t>
  </si>
  <si>
    <t>100041661</t>
  </si>
  <si>
    <t>100041681</t>
  </si>
  <si>
    <t>100041682</t>
  </si>
  <si>
    <t>100041724</t>
  </si>
  <si>
    <t>9100000905</t>
  </si>
  <si>
    <t>89801-8</t>
  </si>
  <si>
    <t>20150602</t>
  </si>
  <si>
    <t>9100001062</t>
  </si>
  <si>
    <t>2068839</t>
  </si>
  <si>
    <t>20150603</t>
  </si>
  <si>
    <t>9100001020</t>
  </si>
  <si>
    <t>111-1654607</t>
  </si>
  <si>
    <t>20150608</t>
  </si>
  <si>
    <t>100047082</t>
  </si>
  <si>
    <t>20150630</t>
  </si>
  <si>
    <t>100047083</t>
  </si>
  <si>
    <t>100047084</t>
  </si>
  <si>
    <t>100047085</t>
  </si>
  <si>
    <t>100047086</t>
  </si>
  <si>
    <t>100047087</t>
  </si>
  <si>
    <t>100047088</t>
  </si>
  <si>
    <t>100047089</t>
  </si>
  <si>
    <t>100047090</t>
  </si>
  <si>
    <t>100047091</t>
  </si>
  <si>
    <t>100047092</t>
  </si>
  <si>
    <t>100047093</t>
  </si>
  <si>
    <t>100047094</t>
  </si>
  <si>
    <t>100047095</t>
  </si>
  <si>
    <t>100047115</t>
  </si>
  <si>
    <t>100047116</t>
  </si>
  <si>
    <t>100047157</t>
  </si>
  <si>
    <t>9100001127</t>
  </si>
  <si>
    <t>89801-5</t>
  </si>
  <si>
    <t>$230M Bond due 2045</t>
  </si>
  <si>
    <t>20150702</t>
  </si>
  <si>
    <t>9100001281</t>
  </si>
  <si>
    <t>2073431</t>
  </si>
  <si>
    <t>20150708</t>
  </si>
  <si>
    <t>9100001524</t>
  </si>
  <si>
    <t>M1941527-000</t>
  </si>
  <si>
    <t>20150715</t>
  </si>
  <si>
    <t>100061992</t>
  </si>
  <si>
    <t>20150731</t>
  </si>
  <si>
    <t>100061993</t>
  </si>
  <si>
    <t>100061994</t>
  </si>
  <si>
    <t>100061995</t>
  </si>
  <si>
    <t>100061996</t>
  </si>
  <si>
    <t>100061997</t>
  </si>
  <si>
    <t>100061998</t>
  </si>
  <si>
    <t>100061999</t>
  </si>
  <si>
    <t>100062000</t>
  </si>
  <si>
    <t>100062001</t>
  </si>
  <si>
    <t>100062002</t>
  </si>
  <si>
    <t>100062003</t>
  </si>
  <si>
    <t>100062004</t>
  </si>
  <si>
    <t>100062005</t>
  </si>
  <si>
    <t>100062025</t>
  </si>
  <si>
    <t>100062026</t>
  </si>
  <si>
    <t>100062057</t>
  </si>
  <si>
    <t>9100001329</t>
  </si>
  <si>
    <t>89801-1</t>
  </si>
  <si>
    <t>20150804</t>
  </si>
  <si>
    <t>100070942</t>
  </si>
  <si>
    <t>20150831</t>
  </si>
  <si>
    <t>100070943</t>
  </si>
  <si>
    <t>100070944</t>
  </si>
  <si>
    <t>100070945</t>
  </si>
  <si>
    <t>100070946</t>
  </si>
  <si>
    <t>100070947</t>
  </si>
  <si>
    <t>100070948</t>
  </si>
  <si>
    <t>100070949</t>
  </si>
  <si>
    <t>100070950</t>
  </si>
  <si>
    <t>100070951</t>
  </si>
  <si>
    <t>100070952</t>
  </si>
  <si>
    <t>100070953</t>
  </si>
  <si>
    <t>100070954</t>
  </si>
  <si>
    <t>100070955</t>
  </si>
  <si>
    <t>100070974</t>
  </si>
  <si>
    <t>100070975</t>
  </si>
  <si>
    <t>100071006</t>
  </si>
  <si>
    <t>9100001501</t>
  </si>
  <si>
    <t>89801-4</t>
  </si>
  <si>
    <t>20150901</t>
  </si>
  <si>
    <t>9100001539</t>
  </si>
  <si>
    <t>111-1663607</t>
  </si>
  <si>
    <t>100080754</t>
  </si>
  <si>
    <t>20150930</t>
  </si>
  <si>
    <t>100080755</t>
  </si>
  <si>
    <t>100080756</t>
  </si>
  <si>
    <t>100080757</t>
  </si>
  <si>
    <t>100080758</t>
  </si>
  <si>
    <t>100080759</t>
  </si>
  <si>
    <t>100080760</t>
  </si>
  <si>
    <t>100080761</t>
  </si>
  <si>
    <t>100080762</t>
  </si>
  <si>
    <t>100080763</t>
  </si>
  <si>
    <t>100080764</t>
  </si>
  <si>
    <t>100080765</t>
  </si>
  <si>
    <t>100080766</t>
  </si>
  <si>
    <t>100080767</t>
  </si>
  <si>
    <t>100080786</t>
  </si>
  <si>
    <t>100080787</t>
  </si>
  <si>
    <t>100080818</t>
  </si>
  <si>
    <t>9100001726</t>
  </si>
  <si>
    <t>89801-6</t>
  </si>
  <si>
    <t>20151002</t>
  </si>
  <si>
    <t>9100001727</t>
  </si>
  <si>
    <t>89801-7</t>
  </si>
  <si>
    <t>Reclass PD26 fee to expense</t>
  </si>
  <si>
    <t>100092383</t>
  </si>
  <si>
    <t>20151031</t>
  </si>
  <si>
    <t>100092384</t>
  </si>
  <si>
    <t>100092385</t>
  </si>
  <si>
    <t>100092386</t>
  </si>
  <si>
    <t>100092387</t>
  </si>
  <si>
    <t>100092388</t>
  </si>
  <si>
    <t>100092389</t>
  </si>
  <si>
    <t>100092390</t>
  </si>
  <si>
    <t>100092391</t>
  </si>
  <si>
    <t>100092392</t>
  </si>
  <si>
    <t>100092393</t>
  </si>
  <si>
    <t>100092394</t>
  </si>
  <si>
    <t>100092395</t>
  </si>
  <si>
    <t>100092396</t>
  </si>
  <si>
    <t>100092414</t>
  </si>
  <si>
    <t>100092415</t>
  </si>
  <si>
    <t>100092446</t>
  </si>
  <si>
    <t>9100001900</t>
  </si>
  <si>
    <t>20151103</t>
  </si>
  <si>
    <t>9100002144</t>
  </si>
  <si>
    <t>1178901</t>
  </si>
  <si>
    <t>20151111</t>
  </si>
  <si>
    <t>100102206</t>
  </si>
  <si>
    <t>20151130</t>
  </si>
  <si>
    <t>100102207</t>
  </si>
  <si>
    <t>100102208</t>
  </si>
  <si>
    <t>100102209</t>
  </si>
  <si>
    <t>100102210</t>
  </si>
  <si>
    <t>100102211</t>
  </si>
  <si>
    <t>100102212</t>
  </si>
  <si>
    <t>100102213</t>
  </si>
  <si>
    <t>100102214</t>
  </si>
  <si>
    <t>100102215</t>
  </si>
  <si>
    <t>100102216</t>
  </si>
  <si>
    <t>100102217</t>
  </si>
  <si>
    <t>100102218</t>
  </si>
  <si>
    <t>100102219</t>
  </si>
  <si>
    <t>100102237</t>
  </si>
  <si>
    <t>100102238</t>
  </si>
  <si>
    <t>100102269</t>
  </si>
  <si>
    <t>9100002096</t>
  </si>
  <si>
    <t>89801-3</t>
  </si>
  <si>
    <t>20151202</t>
  </si>
  <si>
    <t>100114755</t>
  </si>
  <si>
    <t>20151231</t>
  </si>
  <si>
    <t>100114756</t>
  </si>
  <si>
    <t>100114757</t>
  </si>
  <si>
    <t>100114758</t>
  </si>
  <si>
    <t>100114759</t>
  </si>
  <si>
    <t>100114760</t>
  </si>
  <si>
    <t>100114761</t>
  </si>
  <si>
    <t>100114762</t>
  </si>
  <si>
    <t>100114763</t>
  </si>
  <si>
    <t>100114764</t>
  </si>
  <si>
    <t>100114765</t>
  </si>
  <si>
    <t>100114766</t>
  </si>
  <si>
    <t>100114767</t>
  </si>
  <si>
    <t>100114768</t>
  </si>
  <si>
    <t>100114786</t>
  </si>
  <si>
    <t>100114787</t>
  </si>
  <si>
    <t>100114818</t>
  </si>
  <si>
    <t>100114871</t>
  </si>
  <si>
    <t>40540 PD0028</t>
  </si>
  <si>
    <t>9100002347</t>
  </si>
  <si>
    <t>Expense Bond Issuance Cost</t>
  </si>
  <si>
    <t>20160104</t>
  </si>
  <si>
    <t>100010132</t>
  </si>
  <si>
    <t>20160131</t>
  </si>
  <si>
    <t>100010133</t>
  </si>
  <si>
    <t>100010134</t>
  </si>
  <si>
    <t>100010135</t>
  </si>
  <si>
    <t>100010136</t>
  </si>
  <si>
    <t>100010137</t>
  </si>
  <si>
    <t>100010138</t>
  </si>
  <si>
    <t>100010139</t>
  </si>
  <si>
    <t>100010140</t>
  </si>
  <si>
    <t>100010141</t>
  </si>
  <si>
    <t>100010142</t>
  </si>
  <si>
    <t>100010143</t>
  </si>
  <si>
    <t>100010144</t>
  </si>
  <si>
    <t>100010145</t>
  </si>
  <si>
    <t>100010162</t>
  </si>
  <si>
    <t>100010163</t>
  </si>
  <si>
    <t>100010194</t>
  </si>
  <si>
    <t>100010219</t>
  </si>
  <si>
    <t>1900002323</t>
  </si>
  <si>
    <t>1205796</t>
  </si>
  <si>
    <t>20160216</t>
  </si>
  <si>
    <t>PD0034</t>
  </si>
  <si>
    <t>100019842</t>
  </si>
  <si>
    <t>20160229</t>
  </si>
  <si>
    <t>100019843</t>
  </si>
  <si>
    <t>100019844</t>
  </si>
  <si>
    <t>100019845</t>
  </si>
  <si>
    <t>100019846</t>
  </si>
  <si>
    <t>100019847</t>
  </si>
  <si>
    <t>100019848</t>
  </si>
  <si>
    <t>100019849</t>
  </si>
  <si>
    <t>100019850</t>
  </si>
  <si>
    <t>100019851</t>
  </si>
  <si>
    <t>100019852</t>
  </si>
  <si>
    <t>100019853</t>
  </si>
  <si>
    <t>100019854</t>
  </si>
  <si>
    <t>100019855</t>
  </si>
  <si>
    <t>100019872</t>
  </si>
  <si>
    <t>100019873</t>
  </si>
  <si>
    <t>100019904</t>
  </si>
  <si>
    <t>100019928</t>
  </si>
  <si>
    <t>100031906</t>
  </si>
  <si>
    <t>20160301</t>
  </si>
  <si>
    <t>100032013</t>
  </si>
  <si>
    <t>100032046</t>
  </si>
  <si>
    <t>100031900</t>
  </si>
  <si>
    <t>20160331</t>
  </si>
  <si>
    <t>100031901</t>
  </si>
  <si>
    <t>100031902</t>
  </si>
  <si>
    <t>100031903</t>
  </si>
  <si>
    <t>100031904</t>
  </si>
  <si>
    <t>100031905</t>
  </si>
  <si>
    <t>100031907</t>
  </si>
  <si>
    <t>100031908</t>
  </si>
  <si>
    <t>100031909</t>
  </si>
  <si>
    <t>100031910</t>
  </si>
  <si>
    <t>100031911</t>
  </si>
  <si>
    <t>100031912</t>
  </si>
  <si>
    <t>100031913</t>
  </si>
  <si>
    <t>100031929</t>
  </si>
  <si>
    <t>100031930</t>
  </si>
  <si>
    <t>100031961</t>
  </si>
  <si>
    <t>100031983</t>
  </si>
  <si>
    <t>100042463</t>
  </si>
  <si>
    <t>20160430</t>
  </si>
  <si>
    <t>100042464</t>
  </si>
  <si>
    <t>100042465</t>
  </si>
  <si>
    <t>100042466</t>
  </si>
  <si>
    <t>100042467</t>
  </si>
  <si>
    <t>100042468</t>
  </si>
  <si>
    <t>100042469</t>
  </si>
  <si>
    <t>100042470</t>
  </si>
  <si>
    <t>100042471</t>
  </si>
  <si>
    <t>100042472</t>
  </si>
  <si>
    <t>100042473</t>
  </si>
  <si>
    <t>100042474</t>
  </si>
  <si>
    <t>100042475</t>
  </si>
  <si>
    <t>100042482</t>
  </si>
  <si>
    <t>100042492</t>
  </si>
  <si>
    <t>100042493</t>
  </si>
  <si>
    <t>100042524</t>
  </si>
  <si>
    <t>100042545</t>
  </si>
  <si>
    <t>100042595</t>
  </si>
  <si>
    <t>89800-37</t>
  </si>
  <si>
    <t>Expense Invoice</t>
  </si>
  <si>
    <t>20160502</t>
  </si>
  <si>
    <t>100053203</t>
  </si>
  <si>
    <t>20160531</t>
  </si>
  <si>
    <t>100053204</t>
  </si>
  <si>
    <t>100053205</t>
  </si>
  <si>
    <t>100053206</t>
  </si>
  <si>
    <t>100053207</t>
  </si>
  <si>
    <t>100053208</t>
  </si>
  <si>
    <t>100053209</t>
  </si>
  <si>
    <t>100053210</t>
  </si>
  <si>
    <t>100053211</t>
  </si>
  <si>
    <t>100053212</t>
  </si>
  <si>
    <t>100053213</t>
  </si>
  <si>
    <t>100053214</t>
  </si>
  <si>
    <t>100053215</t>
  </si>
  <si>
    <t>100053231</t>
  </si>
  <si>
    <t>100053232</t>
  </si>
  <si>
    <t>100053262</t>
  </si>
  <si>
    <t>100053282</t>
  </si>
  <si>
    <t>100064183</t>
  </si>
  <si>
    <t>20160630</t>
  </si>
  <si>
    <t>100064184</t>
  </si>
  <si>
    <t>100064185</t>
  </si>
  <si>
    <t>100064186</t>
  </si>
  <si>
    <t>100064187</t>
  </si>
  <si>
    <t>100064188</t>
  </si>
  <si>
    <t>100064189</t>
  </si>
  <si>
    <t>100064190</t>
  </si>
  <si>
    <t>100064191</t>
  </si>
  <si>
    <t>100064192</t>
  </si>
  <si>
    <t>100064193</t>
  </si>
  <si>
    <t>100064194</t>
  </si>
  <si>
    <t>100064195</t>
  </si>
  <si>
    <t>100064211</t>
  </si>
  <si>
    <t>100064212</t>
  </si>
  <si>
    <t>100064242</t>
  </si>
  <si>
    <t>100064261</t>
  </si>
  <si>
    <t>9100001914</t>
  </si>
  <si>
    <t>100074820</t>
  </si>
  <si>
    <t>20160731</t>
  </si>
  <si>
    <t>100074821</t>
  </si>
  <si>
    <t>100074822</t>
  </si>
  <si>
    <t>100074823</t>
  </si>
  <si>
    <t>100074824</t>
  </si>
  <si>
    <t>100074825</t>
  </si>
  <si>
    <t>100074826</t>
  </si>
  <si>
    <t>100074827</t>
  </si>
  <si>
    <t>100074828</t>
  </si>
  <si>
    <t>100074829</t>
  </si>
  <si>
    <t>100074830</t>
  </si>
  <si>
    <t>100074831</t>
  </si>
  <si>
    <t>100074832</t>
  </si>
  <si>
    <t>100074848</t>
  </si>
  <si>
    <t>100074849</t>
  </si>
  <si>
    <t>100074879</t>
  </si>
  <si>
    <t>100074888</t>
  </si>
  <si>
    <t>100086880</t>
  </si>
  <si>
    <t>20160831</t>
  </si>
  <si>
    <t>100086881</t>
  </si>
  <si>
    <t>100086882</t>
  </si>
  <si>
    <t>100086883</t>
  </si>
  <si>
    <t>100086884</t>
  </si>
  <si>
    <t>100086885</t>
  </si>
  <si>
    <t>100086886</t>
  </si>
  <si>
    <t>100086887</t>
  </si>
  <si>
    <t>100086888</t>
  </si>
  <si>
    <t>100086889</t>
  </si>
  <si>
    <t>100086890</t>
  </si>
  <si>
    <t>100086891</t>
  </si>
  <si>
    <t>100086892</t>
  </si>
  <si>
    <t>100086907</t>
  </si>
  <si>
    <t>100086908</t>
  </si>
  <si>
    <t>100086938</t>
  </si>
  <si>
    <t>100086947</t>
  </si>
  <si>
    <t>9100001779</t>
  </si>
  <si>
    <t>111-1702341</t>
  </si>
  <si>
    <t>20160901</t>
  </si>
  <si>
    <t>100098181</t>
  </si>
  <si>
    <t>20160930</t>
  </si>
  <si>
    <t>100098182</t>
  </si>
  <si>
    <t>100098183</t>
  </si>
  <si>
    <t>100098184</t>
  </si>
  <si>
    <t>100098185</t>
  </si>
  <si>
    <t>100098186</t>
  </si>
  <si>
    <t>100098187</t>
  </si>
  <si>
    <t>100098188</t>
  </si>
  <si>
    <t>100098189</t>
  </si>
  <si>
    <t>100098190</t>
  </si>
  <si>
    <t>100098191</t>
  </si>
  <si>
    <t>100098192</t>
  </si>
  <si>
    <t>100098193</t>
  </si>
  <si>
    <t>100098208</t>
  </si>
  <si>
    <t>100098209</t>
  </si>
  <si>
    <t>100098239</t>
  </si>
  <si>
    <t>100098248</t>
  </si>
  <si>
    <t>100109716</t>
  </si>
  <si>
    <t>20161031</t>
  </si>
  <si>
    <t>100109717</t>
  </si>
  <si>
    <t>100109718</t>
  </si>
  <si>
    <t>100109719</t>
  </si>
  <si>
    <t>100109720</t>
  </si>
  <si>
    <t>100109721</t>
  </si>
  <si>
    <t>100109722</t>
  </si>
  <si>
    <t>100109723</t>
  </si>
  <si>
    <t>100109724</t>
  </si>
  <si>
    <t>100109725</t>
  </si>
  <si>
    <t>100109726</t>
  </si>
  <si>
    <t>100109727</t>
  </si>
  <si>
    <t>100109728</t>
  </si>
  <si>
    <t>100109743</t>
  </si>
  <si>
    <t>100109744</t>
  </si>
  <si>
    <t>100109774</t>
  </si>
  <si>
    <t>100109782</t>
  </si>
  <si>
    <t>100121745</t>
  </si>
  <si>
    <t>20161130</t>
  </si>
  <si>
    <t>100121746</t>
  </si>
  <si>
    <t>100121747</t>
  </si>
  <si>
    <t>100121748</t>
  </si>
  <si>
    <t>100121749</t>
  </si>
  <si>
    <t>100121750</t>
  </si>
  <si>
    <t>100121751</t>
  </si>
  <si>
    <t>100121752</t>
  </si>
  <si>
    <t>100121753</t>
  </si>
  <si>
    <t>100121754</t>
  </si>
  <si>
    <t>100121755</t>
  </si>
  <si>
    <t>100121756</t>
  </si>
  <si>
    <t>100121757</t>
  </si>
  <si>
    <t>100121772</t>
  </si>
  <si>
    <t>100121773</t>
  </si>
  <si>
    <t>100121803</t>
  </si>
  <si>
    <t>100121811</t>
  </si>
  <si>
    <t>100133452</t>
  </si>
  <si>
    <t>20161231</t>
  </si>
  <si>
    <t>100133453</t>
  </si>
  <si>
    <t>100133454</t>
  </si>
  <si>
    <t>100133455</t>
  </si>
  <si>
    <t>100133456</t>
  </si>
  <si>
    <t>100133457</t>
  </si>
  <si>
    <t>100133458</t>
  </si>
  <si>
    <t>100133459</t>
  </si>
  <si>
    <t>100133460</t>
  </si>
  <si>
    <t>100133461</t>
  </si>
  <si>
    <t>100133462</t>
  </si>
  <si>
    <t>100133463</t>
  </si>
  <si>
    <t>100133464</t>
  </si>
  <si>
    <t>100133479</t>
  </si>
  <si>
    <t>100133480</t>
  </si>
  <si>
    <t>100133510</t>
  </si>
  <si>
    <t>100133518</t>
  </si>
  <si>
    <t>100007934</t>
  </si>
  <si>
    <t>20170131</t>
  </si>
  <si>
    <t>100007935</t>
  </si>
  <si>
    <t>100007936</t>
  </si>
  <si>
    <t>100007937</t>
  </si>
  <si>
    <t>100007938</t>
  </si>
  <si>
    <t>100007939</t>
  </si>
  <si>
    <t>100007940</t>
  </si>
  <si>
    <t>100007941</t>
  </si>
  <si>
    <t>100007942</t>
  </si>
  <si>
    <t>100007943</t>
  </si>
  <si>
    <t>100007944</t>
  </si>
  <si>
    <t>100007945</t>
  </si>
  <si>
    <t>100007946</t>
  </si>
  <si>
    <t>100007961</t>
  </si>
  <si>
    <t>100007962</t>
  </si>
  <si>
    <t>100007992</t>
  </si>
  <si>
    <t>100007999</t>
  </si>
  <si>
    <t>1900001446</t>
  </si>
  <si>
    <t>FILING FEE 0217</t>
  </si>
  <si>
    <t>20170227</t>
  </si>
  <si>
    <t>100016410</t>
  </si>
  <si>
    <t>20170228</t>
  </si>
  <si>
    <t>100016411</t>
  </si>
  <si>
    <t>100016412</t>
  </si>
  <si>
    <t>100016413</t>
  </si>
  <si>
    <t>100016414</t>
  </si>
  <si>
    <t>100016415</t>
  </si>
  <si>
    <t>100016416</t>
  </si>
  <si>
    <t>100016417</t>
  </si>
  <si>
    <t>100016418</t>
  </si>
  <si>
    <t>100016419</t>
  </si>
  <si>
    <t>100016420</t>
  </si>
  <si>
    <t>100016421</t>
  </si>
  <si>
    <t>100016422</t>
  </si>
  <si>
    <t>100016437</t>
  </si>
  <si>
    <t>100016438</t>
  </si>
  <si>
    <t>100016468</t>
  </si>
  <si>
    <t>100016475</t>
  </si>
  <si>
    <t>100024792</t>
  </si>
  <si>
    <t>20170331</t>
  </si>
  <si>
    <t>100024793</t>
  </si>
  <si>
    <t>100024794</t>
  </si>
  <si>
    <t>100024795</t>
  </si>
  <si>
    <t>100024796</t>
  </si>
  <si>
    <t>100024797</t>
  </si>
  <si>
    <t>100024798</t>
  </si>
  <si>
    <t>100024799</t>
  </si>
  <si>
    <t>100024800</t>
  </si>
  <si>
    <t>100024801</t>
  </si>
  <si>
    <t>100024802</t>
  </si>
  <si>
    <t>100024803</t>
  </si>
  <si>
    <t>100024804</t>
  </si>
  <si>
    <t>100024819</t>
  </si>
  <si>
    <t>100024820</t>
  </si>
  <si>
    <t>100024850</t>
  </si>
  <si>
    <t>100024857</t>
  </si>
  <si>
    <t>100030725</t>
  </si>
  <si>
    <t>20170430</t>
  </si>
  <si>
    <t>100030726</t>
  </si>
  <si>
    <t>100030727</t>
  </si>
  <si>
    <t>100030728</t>
  </si>
  <si>
    <t>100030729</t>
  </si>
  <si>
    <t>100030730</t>
  </si>
  <si>
    <t>100030731</t>
  </si>
  <si>
    <t>100030732</t>
  </si>
  <si>
    <t>100030733</t>
  </si>
  <si>
    <t>100030734</t>
  </si>
  <si>
    <t>100030735</t>
  </si>
  <si>
    <t>100030736</t>
  </si>
  <si>
    <t>100030737</t>
  </si>
  <si>
    <t>100030752</t>
  </si>
  <si>
    <t>100030753</t>
  </si>
  <si>
    <t>100030782</t>
  </si>
  <si>
    <t>100030789</t>
  </si>
  <si>
    <t>100038933</t>
  </si>
  <si>
    <t>20170531</t>
  </si>
  <si>
    <t>100038934</t>
  </si>
  <si>
    <t>100038935</t>
  </si>
  <si>
    <t>100038936</t>
  </si>
  <si>
    <t>100038937</t>
  </si>
  <si>
    <t>100038938</t>
  </si>
  <si>
    <t>100038939</t>
  </si>
  <si>
    <t>100038940</t>
  </si>
  <si>
    <t>100038941</t>
  </si>
  <si>
    <t>100038942</t>
  </si>
  <si>
    <t>100038943</t>
  </si>
  <si>
    <t>100038944</t>
  </si>
  <si>
    <t>100038945</t>
  </si>
  <si>
    <t>100038960</t>
  </si>
  <si>
    <t>100038961</t>
  </si>
  <si>
    <t>100038990</t>
  </si>
  <si>
    <t>100038997</t>
  </si>
  <si>
    <t>100046414</t>
  </si>
  <si>
    <t>20170630</t>
  </si>
  <si>
    <t>100046415</t>
  </si>
  <si>
    <t>100046416</t>
  </si>
  <si>
    <t>100046417</t>
  </si>
  <si>
    <t>100046418</t>
  </si>
  <si>
    <t>100046419</t>
  </si>
  <si>
    <t>100046420</t>
  </si>
  <si>
    <t>100046421</t>
  </si>
  <si>
    <t>100046422</t>
  </si>
  <si>
    <t>100046423</t>
  </si>
  <si>
    <t>100046424</t>
  </si>
  <si>
    <t>100046425</t>
  </si>
  <si>
    <t>100046426</t>
  </si>
  <si>
    <t>100046441</t>
  </si>
  <si>
    <t>100046442</t>
  </si>
  <si>
    <t>100046470</t>
  </si>
  <si>
    <t>100046477</t>
  </si>
  <si>
    <t>100052771</t>
  </si>
  <si>
    <t>20170731</t>
  </si>
  <si>
    <t>100052772</t>
  </si>
  <si>
    <t>100052773</t>
  </si>
  <si>
    <t>100052774</t>
  </si>
  <si>
    <t>100052775</t>
  </si>
  <si>
    <t>100052776</t>
  </si>
  <si>
    <t>100052777</t>
  </si>
  <si>
    <t>100052778</t>
  </si>
  <si>
    <t>100052779</t>
  </si>
  <si>
    <t>100052780</t>
  </si>
  <si>
    <t>100052781</t>
  </si>
  <si>
    <t>100052782</t>
  </si>
  <si>
    <t>100052783</t>
  </si>
  <si>
    <t>100052798</t>
  </si>
  <si>
    <t>100052799</t>
  </si>
  <si>
    <t>100052827</t>
  </si>
  <si>
    <t>100052834</t>
  </si>
  <si>
    <t>100060207</t>
  </si>
  <si>
    <t>20170831</t>
  </si>
  <si>
    <t>100060208</t>
  </si>
  <si>
    <t>100060209</t>
  </si>
  <si>
    <t>100060210</t>
  </si>
  <si>
    <t>100060211</t>
  </si>
  <si>
    <t>100060212</t>
  </si>
  <si>
    <t>100060213</t>
  </si>
  <si>
    <t>100060214</t>
  </si>
  <si>
    <t>100060215</t>
  </si>
  <si>
    <t>100060216</t>
  </si>
  <si>
    <t>100060217</t>
  </si>
  <si>
    <t>100060218</t>
  </si>
  <si>
    <t>100060219</t>
  </si>
  <si>
    <t>100060234</t>
  </si>
  <si>
    <t>100060235</t>
  </si>
  <si>
    <t>100060263</t>
  </si>
  <si>
    <t>100060270</t>
  </si>
  <si>
    <t>9100001742</t>
  </si>
  <si>
    <t>111-1741452</t>
  </si>
  <si>
    <t>20170904</t>
  </si>
  <si>
    <t>100066722</t>
  </si>
  <si>
    <t>20170930</t>
  </si>
  <si>
    <t>100066723</t>
  </si>
  <si>
    <t>100066724</t>
  </si>
  <si>
    <t>100066725</t>
  </si>
  <si>
    <t>100066726</t>
  </si>
  <si>
    <t>100066727</t>
  </si>
  <si>
    <t>100066728</t>
  </si>
  <si>
    <t>100066729</t>
  </si>
  <si>
    <t>100066730</t>
  </si>
  <si>
    <t>100066731</t>
  </si>
  <si>
    <t>100066732</t>
  </si>
  <si>
    <t>100066733</t>
  </si>
  <si>
    <t>100066734</t>
  </si>
  <si>
    <t>100066749</t>
  </si>
  <si>
    <t>100066750</t>
  </si>
  <si>
    <t>100066778</t>
  </si>
  <si>
    <t>100066784</t>
  </si>
  <si>
    <t>9100001812</t>
  </si>
  <si>
    <t>100073923</t>
  </si>
  <si>
    <t>20171031</t>
  </si>
  <si>
    <t>100073924</t>
  </si>
  <si>
    <t>100073925</t>
  </si>
  <si>
    <t>100073926</t>
  </si>
  <si>
    <t>100073927</t>
  </si>
  <si>
    <t>100073928</t>
  </si>
  <si>
    <t>100073929</t>
  </si>
  <si>
    <t>100073930</t>
  </si>
  <si>
    <t>100073931</t>
  </si>
  <si>
    <t>100073932</t>
  </si>
  <si>
    <t>100073933</t>
  </si>
  <si>
    <t>100073934</t>
  </si>
  <si>
    <t>100073935</t>
  </si>
  <si>
    <t>100073949</t>
  </si>
  <si>
    <t>100073950</t>
  </si>
  <si>
    <t>100073978</t>
  </si>
  <si>
    <t>100073984</t>
  </si>
  <si>
    <t>100080411</t>
  </si>
  <si>
    <t>20171130</t>
  </si>
  <si>
    <t>100080412</t>
  </si>
  <si>
    <t>100080413</t>
  </si>
  <si>
    <t>100080414</t>
  </si>
  <si>
    <t>100080415</t>
  </si>
  <si>
    <t>100080416</t>
  </si>
  <si>
    <t>100080417</t>
  </si>
  <si>
    <t>100080418</t>
  </si>
  <si>
    <t>100080419</t>
  </si>
  <si>
    <t>100080420</t>
  </si>
  <si>
    <t>100080421</t>
  </si>
  <si>
    <t>100080422</t>
  </si>
  <si>
    <t>100080423</t>
  </si>
  <si>
    <t>100080437</t>
  </si>
  <si>
    <t>100080438</t>
  </si>
  <si>
    <t>100080466</t>
  </si>
  <si>
    <t>100080472</t>
  </si>
  <si>
    <t>100088045</t>
  </si>
  <si>
    <t>20171231</t>
  </si>
  <si>
    <t>100088046</t>
  </si>
  <si>
    <t>100088047</t>
  </si>
  <si>
    <t>100088048</t>
  </si>
  <si>
    <t>100088049</t>
  </si>
  <si>
    <t>100088050</t>
  </si>
  <si>
    <t>100088051</t>
  </si>
  <si>
    <t>100088052</t>
  </si>
  <si>
    <t>100088053</t>
  </si>
  <si>
    <t>100088054</t>
  </si>
  <si>
    <t>100088055</t>
  </si>
  <si>
    <t>100088056</t>
  </si>
  <si>
    <t>100088057</t>
  </si>
  <si>
    <t>100088071</t>
  </si>
  <si>
    <t>100088072</t>
  </si>
  <si>
    <t>100088100</t>
  </si>
  <si>
    <t>100088106</t>
  </si>
  <si>
    <t>100005985</t>
  </si>
  <si>
    <t>20180131</t>
  </si>
  <si>
    <t>100005986</t>
  </si>
  <si>
    <t>100005987</t>
  </si>
  <si>
    <t>100005988</t>
  </si>
  <si>
    <t>100005989</t>
  </si>
  <si>
    <t>100005990</t>
  </si>
  <si>
    <t>100005991</t>
  </si>
  <si>
    <t>100005992</t>
  </si>
  <si>
    <t>100005993</t>
  </si>
  <si>
    <t>100005994</t>
  </si>
  <si>
    <t>100005995</t>
  </si>
  <si>
    <t>100005996</t>
  </si>
  <si>
    <t>100005997</t>
  </si>
  <si>
    <t>100006011</t>
  </si>
  <si>
    <t>100006012</t>
  </si>
  <si>
    <t>100006038</t>
  </si>
  <si>
    <t>100006043</t>
  </si>
  <si>
    <t>100012355</t>
  </si>
  <si>
    <t>20180228</t>
  </si>
  <si>
    <t>100012356</t>
  </si>
  <si>
    <t>100012357</t>
  </si>
  <si>
    <t>100012358</t>
  </si>
  <si>
    <t>100012359</t>
  </si>
  <si>
    <t>100012360</t>
  </si>
  <si>
    <t>100012361</t>
  </si>
  <si>
    <t>100012362</t>
  </si>
  <si>
    <t>100012363</t>
  </si>
  <si>
    <t>100012364</t>
  </si>
  <si>
    <t>100012365</t>
  </si>
  <si>
    <t>100012366</t>
  </si>
  <si>
    <t>100012367</t>
  </si>
  <si>
    <t>100012381</t>
  </si>
  <si>
    <t>100012382</t>
  </si>
  <si>
    <t>100012408</t>
  </si>
  <si>
    <t>100012413</t>
  </si>
  <si>
    <t>100020381</t>
  </si>
  <si>
    <t>20180331</t>
  </si>
  <si>
    <t>100020382</t>
  </si>
  <si>
    <t>100020383</t>
  </si>
  <si>
    <t>100020384</t>
  </si>
  <si>
    <t>100020385</t>
  </si>
  <si>
    <t>100020386</t>
  </si>
  <si>
    <t>100020387</t>
  </si>
  <si>
    <t>100020388</t>
  </si>
  <si>
    <t>100020389</t>
  </si>
  <si>
    <t>100020390</t>
  </si>
  <si>
    <t>100020391</t>
  </si>
  <si>
    <t>100020392</t>
  </si>
  <si>
    <t>100020393</t>
  </si>
  <si>
    <t>100020407</t>
  </si>
  <si>
    <t>100020408</t>
  </si>
  <si>
    <t>100020434</t>
  </si>
  <si>
    <t>100020439</t>
  </si>
  <si>
    <t>100027793</t>
  </si>
  <si>
    <t>20180401</t>
  </si>
  <si>
    <t>100027794</t>
  </si>
  <si>
    <t>100027795</t>
  </si>
  <si>
    <t>100027796</t>
  </si>
  <si>
    <t>100027547</t>
  </si>
  <si>
    <t>20180430</t>
  </si>
  <si>
    <t>100027548</t>
  </si>
  <si>
    <t>100027549</t>
  </si>
  <si>
    <t>100027550</t>
  </si>
  <si>
    <t>100027551</t>
  </si>
  <si>
    <t>100027552</t>
  </si>
  <si>
    <t>100027553</t>
  </si>
  <si>
    <t>100027554</t>
  </si>
  <si>
    <t>100027555</t>
  </si>
  <si>
    <t>100027568</t>
  </si>
  <si>
    <t>100027569</t>
  </si>
  <si>
    <t>100027595</t>
  </si>
  <si>
    <t>100027626</t>
  </si>
  <si>
    <t>100035733</t>
  </si>
  <si>
    <t>20180531</t>
  </si>
  <si>
    <t>100035734</t>
  </si>
  <si>
    <t>100035735</t>
  </si>
  <si>
    <t>100035736</t>
  </si>
  <si>
    <t>100035737</t>
  </si>
  <si>
    <t>100035738</t>
  </si>
  <si>
    <t>100035739</t>
  </si>
  <si>
    <t>100035740</t>
  </si>
  <si>
    <t>100035741</t>
  </si>
  <si>
    <t>100035747</t>
  </si>
  <si>
    <t>100035748</t>
  </si>
  <si>
    <t>100035749</t>
  </si>
  <si>
    <t>100035750</t>
  </si>
  <si>
    <t>100035756</t>
  </si>
  <si>
    <t>100035757</t>
  </si>
  <si>
    <t>100035783</t>
  </si>
  <si>
    <t>100035787</t>
  </si>
  <si>
    <t>9100001122</t>
  </si>
  <si>
    <t>1033941150-5</t>
  </si>
  <si>
    <t>20180605</t>
  </si>
  <si>
    <t>600019733</t>
  </si>
  <si>
    <t>JPMN ACWI 18491</t>
  </si>
  <si>
    <t>20180607</t>
  </si>
  <si>
    <t>9100000822</t>
  </si>
  <si>
    <t>418581</t>
  </si>
  <si>
    <t>*INV#418581</t>
  </si>
  <si>
    <t>20180614</t>
  </si>
  <si>
    <t>9100001121</t>
  </si>
  <si>
    <t>US0132079150</t>
  </si>
  <si>
    <t>20180620</t>
  </si>
  <si>
    <t>9100001159</t>
  </si>
  <si>
    <t>11352877</t>
  </si>
  <si>
    <t>*INV#11352877</t>
  </si>
  <si>
    <t>20180621</t>
  </si>
  <si>
    <t>9100002073</t>
  </si>
  <si>
    <t>1150415</t>
  </si>
  <si>
    <t>20180622</t>
  </si>
  <si>
    <t>9100001537</t>
  </si>
  <si>
    <t>1259061000</t>
  </si>
  <si>
    <t>20180624</t>
  </si>
  <si>
    <t>9100001315</t>
  </si>
  <si>
    <t>1417380</t>
  </si>
  <si>
    <t>20180625</t>
  </si>
  <si>
    <t>9100001134</t>
  </si>
  <si>
    <t>SEC - Shelf Registration Fee 2017</t>
  </si>
  <si>
    <t>20180627</t>
  </si>
  <si>
    <t>100043121</t>
  </si>
  <si>
    <t>20180630</t>
  </si>
  <si>
    <t>100043122</t>
  </si>
  <si>
    <t>100043123</t>
  </si>
  <si>
    <t>100043124</t>
  </si>
  <si>
    <t>100043125</t>
  </si>
  <si>
    <t>100043126</t>
  </si>
  <si>
    <t>100043127</t>
  </si>
  <si>
    <t>100043128</t>
  </si>
  <si>
    <t>100043129</t>
  </si>
  <si>
    <t>100043140</t>
  </si>
  <si>
    <t>100043141</t>
  </si>
  <si>
    <t>100043166</t>
  </si>
  <si>
    <t>100043170</t>
  </si>
  <si>
    <t>9100001190</t>
  </si>
  <si>
    <t>89801-12</t>
  </si>
  <si>
    <t>$350M Notes due 2048 4.3% - Amortization Debt</t>
  </si>
  <si>
    <t>Reclass Inv#11352877 to PD34</t>
  </si>
  <si>
    <t>9100001316</t>
  </si>
  <si>
    <t>1427483</t>
  </si>
  <si>
    <t>20180716</t>
  </si>
  <si>
    <t>9100001624</t>
  </si>
  <si>
    <t>M2035083-000</t>
  </si>
  <si>
    <t>20180725</t>
  </si>
  <si>
    <t>100049990</t>
  </si>
  <si>
    <t>20180731</t>
  </si>
  <si>
    <t>100049991</t>
  </si>
  <si>
    <t>100049992</t>
  </si>
  <si>
    <t>100049993</t>
  </si>
  <si>
    <t>100049994</t>
  </si>
  <si>
    <t>100049995</t>
  </si>
  <si>
    <t>100049996</t>
  </si>
  <si>
    <t>100049997</t>
  </si>
  <si>
    <t>100049998</t>
  </si>
  <si>
    <t>100050009</t>
  </si>
  <si>
    <t>100050010</t>
  </si>
  <si>
    <t>100050035</t>
  </si>
  <si>
    <t>100050039</t>
  </si>
  <si>
    <t>9100001370</t>
  </si>
  <si>
    <t>89801-9</t>
  </si>
  <si>
    <t>Lord Locke Inv# 1417380/3 True-up</t>
  </si>
  <si>
    <t>9100001489</t>
  </si>
  <si>
    <t>1431997</t>
  </si>
  <si>
    <t>20180807</t>
  </si>
  <si>
    <t>9100001530</t>
  </si>
  <si>
    <t>111-1787503</t>
  </si>
  <si>
    <t>20180816</t>
  </si>
  <si>
    <t>100057752</t>
  </si>
  <si>
    <t>20180831</t>
  </si>
  <si>
    <t>100057753</t>
  </si>
  <si>
    <t>100057754</t>
  </si>
  <si>
    <t>100057755</t>
  </si>
  <si>
    <t>100057756</t>
  </si>
  <si>
    <t>100057757</t>
  </si>
  <si>
    <t>100057758</t>
  </si>
  <si>
    <t>100057759</t>
  </si>
  <si>
    <t>100057760</t>
  </si>
  <si>
    <t>100057771</t>
  </si>
  <si>
    <t>100057772</t>
  </si>
  <si>
    <t>100057797</t>
  </si>
  <si>
    <t>100057801</t>
  </si>
  <si>
    <t>9100002229</t>
  </si>
  <si>
    <t>111-1792917</t>
  </si>
  <si>
    <t>20180921</t>
  </si>
  <si>
    <t>9100002424</t>
  </si>
  <si>
    <t>89801-22</t>
  </si>
  <si>
    <t>Reclass to Trustee Fees</t>
  </si>
  <si>
    <t>100064715</t>
  </si>
  <si>
    <t>20180930</t>
  </si>
  <si>
    <t>100064716</t>
  </si>
  <si>
    <t>100064717</t>
  </si>
  <si>
    <t>100064718</t>
  </si>
  <si>
    <t>100064719</t>
  </si>
  <si>
    <t>100064720</t>
  </si>
  <si>
    <t>100064721</t>
  </si>
  <si>
    <t>100064722</t>
  </si>
  <si>
    <t>100064723</t>
  </si>
  <si>
    <t>100064734</t>
  </si>
  <si>
    <t>100064735</t>
  </si>
  <si>
    <t>100064760</t>
  </si>
  <si>
    <t>100064764</t>
  </si>
  <si>
    <t>9100001741</t>
  </si>
  <si>
    <t>Moody's Inv# M2035083-000 True-up</t>
  </si>
  <si>
    <t>600032454</t>
  </si>
  <si>
    <t>JPMN ACWI 18574</t>
  </si>
  <si>
    <t>20181004</t>
  </si>
  <si>
    <t>PD0035</t>
  </si>
  <si>
    <t>9100001825</t>
  </si>
  <si>
    <t>420442</t>
  </si>
  <si>
    <t>9100001826</t>
  </si>
  <si>
    <t>1034031786-5</t>
  </si>
  <si>
    <t>9200053659</t>
  </si>
  <si>
    <t>YI</t>
  </si>
  <si>
    <t>1445436</t>
  </si>
  <si>
    <t>Locke Lord LLP, Dallas</t>
  </si>
  <si>
    <t>9100001948</t>
  </si>
  <si>
    <t>111-1795720</t>
  </si>
  <si>
    <t>20181011</t>
  </si>
  <si>
    <t>9100001951</t>
  </si>
  <si>
    <t>US0132160801</t>
  </si>
  <si>
    <t>20181024</t>
  </si>
  <si>
    <t>9100001958</t>
  </si>
  <si>
    <t>11359854</t>
  </si>
  <si>
    <t>*INV#11359854</t>
  </si>
  <si>
    <t>20181029</t>
  </si>
  <si>
    <t>100071843</t>
  </si>
  <si>
    <t>20181031</t>
  </si>
  <si>
    <t>100071844</t>
  </si>
  <si>
    <t>100071845</t>
  </si>
  <si>
    <t>100071846</t>
  </si>
  <si>
    <t>100071847</t>
  </si>
  <si>
    <t>100071848</t>
  </si>
  <si>
    <t>100071849</t>
  </si>
  <si>
    <t>100071850</t>
  </si>
  <si>
    <t>100071851</t>
  </si>
  <si>
    <t>100071862</t>
  </si>
  <si>
    <t>100071863</t>
  </si>
  <si>
    <t>100071888</t>
  </si>
  <si>
    <t>100071892</t>
  </si>
  <si>
    <t>9100001968</t>
  </si>
  <si>
    <t>9100001969</t>
  </si>
  <si>
    <t>$375M Notes due 2049 4.45% - Amortization Debt</t>
  </si>
  <si>
    <t>9100002074</t>
  </si>
  <si>
    <t>1177409</t>
  </si>
  <si>
    <t>20181105</t>
  </si>
  <si>
    <t>9200053660</t>
  </si>
  <si>
    <t>1454158</t>
  </si>
  <si>
    <t>20181107</t>
  </si>
  <si>
    <t>100079565</t>
  </si>
  <si>
    <t>20181130</t>
  </si>
  <si>
    <t>100079566</t>
  </si>
  <si>
    <t>100079567</t>
  </si>
  <si>
    <t>100079568</t>
  </si>
  <si>
    <t>100079569</t>
  </si>
  <si>
    <t>100079570</t>
  </si>
  <si>
    <t>100079571</t>
  </si>
  <si>
    <t>100079572</t>
  </si>
  <si>
    <t>100079573</t>
  </si>
  <si>
    <t>100079584</t>
  </si>
  <si>
    <t>100079585</t>
  </si>
  <si>
    <t>100079610</t>
  </si>
  <si>
    <t>100079614</t>
  </si>
  <si>
    <t>9100002189</t>
  </si>
  <si>
    <t>9100002190</t>
  </si>
  <si>
    <t>100086564</t>
  </si>
  <si>
    <t>20181231</t>
  </si>
  <si>
    <t>100086565</t>
  </si>
  <si>
    <t>100086566</t>
  </si>
  <si>
    <t>100086567</t>
  </si>
  <si>
    <t>100086568</t>
  </si>
  <si>
    <t>100086569</t>
  </si>
  <si>
    <t>100086570</t>
  </si>
  <si>
    <t>100086571</t>
  </si>
  <si>
    <t>100086572</t>
  </si>
  <si>
    <t>100086583</t>
  </si>
  <si>
    <t>100086584</t>
  </si>
  <si>
    <t>100086609</t>
  </si>
  <si>
    <t>100086613</t>
  </si>
  <si>
    <t>Reclass Lord Locke Inv#1445436</t>
  </si>
  <si>
    <t>Reclass Lord Locke Inv#1454158</t>
  </si>
  <si>
    <t>9100000591</t>
  </si>
  <si>
    <t>M2050361-000</t>
  </si>
  <si>
    <t>*INV#M2050361-000</t>
  </si>
  <si>
    <t>20190115</t>
  </si>
  <si>
    <t>100006692</t>
  </si>
  <si>
    <t>20190131</t>
  </si>
  <si>
    <t>100006693</t>
  </si>
  <si>
    <t>100006694</t>
  </si>
  <si>
    <t>100006695</t>
  </si>
  <si>
    <t>100006696</t>
  </si>
  <si>
    <t>100006697</t>
  </si>
  <si>
    <t>100006698</t>
  </si>
  <si>
    <t>100006699</t>
  </si>
  <si>
    <t>100006700</t>
  </si>
  <si>
    <t>100006711</t>
  </si>
  <si>
    <t>100006712</t>
  </si>
  <si>
    <t>100006737</t>
  </si>
  <si>
    <t>100006741</t>
  </si>
  <si>
    <t>9100000174</t>
  </si>
  <si>
    <t>89801-10</t>
  </si>
  <si>
    <t>9200007466</t>
  </si>
  <si>
    <t>1475168</t>
  </si>
  <si>
    <t>20190208</t>
  </si>
  <si>
    <t>9200018100</t>
  </si>
  <si>
    <t>1475167</t>
  </si>
  <si>
    <t>100012384</t>
  </si>
  <si>
    <t>20190228</t>
  </si>
  <si>
    <t>100012385</t>
  </si>
  <si>
    <t>100012386</t>
  </si>
  <si>
    <t>100012387</t>
  </si>
  <si>
    <t>100012388</t>
  </si>
  <si>
    <t>100012389</t>
  </si>
  <si>
    <t>100012390</t>
  </si>
  <si>
    <t>100012391</t>
  </si>
  <si>
    <t>100012392</t>
  </si>
  <si>
    <t>100012403</t>
  </si>
  <si>
    <t>100012404</t>
  </si>
  <si>
    <t>100012429</t>
  </si>
  <si>
    <t>100012433</t>
  </si>
  <si>
    <t>100012499</t>
  </si>
  <si>
    <t>40540 PD0034</t>
  </si>
  <si>
    <t>9100000358</t>
  </si>
  <si>
    <t>9100000386</t>
  </si>
  <si>
    <t>89801-13</t>
  </si>
  <si>
    <t>Reclass Locke Lord LLP, Dallas</t>
  </si>
  <si>
    <t>PD0036</t>
  </si>
  <si>
    <t>20190331</t>
  </si>
  <si>
    <t>100020394</t>
  </si>
  <si>
    <t>100020405</t>
  </si>
  <si>
    <t>100020406</t>
  </si>
  <si>
    <t>100020431</t>
  </si>
  <si>
    <t>100020435</t>
  </si>
  <si>
    <t>100020504</t>
  </si>
  <si>
    <t>9100000450</t>
  </si>
  <si>
    <t>Reclass LockeLord Fee Inv</t>
  </si>
  <si>
    <t>9100000613</t>
  </si>
  <si>
    <t>100027226</t>
  </si>
  <si>
    <t>20190430</t>
  </si>
  <si>
    <t>100027227</t>
  </si>
  <si>
    <t>100027228</t>
  </si>
  <si>
    <t>100027229</t>
  </si>
  <si>
    <t>100027230</t>
  </si>
  <si>
    <t>100027231</t>
  </si>
  <si>
    <t>100027232</t>
  </si>
  <si>
    <t>100027233</t>
  </si>
  <si>
    <t>100027234</t>
  </si>
  <si>
    <t>100027245</t>
  </si>
  <si>
    <t>100027246</t>
  </si>
  <si>
    <t>100027270</t>
  </si>
  <si>
    <t>100027274</t>
  </si>
  <si>
    <t>100027348</t>
  </si>
  <si>
    <t>9100000807</t>
  </si>
  <si>
    <t>Locke Lord LLP, Dallas Inv Reclass</t>
  </si>
  <si>
    <t>9100000808</t>
  </si>
  <si>
    <t>Reclass Emmet, Marvin &amp; Martin, LLP Invoice</t>
  </si>
  <si>
    <t>100034650</t>
  </si>
  <si>
    <t>20190531</t>
  </si>
  <si>
    <t>100034651</t>
  </si>
  <si>
    <t>100034652</t>
  </si>
  <si>
    <t>100034653</t>
  </si>
  <si>
    <t>100034654</t>
  </si>
  <si>
    <t>100034655</t>
  </si>
  <si>
    <t>100034656</t>
  </si>
  <si>
    <t>100034657</t>
  </si>
  <si>
    <t>100034658</t>
  </si>
  <si>
    <t>100034669</t>
  </si>
  <si>
    <t>100034670</t>
  </si>
  <si>
    <t>100034694</t>
  </si>
  <si>
    <t>100034698</t>
  </si>
  <si>
    <t>100034770</t>
  </si>
  <si>
    <t>9100001047</t>
  </si>
  <si>
    <t>100040792</t>
  </si>
  <si>
    <t>20190630</t>
  </si>
  <si>
    <t>100040793</t>
  </si>
  <si>
    <t>100040794</t>
  </si>
  <si>
    <t>100040795</t>
  </si>
  <si>
    <t>100040796</t>
  </si>
  <si>
    <t>100040797</t>
  </si>
  <si>
    <t>100040798</t>
  </si>
  <si>
    <t>100040799</t>
  </si>
  <si>
    <t>100040800</t>
  </si>
  <si>
    <t>100040811</t>
  </si>
  <si>
    <t>100040812</t>
  </si>
  <si>
    <t>100040836</t>
  </si>
  <si>
    <t>100040840</t>
  </si>
  <si>
    <t>100040909</t>
  </si>
  <si>
    <t>100040926</t>
  </si>
  <si>
    <t>40540 PD0035</t>
  </si>
  <si>
    <t>9100001432</t>
  </si>
  <si>
    <t>FILING FEE 0719</t>
  </si>
  <si>
    <t>20190719</t>
  </si>
  <si>
    <t>600023669</t>
  </si>
  <si>
    <t>JPMN ACWI 19774</t>
  </si>
  <si>
    <t>20190724</t>
  </si>
  <si>
    <t>9100001518</t>
  </si>
  <si>
    <t>427698</t>
  </si>
  <si>
    <t>*INV#427698</t>
  </si>
  <si>
    <t>20190725</t>
  </si>
  <si>
    <t>9100001519</t>
  </si>
  <si>
    <t>11374996</t>
  </si>
  <si>
    <t>*INV#11374996</t>
  </si>
  <si>
    <t>9100001536</t>
  </si>
  <si>
    <t>7119056592</t>
  </si>
  <si>
    <t>*INV#71190592</t>
  </si>
  <si>
    <t>20190729</t>
  </si>
  <si>
    <t>100048425</t>
  </si>
  <si>
    <t>20190731</t>
  </si>
  <si>
    <t>100048426</t>
  </si>
  <si>
    <t>100048427</t>
  </si>
  <si>
    <t>100048428</t>
  </si>
  <si>
    <t>100048429</t>
  </si>
  <si>
    <t>100048430</t>
  </si>
  <si>
    <t>100048431</t>
  </si>
  <si>
    <t>100048432</t>
  </si>
  <si>
    <t>100048433</t>
  </si>
  <si>
    <t>100048444</t>
  </si>
  <si>
    <t>100048445</t>
  </si>
  <si>
    <t>100048469</t>
  </si>
  <si>
    <t>100048473</t>
  </si>
  <si>
    <t>100048542</t>
  </si>
  <si>
    <t>100048559</t>
  </si>
  <si>
    <t>9100001521</t>
  </si>
  <si>
    <t>1277762600</t>
  </si>
  <si>
    <t>9100001607</t>
  </si>
  <si>
    <t>US01U000174289</t>
  </si>
  <si>
    <t>20190801</t>
  </si>
  <si>
    <t>9100001608</t>
  </si>
  <si>
    <t>1034291523-7</t>
  </si>
  <si>
    <t>20190806</t>
  </si>
  <si>
    <t>9200045088</t>
  </si>
  <si>
    <t>1515610</t>
  </si>
  <si>
    <t>20190807</t>
  </si>
  <si>
    <t>9100001606</t>
  </si>
  <si>
    <t>111-1840938</t>
  </si>
  <si>
    <t>*TAMPA2050</t>
  </si>
  <si>
    <t>20190808</t>
  </si>
  <si>
    <t>1900005318</t>
  </si>
  <si>
    <t>1230161</t>
  </si>
  <si>
    <t>*INV#1230161</t>
  </si>
  <si>
    <t>20190815</t>
  </si>
  <si>
    <t>1900004839</t>
  </si>
  <si>
    <t>428011</t>
  </si>
  <si>
    <t>20190816</t>
  </si>
  <si>
    <t>1900004881</t>
  </si>
  <si>
    <t>REGISTRATION FEE</t>
  </si>
  <si>
    <t>9100001605</t>
  </si>
  <si>
    <t>STAMP TAX</t>
  </si>
  <si>
    <t>*TAMPA ELECTRIC STAMP TAX</t>
  </si>
  <si>
    <t>20190822</t>
  </si>
  <si>
    <t>100055047</t>
  </si>
  <si>
    <t>20190831</t>
  </si>
  <si>
    <t>100055048</t>
  </si>
  <si>
    <t>100055049</t>
  </si>
  <si>
    <t>100055050</t>
  </si>
  <si>
    <t>100055051</t>
  </si>
  <si>
    <t>100055052</t>
  </si>
  <si>
    <t>100055053</t>
  </si>
  <si>
    <t>100055054</t>
  </si>
  <si>
    <t>100055055</t>
  </si>
  <si>
    <t>100055066</t>
  </si>
  <si>
    <t>100055067</t>
  </si>
  <si>
    <t>100055091</t>
  </si>
  <si>
    <t>100055095</t>
  </si>
  <si>
    <t>100055159</t>
  </si>
  <si>
    <t>100055176</t>
  </si>
  <si>
    <t>9100001688</t>
  </si>
  <si>
    <t>$300M Notes due 2050 3.625% - Amortization Debt</t>
  </si>
  <si>
    <t>Reclass *Inv#427698 Emmet Marvin &amp; Martin Inv</t>
  </si>
  <si>
    <t>1900005747</t>
  </si>
  <si>
    <t>1034317529-4</t>
  </si>
  <si>
    <t>*INV#1034317529-4</t>
  </si>
  <si>
    <t>20190911</t>
  </si>
  <si>
    <t>9200053476</t>
  </si>
  <si>
    <t>1523668</t>
  </si>
  <si>
    <t>1900006381</t>
  </si>
  <si>
    <t>US01U000197795</t>
  </si>
  <si>
    <t>20190912</t>
  </si>
  <si>
    <t>20190930</t>
  </si>
  <si>
    <t>100062016</t>
  </si>
  <si>
    <t>100062017</t>
  </si>
  <si>
    <t>100062041</t>
  </si>
  <si>
    <t>100062045</t>
  </si>
  <si>
    <t>100062108</t>
  </si>
  <si>
    <t>100062125</t>
  </si>
  <si>
    <t>9100001881</t>
  </si>
  <si>
    <t>Reclass - Locke Lord LLP, Dallas</t>
  </si>
  <si>
    <t>9100002065</t>
  </si>
  <si>
    <t>Donnelley Financial Invoice #1279302200</t>
  </si>
  <si>
    <t>20191007</t>
  </si>
  <si>
    <t>100069251</t>
  </si>
  <si>
    <t>20191031</t>
  </si>
  <si>
    <t>100069252</t>
  </si>
  <si>
    <t>100069253</t>
  </si>
  <si>
    <t>100069254</t>
  </si>
  <si>
    <t>100069255</t>
  </si>
  <si>
    <t>100069256</t>
  </si>
  <si>
    <t>100069257</t>
  </si>
  <si>
    <t>100069258</t>
  </si>
  <si>
    <t>100069259</t>
  </si>
  <si>
    <t>100069270</t>
  </si>
  <si>
    <t>100069271</t>
  </si>
  <si>
    <t>100069295</t>
  </si>
  <si>
    <t>100069299</t>
  </si>
  <si>
    <t>100069362</t>
  </si>
  <si>
    <t>100069380</t>
  </si>
  <si>
    <t>9100002045</t>
  </si>
  <si>
    <t>100074875</t>
  </si>
  <si>
    <t>20191130</t>
  </si>
  <si>
    <t>100074876</t>
  </si>
  <si>
    <t>100074877</t>
  </si>
  <si>
    <t>100074878</t>
  </si>
  <si>
    <t>100074880</t>
  </si>
  <si>
    <t>100074881</t>
  </si>
  <si>
    <t>100074882</t>
  </si>
  <si>
    <t>100074883</t>
  </si>
  <si>
    <t>100074894</t>
  </si>
  <si>
    <t>100074895</t>
  </si>
  <si>
    <t>100074918</t>
  </si>
  <si>
    <t>100074922</t>
  </si>
  <si>
    <t>100074985</t>
  </si>
  <si>
    <t>100075001</t>
  </si>
  <si>
    <t>9100002290</t>
  </si>
  <si>
    <t>100081799</t>
  </si>
  <si>
    <t>20191231</t>
  </si>
  <si>
    <t>100081800</t>
  </si>
  <si>
    <t>100081801</t>
  </si>
  <si>
    <t>100081802</t>
  </si>
  <si>
    <t>100081803</t>
  </si>
  <si>
    <t>100081804</t>
  </si>
  <si>
    <t>100081805</t>
  </si>
  <si>
    <t>100081806</t>
  </si>
  <si>
    <t>100081807</t>
  </si>
  <si>
    <t>100081818</t>
  </si>
  <si>
    <t>100081819</t>
  </si>
  <si>
    <t>100081842</t>
  </si>
  <si>
    <t>100081846</t>
  </si>
  <si>
    <t>100081896</t>
  </si>
  <si>
    <t>100081906</t>
  </si>
  <si>
    <t>9100002568</t>
  </si>
  <si>
    <t>89801-20</t>
  </si>
  <si>
    <t>INV#M2072134-000 Reclass</t>
  </si>
  <si>
    <t>100008102</t>
  </si>
  <si>
    <t>100008061</t>
  </si>
  <si>
    <t>100008066</t>
  </si>
  <si>
    <t>100010148</t>
  </si>
  <si>
    <t>$82M Unamortized Loss Due 2014 (ST)</t>
  </si>
  <si>
    <t>100010149</t>
  </si>
  <si>
    <t>100010184</t>
  </si>
  <si>
    <t>40650-PD0014</t>
  </si>
  <si>
    <t>Int Exp 2011-14 Refunded Bonds</t>
  </si>
  <si>
    <t>100022182</t>
  </si>
  <si>
    <t>100022207</t>
  </si>
  <si>
    <t>$85.95M Arbitrage Loss Due 2014 (ST)</t>
  </si>
  <si>
    <t>100022209</t>
  </si>
  <si>
    <t>$85.95M Unamortized Loss Due 2014 (ST)</t>
  </si>
  <si>
    <t>100022210</t>
  </si>
  <si>
    <t>100022211</t>
  </si>
  <si>
    <t>100022212</t>
  </si>
  <si>
    <t>100031027</t>
  </si>
  <si>
    <t>100031052</t>
  </si>
  <si>
    <t>100031054</t>
  </si>
  <si>
    <t>100031055</t>
  </si>
  <si>
    <t>100031056</t>
  </si>
  <si>
    <t>100031057</t>
  </si>
  <si>
    <t>100039282</t>
  </si>
  <si>
    <t>100039307</t>
  </si>
  <si>
    <t>100039309</t>
  </si>
  <si>
    <t>100039310</t>
  </si>
  <si>
    <t>100039311</t>
  </si>
  <si>
    <t>100039316</t>
  </si>
  <si>
    <t>100047628</t>
  </si>
  <si>
    <t>100047653</t>
  </si>
  <si>
    <t>100047655</t>
  </si>
  <si>
    <t>100047656</t>
  </si>
  <si>
    <t>100047657</t>
  </si>
  <si>
    <t>100047662</t>
  </si>
  <si>
    <t>100056908</t>
  </si>
  <si>
    <t>100056933</t>
  </si>
  <si>
    <t>100056935</t>
  </si>
  <si>
    <t>100056936</t>
  </si>
  <si>
    <t>100056937</t>
  </si>
  <si>
    <t>100056942</t>
  </si>
  <si>
    <t>100067626</t>
  </si>
  <si>
    <t>100067651</t>
  </si>
  <si>
    <t>100067653</t>
  </si>
  <si>
    <t>100067654</t>
  </si>
  <si>
    <t>100067655</t>
  </si>
  <si>
    <t>100067660</t>
  </si>
  <si>
    <t>100074543</t>
  </si>
  <si>
    <t>100074568</t>
  </si>
  <si>
    <t>100074570</t>
  </si>
  <si>
    <t>100074571</t>
  </si>
  <si>
    <t>100074572</t>
  </si>
  <si>
    <t>100074577</t>
  </si>
  <si>
    <t>100084220</t>
  </si>
  <si>
    <t>100084245</t>
  </si>
  <si>
    <t>100084247</t>
  </si>
  <si>
    <t>100084248</t>
  </si>
  <si>
    <t>100090874</t>
  </si>
  <si>
    <t>100090899</t>
  </si>
  <si>
    <t>100090901</t>
  </si>
  <si>
    <t>100090902</t>
  </si>
  <si>
    <t>100099929</t>
  </si>
  <si>
    <t>100099954</t>
  </si>
  <si>
    <t>100099956</t>
  </si>
  <si>
    <t>100099957</t>
  </si>
  <si>
    <t>100008605</t>
  </si>
  <si>
    <t>100008628</t>
  </si>
  <si>
    <t>100008630</t>
  </si>
  <si>
    <t>100008631</t>
  </si>
  <si>
    <t>100016164</t>
  </si>
  <si>
    <t>100016166</t>
  </si>
  <si>
    <t>100006053</t>
  </si>
  <si>
    <t>$54.2M Unamortized Loss Due 2018 (ST)</t>
  </si>
  <si>
    <t>100012422</t>
  </si>
  <si>
    <t>100020447</t>
  </si>
  <si>
    <t>100027634</t>
  </si>
  <si>
    <t>100035794</t>
  </si>
  <si>
    <t>100046542</t>
  </si>
  <si>
    <t>100052890</t>
  </si>
  <si>
    <t>100060325</t>
  </si>
  <si>
    <t>100066839</t>
  </si>
  <si>
    <t>100074038</t>
  </si>
  <si>
    <t>100080526</t>
  </si>
  <si>
    <t>100087607</t>
  </si>
  <si>
    <t>100041391</t>
  </si>
  <si>
    <t>$54.2M 2018 Bonds Rounding Adjustment</t>
  </si>
  <si>
    <t>100008041</t>
  </si>
  <si>
    <t>100008042</t>
  </si>
  <si>
    <t>100008043</t>
  </si>
  <si>
    <t>100008044</t>
  </si>
  <si>
    <t>100008045</t>
  </si>
  <si>
    <t>100008046</t>
  </si>
  <si>
    <t>100008047</t>
  </si>
  <si>
    <t>100008048</t>
  </si>
  <si>
    <t>100008049</t>
  </si>
  <si>
    <t>100008050</t>
  </si>
  <si>
    <t>100008051</t>
  </si>
  <si>
    <t>100008052</t>
  </si>
  <si>
    <t>100008053</t>
  </si>
  <si>
    <t>100008054</t>
  </si>
  <si>
    <t>100008055</t>
  </si>
  <si>
    <t>100008056</t>
  </si>
  <si>
    <t>100008057</t>
  </si>
  <si>
    <t>100008058</t>
  </si>
  <si>
    <t>100008059</t>
  </si>
  <si>
    <t>100008060</t>
  </si>
  <si>
    <t>100008062</t>
  </si>
  <si>
    <t>100008064</t>
  </si>
  <si>
    <t>100008065</t>
  </si>
  <si>
    <t>100010124</t>
  </si>
  <si>
    <t>100010125</t>
  </si>
  <si>
    <t>100010126</t>
  </si>
  <si>
    <t>100010127</t>
  </si>
  <si>
    <t>100010128</t>
  </si>
  <si>
    <t>100010129</t>
  </si>
  <si>
    <t>100010130</t>
  </si>
  <si>
    <t>100010131</t>
  </si>
  <si>
    <t>100010146</t>
  </si>
  <si>
    <t>100010147</t>
  </si>
  <si>
    <t>100022189</t>
  </si>
  <si>
    <t>100022190</t>
  </si>
  <si>
    <t>100022191</t>
  </si>
  <si>
    <t>100022192</t>
  </si>
  <si>
    <t>100022193</t>
  </si>
  <si>
    <t>100022194</t>
  </si>
  <si>
    <t>100022195</t>
  </si>
  <si>
    <t>100022196</t>
  </si>
  <si>
    <t>100022197</t>
  </si>
  <si>
    <t>100022198</t>
  </si>
  <si>
    <t>100022199</t>
  </si>
  <si>
    <t>100022200</t>
  </si>
  <si>
    <t>100022201</t>
  </si>
  <si>
    <t>100022202</t>
  </si>
  <si>
    <t>100022203</t>
  </si>
  <si>
    <t>100022204</t>
  </si>
  <si>
    <t>100022205</t>
  </si>
  <si>
    <t>100022206</t>
  </si>
  <si>
    <t>100022208</t>
  </si>
  <si>
    <t>100022213</t>
  </si>
  <si>
    <t>100031034</t>
  </si>
  <si>
    <t>100031035</t>
  </si>
  <si>
    <t>100031036</t>
  </si>
  <si>
    <t>100031037</t>
  </si>
  <si>
    <t>100031038</t>
  </si>
  <si>
    <t>100031039</t>
  </si>
  <si>
    <t>100031040</t>
  </si>
  <si>
    <t>100031041</t>
  </si>
  <si>
    <t>100031042</t>
  </si>
  <si>
    <t>100031043</t>
  </si>
  <si>
    <t>100031044</t>
  </si>
  <si>
    <t>100031045</t>
  </si>
  <si>
    <t>100031046</t>
  </si>
  <si>
    <t>100031047</t>
  </si>
  <si>
    <t>100031048</t>
  </si>
  <si>
    <t>100031049</t>
  </si>
  <si>
    <t>100031050</t>
  </si>
  <si>
    <t>100031051</t>
  </si>
  <si>
    <t>100031053</t>
  </si>
  <si>
    <t>100031058</t>
  </si>
  <si>
    <t>100039289</t>
  </si>
  <si>
    <t>100039290</t>
  </si>
  <si>
    <t>100039291</t>
  </si>
  <si>
    <t>100039292</t>
  </si>
  <si>
    <t>100039293</t>
  </si>
  <si>
    <t>100039294</t>
  </si>
  <si>
    <t>100039295</t>
  </si>
  <si>
    <t>100039296</t>
  </si>
  <si>
    <t>100039297</t>
  </si>
  <si>
    <t>100039298</t>
  </si>
  <si>
    <t>100039299</t>
  </si>
  <si>
    <t>100039300</t>
  </si>
  <si>
    <t>100039301</t>
  </si>
  <si>
    <t>100039302</t>
  </si>
  <si>
    <t>100039303</t>
  </si>
  <si>
    <t>100039304</t>
  </si>
  <si>
    <t>100039305</t>
  </si>
  <si>
    <t>100039306</t>
  </si>
  <si>
    <t>100039308</t>
  </si>
  <si>
    <t>100039312</t>
  </si>
  <si>
    <t>$82M Unamortized Loss due 2014 (LT)</t>
  </si>
  <si>
    <t>100047635</t>
  </si>
  <si>
    <t>100047636</t>
  </si>
  <si>
    <t>100047637</t>
  </si>
  <si>
    <t>100047638</t>
  </si>
  <si>
    <t>100047639</t>
  </si>
  <si>
    <t>100047640</t>
  </si>
  <si>
    <t>100047641</t>
  </si>
  <si>
    <t>100047642</t>
  </si>
  <si>
    <t>100047643</t>
  </si>
  <si>
    <t>100047644</t>
  </si>
  <si>
    <t>100047645</t>
  </si>
  <si>
    <t>100047646</t>
  </si>
  <si>
    <t>100047647</t>
  </si>
  <si>
    <t>100047648</t>
  </si>
  <si>
    <t>100047649</t>
  </si>
  <si>
    <t>100047650</t>
  </si>
  <si>
    <t>100047651</t>
  </si>
  <si>
    <t>100047652</t>
  </si>
  <si>
    <t>100047654</t>
  </si>
  <si>
    <t>100047658</t>
  </si>
  <si>
    <t>100056915</t>
  </si>
  <si>
    <t>100056916</t>
  </si>
  <si>
    <t>100056917</t>
  </si>
  <si>
    <t>100056918</t>
  </si>
  <si>
    <t>100056919</t>
  </si>
  <si>
    <t>100056920</t>
  </si>
  <si>
    <t>100056921</t>
  </si>
  <si>
    <t>100056922</t>
  </si>
  <si>
    <t>100056923</t>
  </si>
  <si>
    <t>100056924</t>
  </si>
  <si>
    <t>100056925</t>
  </si>
  <si>
    <t>100056926</t>
  </si>
  <si>
    <t>100056927</t>
  </si>
  <si>
    <t>100056928</t>
  </si>
  <si>
    <t>100056929</t>
  </si>
  <si>
    <t>100056930</t>
  </si>
  <si>
    <t>100056931</t>
  </si>
  <si>
    <t>100056932</t>
  </si>
  <si>
    <t>100056934</t>
  </si>
  <si>
    <t>100056938</t>
  </si>
  <si>
    <t>100067633</t>
  </si>
  <si>
    <t>100067634</t>
  </si>
  <si>
    <t>100067635</t>
  </si>
  <si>
    <t>100067636</t>
  </si>
  <si>
    <t>100067637</t>
  </si>
  <si>
    <t>100067638</t>
  </si>
  <si>
    <t>100067639</t>
  </si>
  <si>
    <t>100067640</t>
  </si>
  <si>
    <t>100067641</t>
  </si>
  <si>
    <t>100067642</t>
  </si>
  <si>
    <t>100067643</t>
  </si>
  <si>
    <t>100067644</t>
  </si>
  <si>
    <t>100067645</t>
  </si>
  <si>
    <t>100067646</t>
  </si>
  <si>
    <t>100067647</t>
  </si>
  <si>
    <t>100067648</t>
  </si>
  <si>
    <t>100067649</t>
  </si>
  <si>
    <t>100067650</t>
  </si>
  <si>
    <t>100067652</t>
  </si>
  <si>
    <t>100067656</t>
  </si>
  <si>
    <t>100074550</t>
  </si>
  <si>
    <t>100074551</t>
  </si>
  <si>
    <t>100074552</t>
  </si>
  <si>
    <t>100074553</t>
  </si>
  <si>
    <t>100074554</t>
  </si>
  <si>
    <t>100074555</t>
  </si>
  <si>
    <t>100074556</t>
  </si>
  <si>
    <t>100074557</t>
  </si>
  <si>
    <t>100074558</t>
  </si>
  <si>
    <t>100074559</t>
  </si>
  <si>
    <t>100074560</t>
  </si>
  <si>
    <t>100074561</t>
  </si>
  <si>
    <t>100074562</t>
  </si>
  <si>
    <t>100074563</t>
  </si>
  <si>
    <t>100074564</t>
  </si>
  <si>
    <t>100074565</t>
  </si>
  <si>
    <t>100074566</t>
  </si>
  <si>
    <t>100074567</t>
  </si>
  <si>
    <t>100074569</t>
  </si>
  <si>
    <t>100074573</t>
  </si>
  <si>
    <t>100084227</t>
  </si>
  <si>
    <t>100084228</t>
  </si>
  <si>
    <t>100084229</t>
  </si>
  <si>
    <t>100084230</t>
  </si>
  <si>
    <t>100084231</t>
  </si>
  <si>
    <t>100084232</t>
  </si>
  <si>
    <t>100084233</t>
  </si>
  <si>
    <t>100084234</t>
  </si>
  <si>
    <t>100084235</t>
  </si>
  <si>
    <t>100084236</t>
  </si>
  <si>
    <t>100084237</t>
  </si>
  <si>
    <t>100084238</t>
  </si>
  <si>
    <t>100084239</t>
  </si>
  <si>
    <t>100084240</t>
  </si>
  <si>
    <t>100084241</t>
  </si>
  <si>
    <t>100084242</t>
  </si>
  <si>
    <t>100084243</t>
  </si>
  <si>
    <t>100084244</t>
  </si>
  <si>
    <t>100084246</t>
  </si>
  <si>
    <t>100084249</t>
  </si>
  <si>
    <t>100090881</t>
  </si>
  <si>
    <t>100090882</t>
  </si>
  <si>
    <t>100090883</t>
  </si>
  <si>
    <t>100090884</t>
  </si>
  <si>
    <t>100090885</t>
  </si>
  <si>
    <t>100090886</t>
  </si>
  <si>
    <t>100090887</t>
  </si>
  <si>
    <t>100090888</t>
  </si>
  <si>
    <t>100090889</t>
  </si>
  <si>
    <t>100090890</t>
  </si>
  <si>
    <t>100090891</t>
  </si>
  <si>
    <t>100090892</t>
  </si>
  <si>
    <t>100090893</t>
  </si>
  <si>
    <t>100090894</t>
  </si>
  <si>
    <t>100090895</t>
  </si>
  <si>
    <t>100090896</t>
  </si>
  <si>
    <t>100090897</t>
  </si>
  <si>
    <t>100090898</t>
  </si>
  <si>
    <t>100090900</t>
  </si>
  <si>
    <t>100090903</t>
  </si>
  <si>
    <t>100099936</t>
  </si>
  <si>
    <t>100099937</t>
  </si>
  <si>
    <t>100099938</t>
  </si>
  <si>
    <t>100099939</t>
  </si>
  <si>
    <t>100099940</t>
  </si>
  <si>
    <t>100099941</t>
  </si>
  <si>
    <t>100099942</t>
  </si>
  <si>
    <t>100099943</t>
  </si>
  <si>
    <t>100099944</t>
  </si>
  <si>
    <t>100099945</t>
  </si>
  <si>
    <t>100099946</t>
  </si>
  <si>
    <t>100099947</t>
  </si>
  <si>
    <t>100099948</t>
  </si>
  <si>
    <t>100099949</t>
  </si>
  <si>
    <t>100099950</t>
  </si>
  <si>
    <t>100099951</t>
  </si>
  <si>
    <t>100099952</t>
  </si>
  <si>
    <t>100099953</t>
  </si>
  <si>
    <t>100099955</t>
  </si>
  <si>
    <t>100099958</t>
  </si>
  <si>
    <t>100008610</t>
  </si>
  <si>
    <t>100008611</t>
  </si>
  <si>
    <t>100008612</t>
  </si>
  <si>
    <t>100008613</t>
  </si>
  <si>
    <t>100008614</t>
  </si>
  <si>
    <t>100008615</t>
  </si>
  <si>
    <t>100008616</t>
  </si>
  <si>
    <t>100008617</t>
  </si>
  <si>
    <t>100008618</t>
  </si>
  <si>
    <t>100008619</t>
  </si>
  <si>
    <t>100008620</t>
  </si>
  <si>
    <t>100008621</t>
  </si>
  <si>
    <t>100008622</t>
  </si>
  <si>
    <t>100008623</t>
  </si>
  <si>
    <t>100008624</t>
  </si>
  <si>
    <t>100008625</t>
  </si>
  <si>
    <t>100008626</t>
  </si>
  <si>
    <t>100008627</t>
  </si>
  <si>
    <t>100008629</t>
  </si>
  <si>
    <t>100008632</t>
  </si>
  <si>
    <t>100016146</t>
  </si>
  <si>
    <t>100016147</t>
  </si>
  <si>
    <t>100016148</t>
  </si>
  <si>
    <t>100016149</t>
  </si>
  <si>
    <t>100016150</t>
  </si>
  <si>
    <t>100016151</t>
  </si>
  <si>
    <t>100016152</t>
  </si>
  <si>
    <t>100016153</t>
  </si>
  <si>
    <t>100016154</t>
  </si>
  <si>
    <t>100016155</t>
  </si>
  <si>
    <t>100016156</t>
  </si>
  <si>
    <t>100016157</t>
  </si>
  <si>
    <t>100016158</t>
  </si>
  <si>
    <t>100016159</t>
  </si>
  <si>
    <t>100016160</t>
  </si>
  <si>
    <t>100016161</t>
  </si>
  <si>
    <t>100016162</t>
  </si>
  <si>
    <t>100016163</t>
  </si>
  <si>
    <t>100016165</t>
  </si>
  <si>
    <t>100016167</t>
  </si>
  <si>
    <t>100023513</t>
  </si>
  <si>
    <t>100023514</t>
  </si>
  <si>
    <t>100023515</t>
  </si>
  <si>
    <t>100023516</t>
  </si>
  <si>
    <t>100023517</t>
  </si>
  <si>
    <t>100023518</t>
  </si>
  <si>
    <t>100023519</t>
  </si>
  <si>
    <t>100023520</t>
  </si>
  <si>
    <t>100023521</t>
  </si>
  <si>
    <t>100023522</t>
  </si>
  <si>
    <t>100023523</t>
  </si>
  <si>
    <t>100023524</t>
  </si>
  <si>
    <t>100023525</t>
  </si>
  <si>
    <t>100023526</t>
  </si>
  <si>
    <t>100023527</t>
  </si>
  <si>
    <t>100023528</t>
  </si>
  <si>
    <t>100023529</t>
  </si>
  <si>
    <t>100023530</t>
  </si>
  <si>
    <t>100023531</t>
  </si>
  <si>
    <t>100023532</t>
  </si>
  <si>
    <t>100032838</t>
  </si>
  <si>
    <t>100032839</t>
  </si>
  <si>
    <t>100032840</t>
  </si>
  <si>
    <t>100032841</t>
  </si>
  <si>
    <t>100032842</t>
  </si>
  <si>
    <t>100032843</t>
  </si>
  <si>
    <t>100032844</t>
  </si>
  <si>
    <t>100032845</t>
  </si>
  <si>
    <t>100032846</t>
  </si>
  <si>
    <t>100032847</t>
  </si>
  <si>
    <t>100032848</t>
  </si>
  <si>
    <t>100032849</t>
  </si>
  <si>
    <t>100032850</t>
  </si>
  <si>
    <t>100032851</t>
  </si>
  <si>
    <t>100032852</t>
  </si>
  <si>
    <t>100032853</t>
  </si>
  <si>
    <t>100032854</t>
  </si>
  <si>
    <t>100032855</t>
  </si>
  <si>
    <t>100032856</t>
  </si>
  <si>
    <t>100032857</t>
  </si>
  <si>
    <t>100041442</t>
  </si>
  <si>
    <t>100041443</t>
  </si>
  <si>
    <t>100041444</t>
  </si>
  <si>
    <t>100041445</t>
  </si>
  <si>
    <t>100041446</t>
  </si>
  <si>
    <t>100041447</t>
  </si>
  <si>
    <t>100041448</t>
  </si>
  <si>
    <t>100041449</t>
  </si>
  <si>
    <t>100041450</t>
  </si>
  <si>
    <t>100041451</t>
  </si>
  <si>
    <t>100041452</t>
  </si>
  <si>
    <t>100041453</t>
  </si>
  <si>
    <t>100041454</t>
  </si>
  <si>
    <t>100041455</t>
  </si>
  <si>
    <t>100041456</t>
  </si>
  <si>
    <t>100041457</t>
  </si>
  <si>
    <t>100041458</t>
  </si>
  <si>
    <t>100041459</t>
  </si>
  <si>
    <t>100041460</t>
  </si>
  <si>
    <t>100041461</t>
  </si>
  <si>
    <t>100048879</t>
  </si>
  <si>
    <t>100048880</t>
  </si>
  <si>
    <t>100048881</t>
  </si>
  <si>
    <t>100048882</t>
  </si>
  <si>
    <t>100048883</t>
  </si>
  <si>
    <t>100048884</t>
  </si>
  <si>
    <t>100048885</t>
  </si>
  <si>
    <t>100048886</t>
  </si>
  <si>
    <t>100048887</t>
  </si>
  <si>
    <t>100048888</t>
  </si>
  <si>
    <t>100048889</t>
  </si>
  <si>
    <t>100048890</t>
  </si>
  <si>
    <t>100048891</t>
  </si>
  <si>
    <t>100048892</t>
  </si>
  <si>
    <t>100048893</t>
  </si>
  <si>
    <t>100048894</t>
  </si>
  <si>
    <t>100048895</t>
  </si>
  <si>
    <t>100048896</t>
  </si>
  <si>
    <t>100048897</t>
  </si>
  <si>
    <t>100048898</t>
  </si>
  <si>
    <t>100058367</t>
  </si>
  <si>
    <t>100058368</t>
  </si>
  <si>
    <t>100058369</t>
  </si>
  <si>
    <t>100058370</t>
  </si>
  <si>
    <t>100058371</t>
  </si>
  <si>
    <t>100058372</t>
  </si>
  <si>
    <t>100058373</t>
  </si>
  <si>
    <t>100058374</t>
  </si>
  <si>
    <t>100058375</t>
  </si>
  <si>
    <t>100058376</t>
  </si>
  <si>
    <t>100058377</t>
  </si>
  <si>
    <t>100058378</t>
  </si>
  <si>
    <t>100058379</t>
  </si>
  <si>
    <t>100058380</t>
  </si>
  <si>
    <t>100058381</t>
  </si>
  <si>
    <t>100058382</t>
  </si>
  <si>
    <t>100058383</t>
  </si>
  <si>
    <t>100058384</t>
  </si>
  <si>
    <t>100058385</t>
  </si>
  <si>
    <t>100058386</t>
  </si>
  <si>
    <t>100068426</t>
  </si>
  <si>
    <t>100068427</t>
  </si>
  <si>
    <t>100068428</t>
  </si>
  <si>
    <t>100068429</t>
  </si>
  <si>
    <t>100068430</t>
  </si>
  <si>
    <t>100068431</t>
  </si>
  <si>
    <t>100068432</t>
  </si>
  <si>
    <t>100068433</t>
  </si>
  <si>
    <t>100068434</t>
  </si>
  <si>
    <t>100068435</t>
  </si>
  <si>
    <t>100068436</t>
  </si>
  <si>
    <t>100068437</t>
  </si>
  <si>
    <t>100068438</t>
  </si>
  <si>
    <t>100068439</t>
  </si>
  <si>
    <t>100068440</t>
  </si>
  <si>
    <t>100068441</t>
  </si>
  <si>
    <t>100068442</t>
  </si>
  <si>
    <t>100068443</t>
  </si>
  <si>
    <t>100068444</t>
  </si>
  <si>
    <t>100068445</t>
  </si>
  <si>
    <t>100076065</t>
  </si>
  <si>
    <t>100076066</t>
  </si>
  <si>
    <t>100076067</t>
  </si>
  <si>
    <t>100076068</t>
  </si>
  <si>
    <t>100076069</t>
  </si>
  <si>
    <t>100076070</t>
  </si>
  <si>
    <t>100076071</t>
  </si>
  <si>
    <t>100076072</t>
  </si>
  <si>
    <t>100076073</t>
  </si>
  <si>
    <t>100076074</t>
  </si>
  <si>
    <t>100076075</t>
  </si>
  <si>
    <t>100076076</t>
  </si>
  <si>
    <t>100076077</t>
  </si>
  <si>
    <t>100076078</t>
  </si>
  <si>
    <t>100076079</t>
  </si>
  <si>
    <t>100076080</t>
  </si>
  <si>
    <t>100076081</t>
  </si>
  <si>
    <t>100076082</t>
  </si>
  <si>
    <t>100076083</t>
  </si>
  <si>
    <t>100076084</t>
  </si>
  <si>
    <t>100086010</t>
  </si>
  <si>
    <t>100086011</t>
  </si>
  <si>
    <t>100086012</t>
  </si>
  <si>
    <t>100086013</t>
  </si>
  <si>
    <t>100086014</t>
  </si>
  <si>
    <t>100086015</t>
  </si>
  <si>
    <t>100086016</t>
  </si>
  <si>
    <t>100086017</t>
  </si>
  <si>
    <t>100086018</t>
  </si>
  <si>
    <t>100086019</t>
  </si>
  <si>
    <t>100086020</t>
  </si>
  <si>
    <t>100086021</t>
  </si>
  <si>
    <t>100086022</t>
  </si>
  <si>
    <t>100086023</t>
  </si>
  <si>
    <t>100086024</t>
  </si>
  <si>
    <t>100086025</t>
  </si>
  <si>
    <t>100086026</t>
  </si>
  <si>
    <t>100086027</t>
  </si>
  <si>
    <t>100086028</t>
  </si>
  <si>
    <t>100086029</t>
  </si>
  <si>
    <t>100093464</t>
  </si>
  <si>
    <t>100093465</t>
  </si>
  <si>
    <t>100093466</t>
  </si>
  <si>
    <t>100093467</t>
  </si>
  <si>
    <t>100093468</t>
  </si>
  <si>
    <t>100093469</t>
  </si>
  <si>
    <t>100093470</t>
  </si>
  <si>
    <t>100093471</t>
  </si>
  <si>
    <t>100093472</t>
  </si>
  <si>
    <t>100093473</t>
  </si>
  <si>
    <t>100093474</t>
  </si>
  <si>
    <t>100093475</t>
  </si>
  <si>
    <t>100093476</t>
  </si>
  <si>
    <t>100093477</t>
  </si>
  <si>
    <t>100093478</t>
  </si>
  <si>
    <t>100093479</t>
  </si>
  <si>
    <t>100093480</t>
  </si>
  <si>
    <t>100093481</t>
  </si>
  <si>
    <t>100093482</t>
  </si>
  <si>
    <t>100093483</t>
  </si>
  <si>
    <t>100102819</t>
  </si>
  <si>
    <t>100102820</t>
  </si>
  <si>
    <t>100102821</t>
  </si>
  <si>
    <t>100102822</t>
  </si>
  <si>
    <t>100102823</t>
  </si>
  <si>
    <t>100102824</t>
  </si>
  <si>
    <t>100102825</t>
  </si>
  <si>
    <t>100102826</t>
  </si>
  <si>
    <t>100102827</t>
  </si>
  <si>
    <t>100102828</t>
  </si>
  <si>
    <t>100102829</t>
  </si>
  <si>
    <t>100102830</t>
  </si>
  <si>
    <t>100102831</t>
  </si>
  <si>
    <t>100102832</t>
  </si>
  <si>
    <t>100102833</t>
  </si>
  <si>
    <t>100102834</t>
  </si>
  <si>
    <t>100102835</t>
  </si>
  <si>
    <t>100102836</t>
  </si>
  <si>
    <t>100102837</t>
  </si>
  <si>
    <t>100102838</t>
  </si>
  <si>
    <t>100007823</t>
  </si>
  <si>
    <t>100007824</t>
  </si>
  <si>
    <t>100007825</t>
  </si>
  <si>
    <t>100007826</t>
  </si>
  <si>
    <t>100007827</t>
  </si>
  <si>
    <t>100007828</t>
  </si>
  <si>
    <t>100007829</t>
  </si>
  <si>
    <t>100007830</t>
  </si>
  <si>
    <t>100007831</t>
  </si>
  <si>
    <t>100007832</t>
  </si>
  <si>
    <t>100007833</t>
  </si>
  <si>
    <t>100007834</t>
  </si>
  <si>
    <t>100007835</t>
  </si>
  <si>
    <t>100007836</t>
  </si>
  <si>
    <t>100007837</t>
  </si>
  <si>
    <t>100007838</t>
  </si>
  <si>
    <t>100007839</t>
  </si>
  <si>
    <t>100007840</t>
  </si>
  <si>
    <t>100007841</t>
  </si>
  <si>
    <t>100007842</t>
  </si>
  <si>
    <t>100015716</t>
  </si>
  <si>
    <t>100015717</t>
  </si>
  <si>
    <t>100015718</t>
  </si>
  <si>
    <t>100015719</t>
  </si>
  <si>
    <t>100015720</t>
  </si>
  <si>
    <t>100015721</t>
  </si>
  <si>
    <t>100015722</t>
  </si>
  <si>
    <t>100015723</t>
  </si>
  <si>
    <t>100015724</t>
  </si>
  <si>
    <t>100015725</t>
  </si>
  <si>
    <t>100015726</t>
  </si>
  <si>
    <t>100015727</t>
  </si>
  <si>
    <t>100015728</t>
  </si>
  <si>
    <t>100015729</t>
  </si>
  <si>
    <t>100015730</t>
  </si>
  <si>
    <t>100015731</t>
  </si>
  <si>
    <t>100015732</t>
  </si>
  <si>
    <t>100015733</t>
  </si>
  <si>
    <t>100015734</t>
  </si>
  <si>
    <t>100015735</t>
  </si>
  <si>
    <t>100024498</t>
  </si>
  <si>
    <t>100024499</t>
  </si>
  <si>
    <t>100024500</t>
  </si>
  <si>
    <t>100024501</t>
  </si>
  <si>
    <t>100024502</t>
  </si>
  <si>
    <t>100024503</t>
  </si>
  <si>
    <t>100024504</t>
  </si>
  <si>
    <t>100024505</t>
  </si>
  <si>
    <t>100024506</t>
  </si>
  <si>
    <t>100024507</t>
  </si>
  <si>
    <t>100024508</t>
  </si>
  <si>
    <t>100024509</t>
  </si>
  <si>
    <t>100024510</t>
  </si>
  <si>
    <t>100024511</t>
  </si>
  <si>
    <t>100024512</t>
  </si>
  <si>
    <t>100024513</t>
  </si>
  <si>
    <t>100024514</t>
  </si>
  <si>
    <t>100024515</t>
  </si>
  <si>
    <t>100024516</t>
  </si>
  <si>
    <t>100024517</t>
  </si>
  <si>
    <t>100033435</t>
  </si>
  <si>
    <t>100033436</t>
  </si>
  <si>
    <t>100033437</t>
  </si>
  <si>
    <t>100033438</t>
  </si>
  <si>
    <t>100033439</t>
  </si>
  <si>
    <t>100033440</t>
  </si>
  <si>
    <t>100033441</t>
  </si>
  <si>
    <t>100033442</t>
  </si>
  <si>
    <t>100033443</t>
  </si>
  <si>
    <t>100033444</t>
  </si>
  <si>
    <t>100033445</t>
  </si>
  <si>
    <t>100033446</t>
  </si>
  <si>
    <t>100033447</t>
  </si>
  <si>
    <t>100033448</t>
  </si>
  <si>
    <t>100033449</t>
  </si>
  <si>
    <t>100033450</t>
  </si>
  <si>
    <t>100033451</t>
  </si>
  <si>
    <t>100033452</t>
  </si>
  <si>
    <t>100033453</t>
  </si>
  <si>
    <t>100033454</t>
  </si>
  <si>
    <t>100041683</t>
  </si>
  <si>
    <t>100041684</t>
  </si>
  <si>
    <t>100041685</t>
  </si>
  <si>
    <t>100041686</t>
  </si>
  <si>
    <t>100041687</t>
  </si>
  <si>
    <t>100041688</t>
  </si>
  <si>
    <t>100041689</t>
  </si>
  <si>
    <t>100041690</t>
  </si>
  <si>
    <t>100041691</t>
  </si>
  <si>
    <t>100041692</t>
  </si>
  <si>
    <t>100041693</t>
  </si>
  <si>
    <t>100041694</t>
  </si>
  <si>
    <t>100041695</t>
  </si>
  <si>
    <t>100041696</t>
  </si>
  <si>
    <t>100041697</t>
  </si>
  <si>
    <t>100041698</t>
  </si>
  <si>
    <t>100041699</t>
  </si>
  <si>
    <t>100041700</t>
  </si>
  <si>
    <t>100041701</t>
  </si>
  <si>
    <t>100041702</t>
  </si>
  <si>
    <t>100047117</t>
  </si>
  <si>
    <t>100047118</t>
  </si>
  <si>
    <t>100047119</t>
  </si>
  <si>
    <t>100047120</t>
  </si>
  <si>
    <t>100047121</t>
  </si>
  <si>
    <t>100047122</t>
  </si>
  <si>
    <t>100047123</t>
  </si>
  <si>
    <t>100047124</t>
  </si>
  <si>
    <t>100047125</t>
  </si>
  <si>
    <t>100047126</t>
  </si>
  <si>
    <t>100047127</t>
  </si>
  <si>
    <t>100047128</t>
  </si>
  <si>
    <t>100047129</t>
  </si>
  <si>
    <t>100047130</t>
  </si>
  <si>
    <t>100047131</t>
  </si>
  <si>
    <t>100047132</t>
  </si>
  <si>
    <t>100047133</t>
  </si>
  <si>
    <t>100047134</t>
  </si>
  <si>
    <t>100047135</t>
  </si>
  <si>
    <t>100047136</t>
  </si>
  <si>
    <t>100062027</t>
  </si>
  <si>
    <t>100062028</t>
  </si>
  <si>
    <t>100062029</t>
  </si>
  <si>
    <t>100062030</t>
  </si>
  <si>
    <t>100062031</t>
  </si>
  <si>
    <t>100062032</t>
  </si>
  <si>
    <t>100062033</t>
  </si>
  <si>
    <t>100062034</t>
  </si>
  <si>
    <t>100062035</t>
  </si>
  <si>
    <t>100062036</t>
  </si>
  <si>
    <t>100062037</t>
  </si>
  <si>
    <t>100062038</t>
  </si>
  <si>
    <t>100062039</t>
  </si>
  <si>
    <t>100062040</t>
  </si>
  <si>
    <t>100062042</t>
  </si>
  <si>
    <t>100062043</t>
  </si>
  <si>
    <t>100062044</t>
  </si>
  <si>
    <t>100062046</t>
  </si>
  <si>
    <t>100070976</t>
  </si>
  <si>
    <t>100070977</t>
  </si>
  <si>
    <t>100070978</t>
  </si>
  <si>
    <t>100070979</t>
  </si>
  <si>
    <t>100070980</t>
  </si>
  <si>
    <t>100070981</t>
  </si>
  <si>
    <t>100070982</t>
  </si>
  <si>
    <t>100070983</t>
  </si>
  <si>
    <t>100070984</t>
  </si>
  <si>
    <t>100070985</t>
  </si>
  <si>
    <t>100070986</t>
  </si>
  <si>
    <t>100070987</t>
  </si>
  <si>
    <t>100070988</t>
  </si>
  <si>
    <t>100070989</t>
  </si>
  <si>
    <t>100070990</t>
  </si>
  <si>
    <t>100070991</t>
  </si>
  <si>
    <t>100070992</t>
  </si>
  <si>
    <t>100070993</t>
  </si>
  <si>
    <t>100070994</t>
  </si>
  <si>
    <t>100070995</t>
  </si>
  <si>
    <t>100080788</t>
  </si>
  <si>
    <t>100080789</t>
  </si>
  <si>
    <t>100080790</t>
  </si>
  <si>
    <t>100080791</t>
  </si>
  <si>
    <t>100080792</t>
  </si>
  <si>
    <t>100080793</t>
  </si>
  <si>
    <t>100080794</t>
  </si>
  <si>
    <t>100080795</t>
  </si>
  <si>
    <t>100080796</t>
  </si>
  <si>
    <t>100080797</t>
  </si>
  <si>
    <t>100080798</t>
  </si>
  <si>
    <t>100080799</t>
  </si>
  <si>
    <t>100080800</t>
  </si>
  <si>
    <t>100080801</t>
  </si>
  <si>
    <t>100080802</t>
  </si>
  <si>
    <t>100080803</t>
  </si>
  <si>
    <t>100080804</t>
  </si>
  <si>
    <t>100080805</t>
  </si>
  <si>
    <t>100080806</t>
  </si>
  <si>
    <t>100080807</t>
  </si>
  <si>
    <t>100092416</t>
  </si>
  <si>
    <t>100092417</t>
  </si>
  <si>
    <t>100092418</t>
  </si>
  <si>
    <t>100092419</t>
  </si>
  <si>
    <t>100092420</t>
  </si>
  <si>
    <t>100092421</t>
  </si>
  <si>
    <t>100092422</t>
  </si>
  <si>
    <t>100092423</t>
  </si>
  <si>
    <t>100092424</t>
  </si>
  <si>
    <t>100092425</t>
  </si>
  <si>
    <t>100092426</t>
  </si>
  <si>
    <t>100092427</t>
  </si>
  <si>
    <t>100092428</t>
  </si>
  <si>
    <t>100092429</t>
  </si>
  <si>
    <t>100092430</t>
  </si>
  <si>
    <t>100092431</t>
  </si>
  <si>
    <t>100092432</t>
  </si>
  <si>
    <t>100092433</t>
  </si>
  <si>
    <t>100092434</t>
  </si>
  <si>
    <t>100092435</t>
  </si>
  <si>
    <t>100102239</t>
  </si>
  <si>
    <t>100102240</t>
  </si>
  <si>
    <t>100102241</t>
  </si>
  <si>
    <t>100102242</t>
  </si>
  <si>
    <t>100102243</t>
  </si>
  <si>
    <t>100102244</t>
  </si>
  <si>
    <t>100102245</t>
  </si>
  <si>
    <t>100102246</t>
  </si>
  <si>
    <t>100102247</t>
  </si>
  <si>
    <t>100102248</t>
  </si>
  <si>
    <t>100102249</t>
  </si>
  <si>
    <t>100102250</t>
  </si>
  <si>
    <t>100102251</t>
  </si>
  <si>
    <t>100102252</t>
  </si>
  <si>
    <t>100102253</t>
  </si>
  <si>
    <t>100102254</t>
  </si>
  <si>
    <t>100102255</t>
  </si>
  <si>
    <t>100102256</t>
  </si>
  <si>
    <t>100102257</t>
  </si>
  <si>
    <t>100102258</t>
  </si>
  <si>
    <t>100114788</t>
  </si>
  <si>
    <t>100114789</t>
  </si>
  <si>
    <t>100114790</t>
  </si>
  <si>
    <t>100114791</t>
  </si>
  <si>
    <t>100114792</t>
  </si>
  <si>
    <t>100114793</t>
  </si>
  <si>
    <t>100114794</t>
  </si>
  <si>
    <t>100114795</t>
  </si>
  <si>
    <t>100114796</t>
  </si>
  <si>
    <t>100114797</t>
  </si>
  <si>
    <t>100114798</t>
  </si>
  <si>
    <t>100114799</t>
  </si>
  <si>
    <t>100114800</t>
  </si>
  <si>
    <t>100114801</t>
  </si>
  <si>
    <t>100114802</t>
  </si>
  <si>
    <t>100114803</t>
  </si>
  <si>
    <t>100114804</t>
  </si>
  <si>
    <t>100114805</t>
  </si>
  <si>
    <t>100114806</t>
  </si>
  <si>
    <t>100114807</t>
  </si>
  <si>
    <t>100010164</t>
  </si>
  <si>
    <t>100010165</t>
  </si>
  <si>
    <t>100010166</t>
  </si>
  <si>
    <t>100010167</t>
  </si>
  <si>
    <t>100010168</t>
  </si>
  <si>
    <t>100010169</t>
  </si>
  <si>
    <t>100010170</t>
  </si>
  <si>
    <t>100010171</t>
  </si>
  <si>
    <t>100010172</t>
  </si>
  <si>
    <t>100010173</t>
  </si>
  <si>
    <t>100010174</t>
  </si>
  <si>
    <t>100010175</t>
  </si>
  <si>
    <t>100010176</t>
  </si>
  <si>
    <t>100010177</t>
  </si>
  <si>
    <t>100010178</t>
  </si>
  <si>
    <t>100010179</t>
  </si>
  <si>
    <t>100010180</t>
  </si>
  <si>
    <t>100010181</t>
  </si>
  <si>
    <t>100010182</t>
  </si>
  <si>
    <t>100010183</t>
  </si>
  <si>
    <t>100019874</t>
  </si>
  <si>
    <t>100019875</t>
  </si>
  <si>
    <t>100019876</t>
  </si>
  <si>
    <t>100019877</t>
  </si>
  <si>
    <t>100019878</t>
  </si>
  <si>
    <t>100019879</t>
  </si>
  <si>
    <t>100019880</t>
  </si>
  <si>
    <t>100019881</t>
  </si>
  <si>
    <t>100019882</t>
  </si>
  <si>
    <t>100019883</t>
  </si>
  <si>
    <t>100019884</t>
  </si>
  <si>
    <t>100019885</t>
  </si>
  <si>
    <t>100019886</t>
  </si>
  <si>
    <t>100019887</t>
  </si>
  <si>
    <t>100019888</t>
  </si>
  <si>
    <t>100019889</t>
  </si>
  <si>
    <t>100019890</t>
  </si>
  <si>
    <t>100019891</t>
  </si>
  <si>
    <t>100019892</t>
  </si>
  <si>
    <t>100019893</t>
  </si>
  <si>
    <t>100031931</t>
  </si>
  <si>
    <t>100031932</t>
  </si>
  <si>
    <t>100031933</t>
  </si>
  <si>
    <t>100031934</t>
  </si>
  <si>
    <t>100031935</t>
  </si>
  <si>
    <t>100031936</t>
  </si>
  <si>
    <t>100031937</t>
  </si>
  <si>
    <t>100031938</t>
  </si>
  <si>
    <t>100031939</t>
  </si>
  <si>
    <t>100031940</t>
  </si>
  <si>
    <t>100031941</t>
  </si>
  <si>
    <t>100031942</t>
  </si>
  <si>
    <t>100031943</t>
  </si>
  <si>
    <t>100031944</t>
  </si>
  <si>
    <t>100031945</t>
  </si>
  <si>
    <t>100031946</t>
  </si>
  <si>
    <t>100031947</t>
  </si>
  <si>
    <t>100031948</t>
  </si>
  <si>
    <t>100031949</t>
  </si>
  <si>
    <t>100031950</t>
  </si>
  <si>
    <t>100042494</t>
  </si>
  <si>
    <t>100042495</t>
  </si>
  <si>
    <t>100042496</t>
  </si>
  <si>
    <t>100042497</t>
  </si>
  <si>
    <t>100042498</t>
  </si>
  <si>
    <t>100042499</t>
  </si>
  <si>
    <t>100042500</t>
  </si>
  <si>
    <t>100042501</t>
  </si>
  <si>
    <t>100042502</t>
  </si>
  <si>
    <t>100042503</t>
  </si>
  <si>
    <t>100042504</t>
  </si>
  <si>
    <t>100042505</t>
  </si>
  <si>
    <t>100042506</t>
  </si>
  <si>
    <t>100042507</t>
  </si>
  <si>
    <t>100042508</t>
  </si>
  <si>
    <t>100042509</t>
  </si>
  <si>
    <t>100042510</t>
  </si>
  <si>
    <t>100042511</t>
  </si>
  <si>
    <t>100042512</t>
  </si>
  <si>
    <t>100042513</t>
  </si>
  <si>
    <t>100053233</t>
  </si>
  <si>
    <t>100053234</t>
  </si>
  <si>
    <t>100053235</t>
  </si>
  <si>
    <t>100053236</t>
  </si>
  <si>
    <t>100053237</t>
  </si>
  <si>
    <t>100053238</t>
  </si>
  <si>
    <t>100053239</t>
  </si>
  <si>
    <t>100053240</t>
  </si>
  <si>
    <t>100053241</t>
  </si>
  <si>
    <t>100053242</t>
  </si>
  <si>
    <t>100053243</t>
  </si>
  <si>
    <t>100053244</t>
  </si>
  <si>
    <t>100053245</t>
  </si>
  <si>
    <t>100053246</t>
  </si>
  <si>
    <t>100053247</t>
  </si>
  <si>
    <t>100053248</t>
  </si>
  <si>
    <t>100053249</t>
  </si>
  <si>
    <t>100053250</t>
  </si>
  <si>
    <t>100053251</t>
  </si>
  <si>
    <t>100053252</t>
  </si>
  <si>
    <t>100064213</t>
  </si>
  <si>
    <t>100064214</t>
  </si>
  <si>
    <t>100064215</t>
  </si>
  <si>
    <t>100064216</t>
  </si>
  <si>
    <t>100064217</t>
  </si>
  <si>
    <t>100064218</t>
  </si>
  <si>
    <t>100064219</t>
  </si>
  <si>
    <t>100064220</t>
  </si>
  <si>
    <t>100064221</t>
  </si>
  <si>
    <t>100064222</t>
  </si>
  <si>
    <t>100064223</t>
  </si>
  <si>
    <t>100064224</t>
  </si>
  <si>
    <t>100064225</t>
  </si>
  <si>
    <t>100064226</t>
  </si>
  <si>
    <t>100064227</t>
  </si>
  <si>
    <t>100064228</t>
  </si>
  <si>
    <t>100064229</t>
  </si>
  <si>
    <t>100064230</t>
  </si>
  <si>
    <t>100064231</t>
  </si>
  <si>
    <t>100064232</t>
  </si>
  <si>
    <t>100074850</t>
  </si>
  <si>
    <t>100074851</t>
  </si>
  <si>
    <t>100074852</t>
  </si>
  <si>
    <t>100074853</t>
  </si>
  <si>
    <t>100074854</t>
  </si>
  <si>
    <t>100074855</t>
  </si>
  <si>
    <t>100074856</t>
  </si>
  <si>
    <t>100074857</t>
  </si>
  <si>
    <t>100074858</t>
  </si>
  <si>
    <t>100074859</t>
  </si>
  <si>
    <t>100074860</t>
  </si>
  <si>
    <t>100074861</t>
  </si>
  <si>
    <t>100074862</t>
  </si>
  <si>
    <t>100074863</t>
  </si>
  <si>
    <t>100074864</t>
  </si>
  <si>
    <t>100074865</t>
  </si>
  <si>
    <t>100074866</t>
  </si>
  <si>
    <t>100074867</t>
  </si>
  <si>
    <t>100074868</t>
  </si>
  <si>
    <t>100074869</t>
  </si>
  <si>
    <t>100086909</t>
  </si>
  <si>
    <t>100086910</t>
  </si>
  <si>
    <t>100086911</t>
  </si>
  <si>
    <t>100086912</t>
  </si>
  <si>
    <t>100086913</t>
  </si>
  <si>
    <t>100086914</t>
  </si>
  <si>
    <t>100086915</t>
  </si>
  <si>
    <t>100086916</t>
  </si>
  <si>
    <t>100086917</t>
  </si>
  <si>
    <t>100086918</t>
  </si>
  <si>
    <t>100086919</t>
  </si>
  <si>
    <t>100086920</t>
  </si>
  <si>
    <t>100086921</t>
  </si>
  <si>
    <t>100086922</t>
  </si>
  <si>
    <t>100086923</t>
  </si>
  <si>
    <t>100086924</t>
  </si>
  <si>
    <t>100086925</t>
  </si>
  <si>
    <t>100086926</t>
  </si>
  <si>
    <t>100086927</t>
  </si>
  <si>
    <t>100086928</t>
  </si>
  <si>
    <t>100098210</t>
  </si>
  <si>
    <t>100098211</t>
  </si>
  <si>
    <t>100098212</t>
  </si>
  <si>
    <t>100098213</t>
  </si>
  <si>
    <t>100098214</t>
  </si>
  <si>
    <t>100098215</t>
  </si>
  <si>
    <t>100098216</t>
  </si>
  <si>
    <t>100098217</t>
  </si>
  <si>
    <t>100098218</t>
  </si>
  <si>
    <t>100098219</t>
  </si>
  <si>
    <t>100098220</t>
  </si>
  <si>
    <t>100098221</t>
  </si>
  <si>
    <t>100098222</t>
  </si>
  <si>
    <t>100098223</t>
  </si>
  <si>
    <t>100098224</t>
  </si>
  <si>
    <t>100098225</t>
  </si>
  <si>
    <t>100098226</t>
  </si>
  <si>
    <t>100098227</t>
  </si>
  <si>
    <t>100098228</t>
  </si>
  <si>
    <t>100098229</t>
  </si>
  <si>
    <t>100109745</t>
  </si>
  <si>
    <t>100109746</t>
  </si>
  <si>
    <t>100109747</t>
  </si>
  <si>
    <t>100109748</t>
  </si>
  <si>
    <t>100109749</t>
  </si>
  <si>
    <t>100109750</t>
  </si>
  <si>
    <t>100109751</t>
  </si>
  <si>
    <t>100109752</t>
  </si>
  <si>
    <t>100109753</t>
  </si>
  <si>
    <t>100109754</t>
  </si>
  <si>
    <t>100109755</t>
  </si>
  <si>
    <t>100109756</t>
  </si>
  <si>
    <t>100109757</t>
  </si>
  <si>
    <t>100109758</t>
  </si>
  <si>
    <t>100109759</t>
  </si>
  <si>
    <t>100109760</t>
  </si>
  <si>
    <t>100109761</t>
  </si>
  <si>
    <t>100109762</t>
  </si>
  <si>
    <t>100109763</t>
  </si>
  <si>
    <t>100109764</t>
  </si>
  <si>
    <t>100121774</t>
  </si>
  <si>
    <t>100121775</t>
  </si>
  <si>
    <t>100121776</t>
  </si>
  <si>
    <t>100121777</t>
  </si>
  <si>
    <t>100121778</t>
  </si>
  <si>
    <t>100121779</t>
  </si>
  <si>
    <t>100121780</t>
  </si>
  <si>
    <t>100121781</t>
  </si>
  <si>
    <t>100121782</t>
  </si>
  <si>
    <t>100121783</t>
  </si>
  <si>
    <t>100121784</t>
  </si>
  <si>
    <t>100121785</t>
  </si>
  <si>
    <t>100121786</t>
  </si>
  <si>
    <t>100121787</t>
  </si>
  <si>
    <t>100121788</t>
  </si>
  <si>
    <t>100121789</t>
  </si>
  <si>
    <t>100121790</t>
  </si>
  <si>
    <t>100121791</t>
  </si>
  <si>
    <t>100121792</t>
  </si>
  <si>
    <t>100121793</t>
  </si>
  <si>
    <t>100133481</t>
  </si>
  <si>
    <t>100133482</t>
  </si>
  <si>
    <t>100133483</t>
  </si>
  <si>
    <t>100133484</t>
  </si>
  <si>
    <t>100133485</t>
  </si>
  <si>
    <t>100133486</t>
  </si>
  <si>
    <t>100133487</t>
  </si>
  <si>
    <t>100133488</t>
  </si>
  <si>
    <t>100133489</t>
  </si>
  <si>
    <t>100133490</t>
  </si>
  <si>
    <t>100133491</t>
  </si>
  <si>
    <t>100133492</t>
  </si>
  <si>
    <t>100133493</t>
  </si>
  <si>
    <t>100133494</t>
  </si>
  <si>
    <t>100133495</t>
  </si>
  <si>
    <t>100133496</t>
  </si>
  <si>
    <t>100133497</t>
  </si>
  <si>
    <t>100133498</t>
  </si>
  <si>
    <t>100133499</t>
  </si>
  <si>
    <t>100133500</t>
  </si>
  <si>
    <t>100007963</t>
  </si>
  <si>
    <t>100007964</t>
  </si>
  <si>
    <t>100007965</t>
  </si>
  <si>
    <t>100007966</t>
  </si>
  <si>
    <t>100007967</t>
  </si>
  <si>
    <t>100007968</t>
  </si>
  <si>
    <t>100007969</t>
  </si>
  <si>
    <t>100007970</t>
  </si>
  <si>
    <t>100007971</t>
  </si>
  <si>
    <t>100007972</t>
  </si>
  <si>
    <t>100007973</t>
  </si>
  <si>
    <t>100007974</t>
  </si>
  <si>
    <t>100007975</t>
  </si>
  <si>
    <t>100007976</t>
  </si>
  <si>
    <t>100007977</t>
  </si>
  <si>
    <t>100007978</t>
  </si>
  <si>
    <t>100007979</t>
  </si>
  <si>
    <t>100007980</t>
  </si>
  <si>
    <t>100007981</t>
  </si>
  <si>
    <t>100007982</t>
  </si>
  <si>
    <t>100016439</t>
  </si>
  <si>
    <t>100016440</t>
  </si>
  <si>
    <t>100016441</t>
  </si>
  <si>
    <t>100016442</t>
  </si>
  <si>
    <t>100016443</t>
  </si>
  <si>
    <t>100016444</t>
  </si>
  <si>
    <t>100016445</t>
  </si>
  <si>
    <t>100016446</t>
  </si>
  <si>
    <t>100016447</t>
  </si>
  <si>
    <t>100016448</t>
  </si>
  <si>
    <t>100016449</t>
  </si>
  <si>
    <t>100016450</t>
  </si>
  <si>
    <t>100016451</t>
  </si>
  <si>
    <t>100016452</t>
  </si>
  <si>
    <t>100016453</t>
  </si>
  <si>
    <t>100016454</t>
  </si>
  <si>
    <t>100016455</t>
  </si>
  <si>
    <t>100016456</t>
  </si>
  <si>
    <t>100016457</t>
  </si>
  <si>
    <t>100016458</t>
  </si>
  <si>
    <t>100024821</t>
  </si>
  <si>
    <t>100024822</t>
  </si>
  <si>
    <t>100024823</t>
  </si>
  <si>
    <t>100024824</t>
  </si>
  <si>
    <t>100024825</t>
  </si>
  <si>
    <t>100024826</t>
  </si>
  <si>
    <t>100024827</t>
  </si>
  <si>
    <t>100024828</t>
  </si>
  <si>
    <t>100024829</t>
  </si>
  <si>
    <t>100024830</t>
  </si>
  <si>
    <t>100024831</t>
  </si>
  <si>
    <t>100024832</t>
  </si>
  <si>
    <t>100024833</t>
  </si>
  <si>
    <t>100024834</t>
  </si>
  <si>
    <t>100024835</t>
  </si>
  <si>
    <t>100024836</t>
  </si>
  <si>
    <t>100024837</t>
  </si>
  <si>
    <t>100024838</t>
  </si>
  <si>
    <t>100024839</t>
  </si>
  <si>
    <t>100024840</t>
  </si>
  <si>
    <t>100030754</t>
  </si>
  <si>
    <t>100030755</t>
  </si>
  <si>
    <t>100030756</t>
  </si>
  <si>
    <t>100030757</t>
  </si>
  <si>
    <t>100030758</t>
  </si>
  <si>
    <t>100030759</t>
  </si>
  <si>
    <t>100030760</t>
  </si>
  <si>
    <t>100030761</t>
  </si>
  <si>
    <t>100030762</t>
  </si>
  <si>
    <t>100030763</t>
  </si>
  <si>
    <t>100030764</t>
  </si>
  <si>
    <t>100030765</t>
  </si>
  <si>
    <t>100030766</t>
  </si>
  <si>
    <t>100030767</t>
  </si>
  <si>
    <t>100030768</t>
  </si>
  <si>
    <t>100030769</t>
  </si>
  <si>
    <t>100030770</t>
  </si>
  <si>
    <t>100030771</t>
  </si>
  <si>
    <t>100030772</t>
  </si>
  <si>
    <t>100030773</t>
  </si>
  <si>
    <t>100038962</t>
  </si>
  <si>
    <t>100038963</t>
  </si>
  <si>
    <t>100038964</t>
  </si>
  <si>
    <t>100038965</t>
  </si>
  <si>
    <t>100038966</t>
  </si>
  <si>
    <t>100038967</t>
  </si>
  <si>
    <t>100038968</t>
  </si>
  <si>
    <t>100038969</t>
  </si>
  <si>
    <t>100038970</t>
  </si>
  <si>
    <t>100038971</t>
  </si>
  <si>
    <t>100038972</t>
  </si>
  <si>
    <t>100038973</t>
  </si>
  <si>
    <t>100038974</t>
  </si>
  <si>
    <t>100038975</t>
  </si>
  <si>
    <t>100038976</t>
  </si>
  <si>
    <t>100038977</t>
  </si>
  <si>
    <t>100038978</t>
  </si>
  <si>
    <t>100038979</t>
  </si>
  <si>
    <t>100038980</t>
  </si>
  <si>
    <t>100038981</t>
  </si>
  <si>
    <t>100046443</t>
  </si>
  <si>
    <t>100046444</t>
  </si>
  <si>
    <t>100046445</t>
  </si>
  <si>
    <t>100046446</t>
  </si>
  <si>
    <t>100046447</t>
  </si>
  <si>
    <t>100046448</t>
  </si>
  <si>
    <t>100046449</t>
  </si>
  <si>
    <t>100046450</t>
  </si>
  <si>
    <t>100046451</t>
  </si>
  <si>
    <t>100046452</t>
  </si>
  <si>
    <t>100046453</t>
  </si>
  <si>
    <t>100046454</t>
  </si>
  <si>
    <t>100046455</t>
  </si>
  <si>
    <t>100046456</t>
  </si>
  <si>
    <t>100046457</t>
  </si>
  <si>
    <t>100046458</t>
  </si>
  <si>
    <t>100046459</t>
  </si>
  <si>
    <t>100046460</t>
  </si>
  <si>
    <t>100046461</t>
  </si>
  <si>
    <t>100052800</t>
  </si>
  <si>
    <t>100052801</t>
  </si>
  <si>
    <t>100052802</t>
  </si>
  <si>
    <t>100052803</t>
  </si>
  <si>
    <t>100052804</t>
  </si>
  <si>
    <t>100052805</t>
  </si>
  <si>
    <t>100052806</t>
  </si>
  <si>
    <t>100052807</t>
  </si>
  <si>
    <t>100052808</t>
  </si>
  <si>
    <t>100052809</t>
  </si>
  <si>
    <t>100052810</t>
  </si>
  <si>
    <t>100052811</t>
  </si>
  <si>
    <t>100052812</t>
  </si>
  <si>
    <t>100052813</t>
  </si>
  <si>
    <t>100052814</t>
  </si>
  <si>
    <t>100052815</t>
  </si>
  <si>
    <t>100052816</t>
  </si>
  <si>
    <t>100052817</t>
  </si>
  <si>
    <t>100052818</t>
  </si>
  <si>
    <t>100060236</t>
  </si>
  <si>
    <t>100060237</t>
  </si>
  <si>
    <t>100060238</t>
  </si>
  <si>
    <t>100060239</t>
  </si>
  <si>
    <t>100060240</t>
  </si>
  <si>
    <t>100060241</t>
  </si>
  <si>
    <t>100060242</t>
  </si>
  <si>
    <t>100060243</t>
  </si>
  <si>
    <t>100060244</t>
  </si>
  <si>
    <t>100060245</t>
  </si>
  <si>
    <t>100060246</t>
  </si>
  <si>
    <t>100060247</t>
  </si>
  <si>
    <t>100060248</t>
  </si>
  <si>
    <t>100060249</t>
  </si>
  <si>
    <t>100060250</t>
  </si>
  <si>
    <t>100060251</t>
  </si>
  <si>
    <t>100060252</t>
  </si>
  <si>
    <t>100060253</t>
  </si>
  <si>
    <t>100060254</t>
  </si>
  <si>
    <t>100066751</t>
  </si>
  <si>
    <t>100066752</t>
  </si>
  <si>
    <t>100066753</t>
  </si>
  <si>
    <t>100066754</t>
  </si>
  <si>
    <t>100066755</t>
  </si>
  <si>
    <t>100066756</t>
  </si>
  <si>
    <t>100066757</t>
  </si>
  <si>
    <t>100066758</t>
  </si>
  <si>
    <t>100066759</t>
  </si>
  <si>
    <t>100066760</t>
  </si>
  <si>
    <t>100066761</t>
  </si>
  <si>
    <t>100066762</t>
  </si>
  <si>
    <t>100066763</t>
  </si>
  <si>
    <t>100066764</t>
  </si>
  <si>
    <t>100066765</t>
  </si>
  <si>
    <t>100066766</t>
  </si>
  <si>
    <t>100066767</t>
  </si>
  <si>
    <t>100066768</t>
  </si>
  <si>
    <t>100066769</t>
  </si>
  <si>
    <t>100073951</t>
  </si>
  <si>
    <t>100073952</t>
  </si>
  <si>
    <t>100073953</t>
  </si>
  <si>
    <t>100073954</t>
  </si>
  <si>
    <t>100073955</t>
  </si>
  <si>
    <t>100073956</t>
  </si>
  <si>
    <t>100073957</t>
  </si>
  <si>
    <t>100073958</t>
  </si>
  <si>
    <t>100073959</t>
  </si>
  <si>
    <t>100073960</t>
  </si>
  <si>
    <t>100073961</t>
  </si>
  <si>
    <t>100073962</t>
  </si>
  <si>
    <t>100073963</t>
  </si>
  <si>
    <t>100073964</t>
  </si>
  <si>
    <t>100073965</t>
  </si>
  <si>
    <t>100073966</t>
  </si>
  <si>
    <t>100073967</t>
  </si>
  <si>
    <t>100073968</t>
  </si>
  <si>
    <t>100073969</t>
  </si>
  <si>
    <t>100080439</t>
  </si>
  <si>
    <t>100080440</t>
  </si>
  <si>
    <t>100080441</t>
  </si>
  <si>
    <t>100080442</t>
  </si>
  <si>
    <t>100080443</t>
  </si>
  <si>
    <t>100080444</t>
  </si>
  <si>
    <t>100080445</t>
  </si>
  <si>
    <t>100080446</t>
  </si>
  <si>
    <t>100080447</t>
  </si>
  <si>
    <t>100080448</t>
  </si>
  <si>
    <t>100080449</t>
  </si>
  <si>
    <t>100080450</t>
  </si>
  <si>
    <t>100080451</t>
  </si>
  <si>
    <t>100080452</t>
  </si>
  <si>
    <t>100080453</t>
  </si>
  <si>
    <t>100080454</t>
  </si>
  <si>
    <t>100080455</t>
  </si>
  <si>
    <t>100080456</t>
  </si>
  <si>
    <t>100080457</t>
  </si>
  <si>
    <t>100088073</t>
  </si>
  <si>
    <t>100088074</t>
  </si>
  <si>
    <t>100088075</t>
  </si>
  <si>
    <t>100088076</t>
  </si>
  <si>
    <t>100088077</t>
  </si>
  <si>
    <t>100088078</t>
  </si>
  <si>
    <t>100088079</t>
  </si>
  <si>
    <t>100088080</t>
  </si>
  <si>
    <t>100088081</t>
  </si>
  <si>
    <t>100088082</t>
  </si>
  <si>
    <t>100088083</t>
  </si>
  <si>
    <t>100088084</t>
  </si>
  <si>
    <t>100088085</t>
  </si>
  <si>
    <t>100088086</t>
  </si>
  <si>
    <t>100088087</t>
  </si>
  <si>
    <t>100088088</t>
  </si>
  <si>
    <t>100088089</t>
  </si>
  <si>
    <t>100088090</t>
  </si>
  <si>
    <t>100088091</t>
  </si>
  <si>
    <t>100006013</t>
  </si>
  <si>
    <t>100006014</t>
  </si>
  <si>
    <t>100006015</t>
  </si>
  <si>
    <t>100006016</t>
  </si>
  <si>
    <t>100006017</t>
  </si>
  <si>
    <t>100006018</t>
  </si>
  <si>
    <t>100006019</t>
  </si>
  <si>
    <t>100006020</t>
  </si>
  <si>
    <t>100006021</t>
  </si>
  <si>
    <t>100006022</t>
  </si>
  <si>
    <t>100006023</t>
  </si>
  <si>
    <t>100006024</t>
  </si>
  <si>
    <t>100006025</t>
  </si>
  <si>
    <t>100006026</t>
  </si>
  <si>
    <t>100006027</t>
  </si>
  <si>
    <t>100006028</t>
  </si>
  <si>
    <t>100006029</t>
  </si>
  <si>
    <t>100006030</t>
  </si>
  <si>
    <t>100006031</t>
  </si>
  <si>
    <t>100012383</t>
  </si>
  <si>
    <t>100012393</t>
  </si>
  <si>
    <t>100012394</t>
  </si>
  <si>
    <t>100012395</t>
  </si>
  <si>
    <t>100012396</t>
  </si>
  <si>
    <t>100012397</t>
  </si>
  <si>
    <t>100012398</t>
  </si>
  <si>
    <t>100012399</t>
  </si>
  <si>
    <t>100012400</t>
  </si>
  <si>
    <t>100012401</t>
  </si>
  <si>
    <t>100020409</t>
  </si>
  <si>
    <t>100020410</t>
  </si>
  <si>
    <t>100020411</t>
  </si>
  <si>
    <t>100020412</t>
  </si>
  <si>
    <t>100020413</t>
  </si>
  <si>
    <t>100020414</t>
  </si>
  <si>
    <t>100020415</t>
  </si>
  <si>
    <t>100020416</t>
  </si>
  <si>
    <t>100020417</t>
  </si>
  <si>
    <t>100020418</t>
  </si>
  <si>
    <t>100020419</t>
  </si>
  <si>
    <t>100020420</t>
  </si>
  <si>
    <t>100020421</t>
  </si>
  <si>
    <t>100020422</t>
  </si>
  <si>
    <t>100020423</t>
  </si>
  <si>
    <t>100020424</t>
  </si>
  <si>
    <t>100020425</t>
  </si>
  <si>
    <t>100020426</t>
  </si>
  <si>
    <t>100020427</t>
  </si>
  <si>
    <t>100027570</t>
  </si>
  <si>
    <t>100027571</t>
  </si>
  <si>
    <t>100027572</t>
  </si>
  <si>
    <t>100027573</t>
  </si>
  <si>
    <t>100027574</t>
  </si>
  <si>
    <t>100027575</t>
  </si>
  <si>
    <t>100027576</t>
  </si>
  <si>
    <t>100027577</t>
  </si>
  <si>
    <t>100027578</t>
  </si>
  <si>
    <t>100027579</t>
  </si>
  <si>
    <t>100027580</t>
  </si>
  <si>
    <t>100027581</t>
  </si>
  <si>
    <t>100027582</t>
  </si>
  <si>
    <t>100027583</t>
  </si>
  <si>
    <t>100027584</t>
  </si>
  <si>
    <t>100027585</t>
  </si>
  <si>
    <t>100027586</t>
  </si>
  <si>
    <t>100027587</t>
  </si>
  <si>
    <t>100027588</t>
  </si>
  <si>
    <t>100035758</t>
  </si>
  <si>
    <t>100035759</t>
  </si>
  <si>
    <t>100035760</t>
  </si>
  <si>
    <t>100035761</t>
  </si>
  <si>
    <t>100035762</t>
  </si>
  <si>
    <t>100035763</t>
  </si>
  <si>
    <t>100035764</t>
  </si>
  <si>
    <t>100035765</t>
  </si>
  <si>
    <t>100035766</t>
  </si>
  <si>
    <t>100035767</t>
  </si>
  <si>
    <t>100035768</t>
  </si>
  <si>
    <t>100035769</t>
  </si>
  <si>
    <t>100035770</t>
  </si>
  <si>
    <t>100035771</t>
  </si>
  <si>
    <t>100035772</t>
  </si>
  <si>
    <t>100035773</t>
  </si>
  <si>
    <t>100035774</t>
  </si>
  <si>
    <t>100035775</t>
  </si>
  <si>
    <t>100035776</t>
  </si>
  <si>
    <t>100043142</t>
  </si>
  <si>
    <t>100043143</t>
  </si>
  <si>
    <t>100043144</t>
  </si>
  <si>
    <t>100043145</t>
  </si>
  <si>
    <t>100043146</t>
  </si>
  <si>
    <t>100043147</t>
  </si>
  <si>
    <t>100043148</t>
  </si>
  <si>
    <t>100043149</t>
  </si>
  <si>
    <t>100043150</t>
  </si>
  <si>
    <t>100043151</t>
  </si>
  <si>
    <t>100043152</t>
  </si>
  <si>
    <t>100043153</t>
  </si>
  <si>
    <t>100043154</t>
  </si>
  <si>
    <t>100043155</t>
  </si>
  <si>
    <t>100043156</t>
  </si>
  <si>
    <t>100043157</t>
  </si>
  <si>
    <t>100043158</t>
  </si>
  <si>
    <t>100043159</t>
  </si>
  <si>
    <t>100043160</t>
  </si>
  <si>
    <t>100050011</t>
  </si>
  <si>
    <t>100050012</t>
  </si>
  <si>
    <t>100050013</t>
  </si>
  <si>
    <t>100050014</t>
  </si>
  <si>
    <t>100050015</t>
  </si>
  <si>
    <t>100050016</t>
  </si>
  <si>
    <t>100050017</t>
  </si>
  <si>
    <t>100050018</t>
  </si>
  <si>
    <t>100050019</t>
  </si>
  <si>
    <t>100050020</t>
  </si>
  <si>
    <t>100050021</t>
  </si>
  <si>
    <t>100050022</t>
  </si>
  <si>
    <t>100050023</t>
  </si>
  <si>
    <t>100050024</t>
  </si>
  <si>
    <t>100050025</t>
  </si>
  <si>
    <t>100050026</t>
  </si>
  <si>
    <t>100050027</t>
  </si>
  <si>
    <t>100050028</t>
  </si>
  <si>
    <t>100050029</t>
  </si>
  <si>
    <t>100057773</t>
  </si>
  <si>
    <t>100057774</t>
  </si>
  <si>
    <t>100057775</t>
  </si>
  <si>
    <t>100057776</t>
  </si>
  <si>
    <t>100057777</t>
  </si>
  <si>
    <t>100057778</t>
  </si>
  <si>
    <t>100057779</t>
  </si>
  <si>
    <t>100057780</t>
  </si>
  <si>
    <t>100057781</t>
  </si>
  <si>
    <t>100057782</t>
  </si>
  <si>
    <t>100057783</t>
  </si>
  <si>
    <t>100057784</t>
  </si>
  <si>
    <t>100057785</t>
  </si>
  <si>
    <t>100057786</t>
  </si>
  <si>
    <t>100057787</t>
  </si>
  <si>
    <t>100057788</t>
  </si>
  <si>
    <t>100057789</t>
  </si>
  <si>
    <t>100057790</t>
  </si>
  <si>
    <t>100057791</t>
  </si>
  <si>
    <t>100064736</t>
  </si>
  <si>
    <t>100064737</t>
  </si>
  <si>
    <t>100064738</t>
  </si>
  <si>
    <t>100064739</t>
  </si>
  <si>
    <t>100064740</t>
  </si>
  <si>
    <t>100064741</t>
  </si>
  <si>
    <t>100064742</t>
  </si>
  <si>
    <t>100064743</t>
  </si>
  <si>
    <t>100064744</t>
  </si>
  <si>
    <t>100064745</t>
  </si>
  <si>
    <t>100064746</t>
  </si>
  <si>
    <t>100064747</t>
  </si>
  <si>
    <t>100064748</t>
  </si>
  <si>
    <t>100064749</t>
  </si>
  <si>
    <t>100064750</t>
  </si>
  <si>
    <t>100064751</t>
  </si>
  <si>
    <t>100064752</t>
  </si>
  <si>
    <t>100064753</t>
  </si>
  <si>
    <t>100064754</t>
  </si>
  <si>
    <t>100071864</t>
  </si>
  <si>
    <t>100071865</t>
  </si>
  <si>
    <t>100071866</t>
  </si>
  <si>
    <t>100071867</t>
  </si>
  <si>
    <t>100071868</t>
  </si>
  <si>
    <t>100071869</t>
  </si>
  <si>
    <t>100071870</t>
  </si>
  <si>
    <t>100071871</t>
  </si>
  <si>
    <t>100071872</t>
  </si>
  <si>
    <t>100071873</t>
  </si>
  <si>
    <t>100071874</t>
  </si>
  <si>
    <t>100071875</t>
  </si>
  <si>
    <t>100071876</t>
  </si>
  <si>
    <t>100071877</t>
  </si>
  <si>
    <t>100071878</t>
  </si>
  <si>
    <t>100071879</t>
  </si>
  <si>
    <t>100071880</t>
  </si>
  <si>
    <t>100071881</t>
  </si>
  <si>
    <t>100071882</t>
  </si>
  <si>
    <t>100079586</t>
  </si>
  <si>
    <t>100079587</t>
  </si>
  <si>
    <t>100079588</t>
  </si>
  <si>
    <t>100079589</t>
  </si>
  <si>
    <t>100079590</t>
  </si>
  <si>
    <t>100079591</t>
  </si>
  <si>
    <t>100079592</t>
  </si>
  <si>
    <t>100079593</t>
  </si>
  <si>
    <t>100079594</t>
  </si>
  <si>
    <t>100079595</t>
  </si>
  <si>
    <t>100079596</t>
  </si>
  <si>
    <t>100079597</t>
  </si>
  <si>
    <t>100079598</t>
  </si>
  <si>
    <t>100079599</t>
  </si>
  <si>
    <t>100079600</t>
  </si>
  <si>
    <t>100079601</t>
  </si>
  <si>
    <t>100079602</t>
  </si>
  <si>
    <t>100079603</t>
  </si>
  <si>
    <t>100079604</t>
  </si>
  <si>
    <t>100086585</t>
  </si>
  <si>
    <t>100086586</t>
  </si>
  <si>
    <t>100086587</t>
  </si>
  <si>
    <t>100086588</t>
  </si>
  <si>
    <t>100086589</t>
  </si>
  <si>
    <t>100086590</t>
  </si>
  <si>
    <t>100086591</t>
  </si>
  <si>
    <t>100086592</t>
  </si>
  <si>
    <t>100086593</t>
  </si>
  <si>
    <t>100086594</t>
  </si>
  <si>
    <t>100086595</t>
  </si>
  <si>
    <t>100086596</t>
  </si>
  <si>
    <t>100086597</t>
  </si>
  <si>
    <t>100086598</t>
  </si>
  <si>
    <t>100086599</t>
  </si>
  <si>
    <t>100086600</t>
  </si>
  <si>
    <t>100086601</t>
  </si>
  <si>
    <t>100086602</t>
  </si>
  <si>
    <t>100086603</t>
  </si>
  <si>
    <t>100006713</t>
  </si>
  <si>
    <t>100006714</t>
  </si>
  <si>
    <t>100006715</t>
  </si>
  <si>
    <t>100006716</t>
  </si>
  <si>
    <t>100006717</t>
  </si>
  <si>
    <t>100006718</t>
  </si>
  <si>
    <t>100006719</t>
  </si>
  <si>
    <t>100006720</t>
  </si>
  <si>
    <t>100006721</t>
  </si>
  <si>
    <t>100006722</t>
  </si>
  <si>
    <t>100006723</t>
  </si>
  <si>
    <t>100006724</t>
  </si>
  <si>
    <t>100006725</t>
  </si>
  <si>
    <t>100006726</t>
  </si>
  <si>
    <t>100006727</t>
  </si>
  <si>
    <t>100006728</t>
  </si>
  <si>
    <t>100006729</t>
  </si>
  <si>
    <t>100006730</t>
  </si>
  <si>
    <t>100006731</t>
  </si>
  <si>
    <t>100012405</t>
  </si>
  <si>
    <t>100012406</t>
  </si>
  <si>
    <t>100012407</t>
  </si>
  <si>
    <t>100012409</t>
  </si>
  <si>
    <t>100012410</t>
  </si>
  <si>
    <t>100012411</t>
  </si>
  <si>
    <t>100012412</t>
  </si>
  <si>
    <t>100012414</t>
  </si>
  <si>
    <t>100012415</t>
  </si>
  <si>
    <t>100012416</t>
  </si>
  <si>
    <t>100012417</t>
  </si>
  <si>
    <t>100012418</t>
  </si>
  <si>
    <t>100012419</t>
  </si>
  <si>
    <t>100012420</t>
  </si>
  <si>
    <t>100012421</t>
  </si>
  <si>
    <t>100012423</t>
  </si>
  <si>
    <t>100027247</t>
  </si>
  <si>
    <t>100027248</t>
  </si>
  <si>
    <t>100027249</t>
  </si>
  <si>
    <t>100027250</t>
  </si>
  <si>
    <t>100027251</t>
  </si>
  <si>
    <t>100027252</t>
  </si>
  <si>
    <t>100027253</t>
  </si>
  <si>
    <t>100027254</t>
  </si>
  <si>
    <t>100027255</t>
  </si>
  <si>
    <t>100027256</t>
  </si>
  <si>
    <t>100027257</t>
  </si>
  <si>
    <t>100027258</t>
  </si>
  <si>
    <t>100027259</t>
  </si>
  <si>
    <t>100027260</t>
  </si>
  <si>
    <t>100027261</t>
  </si>
  <si>
    <t>100027262</t>
  </si>
  <si>
    <t>100027263</t>
  </si>
  <si>
    <t>100027264</t>
  </si>
  <si>
    <t>100027265</t>
  </si>
  <si>
    <t>100034671</t>
  </si>
  <si>
    <t>100034672</t>
  </si>
  <si>
    <t>100034673</t>
  </si>
  <si>
    <t>100034674</t>
  </si>
  <si>
    <t>100034675</t>
  </si>
  <si>
    <t>100034676</t>
  </si>
  <si>
    <t>100034677</t>
  </si>
  <si>
    <t>100034678</t>
  </si>
  <si>
    <t>100034679</t>
  </si>
  <si>
    <t>100034680</t>
  </si>
  <si>
    <t>100034681</t>
  </si>
  <si>
    <t>100034682</t>
  </si>
  <si>
    <t>100034683</t>
  </si>
  <si>
    <t>100034684</t>
  </si>
  <si>
    <t>100034685</t>
  </si>
  <si>
    <t>100034686</t>
  </si>
  <si>
    <t>100034687</t>
  </si>
  <si>
    <t>100034688</t>
  </si>
  <si>
    <t>100034689</t>
  </si>
  <si>
    <t>100040813</t>
  </si>
  <si>
    <t>100040814</t>
  </si>
  <si>
    <t>100040815</t>
  </si>
  <si>
    <t>100040816</t>
  </si>
  <si>
    <t>100040817</t>
  </si>
  <si>
    <t>100040818</t>
  </si>
  <si>
    <t>100040819</t>
  </si>
  <si>
    <t>100040820</t>
  </si>
  <si>
    <t>100040821</t>
  </si>
  <si>
    <t>100040822</t>
  </si>
  <si>
    <t>100040823</t>
  </si>
  <si>
    <t>100040824</t>
  </si>
  <si>
    <t>100040825</t>
  </si>
  <si>
    <t>100040826</t>
  </si>
  <si>
    <t>100040827</t>
  </si>
  <si>
    <t>100040828</t>
  </si>
  <si>
    <t>100040829</t>
  </si>
  <si>
    <t>100040830</t>
  </si>
  <si>
    <t>100040831</t>
  </si>
  <si>
    <t>100048446</t>
  </si>
  <si>
    <t>100048447</t>
  </si>
  <si>
    <t>100048448</t>
  </si>
  <si>
    <t>100048449</t>
  </si>
  <si>
    <t>100048450</t>
  </si>
  <si>
    <t>100048451</t>
  </si>
  <si>
    <t>100048452</t>
  </si>
  <si>
    <t>100048453</t>
  </si>
  <si>
    <t>100048454</t>
  </si>
  <si>
    <t>100048455</t>
  </si>
  <si>
    <t>100048456</t>
  </si>
  <si>
    <t>100048457</t>
  </si>
  <si>
    <t>100048458</t>
  </si>
  <si>
    <t>100048459</t>
  </si>
  <si>
    <t>100048460</t>
  </si>
  <si>
    <t>100048461</t>
  </si>
  <si>
    <t>100048462</t>
  </si>
  <si>
    <t>100048463</t>
  </si>
  <si>
    <t>100048464</t>
  </si>
  <si>
    <t>100055068</t>
  </si>
  <si>
    <t>100055069</t>
  </si>
  <si>
    <t>100055070</t>
  </si>
  <si>
    <t>100055071</t>
  </si>
  <si>
    <t>100055072</t>
  </si>
  <si>
    <t>100055073</t>
  </si>
  <si>
    <t>100055074</t>
  </si>
  <si>
    <t>100055075</t>
  </si>
  <si>
    <t>100055076</t>
  </si>
  <si>
    <t>100055077</t>
  </si>
  <si>
    <t>100055078</t>
  </si>
  <si>
    <t>100055079</t>
  </si>
  <si>
    <t>100055080</t>
  </si>
  <si>
    <t>100055081</t>
  </si>
  <si>
    <t>100055082</t>
  </si>
  <si>
    <t>100055083</t>
  </si>
  <si>
    <t>100055084</t>
  </si>
  <si>
    <t>100055085</t>
  </si>
  <si>
    <t>100055086</t>
  </si>
  <si>
    <t>100062018</t>
  </si>
  <si>
    <t>100062019</t>
  </si>
  <si>
    <t>100062020</t>
  </si>
  <si>
    <t>100062021</t>
  </si>
  <si>
    <t>100062022</t>
  </si>
  <si>
    <t>100062023</t>
  </si>
  <si>
    <t>100062024</t>
  </si>
  <si>
    <t>100069272</t>
  </si>
  <si>
    <t>100069273</t>
  </si>
  <si>
    <t>100069274</t>
  </si>
  <si>
    <t>100069275</t>
  </si>
  <si>
    <t>100069276</t>
  </si>
  <si>
    <t>100069277</t>
  </si>
  <si>
    <t>100069278</t>
  </si>
  <si>
    <t>100069279</t>
  </si>
  <si>
    <t>100069280</t>
  </si>
  <si>
    <t>100069281</t>
  </si>
  <si>
    <t>100069282</t>
  </si>
  <si>
    <t>100069283</t>
  </si>
  <si>
    <t>100069284</t>
  </si>
  <si>
    <t>100069285</t>
  </si>
  <si>
    <t>100069286</t>
  </si>
  <si>
    <t>100069287</t>
  </si>
  <si>
    <t>100069288</t>
  </si>
  <si>
    <t>100069289</t>
  </si>
  <si>
    <t>100069290</t>
  </si>
  <si>
    <t>100074896</t>
  </si>
  <si>
    <t>100074897</t>
  </si>
  <si>
    <t>100074898</t>
  </si>
  <si>
    <t>100074899</t>
  </si>
  <si>
    <t>100074900</t>
  </si>
  <si>
    <t>100074901</t>
  </si>
  <si>
    <t>100074902</t>
  </si>
  <si>
    <t>100074903</t>
  </si>
  <si>
    <t>100074904</t>
  </si>
  <si>
    <t>100074905</t>
  </si>
  <si>
    <t>100074906</t>
  </si>
  <si>
    <t>100074907</t>
  </si>
  <si>
    <t>100074908</t>
  </si>
  <si>
    <t>100074909</t>
  </si>
  <si>
    <t>100074910</t>
  </si>
  <si>
    <t>100074911</t>
  </si>
  <si>
    <t>100074912</t>
  </si>
  <si>
    <t>100074913</t>
  </si>
  <si>
    <t>100081820</t>
  </si>
  <si>
    <t>100081821</t>
  </si>
  <si>
    <t>100081822</t>
  </si>
  <si>
    <t>100081823</t>
  </si>
  <si>
    <t>100081824</t>
  </si>
  <si>
    <t>100081825</t>
  </si>
  <si>
    <t>100081826</t>
  </si>
  <si>
    <t>100081827</t>
  </si>
  <si>
    <t>100081828</t>
  </si>
  <si>
    <t>100081829</t>
  </si>
  <si>
    <t>100081830</t>
  </si>
  <si>
    <t>100081831</t>
  </si>
  <si>
    <t>100081832</t>
  </si>
  <si>
    <t>100081833</t>
  </si>
  <si>
    <t>100081834</t>
  </si>
  <si>
    <t>100081835</t>
  </si>
  <si>
    <t>100081836</t>
  </si>
  <si>
    <t>100081837</t>
  </si>
  <si>
    <t>Sum of Amount</t>
  </si>
  <si>
    <t>(blank)</t>
  </si>
  <si>
    <t>(blank) Total</t>
  </si>
  <si>
    <t>100008040</t>
  </si>
  <si>
    <t>100008063</t>
  </si>
  <si>
    <t>100010123</t>
  </si>
  <si>
    <t>100022147</t>
  </si>
  <si>
    <t>100022148</t>
  </si>
  <si>
    <t>100030992</t>
  </si>
  <si>
    <t>100030993</t>
  </si>
  <si>
    <t>100039249</t>
  </si>
  <si>
    <t>100039250</t>
  </si>
  <si>
    <t>100047599</t>
  </si>
  <si>
    <t>100047600</t>
  </si>
  <si>
    <t>100048965</t>
  </si>
  <si>
    <t>89009</t>
  </si>
  <si>
    <t>100057888</t>
  </si>
  <si>
    <t>89850-3</t>
  </si>
  <si>
    <t>Power Tax Reversal</t>
  </si>
  <si>
    <t>9200002215</t>
  </si>
  <si>
    <t>YA</t>
  </si>
  <si>
    <t>050000</t>
  </si>
  <si>
    <t>20130705</t>
  </si>
  <si>
    <t>100056975</t>
  </si>
  <si>
    <t>100056976</t>
  </si>
  <si>
    <t>9200002601</t>
  </si>
  <si>
    <t>20130808</t>
  </si>
  <si>
    <t>9200002980</t>
  </si>
  <si>
    <t>20130910</t>
  </si>
  <si>
    <t>9200002983</t>
  </si>
  <si>
    <t>9200002985</t>
  </si>
  <si>
    <t>9200003310</t>
  </si>
  <si>
    <t>20131005</t>
  </si>
  <si>
    <t>9200003312</t>
  </si>
  <si>
    <t>9200003314</t>
  </si>
  <si>
    <t>9959-260</t>
  </si>
  <si>
    <t>9200003736</t>
  </si>
  <si>
    <t>20131107</t>
  </si>
  <si>
    <t>9200004109</t>
  </si>
  <si>
    <t>20131206</t>
  </si>
  <si>
    <t>9200004446</t>
  </si>
  <si>
    <t>20140106</t>
  </si>
  <si>
    <t>9200004448</t>
  </si>
  <si>
    <t>9200004450</t>
  </si>
  <si>
    <t>9200004451</t>
  </si>
  <si>
    <t>20140117</t>
  </si>
  <si>
    <t>9200004453</t>
  </si>
  <si>
    <t>9200000366</t>
  </si>
  <si>
    <t>20140207</t>
  </si>
  <si>
    <t>9200000704</t>
  </si>
  <si>
    <t>20140307</t>
  </si>
  <si>
    <t>9200001105</t>
  </si>
  <si>
    <t>20140405</t>
  </si>
  <si>
    <t>9200001508</t>
  </si>
  <si>
    <t>20140507</t>
  </si>
  <si>
    <t>9200001935</t>
  </si>
  <si>
    <t>20140606</t>
  </si>
  <si>
    <t>9200002384</t>
  </si>
  <si>
    <t>20140706</t>
  </si>
  <si>
    <t>9200002785</t>
  </si>
  <si>
    <t>20140807</t>
  </si>
  <si>
    <t>9200003185</t>
  </si>
  <si>
    <t>20140908</t>
  </si>
  <si>
    <t>9200003592</t>
  </si>
  <si>
    <t>20141005</t>
  </si>
  <si>
    <t>9200003954</t>
  </si>
  <si>
    <t>20141107</t>
  </si>
  <si>
    <t>9200004391</t>
  </si>
  <si>
    <t>20141208</t>
  </si>
  <si>
    <t>9200004933</t>
  </si>
  <si>
    <t>20150107</t>
  </si>
  <si>
    <t>9200004936</t>
  </si>
  <si>
    <t>20150120</t>
  </si>
  <si>
    <t>9200004937</t>
  </si>
  <si>
    <t>9200000561</t>
  </si>
  <si>
    <t>20150206</t>
  </si>
  <si>
    <t>9200001095</t>
  </si>
  <si>
    <t>20150306</t>
  </si>
  <si>
    <t>9200001658</t>
  </si>
  <si>
    <t>20150406</t>
  </si>
  <si>
    <t>9200002218</t>
  </si>
  <si>
    <t>20150508</t>
  </si>
  <si>
    <t>9200002820</t>
  </si>
  <si>
    <t>20150605</t>
  </si>
  <si>
    <t>9200003424</t>
  </si>
  <si>
    <t>20150706</t>
  </si>
  <si>
    <t>9200004050</t>
  </si>
  <si>
    <t>20150807</t>
  </si>
  <si>
    <t>9200004737</t>
  </si>
  <si>
    <t>20150908</t>
  </si>
  <si>
    <t>9200006317</t>
  </si>
  <si>
    <t>20151006</t>
  </si>
  <si>
    <t>9200007979</t>
  </si>
  <si>
    <t>20151106</t>
  </si>
  <si>
    <t>9200009377</t>
  </si>
  <si>
    <t>20151207</t>
  </si>
  <si>
    <t>9200010383</t>
  </si>
  <si>
    <t>20160107</t>
  </si>
  <si>
    <t>9200010385</t>
  </si>
  <si>
    <t>20160109</t>
  </si>
  <si>
    <t>9200010387</t>
  </si>
  <si>
    <t>9200010388</t>
  </si>
  <si>
    <t>20160119</t>
  </si>
  <si>
    <t>9200010390</t>
  </si>
  <si>
    <t>9200001308</t>
  </si>
  <si>
    <t>20160208</t>
  </si>
  <si>
    <t>9200002518</t>
  </si>
  <si>
    <t>20160307</t>
  </si>
  <si>
    <t>9200002557</t>
  </si>
  <si>
    <t>20160308</t>
  </si>
  <si>
    <t>9200002559</t>
  </si>
  <si>
    <t>9200003820</t>
  </si>
  <si>
    <t>20160406</t>
  </si>
  <si>
    <t>9200005365</t>
  </si>
  <si>
    <t>20160505</t>
  </si>
  <si>
    <t>9200006861</t>
  </si>
  <si>
    <t>20160606</t>
  </si>
  <si>
    <t>9200008488</t>
  </si>
  <si>
    <t>20160707</t>
  </si>
  <si>
    <t>9200010014</t>
  </si>
  <si>
    <t>20160804</t>
  </si>
  <si>
    <t>9200012011</t>
  </si>
  <si>
    <t>20160907</t>
  </si>
  <si>
    <t>9200013870</t>
  </si>
  <si>
    <t>20161006</t>
  </si>
  <si>
    <t>9200015683</t>
  </si>
  <si>
    <t>20161104</t>
  </si>
  <si>
    <t>9200017366</t>
  </si>
  <si>
    <t>20161206</t>
  </si>
  <si>
    <t>9200018946</t>
  </si>
  <si>
    <t>20170107</t>
  </si>
  <si>
    <t>9200018948</t>
  </si>
  <si>
    <t>20170108</t>
  </si>
  <si>
    <t>9200018950</t>
  </si>
  <si>
    <t>9200018951</t>
  </si>
  <si>
    <t>20170116</t>
  </si>
  <si>
    <t>9200018953</t>
  </si>
  <si>
    <t>9200005670</t>
  </si>
  <si>
    <t>20170213</t>
  </si>
  <si>
    <t>9200009013</t>
  </si>
  <si>
    <t>20170307</t>
  </si>
  <si>
    <t>9200013421</t>
  </si>
  <si>
    <t>20170406</t>
  </si>
  <si>
    <t>9200017813</t>
  </si>
  <si>
    <t>20170505</t>
  </si>
  <si>
    <t>9200022975</t>
  </si>
  <si>
    <t>20170607</t>
  </si>
  <si>
    <t>9200028615</t>
  </si>
  <si>
    <t>20170707</t>
  </si>
  <si>
    <t>9200035002</t>
  </si>
  <si>
    <t>20170807</t>
  </si>
  <si>
    <t>9200040426</t>
  </si>
  <si>
    <t>20170907</t>
  </si>
  <si>
    <t>9200044627</t>
  </si>
  <si>
    <t>20171005</t>
  </si>
  <si>
    <t>9200049913</t>
  </si>
  <si>
    <t>20171107</t>
  </si>
  <si>
    <t>9200054401</t>
  </si>
  <si>
    <t>20171206</t>
  </si>
  <si>
    <t>9200058328</t>
  </si>
  <si>
    <t>20180106</t>
  </si>
  <si>
    <t>9200058330</t>
  </si>
  <si>
    <t>20180110</t>
  </si>
  <si>
    <t>9200058332</t>
  </si>
  <si>
    <t>9200005745</t>
  </si>
  <si>
    <t>20180207</t>
  </si>
  <si>
    <t>9200009793</t>
  </si>
  <si>
    <t>20180307</t>
  </si>
  <si>
    <t>9200014225</t>
  </si>
  <si>
    <t>20180405</t>
  </si>
  <si>
    <t>9200018651</t>
  </si>
  <si>
    <t>20180507</t>
  </si>
  <si>
    <t>9200023068</t>
  </si>
  <si>
    <t>20180606</t>
  </si>
  <si>
    <t>9200027935</t>
  </si>
  <si>
    <t>20180706</t>
  </si>
  <si>
    <t>9200033092</t>
  </si>
  <si>
    <t>9200037999</t>
  </si>
  <si>
    <t>20180907</t>
  </si>
  <si>
    <t>9200043134</t>
  </si>
  <si>
    <t>20181005</t>
  </si>
  <si>
    <t>9200047992</t>
  </si>
  <si>
    <t>9200052346</t>
  </si>
  <si>
    <t>20181207</t>
  </si>
  <si>
    <t>9200056070</t>
  </si>
  <si>
    <t>20190108</t>
  </si>
  <si>
    <t>9200056072</t>
  </si>
  <si>
    <t>20190116</t>
  </si>
  <si>
    <t>9200056074</t>
  </si>
  <si>
    <t>9200005634</t>
  </si>
  <si>
    <t>20190207</t>
  </si>
  <si>
    <t>9200010042</t>
  </si>
  <si>
    <t>20190307</t>
  </si>
  <si>
    <t>9200015074</t>
  </si>
  <si>
    <t>20190404</t>
  </si>
  <si>
    <t>9200016562</t>
  </si>
  <si>
    <t>20190415</t>
  </si>
  <si>
    <t>9200016564</t>
  </si>
  <si>
    <t>9200021042</t>
  </si>
  <si>
    <t>20190507</t>
  </si>
  <si>
    <t>9200028099</t>
  </si>
  <si>
    <t>20190607</t>
  </si>
  <si>
    <t>9200032921</t>
  </si>
  <si>
    <t>20190705</t>
  </si>
  <si>
    <t>9200038700</t>
  </si>
  <si>
    <t>9200044168</t>
  </si>
  <si>
    <t>20190909</t>
  </si>
  <si>
    <t>9200048480</t>
  </si>
  <si>
    <t>20191004</t>
  </si>
  <si>
    <t>9200049360</t>
  </si>
  <si>
    <t>20191011</t>
  </si>
  <si>
    <t>9200049362</t>
  </si>
  <si>
    <t>9200053623</t>
  </si>
  <si>
    <t>20191107</t>
  </si>
  <si>
    <t>9200057756</t>
  </si>
  <si>
    <t>20191206</t>
  </si>
  <si>
    <t>9200062204</t>
  </si>
  <si>
    <t>20200108</t>
  </si>
  <si>
    <t>9200062206</t>
  </si>
  <si>
    <t>20200116</t>
  </si>
  <si>
    <t>9200062208</t>
  </si>
  <si>
    <t>600034668</t>
  </si>
  <si>
    <t>JPMN ACWI 15723</t>
  </si>
  <si>
    <t>SWF OF 15:05: 2168600139JS YOUR REF=SWF OF 15/05/1</t>
  </si>
  <si>
    <t>0001813700003USD</t>
  </si>
  <si>
    <t>100067673</t>
  </si>
  <si>
    <t>Amortization Expense - Interest Rate Swap (Gross)</t>
  </si>
  <si>
    <t>100067674</t>
  </si>
  <si>
    <t>100074590</t>
  </si>
  <si>
    <t>100074591</t>
  </si>
  <si>
    <t>100084265</t>
  </si>
  <si>
    <t>100084266</t>
  </si>
  <si>
    <t>100090919</t>
  </si>
  <si>
    <t>100090920</t>
  </si>
  <si>
    <t>100099974</t>
  </si>
  <si>
    <t>100099975</t>
  </si>
  <si>
    <t>100008647</t>
  </si>
  <si>
    <t>100008648</t>
  </si>
  <si>
    <t>100016183</t>
  </si>
  <si>
    <t>100016184</t>
  </si>
  <si>
    <t>100023547</t>
  </si>
  <si>
    <t>100023548</t>
  </si>
  <si>
    <t>100032871</t>
  </si>
  <si>
    <t>100032872</t>
  </si>
  <si>
    <t>9100000560</t>
  </si>
  <si>
    <t>89850-4</t>
  </si>
  <si>
    <t>Unrealized Interest Rate Swap</t>
  </si>
  <si>
    <t>20140506</t>
  </si>
  <si>
    <t>9100000674</t>
  </si>
  <si>
    <t>SWAP INTEREST</t>
  </si>
  <si>
    <t>20140514</t>
  </si>
  <si>
    <t>100041473</t>
  </si>
  <si>
    <t>100041474</t>
  </si>
  <si>
    <t>100041488</t>
  </si>
  <si>
    <t>40501-PD0027</t>
  </si>
  <si>
    <t>Amortization Expense-Interest Rate Swap (Gross)</t>
  </si>
  <si>
    <t>9100000720</t>
  </si>
  <si>
    <t>UNREALIZED INTEREST RATE SWAP</t>
  </si>
  <si>
    <t>100048909</t>
  </si>
  <si>
    <t>100048910</t>
  </si>
  <si>
    <t>100048923</t>
  </si>
  <si>
    <t>100058388</t>
  </si>
  <si>
    <t>100058389</t>
  </si>
  <si>
    <t>100058402</t>
  </si>
  <si>
    <t>100068447</t>
  </si>
  <si>
    <t>100068448</t>
  </si>
  <si>
    <t>100068460</t>
  </si>
  <si>
    <t>100076086</t>
  </si>
  <si>
    <t>100076087</t>
  </si>
  <si>
    <t>100076099</t>
  </si>
  <si>
    <t>100086032</t>
  </si>
  <si>
    <t>100086033</t>
  </si>
  <si>
    <t>100086045</t>
  </si>
  <si>
    <t>100093485</t>
  </si>
  <si>
    <t>100093486</t>
  </si>
  <si>
    <t>100093498</t>
  </si>
  <si>
    <t>100102840</t>
  </si>
  <si>
    <t>100102841</t>
  </si>
  <si>
    <t>100102851</t>
  </si>
  <si>
    <t>100007844</t>
  </si>
  <si>
    <t>100007845</t>
  </si>
  <si>
    <t>100007851</t>
  </si>
  <si>
    <t>100015737</t>
  </si>
  <si>
    <t>100015738</t>
  </si>
  <si>
    <t>100015744</t>
  </si>
  <si>
    <t>100024519</t>
  </si>
  <si>
    <t>100024520</t>
  </si>
  <si>
    <t>100024525</t>
  </si>
  <si>
    <t>100025181</t>
  </si>
  <si>
    <t>20150403</t>
  </si>
  <si>
    <t>100033456</t>
  </si>
  <si>
    <t>100033457</t>
  </si>
  <si>
    <t>100033461</t>
  </si>
  <si>
    <t>100034848</t>
  </si>
  <si>
    <t>89850-1</t>
  </si>
  <si>
    <t>Reverse Prior Month</t>
  </si>
  <si>
    <t>20150506</t>
  </si>
  <si>
    <t>April M2M</t>
  </si>
  <si>
    <t>100041704</t>
  </si>
  <si>
    <t>100041705</t>
  </si>
  <si>
    <t>100041708</t>
  </si>
  <si>
    <t>100041632</t>
  </si>
  <si>
    <t>20150601</t>
  </si>
  <si>
    <t>100047138</t>
  </si>
  <si>
    <t>100047139</t>
  </si>
  <si>
    <t>100047142</t>
  </si>
  <si>
    <t>100047196</t>
  </si>
  <si>
    <t>40501-PD0028</t>
  </si>
  <si>
    <t>100062048</t>
  </si>
  <si>
    <t>100062049</t>
  </si>
  <si>
    <t>100062052</t>
  </si>
  <si>
    <t>100062089</t>
  </si>
  <si>
    <t>100070997</t>
  </si>
  <si>
    <t>100070998</t>
  </si>
  <si>
    <t>100071001</t>
  </si>
  <si>
    <t>100071038</t>
  </si>
  <si>
    <t>100080809</t>
  </si>
  <si>
    <t>100080810</t>
  </si>
  <si>
    <t>100080813</t>
  </si>
  <si>
    <t>100080849</t>
  </si>
  <si>
    <t>100092437</t>
  </si>
  <si>
    <t>100092438</t>
  </si>
  <si>
    <t>100092441</t>
  </si>
  <si>
    <t>100092477</t>
  </si>
  <si>
    <t>100102260</t>
  </si>
  <si>
    <t>100102261</t>
  </si>
  <si>
    <t>100102264</t>
  </si>
  <si>
    <t>100102300</t>
  </si>
  <si>
    <t>100114809</t>
  </si>
  <si>
    <t>100114810</t>
  </si>
  <si>
    <t>100114813</t>
  </si>
  <si>
    <t>100114849</t>
  </si>
  <si>
    <t>100010185</t>
  </si>
  <si>
    <t>100010189</t>
  </si>
  <si>
    <t>100010201</t>
  </si>
  <si>
    <t>100019895</t>
  </si>
  <si>
    <t>100019896</t>
  </si>
  <si>
    <t>100019899</t>
  </si>
  <si>
    <t>100019910</t>
  </si>
  <si>
    <t>100031952</t>
  </si>
  <si>
    <t>100031953</t>
  </si>
  <si>
    <t>100031956</t>
  </si>
  <si>
    <t>100031966</t>
  </si>
  <si>
    <t>100042515</t>
  </si>
  <si>
    <t>100042516</t>
  </si>
  <si>
    <t>100042519</t>
  </si>
  <si>
    <t>100042529</t>
  </si>
  <si>
    <t>100053254</t>
  </si>
  <si>
    <t>100053255</t>
  </si>
  <si>
    <t>100053257</t>
  </si>
  <si>
    <t>100053267</t>
  </si>
  <si>
    <t>100064234</t>
  </si>
  <si>
    <t>100064235</t>
  </si>
  <si>
    <t>100064237</t>
  </si>
  <si>
    <t>100064247</t>
  </si>
  <si>
    <t>100074871</t>
  </si>
  <si>
    <t>100074872</t>
  </si>
  <si>
    <t>100074874</t>
  </si>
  <si>
    <t>100074884</t>
  </si>
  <si>
    <t>100086930</t>
  </si>
  <si>
    <t>100086931</t>
  </si>
  <si>
    <t>100086933</t>
  </si>
  <si>
    <t>100086943</t>
  </si>
  <si>
    <t>100098231</t>
  </si>
  <si>
    <t>100098232</t>
  </si>
  <si>
    <t>100098234</t>
  </si>
  <si>
    <t>100098244</t>
  </si>
  <si>
    <t>100109766</t>
  </si>
  <si>
    <t>100109767</t>
  </si>
  <si>
    <t>100109769</t>
  </si>
  <si>
    <t>100109779</t>
  </si>
  <si>
    <t>100121795</t>
  </si>
  <si>
    <t>100121796</t>
  </si>
  <si>
    <t>100121798</t>
  </si>
  <si>
    <t>100121808</t>
  </si>
  <si>
    <t>100133502</t>
  </si>
  <si>
    <t>100133503</t>
  </si>
  <si>
    <t>100133505</t>
  </si>
  <si>
    <t>100133515</t>
  </si>
  <si>
    <t>100007984</t>
  </si>
  <si>
    <t>100007985</t>
  </si>
  <si>
    <t>100007987</t>
  </si>
  <si>
    <t>100007997</t>
  </si>
  <si>
    <t>100016460</t>
  </si>
  <si>
    <t>100016461</t>
  </si>
  <si>
    <t>100016463</t>
  </si>
  <si>
    <t>100016473</t>
  </si>
  <si>
    <t>100024842</t>
  </si>
  <si>
    <t>100024843</t>
  </si>
  <si>
    <t>100024845</t>
  </si>
  <si>
    <t>100024855</t>
  </si>
  <si>
    <t>100030775</t>
  </si>
  <si>
    <t>100030776</t>
  </si>
  <si>
    <t>100030778</t>
  </si>
  <si>
    <t>100030787</t>
  </si>
  <si>
    <t>100038983</t>
  </si>
  <si>
    <t>100038984</t>
  </si>
  <si>
    <t>100038986</t>
  </si>
  <si>
    <t>100038995</t>
  </si>
  <si>
    <t>100046463</t>
  </si>
  <si>
    <t>100046464</t>
  </si>
  <si>
    <t>100046466</t>
  </si>
  <si>
    <t>100046475</t>
  </si>
  <si>
    <t>100052820</t>
  </si>
  <si>
    <t>100052821</t>
  </si>
  <si>
    <t>100052823</t>
  </si>
  <si>
    <t>100052832</t>
  </si>
  <si>
    <t>100060256</t>
  </si>
  <si>
    <t>100060257</t>
  </si>
  <si>
    <t>100060259</t>
  </si>
  <si>
    <t>100060268</t>
  </si>
  <si>
    <t>100066771</t>
  </si>
  <si>
    <t>100066772</t>
  </si>
  <si>
    <t>100066774</t>
  </si>
  <si>
    <t>100066783</t>
  </si>
  <si>
    <t>100073971</t>
  </si>
  <si>
    <t>100073972</t>
  </si>
  <si>
    <t>100073974</t>
  </si>
  <si>
    <t>100073983</t>
  </si>
  <si>
    <t>100080459</t>
  </si>
  <si>
    <t>100080460</t>
  </si>
  <si>
    <t>100080462</t>
  </si>
  <si>
    <t>100080471</t>
  </si>
  <si>
    <t>100088093</t>
  </si>
  <si>
    <t>100088094</t>
  </si>
  <si>
    <t>100088096</t>
  </si>
  <si>
    <t>100088105</t>
  </si>
  <si>
    <t>100006032</t>
  </si>
  <si>
    <t>100006033</t>
  </si>
  <si>
    <t>100006034</t>
  </si>
  <si>
    <t>100006042</t>
  </si>
  <si>
    <t>100012402</t>
  </si>
  <si>
    <t>100020428</t>
  </si>
  <si>
    <t>100020429</t>
  </si>
  <si>
    <t>100020430</t>
  </si>
  <si>
    <t>100020438</t>
  </si>
  <si>
    <t>100027589</t>
  </si>
  <si>
    <t>100027590</t>
  </si>
  <si>
    <t>100027591</t>
  </si>
  <si>
    <t>100027625</t>
  </si>
  <si>
    <t>100035777</t>
  </si>
  <si>
    <t>100035778</t>
  </si>
  <si>
    <t>100035779</t>
  </si>
  <si>
    <t>100035786</t>
  </si>
  <si>
    <t>100043161</t>
  </si>
  <si>
    <t>100043162</t>
  </si>
  <si>
    <t>100043169</t>
  </si>
  <si>
    <t>100050030</t>
  </si>
  <si>
    <t>100050031</t>
  </si>
  <si>
    <t>100050038</t>
  </si>
  <si>
    <t>100057792</t>
  </si>
  <si>
    <t>100057793</t>
  </si>
  <si>
    <t>100057800</t>
  </si>
  <si>
    <t>100064755</t>
  </si>
  <si>
    <t>100064756</t>
  </si>
  <si>
    <t>100064763</t>
  </si>
  <si>
    <t>100071883</t>
  </si>
  <si>
    <t>100071884</t>
  </si>
  <si>
    <t>100071891</t>
  </si>
  <si>
    <t>100079605</t>
  </si>
  <si>
    <t>100079606</t>
  </si>
  <si>
    <t>100079613</t>
  </si>
  <si>
    <t>100086604</t>
  </si>
  <si>
    <t>100086605</t>
  </si>
  <si>
    <t>100086612</t>
  </si>
  <si>
    <t>100006732</t>
  </si>
  <si>
    <t>100006733</t>
  </si>
  <si>
    <t>100006740</t>
  </si>
  <si>
    <t>100012424</t>
  </si>
  <si>
    <t>100012425</t>
  </si>
  <si>
    <t>100012432</t>
  </si>
  <si>
    <t>100027266</t>
  </si>
  <si>
    <t>100027267</t>
  </si>
  <si>
    <t>100027273</t>
  </si>
  <si>
    <t>100034690</t>
  </si>
  <si>
    <t>100034691</t>
  </si>
  <si>
    <t>100034697</t>
  </si>
  <si>
    <t>100040832</t>
  </si>
  <si>
    <t>100040833</t>
  </si>
  <si>
    <t>100040839</t>
  </si>
  <si>
    <t>100048465</t>
  </si>
  <si>
    <t>100048466</t>
  </si>
  <si>
    <t>100048472</t>
  </si>
  <si>
    <t>100055087</t>
  </si>
  <si>
    <t>100055088</t>
  </si>
  <si>
    <t>100055094</t>
  </si>
  <si>
    <t>100069291</t>
  </si>
  <si>
    <t>100069292</t>
  </si>
  <si>
    <t>100069298</t>
  </si>
  <si>
    <t>100074914</t>
  </si>
  <si>
    <t>100074915</t>
  </si>
  <si>
    <t>100074921</t>
  </si>
  <si>
    <t>100081838</t>
  </si>
  <si>
    <t>100081839</t>
  </si>
  <si>
    <t>100081845</t>
  </si>
  <si>
    <t>CoCd</t>
  </si>
  <si>
    <t>Tr.prt</t>
  </si>
  <si>
    <t>Cost Ctr</t>
  </si>
  <si>
    <t>Order</t>
  </si>
  <si>
    <t>2201</t>
  </si>
  <si>
    <t>100006706</t>
  </si>
  <si>
    <t>40650-PD0015</t>
  </si>
  <si>
    <t>Int Exp 6.55% Series</t>
  </si>
  <si>
    <t>PD0015_2201</t>
  </si>
  <si>
    <t>100006707</t>
  </si>
  <si>
    <t>40650-PD0020</t>
  </si>
  <si>
    <t>Int Exp 6.15% Series</t>
  </si>
  <si>
    <t>PD0020_2201</t>
  </si>
  <si>
    <t>100006708</t>
  </si>
  <si>
    <t>40650-PD0025</t>
  </si>
  <si>
    <t>Int Exp 4.1% Series</t>
  </si>
  <si>
    <t>PD0025_2201</t>
  </si>
  <si>
    <t>100006709</t>
  </si>
  <si>
    <t>40650-PD0019</t>
  </si>
  <si>
    <t>Int Exp 5.4% Series</t>
  </si>
  <si>
    <t>PD0019_2201</t>
  </si>
  <si>
    <t>100006710</t>
  </si>
  <si>
    <t>40650-PD0026</t>
  </si>
  <si>
    <t>Int Exp 2.60% Series</t>
  </si>
  <si>
    <t>PD0026_2201</t>
  </si>
  <si>
    <t>100006735</t>
  </si>
  <si>
    <t>40650-PD0027</t>
  </si>
  <si>
    <t>Int Exp 4.35% Series</t>
  </si>
  <si>
    <t>PD0027_2201</t>
  </si>
  <si>
    <t>100006738</t>
  </si>
  <si>
    <t>40650-PD0028</t>
  </si>
  <si>
    <t>Int Exp 4.20% Series</t>
  </si>
  <si>
    <t>PD0028_2201</t>
  </si>
  <si>
    <t>100006759</t>
  </si>
  <si>
    <t>40650-PD0034</t>
  </si>
  <si>
    <t>$350M Notes due 2048 4.3% - Int Exp.</t>
  </si>
  <si>
    <t>PD0034_2201</t>
  </si>
  <si>
    <t>100006769</t>
  </si>
  <si>
    <t>40650-PD0035</t>
  </si>
  <si>
    <t>$375M Notes due 2049 4.45%- Int Exp.</t>
  </si>
  <si>
    <t>PD0035_2201</t>
  </si>
  <si>
    <t>100012427</t>
  </si>
  <si>
    <t>100012430</t>
  </si>
  <si>
    <t>100012449</t>
  </si>
  <si>
    <t>100012459</t>
  </si>
  <si>
    <t>100020400</t>
  </si>
  <si>
    <t>100020401</t>
  </si>
  <si>
    <t>100020402</t>
  </si>
  <si>
    <t>100020403</t>
  </si>
  <si>
    <t>100020404</t>
  </si>
  <si>
    <t>100020432</t>
  </si>
  <si>
    <t>100020451</t>
  </si>
  <si>
    <t>100020460</t>
  </si>
  <si>
    <t>100027240</t>
  </si>
  <si>
    <t>100027241</t>
  </si>
  <si>
    <t>100027242</t>
  </si>
  <si>
    <t>100027243</t>
  </si>
  <si>
    <t>100027244</t>
  </si>
  <si>
    <t>100027269</t>
  </si>
  <si>
    <t>100027271</t>
  </si>
  <si>
    <t>100027290</t>
  </si>
  <si>
    <t>100027299</t>
  </si>
  <si>
    <t>100034664</t>
  </si>
  <si>
    <t>100034665</t>
  </si>
  <si>
    <t>100034666</t>
  </si>
  <si>
    <t>100034667</t>
  </si>
  <si>
    <t>100034668</t>
  </si>
  <si>
    <t>100034693</t>
  </si>
  <si>
    <t>100034695</t>
  </si>
  <si>
    <t>100034713</t>
  </si>
  <si>
    <t>100034721</t>
  </si>
  <si>
    <t>100040806</t>
  </si>
  <si>
    <t>100040807</t>
  </si>
  <si>
    <t>100040808</t>
  </si>
  <si>
    <t>100040809</t>
  </si>
  <si>
    <t>100040810</t>
  </si>
  <si>
    <t>100040835</t>
  </si>
  <si>
    <t>100040837</t>
  </si>
  <si>
    <t>100040855</t>
  </si>
  <si>
    <t>100040860</t>
  </si>
  <si>
    <t>100048439</t>
  </si>
  <si>
    <t>100048440</t>
  </si>
  <si>
    <t>100048441</t>
  </si>
  <si>
    <t>100048442</t>
  </si>
  <si>
    <t>100048443</t>
  </si>
  <si>
    <t>100048468</t>
  </si>
  <si>
    <t>100048470</t>
  </si>
  <si>
    <t>100048487</t>
  </si>
  <si>
    <t>100048490</t>
  </si>
  <si>
    <t>9100001471</t>
  </si>
  <si>
    <t>89800-8</t>
  </si>
  <si>
    <t>$300 Note due 2050 3.625% - Int Exp.</t>
  </si>
  <si>
    <t>PD0036_2201</t>
  </si>
  <si>
    <t>100055061</t>
  </si>
  <si>
    <t>100055062</t>
  </si>
  <si>
    <t>100055063</t>
  </si>
  <si>
    <t>100055064</t>
  </si>
  <si>
    <t>100055065</t>
  </si>
  <si>
    <t>100055090</t>
  </si>
  <si>
    <t>100055092</t>
  </si>
  <si>
    <t>100055109</t>
  </si>
  <si>
    <t>100055111</t>
  </si>
  <si>
    <t>100055185</t>
  </si>
  <si>
    <t>40650-PD0036</t>
  </si>
  <si>
    <t>$300 Note due 2050 3.625% - Int Exp</t>
  </si>
  <si>
    <t>100062011</t>
  </si>
  <si>
    <t>100062012</t>
  </si>
  <si>
    <t>100062013</t>
  </si>
  <si>
    <t>100062014</t>
  </si>
  <si>
    <t>100062015</t>
  </si>
  <si>
    <t>100062059</t>
  </si>
  <si>
    <t>100062061</t>
  </si>
  <si>
    <t>100062134</t>
  </si>
  <si>
    <t>100069265</t>
  </si>
  <si>
    <t>100069266</t>
  </si>
  <si>
    <t>100069267</t>
  </si>
  <si>
    <t>100069268</t>
  </si>
  <si>
    <t>100069269</t>
  </si>
  <si>
    <t>100069294</t>
  </si>
  <si>
    <t>100069296</t>
  </si>
  <si>
    <t>100069313</t>
  </si>
  <si>
    <t>100069315</t>
  </si>
  <si>
    <t>100069389</t>
  </si>
  <si>
    <t>100074889</t>
  </si>
  <si>
    <t>100074890</t>
  </si>
  <si>
    <t>100074891</t>
  </si>
  <si>
    <t>100074892</t>
  </si>
  <si>
    <t>100074893</t>
  </si>
  <si>
    <t>100074917</t>
  </si>
  <si>
    <t>100074919</t>
  </si>
  <si>
    <t>100074936</t>
  </si>
  <si>
    <t>100074938</t>
  </si>
  <si>
    <t>100075010</t>
  </si>
  <si>
    <t>100081813</t>
  </si>
  <si>
    <t>100081814</t>
  </si>
  <si>
    <t>100081815</t>
  </si>
  <si>
    <t>100081816</t>
  </si>
  <si>
    <t>100081817</t>
  </si>
  <si>
    <t>100081841</t>
  </si>
  <si>
    <t>100081843</t>
  </si>
  <si>
    <t>100081860</t>
  </si>
  <si>
    <t>100081862</t>
  </si>
  <si>
    <t>100081913</t>
  </si>
  <si>
    <t>FUTURE</t>
  </si>
  <si>
    <t>Beginning Balance 12/31/18</t>
  </si>
  <si>
    <t>Ending Balance 12/31/19</t>
  </si>
  <si>
    <t>Rollforward of Debt Issue Costs 2019 - Account 1810200</t>
  </si>
  <si>
    <t>TEC/PGS 2048 4.30% Notes 6/15/2048</t>
  </si>
  <si>
    <t>TEC/PGS 2049 4.45% Notes 6/15/2049</t>
  </si>
  <si>
    <t>$250M</t>
  </si>
  <si>
    <t>$190M</t>
  </si>
  <si>
    <t>$225M</t>
  </si>
  <si>
    <t>$290M</t>
  </si>
  <si>
    <t>$230M</t>
  </si>
  <si>
    <t>$275M</t>
  </si>
  <si>
    <t>$350M</t>
  </si>
  <si>
    <t xml:space="preserve"> Balance 12/31/18</t>
  </si>
  <si>
    <t>*This was the catch all for Legacy debt not assigned to a Profit Center? How do I know which ones belong above?</t>
  </si>
  <si>
    <t>$20M 2020 Bond Purch in Lieu</t>
  </si>
  <si>
    <t>$21.875M Call Premium Due 202</t>
  </si>
  <si>
    <t>$21.875M Unamortized Loss Due</t>
  </si>
  <si>
    <t>$3.125M Call Premium Due 2021</t>
  </si>
  <si>
    <t>$3.125M Unamortized Loss Due</t>
  </si>
  <si>
    <t>$51.6M 2025 5.15% Refunding B</t>
  </si>
  <si>
    <t>$54.2M 2018 5.65% Refunding B</t>
  </si>
  <si>
    <t>$80M Call Premium Due 2022 (L</t>
  </si>
  <si>
    <t>$80M Unamortized Loss Due 202</t>
  </si>
  <si>
    <t>18243 TEC CONVERSION ACCOUNT</t>
  </si>
  <si>
    <t>18244 TEC CONVERSION ACCOUNT</t>
  </si>
  <si>
    <t>18276 TEC CONVERSION ACCOUNT</t>
  </si>
  <si>
    <t>18277 TEC CONVERSION ACCOUNT</t>
  </si>
  <si>
    <t>18278 TEC CONVERSION ACCOUNT</t>
  </si>
  <si>
    <t>18279 TEC CONVERSION ACCOUNT</t>
  </si>
  <si>
    <t>18280 TEC CONVERSION ACCOUNT</t>
  </si>
  <si>
    <t>18281 TEC CONVERSION ACCOUNT</t>
  </si>
  <si>
    <t>18284 TEC CONVERSION ACCOUNT</t>
  </si>
  <si>
    <t>18287 TEC CONVERSION ACCOUNT</t>
  </si>
  <si>
    <t>18288 TEC CONVERSION ACCOUNT</t>
  </si>
  <si>
    <t>18290 TEC CONVERSION ACCOUNT</t>
  </si>
  <si>
    <t>18291 TEC CONVERSION ACCOUNT</t>
  </si>
  <si>
    <t>18294 TEC CONVERSION ACCOUNT</t>
  </si>
  <si>
    <t>18295 TEC CONVERSION ACCOUNT</t>
  </si>
  <si>
    <t>RECURRING ENTRY ENDS 03/22; F</t>
  </si>
  <si>
    <t>RECURRING ENTRY ENDS 04/18; F</t>
  </si>
  <si>
    <t>RECURRING ENTRY ENDS 06/21; F</t>
  </si>
  <si>
    <t>RECURRING ENTRY ENDS 07/25; F</t>
  </si>
  <si>
    <t>RECURRING ENTRY ENDS 09/20; F</t>
  </si>
  <si>
    <t>2019 Bal</t>
  </si>
  <si>
    <t>2018 Bal</t>
  </si>
  <si>
    <t>2019 Activity</t>
  </si>
  <si>
    <t>Monthly Amortization in SAP</t>
  </si>
  <si>
    <t xml:space="preserve">40542 PD0900-C </t>
  </si>
  <si>
    <t>For the Year of 2019</t>
  </si>
  <si>
    <t>*7/23 - may need to reach out to Tax for their portion (exclude Hedges)</t>
  </si>
  <si>
    <t>Current Description</t>
  </si>
  <si>
    <t>Issuance Date</t>
  </si>
  <si>
    <t>Maturity Date</t>
  </si>
  <si>
    <t>Payment Due Dates</t>
  </si>
  <si>
    <t>Status</t>
  </si>
  <si>
    <t>Totals</t>
  </si>
  <si>
    <t>TEC Total at 12.31.2019</t>
  </si>
  <si>
    <t>TEC 2014-2016 6.25% Notes</t>
  </si>
  <si>
    <t>TEC 2023 5.50% Refunding Bonds</t>
  </si>
  <si>
    <t>Part of Debt Exchange - Not Outstanding</t>
  </si>
  <si>
    <t>TEC 2025 5.15% Refunding Bonds</t>
  </si>
  <si>
    <t>Purchased in Lieu of Redemption</t>
  </si>
  <si>
    <t>TEC 2030 Variable Rate Bonds</t>
  </si>
  <si>
    <t>TEC 2034 5.00% Refunding Bonds</t>
  </si>
  <si>
    <t>TEC 2036 6.55% Notes</t>
  </si>
  <si>
    <t>5/15, 11/15</t>
  </si>
  <si>
    <t>TEC/PGS 2021 5.40% Notes</t>
  </si>
  <si>
    <t>TEC 2020 Bond Purch in Lieu Redemption</t>
  </si>
  <si>
    <t>TEC/PGS 2042 4.1% Notes</t>
  </si>
  <si>
    <t>6/1, 12/1</t>
  </si>
  <si>
    <t>TEC/PGS 2022 2.60% Notes</t>
  </si>
  <si>
    <t>9/1, 3/1</t>
  </si>
  <si>
    <t>TEC/PGS Medium Term 4.35% Notes Due 2044</t>
  </si>
  <si>
    <t>TEC/PGS 2045 4.20% Notes</t>
  </si>
  <si>
    <t>6/15, 12/15</t>
  </si>
  <si>
    <t>TEC/PGS 2050 3.625% Notes 6/15/2050</t>
  </si>
  <si>
    <t>4.30% Due 2048</t>
  </si>
  <si>
    <t>4.45% Due 2049</t>
  </si>
  <si>
    <t>3.625% Due 2050</t>
  </si>
  <si>
    <t>PD0015 a</t>
  </si>
  <si>
    <t>PD0015 b</t>
  </si>
  <si>
    <t>Unamort amnt</t>
  </si>
  <si>
    <t>total Unamort amnt</t>
  </si>
  <si>
    <t>Bond Life</t>
  </si>
  <si>
    <t>1810100-1810200 &amp; 1890100-1890200 - Balance will be a bit off since (13) is the 13 month average</t>
  </si>
  <si>
    <t>Beginning Balance 12/31/19</t>
  </si>
  <si>
    <t>Ending Balance 12/31/20</t>
  </si>
  <si>
    <t>Ending Balance per 5+7F/2021 B</t>
  </si>
  <si>
    <t>Beginning Balance 12/31/20</t>
  </si>
  <si>
    <t>Ending Balance 12/31/21</t>
  </si>
  <si>
    <t>5+7F 2020 - All Inputs tab</t>
  </si>
  <si>
    <t>5+7F 2020 - 189 Activity</t>
  </si>
  <si>
    <t>Rollforward of Debt Issue Costs 2020 - Account 1810200</t>
  </si>
  <si>
    <t>Rollforward of Debt Issue Costs 2021 - Account 1810200</t>
  </si>
  <si>
    <t>4.10% Due 2042 (b)</t>
  </si>
  <si>
    <t>2.60% Due 2022</t>
  </si>
  <si>
    <t>4.35% Due 2044 (b)</t>
  </si>
  <si>
    <t>4.20% Due 2045 (b)</t>
  </si>
  <si>
    <t>13 mo Avg</t>
  </si>
  <si>
    <t>(b) Issuing Expense includes Gains or Losses on Interest Rate Swaps</t>
  </si>
  <si>
    <t>Accts 181, 189, 190 &amp; 219</t>
  </si>
  <si>
    <t>Projected Test Year Ended 12/31/2022</t>
  </si>
  <si>
    <t>Projected Prior Year Ended 12/31/2021</t>
  </si>
  <si>
    <t>Historical Prior Year Ended 12/31/2020</t>
  </si>
  <si>
    <t>Oct</t>
  </si>
  <si>
    <t>7500120+7500130+7201100</t>
  </si>
  <si>
    <t>FERD (428-429) = 7500120-7500130 &amp; 7201100: (428.1 - go to line #23 unamort loss/debt)</t>
  </si>
  <si>
    <t>DOCKET No. 2021####-EI</t>
  </si>
  <si>
    <t>Unamortized Issue Expense</t>
  </si>
  <si>
    <t>Unamortized Premium/Discount</t>
  </si>
  <si>
    <t>NET</t>
  </si>
  <si>
    <t>AOCI</t>
  </si>
  <si>
    <t>2.40% Due 2031</t>
  </si>
  <si>
    <t>3.45% Due 2051</t>
  </si>
  <si>
    <t>3.875% Due 2024</t>
  </si>
  <si>
    <t>5.00% Due 2052</t>
  </si>
  <si>
    <t>Amortization of Premium/Discount</t>
  </si>
  <si>
    <t>Dec</t>
  </si>
  <si>
    <t>Jan</t>
  </si>
  <si>
    <t>Feb</t>
  </si>
  <si>
    <t>Mar</t>
  </si>
  <si>
    <t>Apr</t>
  </si>
  <si>
    <t>Jun</t>
  </si>
  <si>
    <t>Jul</t>
  </si>
  <si>
    <t>Aug</t>
  </si>
  <si>
    <t>Sep</t>
  </si>
  <si>
    <t>Nov</t>
  </si>
  <si>
    <t>Amortization of Issuance Expense &amp; OCI</t>
  </si>
  <si>
    <t>Page 1 of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</si>
</sst>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0.0"/>
    <numFmt numFmtId="167" formatCode="0.000000"/>
    <numFmt numFmtId="168" formatCode="0.00000"/>
    <numFmt numFmtId="169" formatCode="0.0000"/>
    <numFmt numFmtId="170" formatCode="_(* #,##0.0000_);_(* \(#,##0.0000\);_(* &quot;-&quot;??_);_(@_)"/>
    <numFmt numFmtId="171" formatCode="_(* #,##0.00000_);_(* \(#,##0.00000\);_(* &quot;-&quot;??_);_(@_)"/>
    <numFmt numFmtId="172" formatCode="[$-409]mmm\-yy;@"/>
    <numFmt numFmtId="173" formatCode="0_);\(0\)"/>
    <numFmt numFmtId="174" formatCode="mmmm\ d\,\ yyyy"/>
    <numFmt numFmtId="175" formatCode="&quot;$&quot;#,##0\ ;\(&quot;$&quot;#,##0\)"/>
    <numFmt numFmtId="176" formatCode="mm/dd/yyyy"/>
    <numFmt numFmtId="177" formatCode="&quot;$&quot;#,##0.00"/>
    <numFmt numFmtId="178" formatCode="_(* #,##0.0_);_(* \(#,##0.0\);_(* &quot;-&quot;??_);_(@_)"/>
  </numFmts>
  <fonts count="5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8"/>
      <name val="Arial"/>
      <family val="2"/>
    </font>
    <font>
      <sz val="8"/>
      <color indexed="8"/>
      <name val="Arial"/>
      <family val="2"/>
    </font>
    <font>
      <b/>
      <sz val="10"/>
      <color indexed="12"/>
      <name val="Arial"/>
      <family val="2"/>
    </font>
    <font>
      <sz val="10"/>
      <color indexed="8"/>
      <name val="Times New Roman"/>
      <family val="1"/>
    </font>
    <font>
      <b/>
      <sz val="12"/>
      <color indexed="8"/>
      <name val="Tahoma"/>
      <family val="2"/>
    </font>
    <font>
      <b/>
      <sz val="10"/>
      <color indexed="8"/>
      <name val="Times New Roman"/>
      <family val="1"/>
    </font>
    <font>
      <b/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8"/>
      <color indexed="10"/>
      <name val="Arial"/>
      <family val="2"/>
    </font>
    <font>
      <sz val="12"/>
      <name val="Arial"/>
      <family val="2"/>
    </font>
    <font>
      <sz val="10"/>
      <color indexed="12"/>
      <name val="Arial"/>
      <family val="2"/>
    </font>
    <font>
      <sz val="10"/>
      <color indexed="10"/>
      <name val="Arial"/>
      <family val="2"/>
    </font>
    <font>
      <sz val="14"/>
      <name val="Arial"/>
      <family val="2"/>
    </font>
    <font>
      <b/>
      <sz val="10"/>
      <color indexed="10"/>
      <name val="Arial"/>
      <family val="2"/>
    </font>
    <font>
      <b/>
      <sz val="11"/>
      <name val="Arial"/>
      <family val="2"/>
    </font>
    <font>
      <b/>
      <sz val="8"/>
      <color indexed="81"/>
      <name val="Tahoma"/>
      <family val="2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sz val="8"/>
      <color indexed="12"/>
      <name val="Arial"/>
      <family val="2"/>
    </font>
    <font>
      <sz val="8"/>
      <color indexed="20"/>
      <name val="Arial"/>
      <family val="2"/>
    </font>
    <font>
      <sz val="10"/>
      <name val="Times New Roman"/>
      <family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b/>
      <i/>
      <u/>
      <sz val="10"/>
      <name val="Arial"/>
      <family val="2"/>
    </font>
    <font>
      <b/>
      <sz val="9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color rgb="FFFF0000"/>
      <name val="Arial"/>
      <family val="2"/>
    </font>
    <font>
      <sz val="10"/>
      <color rgb="FFFF0000"/>
      <name val="Arial"/>
      <family val="2"/>
    </font>
    <font>
      <sz val="10"/>
      <color theme="0"/>
      <name val="Arial"/>
      <family val="2"/>
    </font>
    <font>
      <b/>
      <sz val="12"/>
      <name val="Cambria"/>
      <family val="1"/>
      <scheme val="major"/>
    </font>
    <font>
      <sz val="10"/>
      <color rgb="FFC00000"/>
      <name val="Arial"/>
      <family val="2"/>
    </font>
    <font>
      <sz val="8"/>
      <color theme="4" tint="-0.499984740745262"/>
      <name val="Arial"/>
      <family val="2"/>
    </font>
    <font>
      <sz val="11"/>
      <color theme="3"/>
      <name val="Calibri"/>
      <family val="2"/>
      <scheme val="minor"/>
    </font>
    <font>
      <sz val="8"/>
      <color theme="3"/>
      <name val="Arial"/>
      <family val="2"/>
    </font>
    <font>
      <sz val="11"/>
      <color rgb="FFFFC000"/>
      <name val="Calibri"/>
      <family val="2"/>
      <scheme val="minor"/>
    </font>
    <font>
      <sz val="10"/>
      <color rgb="FF0070C0"/>
      <name val="Arial"/>
      <family val="2"/>
    </font>
    <font>
      <b/>
      <sz val="8"/>
      <name val="Arial"/>
      <family val="2"/>
    </font>
    <font>
      <i/>
      <sz val="8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43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</fills>
  <borders count="37">
    <border>
      <left/>
      <right/>
      <top/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double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10"/>
      </left>
      <right style="medium">
        <color indexed="10"/>
      </right>
      <top/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/>
      <bottom/>
      <diagonal/>
    </border>
    <border>
      <left/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 style="thin">
        <color indexed="0"/>
      </right>
      <top style="medium">
        <color indexed="64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 style="medium">
        <color indexed="64"/>
      </top>
      <bottom style="thin">
        <color indexed="0"/>
      </bottom>
      <diagonal/>
    </border>
    <border>
      <left style="thin">
        <color indexed="0"/>
      </left>
      <right style="medium">
        <color indexed="64"/>
      </right>
      <top style="medium">
        <color indexed="64"/>
      </top>
      <bottom style="thin">
        <color indexed="0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77">
    <xf numFmtId="0" fontId="0" fillId="0" borderId="0"/>
    <xf numFmtId="167" fontId="3" fillId="0" borderId="0">
      <alignment horizontal="left" wrapText="1"/>
    </xf>
    <xf numFmtId="167" fontId="14" fillId="0" borderId="0">
      <alignment horizontal="left" wrapText="1"/>
    </xf>
    <xf numFmtId="166" fontId="3" fillId="0" borderId="0">
      <alignment horizontal="left" wrapText="1"/>
    </xf>
    <xf numFmtId="166" fontId="14" fillId="0" borderId="0">
      <alignment horizontal="left" wrapText="1"/>
    </xf>
    <xf numFmtId="167" fontId="3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7" fontId="14" fillId="0" borderId="0">
      <alignment horizontal="left" wrapText="1"/>
    </xf>
    <xf numFmtId="166" fontId="14" fillId="0" borderId="0">
      <alignment horizontal="left" wrapText="1"/>
    </xf>
    <xf numFmtId="166" fontId="3" fillId="0" borderId="0">
      <alignment horizontal="left" wrapText="1"/>
    </xf>
    <xf numFmtId="166" fontId="14" fillId="0" borderId="0">
      <alignment horizontal="left" wrapText="1"/>
    </xf>
    <xf numFmtId="166" fontId="3" fillId="0" borderId="0">
      <alignment horizontal="left" wrapText="1"/>
    </xf>
    <xf numFmtId="166" fontId="14" fillId="0" borderId="0">
      <alignment horizontal="left" wrapText="1"/>
    </xf>
    <xf numFmtId="43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4" fillId="0" borderId="0" applyFont="0" applyFill="0" applyBorder="0" applyAlignment="0" applyProtection="0"/>
    <xf numFmtId="175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2" borderId="0"/>
    <xf numFmtId="0" fontId="14" fillId="0" borderId="0"/>
    <xf numFmtId="0" fontId="14" fillId="0" borderId="0">
      <protection hidden="1"/>
    </xf>
    <xf numFmtId="0" fontId="41" fillId="0" borderId="0"/>
    <xf numFmtId="0" fontId="16" fillId="0" borderId="0"/>
    <xf numFmtId="0" fontId="16" fillId="0" borderId="0"/>
    <xf numFmtId="0" fontId="12" fillId="0" borderId="0"/>
    <xf numFmtId="0" fontId="35" fillId="0" borderId="0"/>
    <xf numFmtId="0" fontId="4" fillId="0" borderId="0"/>
    <xf numFmtId="9" fontId="3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4" fillId="0" borderId="0" applyFont="0" applyFill="0" applyBorder="0" applyAlignment="0" applyProtection="0"/>
    <xf numFmtId="166" fontId="3" fillId="0" borderId="0">
      <alignment horizontal="left" wrapText="1"/>
    </xf>
    <xf numFmtId="167" fontId="14" fillId="0" borderId="0">
      <alignment horizontal="left" wrapText="1"/>
    </xf>
    <xf numFmtId="166" fontId="14" fillId="0" borderId="0">
      <alignment horizontal="left" wrapText="1"/>
    </xf>
    <xf numFmtId="166" fontId="14" fillId="0" borderId="0">
      <alignment horizontal="left" wrapText="1"/>
    </xf>
    <xf numFmtId="0" fontId="8" fillId="0" borderId="0" applyNumberFormat="0" applyBorder="0" applyAlignment="0"/>
    <xf numFmtId="0" fontId="9" fillId="0" borderId="0" applyNumberFormat="0" applyBorder="0" applyAlignment="0"/>
    <xf numFmtId="0" fontId="10" fillId="0" borderId="0" applyNumberFormat="0" applyBorder="0" applyAlignment="0"/>
    <xf numFmtId="0" fontId="10" fillId="0" borderId="0" applyNumberFormat="0" applyBorder="0" applyAlignment="0"/>
    <xf numFmtId="0" fontId="14" fillId="0" borderId="1" applyNumberFormat="0" applyFont="0" applyFill="0" applyAlignment="0" applyProtection="0"/>
    <xf numFmtId="0" fontId="2" fillId="0" borderId="0"/>
    <xf numFmtId="43" fontId="2" fillId="0" borderId="0" applyFont="0" applyFill="0" applyBorder="0" applyAlignment="0" applyProtection="0"/>
    <xf numFmtId="0" fontId="12" fillId="2" borderId="0"/>
    <xf numFmtId="44" fontId="2" fillId="0" borderId="0" applyFont="0" applyFill="0" applyBorder="0" applyAlignment="0" applyProtection="0"/>
    <xf numFmtId="0" fontId="14" fillId="0" borderId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</cellStyleXfs>
  <cellXfs count="409">
    <xf numFmtId="0" fontId="0" fillId="0" borderId="0" xfId="0"/>
    <xf numFmtId="0" fontId="5" fillId="0" borderId="0" xfId="0" applyFont="1"/>
    <xf numFmtId="0" fontId="5" fillId="0" borderId="2" xfId="0" applyFont="1" applyBorder="1"/>
    <xf numFmtId="0" fontId="5" fillId="0" borderId="3" xfId="0" applyFont="1" applyBorder="1" applyAlignment="1">
      <alignment horizontal="left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5" fillId="0" borderId="0" xfId="0" quotePrefix="1" applyFont="1"/>
    <xf numFmtId="0" fontId="5" fillId="0" borderId="0" xfId="0" applyFont="1" applyAlignment="1">
      <alignment horizontal="center"/>
    </xf>
    <xf numFmtId="0" fontId="5" fillId="0" borderId="0" xfId="0" quotePrefix="1" applyFont="1" applyAlignment="1">
      <alignment horizontal="center"/>
    </xf>
    <xf numFmtId="0" fontId="5" fillId="0" borderId="2" xfId="0" applyFont="1" applyBorder="1" applyAlignment="1">
      <alignment horizontal="center"/>
    </xf>
    <xf numFmtId="14" fontId="5" fillId="0" borderId="2" xfId="0" applyNumberFormat="1" applyFont="1" applyBorder="1" applyAlignment="1">
      <alignment horizontal="center"/>
    </xf>
    <xf numFmtId="14" fontId="5" fillId="0" borderId="2" xfId="0" quotePrefix="1" applyNumberFormat="1" applyFont="1" applyBorder="1" applyAlignment="1">
      <alignment horizontal="center"/>
    </xf>
    <xf numFmtId="0" fontId="5" fillId="0" borderId="2" xfId="0" quotePrefix="1" applyFont="1" applyBorder="1" applyAlignment="1">
      <alignment horizontal="center"/>
    </xf>
    <xf numFmtId="0" fontId="6" fillId="0" borderId="0" xfId="51" applyFont="1" applyAlignment="1">
      <alignment horizontal="right" wrapText="1"/>
    </xf>
    <xf numFmtId="0" fontId="6" fillId="0" borderId="0" xfId="51" applyFont="1" applyAlignment="1">
      <alignment wrapText="1"/>
    </xf>
    <xf numFmtId="164" fontId="5" fillId="0" borderId="0" xfId="15" applyNumberFormat="1" applyFont="1" applyBorder="1"/>
    <xf numFmtId="164" fontId="5" fillId="0" borderId="0" xfId="15" applyNumberFormat="1" applyFont="1"/>
    <xf numFmtId="17" fontId="5" fillId="0" borderId="0" xfId="0" applyNumberFormat="1" applyFont="1"/>
    <xf numFmtId="164" fontId="5" fillId="0" borderId="0" xfId="15" applyNumberFormat="1" applyFont="1" applyFill="1" applyBorder="1"/>
    <xf numFmtId="14" fontId="5" fillId="0" borderId="0" xfId="0" applyNumberFormat="1" applyFont="1"/>
    <xf numFmtId="164" fontId="5" fillId="0" borderId="0" xfId="15" applyNumberFormat="1" applyFont="1" applyFill="1"/>
    <xf numFmtId="0" fontId="7" fillId="0" borderId="0" xfId="0" applyFont="1"/>
    <xf numFmtId="43" fontId="3" fillId="0" borderId="0" xfId="15"/>
    <xf numFmtId="49" fontId="0" fillId="0" borderId="0" xfId="0" applyNumberFormat="1"/>
    <xf numFmtId="43" fontId="5" fillId="0" borderId="0" xfId="15" applyFont="1" applyFill="1" applyBorder="1"/>
    <xf numFmtId="43" fontId="5" fillId="0" borderId="0" xfId="15" applyFont="1"/>
    <xf numFmtId="0" fontId="11" fillId="0" borderId="0" xfId="0" applyFont="1"/>
    <xf numFmtId="0" fontId="0" fillId="0" borderId="0" xfId="0" applyAlignment="1">
      <alignment horizontal="center"/>
    </xf>
    <xf numFmtId="165" fontId="5" fillId="0" borderId="0" xfId="23" applyNumberFormat="1" applyFont="1" applyFill="1"/>
    <xf numFmtId="164" fontId="0" fillId="0" borderId="0" xfId="15" applyNumberFormat="1" applyFont="1"/>
    <xf numFmtId="164" fontId="0" fillId="0" borderId="0" xfId="0" applyNumberFormat="1"/>
    <xf numFmtId="0" fontId="0" fillId="0" borderId="6" xfId="0" applyBorder="1" applyAlignment="1">
      <alignment horizontal="center"/>
    </xf>
    <xf numFmtId="0" fontId="0" fillId="0" borderId="0" xfId="0" applyAlignment="1">
      <alignment horizontal="right"/>
    </xf>
    <xf numFmtId="0" fontId="0" fillId="0" borderId="6" xfId="0" applyBorder="1"/>
    <xf numFmtId="0" fontId="16" fillId="0" borderId="0" xfId="0" applyFont="1" applyAlignment="1">
      <alignment horizontal="center"/>
    </xf>
    <xf numFmtId="43" fontId="3" fillId="0" borderId="0" xfId="15" applyFill="1"/>
    <xf numFmtId="43" fontId="3" fillId="0" borderId="0" xfId="15" applyFill="1" applyBorder="1"/>
    <xf numFmtId="43" fontId="17" fillId="0" borderId="0" xfId="15" applyFont="1" applyFill="1" applyBorder="1"/>
    <xf numFmtId="0" fontId="18" fillId="0" borderId="0" xfId="0" applyFont="1" applyAlignment="1">
      <alignment horizontal="right"/>
    </xf>
    <xf numFmtId="43" fontId="18" fillId="0" borderId="7" xfId="15" applyFont="1" applyFill="1" applyBorder="1"/>
    <xf numFmtId="43" fontId="17" fillId="0" borderId="7" xfId="15" applyFont="1" applyFill="1" applyBorder="1"/>
    <xf numFmtId="43" fontId="18" fillId="0" borderId="0" xfId="15" applyFont="1" applyFill="1" applyBorder="1"/>
    <xf numFmtId="0" fontId="18" fillId="0" borderId="0" xfId="0" applyFont="1"/>
    <xf numFmtId="39" fontId="18" fillId="0" borderId="0" xfId="15" applyNumberFormat="1" applyFont="1" applyFill="1" applyBorder="1"/>
    <xf numFmtId="169" fontId="0" fillId="0" borderId="0" xfId="0" applyNumberFormat="1"/>
    <xf numFmtId="43" fontId="11" fillId="0" borderId="0" xfId="15" applyFont="1" applyFill="1"/>
    <xf numFmtId="43" fontId="0" fillId="0" borderId="0" xfId="0" applyNumberFormat="1"/>
    <xf numFmtId="43" fontId="3" fillId="0" borderId="7" xfId="15" applyFill="1" applyBorder="1"/>
    <xf numFmtId="43" fontId="11" fillId="0" borderId="0" xfId="0" applyNumberFormat="1" applyFont="1"/>
    <xf numFmtId="170" fontId="0" fillId="0" borderId="0" xfId="0" applyNumberFormat="1"/>
    <xf numFmtId="171" fontId="0" fillId="0" borderId="0" xfId="0" applyNumberFormat="1"/>
    <xf numFmtId="0" fontId="19" fillId="0" borderId="0" xfId="0" applyFont="1"/>
    <xf numFmtId="0" fontId="19" fillId="0" borderId="0" xfId="0" applyFont="1" applyAlignment="1">
      <alignment horizontal="center"/>
    </xf>
    <xf numFmtId="172" fontId="0" fillId="0" borderId="0" xfId="0" quotePrefix="1" applyNumberFormat="1" applyAlignment="1">
      <alignment horizontal="center"/>
    </xf>
    <xf numFmtId="16" fontId="0" fillId="0" borderId="0" xfId="0" applyNumberFormat="1" applyAlignment="1">
      <alignment horizontal="center"/>
    </xf>
    <xf numFmtId="0" fontId="0" fillId="0" borderId="6" xfId="0" quotePrefix="1" applyBorder="1" applyAlignment="1">
      <alignment horizontal="center"/>
    </xf>
    <xf numFmtId="0" fontId="11" fillId="0" borderId="6" xfId="0" applyFont="1" applyBorder="1" applyAlignment="1">
      <alignment horizontal="center"/>
    </xf>
    <xf numFmtId="164" fontId="11" fillId="0" borderId="0" xfId="0" applyNumberFormat="1" applyFont="1"/>
    <xf numFmtId="43" fontId="20" fillId="0" borderId="7" xfId="15" applyFont="1" applyFill="1" applyBorder="1"/>
    <xf numFmtId="43" fontId="14" fillId="0" borderId="0" xfId="15" applyFont="1" applyFill="1"/>
    <xf numFmtId="0" fontId="14" fillId="0" borderId="0" xfId="0" applyFont="1"/>
    <xf numFmtId="168" fontId="11" fillId="0" borderId="0" xfId="0" applyNumberFormat="1" applyFont="1"/>
    <xf numFmtId="43" fontId="14" fillId="0" borderId="0" xfId="15" applyFont="1" applyFill="1" applyBorder="1"/>
    <xf numFmtId="43" fontId="11" fillId="0" borderId="7" xfId="0" applyNumberFormat="1" applyFont="1" applyBorder="1"/>
    <xf numFmtId="164" fontId="0" fillId="0" borderId="6" xfId="0" applyNumberFormat="1" applyBorder="1"/>
    <xf numFmtId="0" fontId="11" fillId="0" borderId="0" xfId="0" applyFont="1" applyAlignment="1">
      <alignment horizontal="left" indent="1"/>
    </xf>
    <xf numFmtId="164" fontId="12" fillId="0" borderId="0" xfId="15" applyNumberFormat="1" applyFont="1" applyFill="1" applyBorder="1" applyAlignment="1">
      <alignment horizontal="center"/>
    </xf>
    <xf numFmtId="164" fontId="11" fillId="0" borderId="8" xfId="0" applyNumberFormat="1" applyFont="1" applyBorder="1"/>
    <xf numFmtId="0" fontId="11" fillId="0" borderId="0" xfId="0" applyFont="1" applyAlignment="1">
      <alignment wrapText="1"/>
    </xf>
    <xf numFmtId="0" fontId="0" fillId="0" borderId="0" xfId="0" applyAlignment="1">
      <alignment wrapText="1"/>
    </xf>
    <xf numFmtId="164" fontId="12" fillId="0" borderId="0" xfId="15" applyNumberFormat="1" applyFont="1" applyFill="1"/>
    <xf numFmtId="164" fontId="12" fillId="0" borderId="0" xfId="15" applyNumberFormat="1" applyFont="1" applyFill="1" applyProtection="1"/>
    <xf numFmtId="174" fontId="12" fillId="0" borderId="0" xfId="15" applyNumberFormat="1" applyFont="1" applyFill="1" applyProtection="1"/>
    <xf numFmtId="164" fontId="13" fillId="0" borderId="0" xfId="15" applyNumberFormat="1" applyFont="1" applyFill="1"/>
    <xf numFmtId="164" fontId="12" fillId="0" borderId="0" xfId="15" applyNumberFormat="1" applyFont="1" applyFill="1" applyAlignment="1" applyProtection="1">
      <alignment horizontal="center"/>
    </xf>
    <xf numFmtId="164" fontId="12" fillId="0" borderId="4" xfId="15" applyNumberFormat="1" applyFont="1" applyFill="1" applyBorder="1"/>
    <xf numFmtId="164" fontId="12" fillId="0" borderId="4" xfId="15" applyNumberFormat="1" applyFont="1" applyFill="1" applyBorder="1" applyAlignment="1">
      <alignment horizontal="center"/>
    </xf>
    <xf numFmtId="164" fontId="12" fillId="0" borderId="0" xfId="15" applyNumberFormat="1" applyFont="1" applyFill="1" applyAlignment="1">
      <alignment horizontal="right"/>
    </xf>
    <xf numFmtId="164" fontId="12" fillId="0" borderId="0" xfId="15" quotePrefix="1" applyNumberFormat="1" applyFont="1" applyFill="1" applyAlignment="1">
      <alignment horizontal="right"/>
    </xf>
    <xf numFmtId="164" fontId="12" fillId="0" borderId="0" xfId="15" applyNumberFormat="1" applyFont="1" applyFill="1" applyAlignment="1" applyProtection="1">
      <alignment horizontal="right"/>
    </xf>
    <xf numFmtId="164" fontId="12" fillId="0" borderId="0" xfId="15" quotePrefix="1" applyNumberFormat="1" applyFont="1" applyFill="1" applyAlignment="1" applyProtection="1">
      <alignment horizontal="right"/>
    </xf>
    <xf numFmtId="164" fontId="13" fillId="0" borderId="0" xfId="15" quotePrefix="1" applyNumberFormat="1" applyFont="1" applyFill="1" applyAlignment="1" applyProtection="1">
      <alignment horizontal="right"/>
    </xf>
    <xf numFmtId="164" fontId="13" fillId="0" borderId="0" xfId="15" applyNumberFormat="1" applyFont="1" applyFill="1" applyAlignment="1">
      <alignment horizontal="right"/>
    </xf>
    <xf numFmtId="164" fontId="12" fillId="0" borderId="0" xfId="15" quotePrefix="1" applyNumberFormat="1" applyFont="1" applyFill="1" applyProtection="1">
      <protection locked="0"/>
    </xf>
    <xf numFmtId="164" fontId="12" fillId="0" borderId="9" xfId="15" applyNumberFormat="1" applyFont="1" applyFill="1" applyBorder="1" applyProtection="1"/>
    <xf numFmtId="164" fontId="13" fillId="0" borderId="0" xfId="15" applyNumberFormat="1" applyFont="1" applyFill="1" applyAlignment="1" applyProtection="1">
      <alignment horizontal="right"/>
    </xf>
    <xf numFmtId="164" fontId="13" fillId="0" borderId="0" xfId="15" applyNumberFormat="1" applyFont="1" applyFill="1" applyProtection="1"/>
    <xf numFmtId="164" fontId="13" fillId="0" borderId="0" xfId="15" applyNumberFormat="1" applyFont="1" applyFill="1" applyBorder="1"/>
    <xf numFmtId="164" fontId="13" fillId="0" borderId="0" xfId="15" applyNumberFormat="1" applyFont="1" applyFill="1" applyAlignment="1">
      <alignment horizontal="center"/>
    </xf>
    <xf numFmtId="164" fontId="12" fillId="0" borderId="0" xfId="15" applyNumberFormat="1" applyFont="1" applyFill="1" applyAlignment="1">
      <alignment horizontal="center"/>
    </xf>
    <xf numFmtId="164" fontId="12" fillId="0" borderId="0" xfId="15" applyNumberFormat="1" applyFont="1" applyFill="1" applyProtection="1">
      <protection locked="0"/>
    </xf>
    <xf numFmtId="164" fontId="12" fillId="0" borderId="0" xfId="15" quotePrefix="1" applyNumberFormat="1" applyFont="1" applyFill="1" applyProtection="1"/>
    <xf numFmtId="164" fontId="14" fillId="0" borderId="0" xfId="15" applyNumberFormat="1" applyFont="1" applyFill="1"/>
    <xf numFmtId="164" fontId="21" fillId="0" borderId="0" xfId="15" applyNumberFormat="1" applyFont="1" applyFill="1"/>
    <xf numFmtId="164" fontId="11" fillId="0" borderId="0" xfId="15" applyNumberFormat="1" applyFont="1" applyFill="1"/>
    <xf numFmtId="0" fontId="14" fillId="0" borderId="0" xfId="47" applyFont="1"/>
    <xf numFmtId="164" fontId="12" fillId="0" borderId="0" xfId="15" quotePrefix="1" applyNumberFormat="1" applyFont="1" applyFill="1" applyAlignment="1">
      <alignment horizontal="left"/>
    </xf>
    <xf numFmtId="164" fontId="12" fillId="0" borderId="0" xfId="15" applyNumberFormat="1" applyFont="1" applyFill="1" applyAlignment="1">
      <alignment horizontal="left"/>
    </xf>
    <xf numFmtId="164" fontId="12" fillId="0" borderId="0" xfId="15" quotePrefix="1" applyNumberFormat="1" applyFont="1" applyFill="1"/>
    <xf numFmtId="173" fontId="12" fillId="0" borderId="0" xfId="15" applyNumberFormat="1" applyFont="1" applyFill="1"/>
    <xf numFmtId="164" fontId="12" fillId="0" borderId="4" xfId="15" applyNumberFormat="1" applyFont="1" applyFill="1" applyBorder="1" applyProtection="1"/>
    <xf numFmtId="164" fontId="12" fillId="0" borderId="5" xfId="15" applyNumberFormat="1" applyFont="1" applyFill="1" applyBorder="1"/>
    <xf numFmtId="164" fontId="13" fillId="0" borderId="5" xfId="15" applyNumberFormat="1" applyFont="1" applyFill="1" applyBorder="1"/>
    <xf numFmtId="164" fontId="12" fillId="0" borderId="5" xfId="15" applyNumberFormat="1" applyFont="1" applyFill="1" applyBorder="1" applyProtection="1"/>
    <xf numFmtId="164" fontId="12" fillId="0" borderId="0" xfId="15" applyNumberFormat="1" applyFont="1" applyFill="1" applyBorder="1" applyProtection="1"/>
    <xf numFmtId="164" fontId="12" fillId="0" borderId="0" xfId="15" applyNumberFormat="1" applyFont="1" applyFill="1" applyAlignment="1" applyProtection="1">
      <alignment horizontal="centerContinuous"/>
      <protection locked="0"/>
    </xf>
    <xf numFmtId="0" fontId="12" fillId="0" borderId="0" xfId="47" applyFont="1"/>
    <xf numFmtId="49" fontId="12" fillId="0" borderId="0" xfId="47" applyNumberFormat="1" applyFont="1"/>
    <xf numFmtId="164" fontId="13" fillId="0" borderId="0" xfId="15" quotePrefix="1" applyNumberFormat="1" applyFont="1" applyFill="1" applyAlignment="1">
      <alignment horizontal="right"/>
    </xf>
    <xf numFmtId="164" fontId="12" fillId="0" borderId="0" xfId="15" applyNumberFormat="1" applyFont="1" applyFill="1" applyAlignment="1" applyProtection="1">
      <alignment horizontal="right"/>
      <protection locked="0"/>
    </xf>
    <xf numFmtId="164" fontId="13" fillId="0" borderId="0" xfId="15" applyNumberFormat="1" applyFont="1" applyFill="1" applyProtection="1">
      <protection locked="0"/>
    </xf>
    <xf numFmtId="164" fontId="12" fillId="0" borderId="0" xfId="15" quotePrefix="1" applyNumberFormat="1" applyFont="1" applyFill="1" applyAlignment="1" applyProtection="1">
      <alignment horizontal="right"/>
      <protection locked="0"/>
    </xf>
    <xf numFmtId="164" fontId="12" fillId="0" borderId="10" xfId="15" applyNumberFormat="1" applyFont="1" applyFill="1" applyBorder="1"/>
    <xf numFmtId="164" fontId="13" fillId="0" borderId="11" xfId="15" applyNumberFormat="1" applyFont="1" applyFill="1" applyBorder="1" applyAlignment="1">
      <alignment horizontal="centerContinuous"/>
    </xf>
    <xf numFmtId="164" fontId="12" fillId="0" borderId="12" xfId="15" applyNumberFormat="1" applyFont="1" applyFill="1" applyBorder="1"/>
    <xf numFmtId="164" fontId="12" fillId="0" borderId="13" xfId="15" applyNumberFormat="1" applyFont="1" applyFill="1" applyBorder="1" applyProtection="1"/>
    <xf numFmtId="164" fontId="12" fillId="0" borderId="0" xfId="15" applyNumberFormat="1" applyFont="1" applyFill="1" applyAlignment="1">
      <alignment horizontal="centerContinuous"/>
    </xf>
    <xf numFmtId="164" fontId="12" fillId="0" borderId="14" xfId="15" applyNumberFormat="1" applyFont="1" applyFill="1" applyBorder="1" applyAlignment="1" applyProtection="1">
      <alignment horizontal="centerContinuous"/>
    </xf>
    <xf numFmtId="164" fontId="12" fillId="0" borderId="0" xfId="15" applyNumberFormat="1" applyFont="1" applyFill="1" applyBorder="1" applyAlignment="1" applyProtection="1">
      <alignment horizontal="centerContinuous"/>
    </xf>
    <xf numFmtId="164" fontId="12" fillId="0" borderId="14" xfId="15" applyNumberFormat="1" applyFont="1" applyFill="1" applyBorder="1" applyAlignment="1">
      <alignment horizontal="centerContinuous"/>
    </xf>
    <xf numFmtId="164" fontId="12" fillId="0" borderId="11" xfId="15" applyNumberFormat="1" applyFont="1" applyFill="1" applyBorder="1" applyAlignment="1">
      <alignment horizontal="right"/>
    </xf>
    <xf numFmtId="164" fontId="12" fillId="0" borderId="0" xfId="15" applyNumberFormat="1" applyFont="1" applyFill="1" applyBorder="1" applyAlignment="1">
      <alignment horizontal="centerContinuous"/>
    </xf>
    <xf numFmtId="164" fontId="12" fillId="0" borderId="15" xfId="15" applyNumberFormat="1" applyFont="1" applyFill="1" applyBorder="1" applyAlignment="1">
      <alignment horizontal="centerContinuous"/>
    </xf>
    <xf numFmtId="164" fontId="12" fillId="0" borderId="16" xfId="15" applyNumberFormat="1" applyFont="1" applyFill="1" applyBorder="1"/>
    <xf numFmtId="164" fontId="12" fillId="0" borderId="17" xfId="15" applyNumberFormat="1" applyFont="1" applyFill="1" applyBorder="1"/>
    <xf numFmtId="164" fontId="12" fillId="0" borderId="18" xfId="15" applyNumberFormat="1" applyFont="1" applyFill="1" applyBorder="1" applyProtection="1"/>
    <xf numFmtId="17" fontId="0" fillId="0" borderId="0" xfId="0" applyNumberFormat="1" applyAlignment="1">
      <alignment horizontal="center"/>
    </xf>
    <xf numFmtId="0" fontId="0" fillId="0" borderId="0" xfId="0" quotePrefix="1"/>
    <xf numFmtId="164" fontId="11" fillId="0" borderId="0" xfId="15" applyNumberFormat="1" applyFont="1"/>
    <xf numFmtId="0" fontId="14" fillId="0" borderId="0" xfId="48" applyFont="1"/>
    <xf numFmtId="0" fontId="12" fillId="0" borderId="0" xfId="48" applyFont="1"/>
    <xf numFmtId="49" fontId="12" fillId="0" borderId="0" xfId="48" applyNumberFormat="1" applyFont="1"/>
    <xf numFmtId="1" fontId="0" fillId="3" borderId="0" xfId="0" applyNumberFormat="1" applyFill="1"/>
    <xf numFmtId="164" fontId="15" fillId="0" borderId="0" xfId="15" applyNumberFormat="1" applyFont="1" applyBorder="1"/>
    <xf numFmtId="164" fontId="25" fillId="0" borderId="0" xfId="15" applyNumberFormat="1" applyFont="1" applyBorder="1"/>
    <xf numFmtId="164" fontId="25" fillId="0" borderId="0" xfId="15" applyNumberFormat="1" applyFont="1" applyBorder="1" applyAlignment="1">
      <alignment horizontal="right"/>
    </xf>
    <xf numFmtId="0" fontId="25" fillId="0" borderId="0" xfId="0" applyFont="1" applyAlignment="1">
      <alignment horizontal="right"/>
    </xf>
    <xf numFmtId="0" fontId="0" fillId="3" borderId="0" xfId="0" applyFill="1"/>
    <xf numFmtId="10" fontId="25" fillId="0" borderId="0" xfId="52" applyNumberFormat="1" applyFont="1"/>
    <xf numFmtId="164" fontId="15" fillId="0" borderId="0" xfId="15" applyNumberFormat="1" applyFont="1"/>
    <xf numFmtId="10" fontId="15" fillId="0" borderId="0" xfId="52" applyNumberFormat="1" applyFont="1"/>
    <xf numFmtId="0" fontId="26" fillId="0" borderId="0" xfId="0" applyFont="1"/>
    <xf numFmtId="0" fontId="26" fillId="0" borderId="0" xfId="0" applyFont="1" applyAlignment="1">
      <alignment horizontal="left"/>
    </xf>
    <xf numFmtId="165" fontId="5" fillId="0" borderId="0" xfId="23" quotePrefix="1" applyNumberFormat="1" applyFont="1" applyFill="1"/>
    <xf numFmtId="164" fontId="5" fillId="0" borderId="0" xfId="0" applyNumberFormat="1" applyFont="1"/>
    <xf numFmtId="43" fontId="5" fillId="0" borderId="0" xfId="15" applyFont="1" applyBorder="1"/>
    <xf numFmtId="0" fontId="15" fillId="0" borderId="0" xfId="0" applyFont="1"/>
    <xf numFmtId="0" fontId="6" fillId="0" borderId="0" xfId="51" applyFont="1"/>
    <xf numFmtId="164" fontId="3" fillId="0" borderId="0" xfId="15" applyNumberFormat="1"/>
    <xf numFmtId="164" fontId="3" fillId="0" borderId="0" xfId="15" applyNumberFormat="1" applyFill="1"/>
    <xf numFmtId="164" fontId="3" fillId="3" borderId="0" xfId="15" applyNumberFormat="1" applyFill="1"/>
    <xf numFmtId="164" fontId="3" fillId="3" borderId="0" xfId="15" applyNumberFormat="1" applyFont="1" applyFill="1"/>
    <xf numFmtId="164" fontId="3" fillId="3" borderId="6" xfId="15" applyNumberFormat="1" applyFill="1" applyBorder="1"/>
    <xf numFmtId="164" fontId="3" fillId="0" borderId="6" xfId="15" applyNumberFormat="1" applyBorder="1"/>
    <xf numFmtId="164" fontId="3" fillId="0" borderId="0" xfId="15" applyNumberFormat="1" applyBorder="1"/>
    <xf numFmtId="164" fontId="15" fillId="0" borderId="0" xfId="15" applyNumberFormat="1" applyFont="1" applyBorder="1" applyAlignment="1">
      <alignment horizontal="right"/>
    </xf>
    <xf numFmtId="43" fontId="3" fillId="0" borderId="0" xfId="15" applyFont="1" applyFill="1" applyBorder="1"/>
    <xf numFmtId="0" fontId="11" fillId="0" borderId="0" xfId="0" applyFont="1" applyAlignment="1">
      <alignment horizontal="center"/>
    </xf>
    <xf numFmtId="0" fontId="11" fillId="0" borderId="0" xfId="0" quotePrefix="1" applyFont="1" applyAlignment="1">
      <alignment horizontal="center"/>
    </xf>
    <xf numFmtId="43" fontId="3" fillId="0" borderId="8" xfId="15" applyFont="1" applyBorder="1"/>
    <xf numFmtId="43" fontId="3" fillId="0" borderId="0" xfId="15" applyFont="1" applyFill="1"/>
    <xf numFmtId="43" fontId="0" fillId="0" borderId="0" xfId="15" applyFont="1" applyFill="1" applyBorder="1"/>
    <xf numFmtId="43" fontId="5" fillId="0" borderId="0" xfId="15" applyFont="1" applyFill="1"/>
    <xf numFmtId="0" fontId="0" fillId="5" borderId="19" xfId="0" applyFill="1" applyBorder="1"/>
    <xf numFmtId="0" fontId="0" fillId="5" borderId="20" xfId="0" applyFill="1" applyBorder="1"/>
    <xf numFmtId="0" fontId="0" fillId="5" borderId="21" xfId="0" applyFill="1" applyBorder="1"/>
    <xf numFmtId="0" fontId="0" fillId="0" borderId="22" xfId="0" applyBorder="1" applyAlignment="1">
      <alignment horizontal="left"/>
    </xf>
    <xf numFmtId="43" fontId="0" fillId="0" borderId="0" xfId="15" applyFont="1" applyBorder="1" applyAlignment="1">
      <alignment horizontal="right"/>
    </xf>
    <xf numFmtId="43" fontId="0" fillId="0" borderId="23" xfId="15" applyFont="1" applyBorder="1" applyAlignment="1">
      <alignment horizontal="right"/>
    </xf>
    <xf numFmtId="0" fontId="0" fillId="0" borderId="24" xfId="0" applyBorder="1" applyAlignment="1">
      <alignment horizontal="left"/>
    </xf>
    <xf numFmtId="0" fontId="27" fillId="0" borderId="0" xfId="0" applyFont="1"/>
    <xf numFmtId="0" fontId="14" fillId="0" borderId="0" xfId="0" applyFont="1" applyAlignment="1">
      <alignment horizontal="left"/>
    </xf>
    <xf numFmtId="0" fontId="0" fillId="0" borderId="0" xfId="0" applyAlignment="1">
      <alignment horizontal="left"/>
    </xf>
    <xf numFmtId="14" fontId="5" fillId="0" borderId="0" xfId="0" applyNumberFormat="1" applyFont="1" applyAlignment="1">
      <alignment horizontal="right"/>
    </xf>
    <xf numFmtId="0" fontId="11" fillId="0" borderId="6" xfId="0" applyFont="1" applyBorder="1"/>
    <xf numFmtId="43" fontId="30" fillId="0" borderId="0" xfId="15" applyFont="1" applyFill="1"/>
    <xf numFmtId="8" fontId="0" fillId="0" borderId="0" xfId="0" applyNumberFormat="1"/>
    <xf numFmtId="43" fontId="30" fillId="0" borderId="0" xfId="15" applyFont="1" applyFill="1" applyBorder="1"/>
    <xf numFmtId="43" fontId="15" fillId="0" borderId="0" xfId="15" applyFont="1"/>
    <xf numFmtId="0" fontId="13" fillId="0" borderId="0" xfId="30" applyFont="1" applyAlignment="1">
      <alignment horizontal="center"/>
    </xf>
    <xf numFmtId="0" fontId="14" fillId="0" borderId="0" xfId="30"/>
    <xf numFmtId="0" fontId="11" fillId="0" borderId="0" xfId="30" applyFont="1" applyAlignment="1">
      <alignment horizontal="right"/>
    </xf>
    <xf numFmtId="0" fontId="11" fillId="0" borderId="0" xfId="30" applyFont="1" applyAlignment="1">
      <alignment horizontal="center"/>
    </xf>
    <xf numFmtId="0" fontId="14" fillId="0" borderId="0" xfId="30" applyAlignment="1">
      <alignment horizontal="center"/>
    </xf>
    <xf numFmtId="43" fontId="0" fillId="0" borderId="0" xfId="16" applyFont="1" applyBorder="1" applyAlignment="1">
      <alignment horizontal="center"/>
    </xf>
    <xf numFmtId="43" fontId="0" fillId="0" borderId="0" xfId="16" applyFont="1" applyAlignment="1">
      <alignment horizontal="center"/>
    </xf>
    <xf numFmtId="43" fontId="0" fillId="0" borderId="0" xfId="16" applyFont="1"/>
    <xf numFmtId="0" fontId="14" fillId="0" borderId="0" xfId="30" applyAlignment="1">
      <alignment horizontal="left"/>
    </xf>
    <xf numFmtId="43" fontId="14" fillId="0" borderId="0" xfId="16" applyFont="1" applyBorder="1" applyAlignment="1">
      <alignment horizontal="center"/>
    </xf>
    <xf numFmtId="43" fontId="0" fillId="0" borderId="0" xfId="16" applyFont="1" applyBorder="1"/>
    <xf numFmtId="43" fontId="0" fillId="0" borderId="6" xfId="16" applyFont="1" applyBorder="1"/>
    <xf numFmtId="43" fontId="0" fillId="0" borderId="6" xfId="16" applyFont="1" applyFill="1" applyBorder="1" applyAlignment="1">
      <alignment horizontal="center"/>
    </xf>
    <xf numFmtId="43" fontId="0" fillId="0" borderId="0" xfId="16" applyFont="1" applyFill="1" applyAlignment="1">
      <alignment horizontal="center"/>
    </xf>
    <xf numFmtId="43" fontId="0" fillId="0" borderId="0" xfId="16" applyFont="1" applyFill="1"/>
    <xf numFmtId="43" fontId="0" fillId="0" borderId="6" xfId="16" applyFont="1" applyFill="1" applyBorder="1"/>
    <xf numFmtId="0" fontId="11" fillId="0" borderId="6" xfId="30" applyFont="1" applyBorder="1" applyAlignment="1">
      <alignment horizontal="center"/>
    </xf>
    <xf numFmtId="0" fontId="11" fillId="0" borderId="6" xfId="30" quotePrefix="1" applyFont="1" applyBorder="1" applyAlignment="1">
      <alignment horizontal="center"/>
    </xf>
    <xf numFmtId="43" fontId="14" fillId="0" borderId="0" xfId="16" applyFont="1" applyFill="1" applyBorder="1" applyAlignment="1">
      <alignment horizontal="center"/>
    </xf>
    <xf numFmtId="43" fontId="0" fillId="0" borderId="0" xfId="16" applyFont="1" applyFill="1" applyBorder="1" applyAlignment="1">
      <alignment horizontal="center"/>
    </xf>
    <xf numFmtId="43" fontId="0" fillId="0" borderId="0" xfId="16" applyFont="1" applyFill="1" applyBorder="1"/>
    <xf numFmtId="43" fontId="14" fillId="0" borderId="0" xfId="30" applyNumberFormat="1"/>
    <xf numFmtId="49" fontId="14" fillId="0" borderId="0" xfId="30" applyNumberFormat="1"/>
    <xf numFmtId="43" fontId="14" fillId="0" borderId="0" xfId="16" applyFont="1" applyFill="1" applyAlignment="1">
      <alignment horizontal="right"/>
    </xf>
    <xf numFmtId="0" fontId="11" fillId="0" borderId="0" xfId="0" applyFont="1" applyAlignment="1">
      <alignment horizontal="center" wrapText="1"/>
    </xf>
    <xf numFmtId="43" fontId="0" fillId="0" borderId="0" xfId="15" applyFont="1"/>
    <xf numFmtId="43" fontId="0" fillId="0" borderId="0" xfId="15" applyFont="1" applyFill="1" applyBorder="1" applyAlignment="1">
      <alignment horizontal="right"/>
    </xf>
    <xf numFmtId="43" fontId="14" fillId="0" borderId="0" xfId="0" applyNumberFormat="1" applyFont="1" applyAlignment="1">
      <alignment horizontal="right"/>
    </xf>
    <xf numFmtId="164" fontId="0" fillId="0" borderId="0" xfId="15" applyNumberFormat="1" applyFont="1" applyFill="1"/>
    <xf numFmtId="43" fontId="45" fillId="0" borderId="0" xfId="0" applyNumberFormat="1" applyFont="1"/>
    <xf numFmtId="0" fontId="45" fillId="0" borderId="0" xfId="0" applyFont="1"/>
    <xf numFmtId="43" fontId="46" fillId="0" borderId="0" xfId="15" applyFont="1" applyFill="1" applyBorder="1"/>
    <xf numFmtId="43" fontId="3" fillId="0" borderId="8" xfId="15" applyFont="1" applyFill="1" applyBorder="1"/>
    <xf numFmtId="43" fontId="14" fillId="0" borderId="8" xfId="15" applyFont="1" applyFill="1" applyBorder="1"/>
    <xf numFmtId="164" fontId="15" fillId="0" borderId="0" xfId="15" applyNumberFormat="1" applyFont="1" applyFill="1" applyBorder="1"/>
    <xf numFmtId="43" fontId="0" fillId="7" borderId="25" xfId="0" applyNumberFormat="1" applyFill="1" applyBorder="1"/>
    <xf numFmtId="0" fontId="14" fillId="7" borderId="26" xfId="0" applyFont="1" applyFill="1" applyBorder="1"/>
    <xf numFmtId="14" fontId="0" fillId="0" borderId="0" xfId="0" applyNumberFormat="1"/>
    <xf numFmtId="0" fontId="11" fillId="8" borderId="27" xfId="0" applyFont="1" applyFill="1" applyBorder="1"/>
    <xf numFmtId="0" fontId="0" fillId="8" borderId="0" xfId="0" applyFill="1"/>
    <xf numFmtId="164" fontId="32" fillId="8" borderId="28" xfId="15" applyNumberFormat="1" applyFont="1" applyFill="1" applyBorder="1"/>
    <xf numFmtId="43" fontId="0" fillId="8" borderId="0" xfId="0" applyNumberFormat="1" applyFill="1"/>
    <xf numFmtId="0" fontId="11" fillId="8" borderId="29" xfId="0" applyFont="1" applyFill="1" applyBorder="1"/>
    <xf numFmtId="43" fontId="0" fillId="8" borderId="6" xfId="0" applyNumberFormat="1" applyFill="1" applyBorder="1"/>
    <xf numFmtId="164" fontId="32" fillId="8" borderId="30" xfId="15" applyNumberFormat="1" applyFont="1" applyFill="1" applyBorder="1"/>
    <xf numFmtId="0" fontId="0" fillId="8" borderId="27" xfId="0" applyFill="1" applyBorder="1"/>
    <xf numFmtId="164" fontId="32" fillId="8" borderId="0" xfId="15" applyNumberFormat="1" applyFont="1" applyFill="1" applyBorder="1"/>
    <xf numFmtId="0" fontId="0" fillId="8" borderId="28" xfId="0" applyFill="1" applyBorder="1"/>
    <xf numFmtId="164" fontId="32" fillId="8" borderId="6" xfId="15" applyNumberFormat="1" applyFont="1" applyFill="1" applyBorder="1"/>
    <xf numFmtId="0" fontId="0" fillId="8" borderId="6" xfId="0" applyFill="1" applyBorder="1"/>
    <xf numFmtId="43" fontId="11" fillId="0" borderId="0" xfId="15" applyFont="1"/>
    <xf numFmtId="43" fontId="0" fillId="0" borderId="6" xfId="15" applyFont="1" applyBorder="1"/>
    <xf numFmtId="43" fontId="11" fillId="0" borderId="6" xfId="15" applyFont="1" applyBorder="1"/>
    <xf numFmtId="172" fontId="11" fillId="0" borderId="0" xfId="0" applyNumberFormat="1" applyFont="1" applyAlignment="1">
      <alignment horizontal="center"/>
    </xf>
    <xf numFmtId="14" fontId="11" fillId="0" borderId="0" xfId="0" applyNumberFormat="1" applyFont="1" applyAlignment="1">
      <alignment horizontal="center"/>
    </xf>
    <xf numFmtId="164" fontId="11" fillId="0" borderId="6" xfId="15" applyNumberFormat="1" applyFont="1" applyBorder="1"/>
    <xf numFmtId="8" fontId="14" fillId="0" borderId="0" xfId="0" applyNumberFormat="1" applyFont="1"/>
    <xf numFmtId="0" fontId="14" fillId="0" borderId="0" xfId="0" applyFont="1" applyAlignment="1">
      <alignment horizontal="center"/>
    </xf>
    <xf numFmtId="0" fontId="0" fillId="9" borderId="0" xfId="0" applyFill="1"/>
    <xf numFmtId="0" fontId="11" fillId="9" borderId="0" xfId="0" applyFont="1" applyFill="1"/>
    <xf numFmtId="164" fontId="33" fillId="9" borderId="0" xfId="15" applyNumberFormat="1" applyFont="1" applyFill="1"/>
    <xf numFmtId="43" fontId="0" fillId="0" borderId="0" xfId="15" applyFont="1" applyAlignment="1">
      <alignment horizontal="right"/>
    </xf>
    <xf numFmtId="43" fontId="0" fillId="0" borderId="0" xfId="15" applyFont="1" applyAlignment="1">
      <alignment horizontal="left"/>
    </xf>
    <xf numFmtId="164" fontId="15" fillId="0" borderId="0" xfId="15" applyNumberFormat="1" applyFont="1" applyFill="1"/>
    <xf numFmtId="0" fontId="47" fillId="0" borderId="0" xfId="0" applyFont="1"/>
    <xf numFmtId="14" fontId="0" fillId="0" borderId="0" xfId="0" applyNumberFormat="1" applyAlignment="1">
      <alignment horizontal="left"/>
    </xf>
    <xf numFmtId="0" fontId="34" fillId="0" borderId="0" xfId="50" applyFont="1" applyAlignment="1">
      <alignment horizontal="right"/>
    </xf>
    <xf numFmtId="0" fontId="34" fillId="0" borderId="0" xfId="50" applyFont="1"/>
    <xf numFmtId="43" fontId="34" fillId="0" borderId="0" xfId="15" applyFont="1" applyFill="1" applyBorder="1" applyAlignment="1">
      <alignment horizontal="right"/>
    </xf>
    <xf numFmtId="0" fontId="34" fillId="0" borderId="0" xfId="50" applyFont="1" applyAlignment="1">
      <alignment horizontal="left"/>
    </xf>
    <xf numFmtId="0" fontId="0" fillId="10" borderId="0" xfId="0" applyFill="1" applyAlignment="1">
      <alignment horizontal="left"/>
    </xf>
    <xf numFmtId="14" fontId="0" fillId="10" borderId="0" xfId="0" applyNumberFormat="1" applyFill="1" applyAlignment="1">
      <alignment horizontal="left"/>
    </xf>
    <xf numFmtId="43" fontId="36" fillId="10" borderId="0" xfId="15" applyFont="1" applyFill="1" applyAlignment="1">
      <alignment horizontal="right"/>
    </xf>
    <xf numFmtId="0" fontId="11" fillId="0" borderId="0" xfId="0" applyFont="1" applyAlignment="1">
      <alignment horizontal="left"/>
    </xf>
    <xf numFmtId="43" fontId="11" fillId="0" borderId="0" xfId="15" applyFont="1" applyAlignment="1">
      <alignment horizontal="right"/>
    </xf>
    <xf numFmtId="43" fontId="0" fillId="0" borderId="6" xfId="15" applyFont="1" applyBorder="1" applyAlignment="1">
      <alignment horizontal="right"/>
    </xf>
    <xf numFmtId="0" fontId="11" fillId="0" borderId="0" xfId="0" applyFont="1" applyAlignment="1">
      <alignment horizontal="right"/>
    </xf>
    <xf numFmtId="0" fontId="0" fillId="10" borderId="0" xfId="0" applyFill="1"/>
    <xf numFmtId="43" fontId="31" fillId="6" borderId="0" xfId="15" applyFont="1" applyFill="1" applyBorder="1" applyAlignment="1">
      <alignment horizontal="right"/>
    </xf>
    <xf numFmtId="43" fontId="0" fillId="0" borderId="0" xfId="15" applyFont="1" applyFill="1" applyAlignment="1">
      <alignment horizontal="right"/>
    </xf>
    <xf numFmtId="0" fontId="31" fillId="6" borderId="0" xfId="50" applyFont="1" applyFill="1" applyAlignment="1">
      <alignment horizontal="right"/>
    </xf>
    <xf numFmtId="0" fontId="34" fillId="6" borderId="0" xfId="50" applyFont="1" applyFill="1"/>
    <xf numFmtId="164" fontId="5" fillId="0" borderId="0" xfId="15" applyNumberFormat="1" applyFont="1" applyBorder="1" applyAlignment="1">
      <alignment horizontal="right"/>
    </xf>
    <xf numFmtId="164" fontId="5" fillId="0" borderId="0" xfId="15" quotePrefix="1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6" fontId="5" fillId="0" borderId="0" xfId="0" applyNumberFormat="1" applyFont="1" applyAlignment="1">
      <alignment horizontal="center"/>
    </xf>
    <xf numFmtId="0" fontId="5" fillId="0" borderId="0" xfId="0" quotePrefix="1" applyFont="1" applyAlignment="1">
      <alignment horizontal="right"/>
    </xf>
    <xf numFmtId="164" fontId="5" fillId="0" borderId="0" xfId="15" applyNumberFormat="1" applyFont="1" applyFill="1" applyBorder="1" applyAlignment="1">
      <alignment horizontal="right"/>
    </xf>
    <xf numFmtId="165" fontId="5" fillId="0" borderId="2" xfId="23" applyNumberFormat="1" applyFont="1" applyFill="1" applyBorder="1"/>
    <xf numFmtId="17" fontId="5" fillId="0" borderId="2" xfId="0" applyNumberFormat="1" applyFont="1" applyBorder="1"/>
    <xf numFmtId="164" fontId="5" fillId="0" borderId="2" xfId="15" applyNumberFormat="1" applyFont="1" applyFill="1" applyBorder="1"/>
    <xf numFmtId="164" fontId="5" fillId="0" borderId="2" xfId="15" applyNumberFormat="1" applyFont="1" applyBorder="1"/>
    <xf numFmtId="37" fontId="12" fillId="0" borderId="0" xfId="49" applyNumberFormat="1"/>
    <xf numFmtId="0" fontId="48" fillId="0" borderId="0" xfId="0" applyFont="1"/>
    <xf numFmtId="43" fontId="14" fillId="0" borderId="0" xfId="15" applyFont="1"/>
    <xf numFmtId="43" fontId="14" fillId="0" borderId="0" xfId="0" applyNumberFormat="1" applyFont="1"/>
    <xf numFmtId="164" fontId="14" fillId="0" borderId="0" xfId="15" applyNumberFormat="1" applyFont="1"/>
    <xf numFmtId="0" fontId="14" fillId="0" borderId="6" xfId="0" applyFont="1" applyBorder="1"/>
    <xf numFmtId="43" fontId="14" fillId="0" borderId="6" xfId="15" applyFont="1" applyBorder="1"/>
    <xf numFmtId="164" fontId="44" fillId="0" borderId="0" xfId="15" applyNumberFormat="1" applyFont="1" applyFill="1"/>
    <xf numFmtId="0" fontId="44" fillId="0" borderId="0" xfId="0" applyFont="1" applyAlignment="1">
      <alignment horizontal="right"/>
    </xf>
    <xf numFmtId="164" fontId="15" fillId="0" borderId="0" xfId="15" applyNumberFormat="1" applyFont="1" applyFill="1" applyBorder="1" applyAlignment="1">
      <alignment horizontal="right"/>
    </xf>
    <xf numFmtId="164" fontId="15" fillId="0" borderId="0" xfId="15" applyNumberFormat="1" applyFont="1" applyFill="1" applyBorder="1" applyAlignment="1">
      <alignment horizontal="center"/>
    </xf>
    <xf numFmtId="39" fontId="12" fillId="0" borderId="0" xfId="49" applyNumberFormat="1"/>
    <xf numFmtId="164" fontId="5" fillId="0" borderId="0" xfId="15" applyNumberFormat="1" applyFont="1" applyFill="1" applyAlignment="1">
      <alignment horizontal="right"/>
    </xf>
    <xf numFmtId="43" fontId="0" fillId="0" borderId="0" xfId="15" applyFont="1" applyFill="1"/>
    <xf numFmtId="0" fontId="0" fillId="0" borderId="0" xfId="0" pivotButton="1"/>
    <xf numFmtId="43" fontId="38" fillId="11" borderId="0" xfId="15" applyFont="1" applyFill="1"/>
    <xf numFmtId="43" fontId="11" fillId="0" borderId="0" xfId="15" applyFont="1" applyBorder="1" applyAlignment="1">
      <alignment horizontal="right"/>
    </xf>
    <xf numFmtId="165" fontId="5" fillId="0" borderId="8" xfId="23" applyNumberFormat="1" applyFont="1" applyFill="1" applyBorder="1"/>
    <xf numFmtId="164" fontId="26" fillId="0" borderId="0" xfId="0" applyNumberFormat="1" applyFont="1"/>
    <xf numFmtId="164" fontId="49" fillId="0" borderId="0" xfId="15" applyNumberFormat="1" applyFont="1" applyFill="1" applyAlignment="1">
      <alignment horizontal="center"/>
    </xf>
    <xf numFmtId="0" fontId="5" fillId="0" borderId="0" xfId="30" applyFont="1"/>
    <xf numFmtId="0" fontId="0" fillId="4" borderId="0" xfId="0" applyFill="1"/>
    <xf numFmtId="49" fontId="0" fillId="3" borderId="0" xfId="0" applyNumberFormat="1" applyFill="1"/>
    <xf numFmtId="176" fontId="0" fillId="0" borderId="0" xfId="0" applyNumberFormat="1"/>
    <xf numFmtId="4" fontId="0" fillId="0" borderId="0" xfId="0" applyNumberFormat="1"/>
    <xf numFmtId="4" fontId="0" fillId="0" borderId="6" xfId="0" applyNumberFormat="1" applyBorder="1"/>
    <xf numFmtId="4" fontId="14" fillId="0" borderId="0" xfId="0" applyNumberFormat="1" applyFont="1"/>
    <xf numFmtId="43" fontId="14" fillId="0" borderId="0" xfId="16" applyFont="1" applyFill="1"/>
    <xf numFmtId="0" fontId="39" fillId="0" borderId="0" xfId="30" applyFont="1" applyAlignment="1">
      <alignment horizontal="center"/>
    </xf>
    <xf numFmtId="0" fontId="14" fillId="0" borderId="0" xfId="30" applyAlignment="1">
      <alignment horizontal="right"/>
    </xf>
    <xf numFmtId="43" fontId="13" fillId="0" borderId="0" xfId="15" applyFont="1" applyFill="1" applyAlignment="1">
      <alignment horizontal="center"/>
    </xf>
    <xf numFmtId="43" fontId="11" fillId="0" borderId="0" xfId="15" applyFont="1" applyFill="1" applyAlignment="1">
      <alignment horizontal="right"/>
    </xf>
    <xf numFmtId="43" fontId="14" fillId="0" borderId="0" xfId="15" applyFont="1" applyFill="1" applyAlignment="1">
      <alignment horizontal="center"/>
    </xf>
    <xf numFmtId="43" fontId="14" fillId="0" borderId="0" xfId="15" applyFont="1" applyFill="1" applyAlignment="1">
      <alignment horizontal="right"/>
    </xf>
    <xf numFmtId="43" fontId="14" fillId="6" borderId="0" xfId="15" applyFont="1" applyFill="1" applyAlignment="1">
      <alignment horizontal="right"/>
    </xf>
    <xf numFmtId="43" fontId="14" fillId="0" borderId="0" xfId="15" applyFont="1" applyFill="1" applyAlignment="1">
      <alignment horizontal="left"/>
    </xf>
    <xf numFmtId="43" fontId="11" fillId="0" borderId="32" xfId="30" applyNumberFormat="1" applyFont="1" applyBorder="1"/>
    <xf numFmtId="0" fontId="14" fillId="7" borderId="0" xfId="30" applyFill="1"/>
    <xf numFmtId="49" fontId="14" fillId="7" borderId="0" xfId="30" applyNumberFormat="1" applyFill="1"/>
    <xf numFmtId="43" fontId="14" fillId="7" borderId="0" xfId="15" applyFont="1" applyFill="1" applyAlignment="1">
      <alignment horizontal="right"/>
    </xf>
    <xf numFmtId="43" fontId="14" fillId="7" borderId="0" xfId="15" applyFont="1" applyFill="1"/>
    <xf numFmtId="0" fontId="14" fillId="6" borderId="0" xfId="30" applyFill="1"/>
    <xf numFmtId="43" fontId="14" fillId="6" borderId="0" xfId="15" applyFont="1" applyFill="1"/>
    <xf numFmtId="49" fontId="14" fillId="6" borderId="0" xfId="30" applyNumberFormat="1" applyFill="1"/>
    <xf numFmtId="43" fontId="11" fillId="0" borderId="2" xfId="15" applyFont="1" applyBorder="1" applyAlignment="1">
      <alignment horizontal="right"/>
    </xf>
    <xf numFmtId="43" fontId="11" fillId="0" borderId="31" xfId="15" applyFont="1" applyBorder="1" applyAlignment="1">
      <alignment horizontal="right"/>
    </xf>
    <xf numFmtId="43" fontId="14" fillId="0" borderId="23" xfId="15" applyFont="1" applyBorder="1" applyAlignment="1">
      <alignment horizontal="right"/>
    </xf>
    <xf numFmtId="43" fontId="11" fillId="0" borderId="33" xfId="15" applyFont="1" applyBorder="1" applyAlignment="1">
      <alignment horizontal="right"/>
    </xf>
    <xf numFmtId="43" fontId="11" fillId="0" borderId="34" xfId="15" applyFont="1" applyBorder="1" applyAlignment="1">
      <alignment horizontal="right"/>
    </xf>
    <xf numFmtId="0" fontId="41" fillId="0" borderId="0" xfId="0" applyFont="1"/>
    <xf numFmtId="43" fontId="42" fillId="0" borderId="0" xfId="15" applyFont="1"/>
    <xf numFmtId="14" fontId="41" fillId="0" borderId="0" xfId="0" applyNumberFormat="1" applyFont="1"/>
    <xf numFmtId="43" fontId="43" fillId="0" borderId="0" xfId="15" applyFont="1"/>
    <xf numFmtId="164" fontId="44" fillId="0" borderId="0" xfId="15" applyNumberFormat="1" applyFont="1" applyFill="1" applyBorder="1"/>
    <xf numFmtId="0" fontId="40" fillId="0" borderId="0" xfId="0" applyFont="1"/>
    <xf numFmtId="14" fontId="40" fillId="0" borderId="0" xfId="0" applyNumberFormat="1" applyFont="1"/>
    <xf numFmtId="43" fontId="40" fillId="0" borderId="0" xfId="15" applyFont="1"/>
    <xf numFmtId="43" fontId="50" fillId="0" borderId="0" xfId="15" applyFont="1"/>
    <xf numFmtId="43" fontId="50" fillId="6" borderId="0" xfId="15" applyFont="1" applyFill="1"/>
    <xf numFmtId="0" fontId="51" fillId="0" borderId="0" xfId="0" applyFont="1"/>
    <xf numFmtId="43" fontId="51" fillId="0" borderId="0" xfId="15" applyFont="1" applyFill="1" applyBorder="1"/>
    <xf numFmtId="43" fontId="51" fillId="0" borderId="0" xfId="15" applyFont="1"/>
    <xf numFmtId="43" fontId="51" fillId="0" borderId="0" xfId="15" applyFont="1" applyBorder="1"/>
    <xf numFmtId="43" fontId="52" fillId="0" borderId="0" xfId="15" applyFont="1"/>
    <xf numFmtId="43" fontId="52" fillId="6" borderId="0" xfId="15" applyFont="1" applyFill="1"/>
    <xf numFmtId="0" fontId="44" fillId="0" borderId="0" xfId="0" applyFont="1"/>
    <xf numFmtId="0" fontId="44" fillId="6" borderId="0" xfId="0" applyFont="1" applyFill="1"/>
    <xf numFmtId="164" fontId="44" fillId="0" borderId="0" xfId="0" applyNumberFormat="1" applyFont="1"/>
    <xf numFmtId="164" fontId="5" fillId="0" borderId="0" xfId="15" quotePrefix="1" applyNumberFormat="1" applyFont="1" applyFill="1" applyAlignment="1">
      <alignment horizontal="center"/>
    </xf>
    <xf numFmtId="4" fontId="44" fillId="0" borderId="0" xfId="0" applyNumberFormat="1" applyFont="1"/>
    <xf numFmtId="4" fontId="5" fillId="0" borderId="0" xfId="0" applyNumberFormat="1" applyFont="1"/>
    <xf numFmtId="49" fontId="5" fillId="0" borderId="0" xfId="0" applyNumberFormat="1" applyFont="1"/>
    <xf numFmtId="49" fontId="5" fillId="0" borderId="0" xfId="0" applyNumberFormat="1" applyFont="1" applyAlignment="1">
      <alignment horizontal="right"/>
    </xf>
    <xf numFmtId="164" fontId="44" fillId="0" borderId="0" xfId="0" applyNumberFormat="1" applyFont="1" applyAlignment="1">
      <alignment horizontal="center"/>
    </xf>
    <xf numFmtId="164" fontId="44" fillId="0" borderId="0" xfId="15" applyNumberFormat="1" applyFont="1" applyBorder="1"/>
    <xf numFmtId="166" fontId="5" fillId="0" borderId="0" xfId="15" applyNumberFormat="1" applyFont="1" applyFill="1" applyBorder="1"/>
    <xf numFmtId="166" fontId="5" fillId="0" borderId="0" xfId="0" applyNumberFormat="1" applyFont="1"/>
    <xf numFmtId="43" fontId="53" fillId="0" borderId="6" xfId="16" applyFont="1" applyFill="1" applyBorder="1"/>
    <xf numFmtId="43" fontId="14" fillId="0" borderId="6" xfId="16" applyFont="1" applyFill="1" applyBorder="1"/>
    <xf numFmtId="43" fontId="0" fillId="6" borderId="6" xfId="16" applyFont="1" applyFill="1" applyBorder="1" applyAlignment="1">
      <alignment horizontal="center"/>
    </xf>
    <xf numFmtId="43" fontId="0" fillId="6" borderId="0" xfId="16" applyFont="1" applyFill="1"/>
    <xf numFmtId="43" fontId="0" fillId="6" borderId="0" xfId="16" applyFont="1" applyFill="1" applyBorder="1" applyAlignment="1">
      <alignment horizontal="center"/>
    </xf>
    <xf numFmtId="43" fontId="0" fillId="12" borderId="6" xfId="16" applyFont="1" applyFill="1" applyBorder="1"/>
    <xf numFmtId="43" fontId="0" fillId="13" borderId="0" xfId="16" applyFont="1" applyFill="1" applyBorder="1"/>
    <xf numFmtId="0" fontId="44" fillId="0" borderId="0" xfId="0" applyFont="1" applyAlignment="1">
      <alignment horizontal="center"/>
    </xf>
    <xf numFmtId="14" fontId="43" fillId="0" borderId="0" xfId="0" applyNumberFormat="1" applyFont="1"/>
    <xf numFmtId="0" fontId="43" fillId="0" borderId="0" xfId="0" applyFont="1"/>
    <xf numFmtId="177" fontId="5" fillId="0" borderId="0" xfId="73" applyNumberFormat="1" applyFont="1"/>
    <xf numFmtId="4" fontId="14" fillId="0" borderId="0" xfId="30" applyNumberFormat="1"/>
    <xf numFmtId="4" fontId="11" fillId="12" borderId="0" xfId="30" applyNumberFormat="1" applyFont="1" applyFill="1"/>
    <xf numFmtId="0" fontId="14" fillId="12" borderId="0" xfId="30" applyFill="1"/>
    <xf numFmtId="4" fontId="14" fillId="0" borderId="6" xfId="30" applyNumberFormat="1" applyBorder="1"/>
    <xf numFmtId="4" fontId="11" fillId="0" borderId="0" xfId="30" applyNumberFormat="1" applyFont="1"/>
    <xf numFmtId="164" fontId="5" fillId="0" borderId="0" xfId="0" applyNumberFormat="1" applyFont="1" applyAlignment="1">
      <alignment horizontal="right"/>
    </xf>
    <xf numFmtId="164" fontId="5" fillId="0" borderId="0" xfId="15" applyNumberFormat="1" applyFont="1" applyFill="1" applyBorder="1" applyAlignment="1">
      <alignment horizontal="center"/>
    </xf>
    <xf numFmtId="43" fontId="5" fillId="0" borderId="0" xfId="15" quotePrefix="1" applyFont="1" applyFill="1" applyAlignment="1">
      <alignment horizontal="center"/>
    </xf>
    <xf numFmtId="43" fontId="5" fillId="0" borderId="0" xfId="0" applyNumberFormat="1" applyFont="1"/>
    <xf numFmtId="164" fontId="5" fillId="0" borderId="0" xfId="15" applyNumberFormat="1" applyFont="1" applyFill="1" applyAlignment="1">
      <alignment horizontal="center"/>
    </xf>
    <xf numFmtId="165" fontId="5" fillId="0" borderId="0" xfId="0" quotePrefix="1" applyNumberFormat="1" applyFont="1" applyAlignment="1">
      <alignment horizontal="center"/>
    </xf>
    <xf numFmtId="0" fontId="5" fillId="0" borderId="0" xfId="51" applyFont="1" applyAlignment="1">
      <alignment wrapText="1"/>
    </xf>
    <xf numFmtId="0" fontId="5" fillId="0" borderId="0" xfId="51" applyFont="1" applyAlignment="1">
      <alignment horizontal="right" wrapText="1"/>
    </xf>
    <xf numFmtId="178" fontId="5" fillId="0" borderId="0" xfId="15" applyNumberFormat="1" applyFont="1" applyFill="1" applyBorder="1"/>
    <xf numFmtId="178" fontId="5" fillId="0" borderId="0" xfId="15" applyNumberFormat="1" applyFont="1" applyFill="1"/>
    <xf numFmtId="0" fontId="5" fillId="0" borderId="0" xfId="51" applyFont="1"/>
    <xf numFmtId="10" fontId="5" fillId="0" borderId="0" xfId="52" applyNumberFormat="1" applyFont="1" applyFill="1"/>
    <xf numFmtId="0" fontId="54" fillId="0" borderId="0" xfId="0" applyFont="1"/>
    <xf numFmtId="14" fontId="54" fillId="0" borderId="0" xfId="0" applyNumberFormat="1" applyFont="1"/>
    <xf numFmtId="43" fontId="54" fillId="0" borderId="0" xfId="15" applyFont="1" applyFill="1"/>
    <xf numFmtId="0" fontId="55" fillId="0" borderId="0" xfId="0" applyFont="1" applyAlignment="1">
      <alignment horizontal="center"/>
    </xf>
    <xf numFmtId="0" fontId="5" fillId="0" borderId="2" xfId="0" applyFont="1" applyBorder="1" applyAlignment="1">
      <alignment horizontal="left"/>
    </xf>
    <xf numFmtId="0" fontId="5" fillId="0" borderId="0" xfId="0" quotePrefix="1" applyFont="1" applyAlignment="1">
      <alignment horizontal="left"/>
    </xf>
    <xf numFmtId="165" fontId="5" fillId="0" borderId="0" xfId="23" applyNumberFormat="1" applyFont="1" applyFill="1" applyAlignment="1">
      <alignment horizontal="left" vertical="center"/>
    </xf>
    <xf numFmtId="165" fontId="5" fillId="0" borderId="0" xfId="23" quotePrefix="1" applyNumberFormat="1" applyFont="1" applyFill="1" applyAlignment="1">
      <alignment horizontal="left" vertical="center"/>
    </xf>
    <xf numFmtId="165" fontId="5" fillId="0" borderId="0" xfId="23" applyNumberFormat="1" applyFont="1" applyFill="1" applyAlignment="1">
      <alignment horizontal="left"/>
    </xf>
    <xf numFmtId="165" fontId="5" fillId="0" borderId="2" xfId="23" applyNumberFormat="1" applyFont="1" applyFill="1" applyBorder="1" applyAlignment="1">
      <alignment horizontal="left"/>
    </xf>
    <xf numFmtId="14" fontId="5" fillId="0" borderId="0" xfId="0" applyNumberFormat="1" applyFont="1" applyAlignment="1">
      <alignment horizontal="right" vertical="center"/>
    </xf>
    <xf numFmtId="164" fontId="5" fillId="0" borderId="0" xfId="15" applyNumberFormat="1" applyFont="1" applyFill="1" applyBorder="1" applyAlignment="1">
      <alignment horizontal="right" vertical="center"/>
    </xf>
    <xf numFmtId="164" fontId="5" fillId="0" borderId="0" xfId="15" quotePrefix="1" applyNumberFormat="1" applyFont="1" applyFill="1" applyAlignment="1">
      <alignment horizontal="right"/>
    </xf>
    <xf numFmtId="165" fontId="5" fillId="0" borderId="0" xfId="23" applyNumberFormat="1" applyFont="1" applyFill="1" applyBorder="1"/>
    <xf numFmtId="164" fontId="5" fillId="0" borderId="8" xfId="0" applyNumberFormat="1" applyFont="1" applyBorder="1"/>
    <xf numFmtId="164" fontId="5" fillId="0" borderId="8" xfId="15" applyNumberFormat="1" applyFont="1" applyFill="1" applyBorder="1"/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right" vertical="center"/>
    </xf>
    <xf numFmtId="0" fontId="11" fillId="0" borderId="0" xfId="0" applyFont="1" applyAlignment="1">
      <alignment horizontal="center"/>
    </xf>
    <xf numFmtId="0" fontId="47" fillId="0" borderId="0" xfId="0" applyFont="1" applyAlignment="1">
      <alignment horizontal="center"/>
    </xf>
    <xf numFmtId="0" fontId="11" fillId="0" borderId="0" xfId="0" applyFont="1" applyAlignment="1">
      <alignment horizontal="center" wrapText="1"/>
    </xf>
    <xf numFmtId="0" fontId="11" fillId="0" borderId="6" xfId="0" applyFont="1" applyBorder="1" applyAlignment="1">
      <alignment horizontal="center" wrapText="1"/>
    </xf>
    <xf numFmtId="0" fontId="11" fillId="8" borderId="35" xfId="0" applyFont="1" applyFill="1" applyBorder="1" applyAlignment="1">
      <alignment horizontal="center"/>
    </xf>
    <xf numFmtId="0" fontId="11" fillId="8" borderId="32" xfId="0" applyFont="1" applyFill="1" applyBorder="1" applyAlignment="1">
      <alignment horizontal="center"/>
    </xf>
    <xf numFmtId="0" fontId="11" fillId="8" borderId="36" xfId="0" applyFont="1" applyFill="1" applyBorder="1" applyAlignment="1">
      <alignment horizontal="center"/>
    </xf>
    <xf numFmtId="0" fontId="13" fillId="0" borderId="0" xfId="30" applyFont="1" applyAlignment="1">
      <alignment horizontal="center"/>
    </xf>
    <xf numFmtId="0" fontId="19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9" fillId="0" borderId="0" xfId="0" applyFont="1"/>
    <xf numFmtId="0" fontId="16" fillId="0" borderId="0" xfId="0" applyFont="1" applyAlignment="1">
      <alignment horizontal="center"/>
    </xf>
    <xf numFmtId="0" fontId="11" fillId="0" borderId="0" xfId="0" applyFont="1" applyAlignment="1">
      <alignment wrapText="1"/>
    </xf>
    <xf numFmtId="0" fontId="0" fillId="0" borderId="0" xfId="0" applyAlignment="1">
      <alignment wrapText="1"/>
    </xf>
  </cellXfs>
  <cellStyles count="77">
    <cellStyle name="_2008 Reforecast 0+12  03.14.08" xfId="1" xr:uid="{00000000-0005-0000-0000-000000000000}"/>
    <cellStyle name="_2008 Reforecast 0+12  03.14.08 2" xfId="2" xr:uid="{00000000-0005-0000-0000-000001000000}"/>
    <cellStyle name="_2008_ACCT 17103" xfId="3" xr:uid="{00000000-0005-0000-0000-000002000000}"/>
    <cellStyle name="_2008_ACCT 17103 2" xfId="4" xr:uid="{00000000-0005-0000-0000-000003000000}"/>
    <cellStyle name="_2009 Budget 5_02_08  FINAL" xfId="5" xr:uid="{00000000-0005-0000-0000-000004000000}"/>
    <cellStyle name="_2009_3+9 BUDGET  04.27.09 FINAL " xfId="6" xr:uid="{00000000-0005-0000-0000-000005000000}"/>
    <cellStyle name="_2010_ACCT 221" xfId="7" xr:uid="{00000000-0005-0000-0000-000006000000}"/>
    <cellStyle name="_2010_ACCT921.01 (Loc 104)" xfId="8" xr:uid="{00000000-0005-0000-0000-000007000000}"/>
    <cellStyle name="_Amortization Debt Exp Schedules (181s)" xfId="9" xr:uid="{00000000-0005-0000-0000-000008000000}"/>
    <cellStyle name="_Balance Sheet 0809" xfId="10" xr:uid="{00000000-0005-0000-0000-000009000000}"/>
    <cellStyle name="_Reformatted Cash Flow Consolidation 0706" xfId="11" xr:uid="{00000000-0005-0000-0000-00000A000000}"/>
    <cellStyle name="_Reformatted Cash Flow Consolidation 0706 2" xfId="12" xr:uid="{00000000-0005-0000-0000-00000B000000}"/>
    <cellStyle name="_Reformatted Cash Flow Consolidation 0906" xfId="13" xr:uid="{00000000-0005-0000-0000-00000C000000}"/>
    <cellStyle name="_Reformatted Cash Flow Consolidation 0906 2" xfId="14" xr:uid="{00000000-0005-0000-0000-00000D000000}"/>
    <cellStyle name="Comma" xfId="15" builtinId="3"/>
    <cellStyle name="Comma 2" xfId="16" xr:uid="{00000000-0005-0000-0000-00000F000000}"/>
    <cellStyle name="Comma 2 2" xfId="17" xr:uid="{00000000-0005-0000-0000-000010000000}"/>
    <cellStyle name="Comma 3" xfId="18" xr:uid="{00000000-0005-0000-0000-000011000000}"/>
    <cellStyle name="Comma 3 2" xfId="19" xr:uid="{00000000-0005-0000-0000-000012000000}"/>
    <cellStyle name="Comma 4" xfId="20" xr:uid="{00000000-0005-0000-0000-000013000000}"/>
    <cellStyle name="Comma 5" xfId="21" xr:uid="{00000000-0005-0000-0000-000014000000}"/>
    <cellStyle name="Comma 6" xfId="70" xr:uid="{ED413A26-B831-4C1A-AABB-7723F857787E}"/>
    <cellStyle name="Comma 6 2" xfId="75" xr:uid="{7FA57477-780E-42B6-95CB-3566B6EC3B71}"/>
    <cellStyle name="Comma 7" xfId="74" xr:uid="{8429E3D7-D039-482F-AECD-334B4F50368D}"/>
    <cellStyle name="Comma0" xfId="22" xr:uid="{00000000-0005-0000-0000-000015000000}"/>
    <cellStyle name="Currency" xfId="23" builtinId="4"/>
    <cellStyle name="Currency 2" xfId="24" xr:uid="{00000000-0005-0000-0000-000017000000}"/>
    <cellStyle name="Currency 3" xfId="72" xr:uid="{C015E933-4C8B-4C0F-9E0A-6A72154C888A}"/>
    <cellStyle name="Currency 5" xfId="76" xr:uid="{74CC0B5B-F898-436F-8FD0-06B8EE5BBCE4}"/>
    <cellStyle name="Currency0" xfId="25" xr:uid="{00000000-0005-0000-0000-000018000000}"/>
    <cellStyle name="Date" xfId="26" xr:uid="{00000000-0005-0000-0000-000019000000}"/>
    <cellStyle name="Fixed" xfId="27" xr:uid="{00000000-0005-0000-0000-00001A000000}"/>
    <cellStyle name="Heading 1 2" xfId="28" xr:uid="{00000000-0005-0000-0000-00001B000000}"/>
    <cellStyle name="Heading 2 2" xfId="29" xr:uid="{00000000-0005-0000-0000-00001C000000}"/>
    <cellStyle name="Normal" xfId="0" builtinId="0"/>
    <cellStyle name="Normal 10" xfId="69" xr:uid="{BD0C6FA7-E386-4CB5-B3B9-F34238104A2B}"/>
    <cellStyle name="Normal 10 2" xfId="73" xr:uid="{090840EA-309B-4851-B75C-FCA5CF246E4F}"/>
    <cellStyle name="Normal 2" xfId="30" xr:uid="{00000000-0005-0000-0000-00001F000000}"/>
    <cellStyle name="Normal 2 2" xfId="31" xr:uid="{00000000-0005-0000-0000-000020000000}"/>
    <cellStyle name="Normal 2 2 2" xfId="32" xr:uid="{00000000-0005-0000-0000-000021000000}"/>
    <cellStyle name="Normal 2 3" xfId="33" xr:uid="{00000000-0005-0000-0000-000022000000}"/>
    <cellStyle name="Normal 3" xfId="34" xr:uid="{00000000-0005-0000-0000-000023000000}"/>
    <cellStyle name="Normal 3 2" xfId="35" xr:uid="{00000000-0005-0000-0000-000024000000}"/>
    <cellStyle name="Normal 3 3" xfId="36" xr:uid="{00000000-0005-0000-0000-000025000000}"/>
    <cellStyle name="Normal 3 4" xfId="71" xr:uid="{8ACF5077-EE12-4334-B3D3-EED2FBFDF2F2}"/>
    <cellStyle name="Normal 4" xfId="37" xr:uid="{00000000-0005-0000-0000-000026000000}"/>
    <cellStyle name="Normal 4 2" xfId="38" xr:uid="{00000000-0005-0000-0000-000027000000}"/>
    <cellStyle name="Normal 5" xfId="39" xr:uid="{00000000-0005-0000-0000-000028000000}"/>
    <cellStyle name="Normal 5 2" xfId="40" xr:uid="{00000000-0005-0000-0000-000029000000}"/>
    <cellStyle name="Normal 6" xfId="41" xr:uid="{00000000-0005-0000-0000-00002A000000}"/>
    <cellStyle name="Normal 6 2" xfId="42" xr:uid="{00000000-0005-0000-0000-00002B000000}"/>
    <cellStyle name="Normal 7" xfId="43" xr:uid="{00000000-0005-0000-0000-00002C000000}"/>
    <cellStyle name="Normal 7 2" xfId="44" xr:uid="{00000000-0005-0000-0000-00002D000000}"/>
    <cellStyle name="Normal 8" xfId="45" xr:uid="{00000000-0005-0000-0000-00002E000000}"/>
    <cellStyle name="Normal 9" xfId="46" xr:uid="{00000000-0005-0000-0000-00002F000000}"/>
    <cellStyle name="Normal_2008 Reforecast 0+12  03.14.08" xfId="47" xr:uid="{00000000-0005-0000-0000-000030000000}"/>
    <cellStyle name="Normal_2009 Budget 5_02_08  FINAL" xfId="48" xr:uid="{00000000-0005-0000-0000-000031000000}"/>
    <cellStyle name="Normal_2010 Budget template" xfId="49" xr:uid="{00000000-0005-0000-0000-000032000000}"/>
    <cellStyle name="Normal_7500110" xfId="50" xr:uid="{00000000-0005-0000-0000-000033000000}"/>
    <cellStyle name="Normal_Sheet1" xfId="51" xr:uid="{00000000-0005-0000-0000-000035000000}"/>
    <cellStyle name="Percent" xfId="52" builtinId="5"/>
    <cellStyle name="Percent 2" xfId="53" xr:uid="{00000000-0005-0000-0000-000037000000}"/>
    <cellStyle name="Percent 2 2" xfId="54" xr:uid="{00000000-0005-0000-0000-000038000000}"/>
    <cellStyle name="Percent 2 3" xfId="55" xr:uid="{00000000-0005-0000-0000-000039000000}"/>
    <cellStyle name="Percent 2 3 2" xfId="56" xr:uid="{00000000-0005-0000-0000-00003A000000}"/>
    <cellStyle name="Percent 2 4" xfId="57" xr:uid="{00000000-0005-0000-0000-00003B000000}"/>
    <cellStyle name="Percent 2 5" xfId="58" xr:uid="{00000000-0005-0000-0000-00003C000000}"/>
    <cellStyle name="Percent 3" xfId="59" xr:uid="{00000000-0005-0000-0000-00003D000000}"/>
    <cellStyle name="Style 1" xfId="60" xr:uid="{00000000-0005-0000-0000-00003E000000}"/>
    <cellStyle name="Style 1 2" xfId="61" xr:uid="{00000000-0005-0000-0000-00003F000000}"/>
    <cellStyle name="Style 1 2 2" xfId="62" xr:uid="{00000000-0005-0000-0000-000040000000}"/>
    <cellStyle name="Style 1 3" xfId="63" xr:uid="{00000000-0005-0000-0000-000041000000}"/>
    <cellStyle name="STYLE1" xfId="64" xr:uid="{00000000-0005-0000-0000-000042000000}"/>
    <cellStyle name="STYLE2" xfId="65" xr:uid="{00000000-0005-0000-0000-000043000000}"/>
    <cellStyle name="STYLE3" xfId="66" xr:uid="{00000000-0005-0000-0000-000044000000}"/>
    <cellStyle name="STYLE4" xfId="67" xr:uid="{00000000-0005-0000-0000-000045000000}"/>
    <cellStyle name="Total 2" xfId="68" xr:uid="{00000000-0005-0000-0000-000047000000}"/>
  </cellStyles>
  <dxfs count="14">
    <dxf>
      <numFmt numFmtId="35" formatCode="_(* #,##0.00_);_(* \(#,##0.00\);_(* &quot;-&quot;??_);_(@_)"/>
    </dxf>
    <dxf>
      <numFmt numFmtId="35" formatCode="_(* #,##0.00_);_(* \(#,##0.00\);_(* &quot;-&quot;??_);_(@_)"/>
    </dxf>
    <dxf>
      <font>
        <b/>
        <i val="0"/>
        <color rgb="FFFF7C80"/>
      </font>
      <fill>
        <patternFill>
          <bgColor theme="6" tint="0.79998168889431442"/>
        </patternFill>
      </fill>
    </dxf>
    <dxf>
      <font>
        <b/>
        <i val="0"/>
        <color rgb="FFFF7C80"/>
      </font>
      <fill>
        <patternFill>
          <bgColor theme="6" tint="0.79998168889431442"/>
        </patternFill>
      </fill>
    </dxf>
    <dxf>
      <font>
        <color rgb="FF9C0006"/>
      </font>
    </dxf>
    <dxf>
      <font>
        <color rgb="FF9C0006"/>
      </font>
    </dxf>
    <dxf>
      <font>
        <b/>
        <i val="0"/>
        <color rgb="FFFF7C80"/>
      </font>
      <fill>
        <patternFill>
          <bgColor theme="6" tint="0.79998168889431442"/>
        </patternFill>
      </fill>
    </dxf>
    <dxf>
      <font>
        <b/>
        <i val="0"/>
        <color rgb="FFFF7C80"/>
      </font>
      <fill>
        <patternFill>
          <bgColor theme="6" tint="0.79998168889431442"/>
        </patternFill>
      </fill>
    </dxf>
    <dxf>
      <font>
        <color rgb="FF9C0006"/>
      </font>
    </dxf>
    <dxf>
      <font>
        <color rgb="FF9C0006"/>
      </font>
    </dxf>
    <dxf>
      <font>
        <b/>
        <i val="0"/>
        <color rgb="FFFF7C80"/>
      </font>
      <fill>
        <patternFill>
          <bgColor theme="6" tint="0.79998168889431442"/>
        </patternFill>
      </fill>
    </dxf>
    <dxf>
      <font>
        <b/>
        <i val="0"/>
        <color rgb="FFFF7C80"/>
      </font>
      <fill>
        <patternFill>
          <bgColor theme="6" tint="0.79998168889431442"/>
        </patternFill>
      </fill>
    </dxf>
    <dxf>
      <font>
        <color rgb="FF9C0006"/>
      </font>
    </dxf>
    <dxf>
      <font>
        <color rgb="FF9C0006"/>
      </font>
    </dxf>
  </dxfs>
  <tableStyles count="0" defaultTableStyle="TableStyleMedium2" defaultPivotStyle="PivotStyleLight16"/>
  <colors>
    <mruColors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2.xml"/><Relationship Id="rId27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2.png"/><Relationship Id="rId1" Type="http://schemas.openxmlformats.org/officeDocument/2006/relationships/image" Target="../media/image21.png"/><Relationship Id="rId4" Type="http://schemas.openxmlformats.org/officeDocument/2006/relationships/image" Target="../media/image2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4" Type="http://schemas.openxmlformats.org/officeDocument/2006/relationships/image" Target="../media/image28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76200</xdr:colOff>
      <xdr:row>24</xdr:row>
      <xdr:rowOff>0</xdr:rowOff>
    </xdr:from>
    <xdr:to>
      <xdr:col>23</xdr:col>
      <xdr:colOff>1619250</xdr:colOff>
      <xdr:row>40</xdr:row>
      <xdr:rowOff>38100</xdr:rowOff>
    </xdr:to>
    <xdr:pic>
      <xdr:nvPicPr>
        <xdr:cNvPr id="3235" name="Picture 2">
          <a:extLst>
            <a:ext uri="{FF2B5EF4-FFF2-40B4-BE49-F238E27FC236}">
              <a16:creationId xmlns:a16="http://schemas.microsoft.com/office/drawing/2014/main" id="{869E39BC-2541-409B-A81D-C01E4F6E1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3771900"/>
          <a:ext cx="2362200" cy="2781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31</xdr:col>
      <xdr:colOff>47625</xdr:colOff>
      <xdr:row>24</xdr:row>
      <xdr:rowOff>66675</xdr:rowOff>
    </xdr:from>
    <xdr:to>
      <xdr:col>39</xdr:col>
      <xdr:colOff>457200</xdr:colOff>
      <xdr:row>46</xdr:row>
      <xdr:rowOff>63500</xdr:rowOff>
    </xdr:to>
    <xdr:pic>
      <xdr:nvPicPr>
        <xdr:cNvPr id="3236" name="Picture 1">
          <a:extLst>
            <a:ext uri="{FF2B5EF4-FFF2-40B4-BE49-F238E27FC236}">
              <a16:creationId xmlns:a16="http://schemas.microsoft.com/office/drawing/2014/main" id="{AAC3FE23-4DD4-43D5-9440-08191E3FDB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50425" y="3838575"/>
          <a:ext cx="5553075" cy="3762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31</xdr:col>
      <xdr:colOff>28575</xdr:colOff>
      <xdr:row>75</xdr:row>
      <xdr:rowOff>28575</xdr:rowOff>
    </xdr:from>
    <xdr:to>
      <xdr:col>39</xdr:col>
      <xdr:colOff>381000</xdr:colOff>
      <xdr:row>93</xdr:row>
      <xdr:rowOff>57150</xdr:rowOff>
    </xdr:to>
    <xdr:pic>
      <xdr:nvPicPr>
        <xdr:cNvPr id="3237" name="Picture 2">
          <a:extLst>
            <a:ext uri="{FF2B5EF4-FFF2-40B4-BE49-F238E27FC236}">
              <a16:creationId xmlns:a16="http://schemas.microsoft.com/office/drawing/2014/main" id="{942B4A8B-278B-4D7D-998A-55484CA49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31375" y="8086725"/>
          <a:ext cx="5495925" cy="3114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1676400</xdr:colOff>
      <xdr:row>49</xdr:row>
      <xdr:rowOff>57150</xdr:rowOff>
    </xdr:from>
    <xdr:to>
      <xdr:col>30</xdr:col>
      <xdr:colOff>142875</xdr:colOff>
      <xdr:row>61</xdr:row>
      <xdr:rowOff>161925</xdr:rowOff>
    </xdr:to>
    <xdr:pic>
      <xdr:nvPicPr>
        <xdr:cNvPr id="3238" name="Picture 3">
          <a:extLst>
            <a:ext uri="{FF2B5EF4-FFF2-40B4-BE49-F238E27FC236}">
              <a16:creationId xmlns:a16="http://schemas.microsoft.com/office/drawing/2014/main" id="{BF85AC53-2D77-48AF-A7E5-25F64E45AC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35450" y="8115300"/>
          <a:ext cx="5000625" cy="216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1800225</xdr:colOff>
      <xdr:row>24</xdr:row>
      <xdr:rowOff>28575</xdr:rowOff>
    </xdr:from>
    <xdr:to>
      <xdr:col>30</xdr:col>
      <xdr:colOff>600075</xdr:colOff>
      <xdr:row>44</xdr:row>
      <xdr:rowOff>158750</xdr:rowOff>
    </xdr:to>
    <xdr:pic>
      <xdr:nvPicPr>
        <xdr:cNvPr id="3239" name="Picture 4">
          <a:extLst>
            <a:ext uri="{FF2B5EF4-FFF2-40B4-BE49-F238E27FC236}">
              <a16:creationId xmlns:a16="http://schemas.microsoft.com/office/drawing/2014/main" id="{59E2AE86-A71D-4882-A510-8BFE8FF93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59275" y="3800475"/>
          <a:ext cx="5334000" cy="3552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40</xdr:col>
      <xdr:colOff>561975</xdr:colOff>
      <xdr:row>24</xdr:row>
      <xdr:rowOff>66675</xdr:rowOff>
    </xdr:from>
    <xdr:to>
      <xdr:col>51</xdr:col>
      <xdr:colOff>383721</xdr:colOff>
      <xdr:row>46</xdr:row>
      <xdr:rowOff>158750</xdr:rowOff>
    </xdr:to>
    <xdr:pic>
      <xdr:nvPicPr>
        <xdr:cNvPr id="3240" name="Picture 5">
          <a:extLst>
            <a:ext uri="{FF2B5EF4-FFF2-40B4-BE49-F238E27FC236}">
              <a16:creationId xmlns:a16="http://schemas.microsoft.com/office/drawing/2014/main" id="{61449322-17C8-49BE-AB7A-92D7DD0301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51200" y="3838575"/>
          <a:ext cx="6994071" cy="385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51</xdr:col>
      <xdr:colOff>552450</xdr:colOff>
      <xdr:row>24</xdr:row>
      <xdr:rowOff>123825</xdr:rowOff>
    </xdr:from>
    <xdr:to>
      <xdr:col>62</xdr:col>
      <xdr:colOff>425903</xdr:colOff>
      <xdr:row>46</xdr:row>
      <xdr:rowOff>25400</xdr:rowOff>
    </xdr:to>
    <xdr:pic>
      <xdr:nvPicPr>
        <xdr:cNvPr id="3241" name="Picture 6">
          <a:extLst>
            <a:ext uri="{FF2B5EF4-FFF2-40B4-BE49-F238E27FC236}">
              <a16:creationId xmlns:a16="http://schemas.microsoft.com/office/drawing/2014/main" id="{F89D14A1-EEDC-4753-93F8-E3980E5DE6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14000" y="3895725"/>
          <a:ext cx="6883853" cy="3667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62</xdr:col>
      <xdr:colOff>495300</xdr:colOff>
      <xdr:row>24</xdr:row>
      <xdr:rowOff>95250</xdr:rowOff>
    </xdr:from>
    <xdr:to>
      <xdr:col>72</xdr:col>
      <xdr:colOff>590550</xdr:colOff>
      <xdr:row>44</xdr:row>
      <xdr:rowOff>63500</xdr:rowOff>
    </xdr:to>
    <xdr:pic>
      <xdr:nvPicPr>
        <xdr:cNvPr id="3242" name="Picture 7">
          <a:extLst>
            <a:ext uri="{FF2B5EF4-FFF2-40B4-BE49-F238E27FC236}">
              <a16:creationId xmlns:a16="http://schemas.microsoft.com/office/drawing/2014/main" id="{8C34E389-FF55-4753-8627-ACABBB9FAA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67250" y="3867150"/>
          <a:ext cx="6457950" cy="339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62</xdr:col>
      <xdr:colOff>390525</xdr:colOff>
      <xdr:row>49</xdr:row>
      <xdr:rowOff>114300</xdr:rowOff>
    </xdr:from>
    <xdr:to>
      <xdr:col>72</xdr:col>
      <xdr:colOff>600075</xdr:colOff>
      <xdr:row>68</xdr:row>
      <xdr:rowOff>79375</xdr:rowOff>
    </xdr:to>
    <xdr:pic>
      <xdr:nvPicPr>
        <xdr:cNvPr id="3243" name="Picture 8">
          <a:extLst>
            <a:ext uri="{FF2B5EF4-FFF2-40B4-BE49-F238E27FC236}">
              <a16:creationId xmlns:a16="http://schemas.microsoft.com/office/drawing/2014/main" id="{02A7DCE7-3DDB-4BEA-B3FC-E615BCA445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62475" y="8172450"/>
          <a:ext cx="6572250" cy="3228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38100</xdr:colOff>
      <xdr:row>57</xdr:row>
      <xdr:rowOff>161925</xdr:rowOff>
    </xdr:from>
    <xdr:to>
      <xdr:col>19</xdr:col>
      <xdr:colOff>228600</xdr:colOff>
      <xdr:row>69</xdr:row>
      <xdr:rowOff>104775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CEA1604-C8E7-4403-93E5-DEB8640F0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144000" y="7019925"/>
          <a:ext cx="4191000" cy="2000250"/>
        </a:xfrm>
        <a:prstGeom prst="rect">
          <a:avLst/>
        </a:prstGeom>
      </xdr:spPr>
    </xdr:pic>
    <xdr:clientData/>
  </xdr:twoCellAnchor>
  <xdr:twoCellAnchor editAs="oneCell">
    <xdr:from>
      <xdr:col>3</xdr:col>
      <xdr:colOff>85726</xdr:colOff>
      <xdr:row>70</xdr:row>
      <xdr:rowOff>9525</xdr:rowOff>
    </xdr:from>
    <xdr:to>
      <xdr:col>9</xdr:col>
      <xdr:colOff>533400</xdr:colOff>
      <xdr:row>79</xdr:row>
      <xdr:rowOff>133350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ECDAE9B-F11B-45ED-9370-908124EAE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38251" y="11668125"/>
          <a:ext cx="5305424" cy="1666875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81</xdr:row>
      <xdr:rowOff>11614</xdr:rowOff>
    </xdr:from>
    <xdr:to>
      <xdr:col>7</xdr:col>
      <xdr:colOff>276225</xdr:colOff>
      <xdr:row>98</xdr:row>
      <xdr:rowOff>151806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A6B1D77-E48D-421D-A1D3-48BB1016C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19225" y="13556164"/>
          <a:ext cx="3238500" cy="3054842"/>
        </a:xfrm>
        <a:prstGeom prst="rect">
          <a:avLst/>
        </a:prstGeom>
      </xdr:spPr>
    </xdr:pic>
    <xdr:clientData/>
  </xdr:twoCellAnchor>
  <xdr:twoCellAnchor editAs="oneCell">
    <xdr:from>
      <xdr:col>31</xdr:col>
      <xdr:colOff>14743</xdr:colOff>
      <xdr:row>48</xdr:row>
      <xdr:rowOff>123824</xdr:rowOff>
    </xdr:from>
    <xdr:to>
      <xdr:col>37</xdr:col>
      <xdr:colOff>466725</xdr:colOff>
      <xdr:row>73</xdr:row>
      <xdr:rowOff>109221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1AE00F7-E3A5-4549-88FB-446E223F8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2350868" y="8010524"/>
          <a:ext cx="4376282" cy="4277997"/>
        </a:xfrm>
        <a:prstGeom prst="rect">
          <a:avLst/>
        </a:prstGeom>
      </xdr:spPr>
    </xdr:pic>
    <xdr:clientData/>
  </xdr:twoCellAnchor>
  <xdr:twoCellAnchor editAs="oneCell">
    <xdr:from>
      <xdr:col>41</xdr:col>
      <xdr:colOff>64152</xdr:colOff>
      <xdr:row>49</xdr:row>
      <xdr:rowOff>19050</xdr:rowOff>
    </xdr:from>
    <xdr:to>
      <xdr:col>50</xdr:col>
      <xdr:colOff>365040</xdr:colOff>
      <xdr:row>85</xdr:row>
      <xdr:rowOff>848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4A96D37-9DC7-45F3-A495-0648E23AB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8762977" y="8077200"/>
          <a:ext cx="6254013" cy="6160348"/>
        </a:xfrm>
        <a:prstGeom prst="rect">
          <a:avLst/>
        </a:prstGeom>
      </xdr:spPr>
    </xdr:pic>
    <xdr:clientData/>
  </xdr:twoCellAnchor>
  <xdr:twoCellAnchor editAs="oneCell">
    <xdr:from>
      <xdr:col>52</xdr:col>
      <xdr:colOff>38081</xdr:colOff>
      <xdr:row>49</xdr:row>
      <xdr:rowOff>42181</xdr:rowOff>
    </xdr:from>
    <xdr:to>
      <xdr:col>61</xdr:col>
      <xdr:colOff>367762</xdr:colOff>
      <xdr:row>85</xdr:row>
      <xdr:rowOff>7636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2854290-1FAD-401B-A7CB-565D1DB5E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5909231" y="8100331"/>
          <a:ext cx="6120881" cy="6144005"/>
        </a:xfrm>
        <a:prstGeom prst="rect">
          <a:avLst/>
        </a:prstGeom>
      </xdr:spPr>
    </xdr:pic>
    <xdr:clientData/>
  </xdr:twoCellAnchor>
  <xdr:twoCellAnchor editAs="oneCell">
    <xdr:from>
      <xdr:col>73</xdr:col>
      <xdr:colOff>5621</xdr:colOff>
      <xdr:row>23</xdr:row>
      <xdr:rowOff>170088</xdr:rowOff>
    </xdr:from>
    <xdr:to>
      <xdr:col>83</xdr:col>
      <xdr:colOff>505082</xdr:colOff>
      <xdr:row>59</xdr:row>
      <xdr:rowOff>97891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61D3CE7-F2EE-4D14-B14A-096DF93A1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9100192" y="3741963"/>
          <a:ext cx="6751944" cy="6044667"/>
        </a:xfrm>
        <a:prstGeom prst="rect">
          <a:avLst/>
        </a:prstGeom>
      </xdr:spPr>
    </xdr:pic>
    <xdr:clientData/>
  </xdr:twoCellAnchor>
  <xdr:twoCellAnchor editAs="oneCell">
    <xdr:from>
      <xdr:col>2</xdr:col>
      <xdr:colOff>374197</xdr:colOff>
      <xdr:row>58</xdr:row>
      <xdr:rowOff>29645</xdr:rowOff>
    </xdr:from>
    <xdr:to>
      <xdr:col>6</xdr:col>
      <xdr:colOff>1015</xdr:colOff>
      <xdr:row>68</xdr:row>
      <xdr:rowOff>88446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4417D8CA-26F5-4B29-8F24-E6CE5872C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34143" y="9554645"/>
          <a:ext cx="2525140" cy="1759694"/>
        </a:xfrm>
        <a:prstGeom prst="rect">
          <a:avLst/>
        </a:prstGeom>
      </xdr:spPr>
    </xdr:pic>
    <xdr:clientData/>
  </xdr:twoCellAnchor>
  <xdr:twoCellAnchor editAs="oneCell">
    <xdr:from>
      <xdr:col>6</xdr:col>
      <xdr:colOff>13607</xdr:colOff>
      <xdr:row>57</xdr:row>
      <xdr:rowOff>169829</xdr:rowOff>
    </xdr:from>
    <xdr:to>
      <xdr:col>9</xdr:col>
      <xdr:colOff>476250</xdr:colOff>
      <xdr:row>70</xdr:row>
      <xdr:rowOff>17808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DF61EB09-FA1D-464F-9AEA-A61F20494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571875" y="9524740"/>
          <a:ext cx="2918732" cy="2059139"/>
        </a:xfrm>
        <a:prstGeom prst="rect">
          <a:avLst/>
        </a:prstGeom>
      </xdr:spPr>
    </xdr:pic>
    <xdr:clientData/>
  </xdr:twoCellAnchor>
  <xdr:twoCellAnchor editAs="oneCell">
    <xdr:from>
      <xdr:col>9</xdr:col>
      <xdr:colOff>447605</xdr:colOff>
      <xdr:row>57</xdr:row>
      <xdr:rowOff>159203</xdr:rowOff>
    </xdr:from>
    <xdr:to>
      <xdr:col>13</xdr:col>
      <xdr:colOff>29380</xdr:colOff>
      <xdr:row>65</xdr:row>
      <xdr:rowOff>108584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7012E443-9779-4654-A93C-E23B71FB5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457880" y="7017203"/>
          <a:ext cx="2677400" cy="1320981"/>
        </a:xfrm>
        <a:prstGeom prst="rect">
          <a:avLst/>
        </a:prstGeom>
      </xdr:spPr>
    </xdr:pic>
    <xdr:clientData/>
  </xdr:twoCellAnchor>
  <xdr:twoCellAnchor editAs="oneCell">
    <xdr:from>
      <xdr:col>9</xdr:col>
      <xdr:colOff>470084</xdr:colOff>
      <xdr:row>65</xdr:row>
      <xdr:rowOff>66675</xdr:rowOff>
    </xdr:from>
    <xdr:to>
      <xdr:col>13</xdr:col>
      <xdr:colOff>19050</xdr:colOff>
      <xdr:row>72</xdr:row>
      <xdr:rowOff>78210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B7ADA8-040E-42D3-B085-95565DF86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480359" y="8296275"/>
          <a:ext cx="2644591" cy="12116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152400</xdr:colOff>
      <xdr:row>14</xdr:row>
      <xdr:rowOff>0</xdr:rowOff>
    </xdr:from>
    <xdr:to>
      <xdr:col>35</xdr:col>
      <xdr:colOff>600075</xdr:colOff>
      <xdr:row>56</xdr:row>
      <xdr:rowOff>76200</xdr:rowOff>
    </xdr:to>
    <xdr:pic>
      <xdr:nvPicPr>
        <xdr:cNvPr id="16614" name="Picture 1">
          <a:extLst>
            <a:ext uri="{FF2B5EF4-FFF2-40B4-BE49-F238E27FC236}">
              <a16:creationId xmlns:a16="http://schemas.microsoft.com/office/drawing/2014/main" id="{915A6213-0568-4AD1-AC58-F2F28952A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0" y="2419350"/>
          <a:ext cx="10153650" cy="687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104775</xdr:colOff>
      <xdr:row>58</xdr:row>
      <xdr:rowOff>123825</xdr:rowOff>
    </xdr:from>
    <xdr:to>
      <xdr:col>40</xdr:col>
      <xdr:colOff>762000</xdr:colOff>
      <xdr:row>72</xdr:row>
      <xdr:rowOff>133350</xdr:rowOff>
    </xdr:to>
    <xdr:pic>
      <xdr:nvPicPr>
        <xdr:cNvPr id="16615" name="Picture 2">
          <a:extLst>
            <a:ext uri="{FF2B5EF4-FFF2-40B4-BE49-F238E27FC236}">
              <a16:creationId xmlns:a16="http://schemas.microsoft.com/office/drawing/2014/main" id="{0F7668C2-DAFE-4BC1-8557-46ACDBD468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75" y="9667875"/>
          <a:ext cx="13449300" cy="2276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19050</xdr:colOff>
      <xdr:row>76</xdr:row>
      <xdr:rowOff>47625</xdr:rowOff>
    </xdr:from>
    <xdr:to>
      <xdr:col>25</xdr:col>
      <xdr:colOff>628650</xdr:colOff>
      <xdr:row>100</xdr:row>
      <xdr:rowOff>142875</xdr:rowOff>
    </xdr:to>
    <xdr:pic>
      <xdr:nvPicPr>
        <xdr:cNvPr id="16616" name="Picture 3">
          <a:extLst>
            <a:ext uri="{FF2B5EF4-FFF2-40B4-BE49-F238E27FC236}">
              <a16:creationId xmlns:a16="http://schemas.microsoft.com/office/drawing/2014/main" id="{C63A8673-B30D-4B79-B41F-29F238854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39650" y="12506325"/>
          <a:ext cx="5048250" cy="398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31</xdr:col>
      <xdr:colOff>9525</xdr:colOff>
      <xdr:row>76</xdr:row>
      <xdr:rowOff>57150</xdr:rowOff>
    </xdr:from>
    <xdr:to>
      <xdr:col>39</xdr:col>
      <xdr:colOff>1009650</xdr:colOff>
      <xdr:row>101</xdr:row>
      <xdr:rowOff>9525</xdr:rowOff>
    </xdr:to>
    <xdr:pic>
      <xdr:nvPicPr>
        <xdr:cNvPr id="16617" name="Picture 7">
          <a:extLst>
            <a:ext uri="{FF2B5EF4-FFF2-40B4-BE49-F238E27FC236}">
              <a16:creationId xmlns:a16="http://schemas.microsoft.com/office/drawing/2014/main" id="{B7D8D70D-F3CE-4AD4-B507-34A552799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78700" y="12515850"/>
          <a:ext cx="5067300" cy="400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35</xdr:col>
      <xdr:colOff>95250</xdr:colOff>
      <xdr:row>0</xdr:row>
      <xdr:rowOff>57150</xdr:rowOff>
    </xdr:from>
    <xdr:to>
      <xdr:col>37</xdr:col>
      <xdr:colOff>495300</xdr:colOff>
      <xdr:row>14</xdr:row>
      <xdr:rowOff>95250</xdr:rowOff>
    </xdr:to>
    <xdr:pic>
      <xdr:nvPicPr>
        <xdr:cNvPr id="15489" name="Picture 1">
          <a:extLst>
            <a:ext uri="{FF2B5EF4-FFF2-40B4-BE49-F238E27FC236}">
              <a16:creationId xmlns:a16="http://schemas.microsoft.com/office/drawing/2014/main" id="{9FCFDC33-ACDA-47CD-9C80-519BEE34C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64075" y="57150"/>
          <a:ext cx="1914525" cy="2457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38</xdr:col>
      <xdr:colOff>57150</xdr:colOff>
      <xdr:row>0</xdr:row>
      <xdr:rowOff>76200</xdr:rowOff>
    </xdr:from>
    <xdr:to>
      <xdr:col>46</xdr:col>
      <xdr:colOff>238125</xdr:colOff>
      <xdr:row>24</xdr:row>
      <xdr:rowOff>0</xdr:rowOff>
    </xdr:to>
    <xdr:pic>
      <xdr:nvPicPr>
        <xdr:cNvPr id="15490" name="Picture 2">
          <a:extLst>
            <a:ext uri="{FF2B5EF4-FFF2-40B4-BE49-F238E27FC236}">
              <a16:creationId xmlns:a16="http://schemas.microsoft.com/office/drawing/2014/main" id="{BA7E48A7-94D7-462E-8B73-801987E3FB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50050" y="76200"/>
          <a:ext cx="5057775" cy="403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36</xdr:col>
      <xdr:colOff>9524</xdr:colOff>
      <xdr:row>31</xdr:row>
      <xdr:rowOff>45342</xdr:rowOff>
    </xdr:from>
    <xdr:to>
      <xdr:col>56</xdr:col>
      <xdr:colOff>452417</xdr:colOff>
      <xdr:row>73</xdr:row>
      <xdr:rowOff>27509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2B05348-D829-4471-9DBF-4CFFBEA9D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188667" y="5352128"/>
          <a:ext cx="13315250" cy="6921810"/>
        </a:xfrm>
        <a:prstGeom prst="rect">
          <a:avLst/>
        </a:prstGeom>
      </xdr:spPr>
    </xdr:pic>
    <xdr:clientData/>
  </xdr:twoCellAnchor>
  <xdr:twoCellAnchor editAs="oneCell">
    <xdr:from>
      <xdr:col>36</xdr:col>
      <xdr:colOff>66675</xdr:colOff>
      <xdr:row>73</xdr:row>
      <xdr:rowOff>95250</xdr:rowOff>
    </xdr:from>
    <xdr:to>
      <xdr:col>43</xdr:col>
      <xdr:colOff>68534</xdr:colOff>
      <xdr:row>113</xdr:row>
      <xdr:rowOff>104775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599AB9A-585C-4B66-94DB-58AC7557F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755100" y="12220575"/>
          <a:ext cx="4269059" cy="64865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36</xdr:col>
      <xdr:colOff>133350</xdr:colOff>
      <xdr:row>3</xdr:row>
      <xdr:rowOff>104775</xdr:rowOff>
    </xdr:from>
    <xdr:to>
      <xdr:col>44</xdr:col>
      <xdr:colOff>400050</xdr:colOff>
      <xdr:row>32</xdr:row>
      <xdr:rowOff>47625</xdr:rowOff>
    </xdr:to>
    <xdr:pic>
      <xdr:nvPicPr>
        <xdr:cNvPr id="14406" name="Picture 1">
          <a:extLst>
            <a:ext uri="{FF2B5EF4-FFF2-40B4-BE49-F238E27FC236}">
              <a16:creationId xmlns:a16="http://schemas.microsoft.com/office/drawing/2014/main" id="{F276398D-55B6-4327-A80B-961CBF3F77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3825" y="704850"/>
          <a:ext cx="5143500" cy="475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76200</xdr:colOff>
      <xdr:row>107</xdr:row>
      <xdr:rowOff>9525</xdr:rowOff>
    </xdr:from>
    <xdr:to>
      <xdr:col>23</xdr:col>
      <xdr:colOff>295275</xdr:colOff>
      <xdr:row>136</xdr:row>
      <xdr:rowOff>66675</xdr:rowOff>
    </xdr:to>
    <xdr:pic>
      <xdr:nvPicPr>
        <xdr:cNvPr id="31818" name="Picture 1">
          <a:extLst>
            <a:ext uri="{FF2B5EF4-FFF2-40B4-BE49-F238E27FC236}">
              <a16:creationId xmlns:a16="http://schemas.microsoft.com/office/drawing/2014/main" id="{6C5EE129-735C-427B-9B6A-1F93CB73F2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5625" y="17335500"/>
          <a:ext cx="5095875" cy="475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uran, Emmeline A." refreshedDate="44048.701948495371" createdVersion="6" refreshedVersion="6" recordCount="1574" xr:uid="{00000000-000A-0000-FFFF-FFFF0A000000}">
  <cacheSource type="worksheet">
    <worksheetSource ref="A1:I65536" sheet="219 &amp; 190"/>
  </cacheSource>
  <cacheFields count="9">
    <cacheField name="DocumentNo" numFmtId="0">
      <sharedItems containsBlank="1"/>
    </cacheField>
    <cacheField name="Type" numFmtId="0">
      <sharedItems containsBlank="1"/>
    </cacheField>
    <cacheField name="Reference" numFmtId="0">
      <sharedItems containsBlank="1"/>
    </cacheField>
    <cacheField name="Account" numFmtId="0">
      <sharedItems containsBlank="1" count="5">
        <s v="1900307"/>
        <s v="1900407"/>
        <s v="2190040"/>
        <s v="2190041"/>
        <m/>
      </sharedItems>
    </cacheField>
    <cacheField name="Text" numFmtId="0">
      <sharedItems containsBlank="1"/>
    </cacheField>
    <cacheField name="Assignment" numFmtId="0">
      <sharedItems containsBlank="1"/>
    </cacheField>
    <cacheField name="Profit Ctr" numFmtId="0">
      <sharedItems containsBlank="1" count="6">
        <s v="P01001"/>
        <s v="PD0018"/>
        <s v="PD0025"/>
        <s v="PD0027"/>
        <s v="PD0028"/>
        <m/>
      </sharedItems>
    </cacheField>
    <cacheField name="Pstng Date" numFmtId="0">
      <sharedItems containsNonDate="0" containsDate="1" containsString="0" containsBlank="1" minDate="2010-12-31T00:00:00" maxDate="2020-01-01T00:00:00"/>
    </cacheField>
    <cacheField name="Amount" numFmtId="0">
      <sharedItems containsString="0" containsBlank="1" containsNumber="1" minValue="-7644601.4800000004" maxValue="4073398.8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uran, Emmeline A." refreshedDate="44048.701948842594" createdVersion="6" refreshedVersion="6" recordCount="4520" xr:uid="{00000000-000A-0000-FFFF-FFFF0E000000}">
  <cacheSource type="worksheet">
    <worksheetSource ref="A1:I65536" sheet="181 &amp; 189"/>
  </cacheSource>
  <cacheFields count="9">
    <cacheField name="DocumentNo" numFmtId="0">
      <sharedItems containsBlank="1"/>
    </cacheField>
    <cacheField name="Type" numFmtId="0">
      <sharedItems containsBlank="1"/>
    </cacheField>
    <cacheField name="Reference" numFmtId="0">
      <sharedItems containsBlank="1"/>
    </cacheField>
    <cacheField name="Account" numFmtId="0">
      <sharedItems containsBlank="1" count="4">
        <s v="1810200"/>
        <s v="1890100"/>
        <s v="1890200"/>
        <m/>
      </sharedItems>
    </cacheField>
    <cacheField name="Text" numFmtId="0">
      <sharedItems containsBlank="1"/>
    </cacheField>
    <cacheField name="Assignment" numFmtId="0">
      <sharedItems containsBlank="1"/>
    </cacheField>
    <cacheField name="Profit Ctr" numFmtId="0">
      <sharedItems containsBlank="1" count="24">
        <s v="PD0026"/>
        <s v="PD0027"/>
        <s v="PD0013"/>
        <s v="PD0015"/>
        <s v="PD0020"/>
        <s v="PD0014"/>
        <s v="PD0016"/>
        <s v="PD0008"/>
        <s v="PD0011"/>
        <s v="PD0017"/>
        <s v="PD0009"/>
        <s v="PD0900"/>
        <s v="PD0010"/>
        <s v="PD0012"/>
        <s v="PD0023"/>
        <s v="PD0018"/>
        <s v="PD0019"/>
        <s v="PD0025"/>
        <s v="P01001"/>
        <s v="PD0028"/>
        <s v="PD0034"/>
        <s v="PD0035"/>
        <s v="PD0036"/>
        <m/>
      </sharedItems>
    </cacheField>
    <cacheField name="Pstng Date" numFmtId="0">
      <sharedItems containsNonDate="0" containsDate="1" containsString="0" containsBlank="1" minDate="2010-12-31T00:00:00" maxDate="2020-01-01T00:00:00"/>
    </cacheField>
    <cacheField name="Amount" numFmtId="0">
      <sharedItems containsString="0" containsBlank="1" containsNumber="1" minValue="-10817379.369999999" maxValue="10817379.369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574">
  <r>
    <s v="9500000000"/>
    <s v="YZ"/>
    <s v="DEC 31 2010"/>
    <x v="0"/>
    <s v="19046 TEC GL CONV YE 2010"/>
    <s v="20101231"/>
    <x v="0"/>
    <d v="2010-12-31T00:00:00"/>
    <n v="1922955.15"/>
  </r>
  <r>
    <s v="9500000001"/>
    <s v="YZ"/>
    <s v="DEC 31 2010"/>
    <x v="0"/>
    <s v="19046 TEC GL CONV YE 2010"/>
    <s v="20101231"/>
    <x v="0"/>
    <d v="2010-12-31T00:00:00"/>
    <n v="1922955.15"/>
  </r>
  <r>
    <s v="9500000002"/>
    <s v="YZ"/>
    <s v="DEC 31 2010"/>
    <x v="0"/>
    <s v="19046 TEC GL CONV YE 2010"/>
    <s v="20101231"/>
    <x v="0"/>
    <d v="2010-12-31T00:00:00"/>
    <n v="-1922955.15"/>
  </r>
  <r>
    <s v="9500000006"/>
    <s v="YZ"/>
    <s v="201101"/>
    <x v="0"/>
    <s v="19046 TEC CONVERSION ACCOUNT SUMMARY"/>
    <s v="20120326"/>
    <x v="0"/>
    <d v="2011-01-31T00:00:00"/>
    <n v="-21728.31"/>
  </r>
  <r>
    <s v="9500000010"/>
    <s v="YZ"/>
    <s v="201102"/>
    <x v="0"/>
    <s v="19046 TEC CONVERSION ACCOUNT SUMMARY"/>
    <s v="20120326"/>
    <x v="0"/>
    <d v="2011-02-28T00:00:00"/>
    <n v="-21728.31"/>
  </r>
  <r>
    <s v="9500000015"/>
    <s v="YZ"/>
    <s v="201103"/>
    <x v="0"/>
    <s v="19046 TEC CONVERSION ACCOUNT SUMMARY"/>
    <s v="20120326"/>
    <x v="0"/>
    <d v="2011-03-31T00:00:00"/>
    <n v="-21728.31"/>
  </r>
  <r>
    <s v="9500000020"/>
    <s v="YZ"/>
    <s v="201104"/>
    <x v="0"/>
    <s v="19046 TEC CONVERSION ACCOUNT SUMMARY"/>
    <s v="20120326"/>
    <x v="0"/>
    <d v="2011-04-30T00:00:00"/>
    <n v="-21728.31"/>
  </r>
  <r>
    <s v="9500000025"/>
    <s v="YZ"/>
    <s v="201105"/>
    <x v="0"/>
    <s v="19046 TEC CONVERSION ACCOUNT SUMMARY"/>
    <s v="20120326"/>
    <x v="0"/>
    <d v="2011-05-31T00:00:00"/>
    <n v="-21728.31"/>
  </r>
  <r>
    <s v="9500000030"/>
    <s v="YZ"/>
    <s v="201106"/>
    <x v="0"/>
    <s v="19046 TEC CONVERSION ACCOUNT SUMMARY"/>
    <s v="20120326"/>
    <x v="0"/>
    <d v="2011-06-30T00:00:00"/>
    <n v="-21728.31"/>
  </r>
  <r>
    <s v="9500000035"/>
    <s v="YZ"/>
    <s v="201107"/>
    <x v="0"/>
    <s v="19046 TEC CONVERSION ACCOUNT SUMMARY"/>
    <s v="20120326"/>
    <x v="0"/>
    <d v="2011-07-31T00:00:00"/>
    <n v="-21728.31"/>
  </r>
  <r>
    <s v="9500000040"/>
    <s v="YZ"/>
    <s v="201108"/>
    <x v="0"/>
    <s v="19046 TEC CONVERSION ACCOUNT SUMMARY"/>
    <s v="20120326"/>
    <x v="0"/>
    <d v="2011-08-31T00:00:00"/>
    <n v="-21728.31"/>
  </r>
  <r>
    <s v="9500000045"/>
    <s v="YZ"/>
    <s v="201109"/>
    <x v="0"/>
    <s v="19046 TEC CONVERSION ACCOUNT SUMMARY"/>
    <s v="20120326"/>
    <x v="0"/>
    <d v="2011-09-30T00:00:00"/>
    <n v="-21728.31"/>
  </r>
  <r>
    <s v="9500000050"/>
    <s v="YZ"/>
    <s v="201110"/>
    <x v="0"/>
    <s v="19046 TEC CONVERSION ACCOUNT SUMMARY"/>
    <s v="20120326"/>
    <x v="0"/>
    <d v="2011-10-31T00:00:00"/>
    <n v="-21728.31"/>
  </r>
  <r>
    <s v="9500000055"/>
    <s v="YZ"/>
    <s v="201111"/>
    <x v="0"/>
    <s v="19046 TEC CONVERSION ACCOUNT SUMMARY"/>
    <s v="20120326"/>
    <x v="0"/>
    <d v="2011-11-30T00:00:00"/>
    <n v="-21728.31"/>
  </r>
  <r>
    <s v="9500000060"/>
    <s v="YZ"/>
    <s v="201112"/>
    <x v="0"/>
    <s v="19046 TEC CONVERSION ACCOUNT SUMMARY"/>
    <s v="20120326"/>
    <x v="0"/>
    <d v="2011-12-31T00:00:00"/>
    <n v="-21728.31"/>
  </r>
  <r>
    <s v="9500000101"/>
    <s v="YZ"/>
    <s v="201201"/>
    <x v="0"/>
    <s v="19046 TEC CONVERSION ACCOUNT SUMMARY"/>
    <s v="20120326"/>
    <x v="0"/>
    <d v="2012-01-31T00:00:00"/>
    <n v="-21728.31"/>
  </r>
  <r>
    <s v="9500000105"/>
    <s v="YZ"/>
    <s v="201202"/>
    <x v="0"/>
    <s v="19046 TEC CONVERSION ACCOUNT SUMMARY"/>
    <s v="20120402"/>
    <x v="0"/>
    <d v="2012-02-29T00:00:00"/>
    <n v="-21728.31"/>
  </r>
  <r>
    <s v="9500000109"/>
    <s v="YZ"/>
    <s v="201203"/>
    <x v="0"/>
    <s v="19046 TEC CONVERSION ACCOUNT SUMMARY"/>
    <s v="20120424"/>
    <x v="0"/>
    <d v="2012-03-31T00:00:00"/>
    <n v="-21728.31"/>
  </r>
  <r>
    <s v="9500000114"/>
    <s v="YZ"/>
    <s v="201204"/>
    <x v="0"/>
    <s v="19046 TEC CONVERSION ACCOUNT SUMMARY"/>
    <s v="20120516"/>
    <x v="0"/>
    <d v="2012-04-30T00:00:00"/>
    <n v="186551.59"/>
  </r>
  <r>
    <s v="9500000131"/>
    <s v="YZ"/>
    <s v="201205"/>
    <x v="0"/>
    <s v="19046 TEC CONVERSION ACCOUNT SUMMARY"/>
    <s v="20120614"/>
    <x v="0"/>
    <d v="2012-05-31T00:00:00"/>
    <n v="1963360.42"/>
  </r>
  <r>
    <s v="100000053"/>
    <s v="SA"/>
    <s v="40501"/>
    <x v="0"/>
    <s v=""/>
    <s v="20120701"/>
    <x v="1"/>
    <d v="2012-07-23T00:00:00"/>
    <n v="-21728.31"/>
  </r>
  <r>
    <s v="100000053"/>
    <s v="SA"/>
    <s v="40501"/>
    <x v="0"/>
    <s v=""/>
    <s v="20120701"/>
    <x v="2"/>
    <d v="2012-07-23T00:00:00"/>
    <n v="-6092.69"/>
  </r>
  <r>
    <s v="9500000139"/>
    <s v="YZ"/>
    <s v="201206"/>
    <x v="0"/>
    <s v="19046 TEC CONVERSION ACCOUNT SUMMARY"/>
    <s v="20120722"/>
    <x v="0"/>
    <d v="2012-06-30T00:00:00"/>
    <n v="-27821"/>
  </r>
  <r>
    <s v="9500000147"/>
    <s v="YZ"/>
    <s v="201206"/>
    <x v="0"/>
    <s v="19046 TEC CONVERSION ACCOUNT SUMMARY"/>
    <s v="20120722"/>
    <x v="0"/>
    <d v="2012-06-30T00:00:00"/>
    <n v="27821"/>
  </r>
  <r>
    <s v="9500000155"/>
    <s v="YZ"/>
    <s v="201206"/>
    <x v="0"/>
    <s v="19046 TEC CONVERSION ACCOUNT SUMMARY"/>
    <s v="20120722"/>
    <x v="0"/>
    <d v="2012-06-30T00:00:00"/>
    <n v="-27821"/>
  </r>
  <r>
    <s v="100018957"/>
    <s v="SA"/>
    <s v="40501_PD0025"/>
    <x v="0"/>
    <s v="RECURRING ENTRY ENDS 04/42; FV50 NEEDED 05/42"/>
    <s v="20120831"/>
    <x v="2"/>
    <d v="2012-08-31T00:00:00"/>
    <n v="-6092.69"/>
  </r>
  <r>
    <s v="100018958"/>
    <s v="SA"/>
    <s v="40501_PD0018"/>
    <x v="0"/>
    <s v="RECURRING ENTRY ENDS 04/18; FV50 NEEDED 05/18"/>
    <s v="20120831"/>
    <x v="1"/>
    <d v="2012-08-31T00:00:00"/>
    <n v="-21728.31"/>
  </r>
  <r>
    <s v="100027515"/>
    <s v="SA"/>
    <s v="40501_PD0025"/>
    <x v="0"/>
    <s v="RECURRING ENTRY ENDS 04/42; FV50 NEEDED 05/42"/>
    <s v="20120930"/>
    <x v="2"/>
    <d v="2012-09-30T00:00:00"/>
    <n v="-6092.69"/>
  </r>
  <r>
    <s v="100027516"/>
    <s v="SA"/>
    <s v="40501_PD0018"/>
    <x v="0"/>
    <s v="RECURRING ENTRY ENDS 04/18; FV50 NEEDED 05/18"/>
    <s v="20120930"/>
    <x v="1"/>
    <d v="2012-09-30T00:00:00"/>
    <n v="-21728.31"/>
  </r>
  <r>
    <s v="100036818"/>
    <s v="SA"/>
    <s v="40501_PD0025"/>
    <x v="0"/>
    <s v="RECURRING ENTRY ENDS 04/42; FV50 NEEDED 05/42"/>
    <s v="20121031"/>
    <x v="2"/>
    <d v="2012-10-31T00:00:00"/>
    <n v="-6092.69"/>
  </r>
  <r>
    <s v="100036819"/>
    <s v="SA"/>
    <s v="40501_PD0018"/>
    <x v="0"/>
    <s v="RECURRING ENTRY ENDS 04/18; FV50 NEEDED 05/18"/>
    <s v="20121031"/>
    <x v="1"/>
    <d v="2012-10-31T00:00:00"/>
    <n v="-21728.31"/>
  </r>
  <r>
    <s v="100036857"/>
    <s v="AB"/>
    <s v="40501_PD0025"/>
    <x v="0"/>
    <s v="RECURRING ENTRY ENDS 04/42; FV50 NEEDED 05/42"/>
    <s v="20121031"/>
    <x v="2"/>
    <d v="2012-10-31T00:00:00"/>
    <n v="6092.69"/>
  </r>
  <r>
    <s v="100036858"/>
    <s v="AB"/>
    <s v="40501_PD0018"/>
    <x v="0"/>
    <s v="RECURRING ENTRY ENDS 04/18; FV50 NEEDED 05/18"/>
    <s v="20121031"/>
    <x v="1"/>
    <d v="2012-10-31T00:00:00"/>
    <n v="21728.31"/>
  </r>
  <r>
    <s v="100037868"/>
    <s v="SA"/>
    <s v="40501_PD0018"/>
    <x v="0"/>
    <s v="DIT Federal - Interest Rate Swap"/>
    <s v="20121031"/>
    <x v="1"/>
    <d v="2012-10-31T00:00:00"/>
    <n v="-21728.31"/>
  </r>
  <r>
    <s v="100037892"/>
    <s v="SA"/>
    <s v="40501_PD0025"/>
    <x v="0"/>
    <s v="DIT Fed- Interest Rate Swap"/>
    <s v="20121031"/>
    <x v="2"/>
    <d v="2012-10-31T00:00:00"/>
    <n v="-6092.69"/>
  </r>
  <r>
    <s v="100044337"/>
    <s v="SA"/>
    <s v="40501_PD0018"/>
    <x v="0"/>
    <s v="DIT Federal - Interest Rate Swap"/>
    <s v="20121130"/>
    <x v="1"/>
    <d v="2012-11-30T00:00:00"/>
    <n v="-21728.31"/>
  </r>
  <r>
    <s v="100044360"/>
    <s v="SA"/>
    <s v="40501_PD0025"/>
    <x v="0"/>
    <s v="DIT Fed- Interest Rate Swap"/>
    <s v="20121130"/>
    <x v="2"/>
    <d v="2012-11-30T00:00:00"/>
    <n v="-6092.69"/>
  </r>
  <r>
    <s v="100051577"/>
    <s v="SA"/>
    <s v="89850-2"/>
    <x v="0"/>
    <s v=""/>
    <s v="20121201"/>
    <x v="2"/>
    <d v="2012-12-31T00:00:00"/>
    <n v="2193368.63"/>
  </r>
  <r>
    <s v="100051577"/>
    <s v="SA"/>
    <s v="89850-2"/>
    <x v="0"/>
    <s v=""/>
    <s v="20121201"/>
    <x v="1"/>
    <d v="2012-12-31T00:00:00"/>
    <n v="1922955.15"/>
  </r>
  <r>
    <s v="100051577"/>
    <s v="SA"/>
    <s v="89850-2"/>
    <x v="0"/>
    <s v=""/>
    <s v="20121201"/>
    <x v="0"/>
    <d v="2012-12-31T00:00:00"/>
    <n v="397202.27"/>
  </r>
  <r>
    <s v="100051577"/>
    <s v="SA"/>
    <s v="89850-2"/>
    <x v="0"/>
    <s v=""/>
    <s v="20121201"/>
    <x v="2"/>
    <d v="2012-12-31T00:00:00"/>
    <n v="-6092.69"/>
  </r>
  <r>
    <s v="100051577"/>
    <s v="SA"/>
    <s v="89850-2"/>
    <x v="0"/>
    <s v=""/>
    <s v="20121201"/>
    <x v="1"/>
    <d v="2012-12-31T00:00:00"/>
    <n v="-391109.58"/>
  </r>
  <r>
    <s v="100051577"/>
    <s v="SA"/>
    <s v="89850-2"/>
    <x v="0"/>
    <s v=""/>
    <s v="20121201"/>
    <x v="0"/>
    <d v="2012-12-31T00:00:00"/>
    <n v="-4116323.78"/>
  </r>
  <r>
    <s v="100051650"/>
    <s v="SA"/>
    <s v="40501_PD0018"/>
    <x v="0"/>
    <s v="DIT Federal - Interest Rate Swap"/>
    <s v="20121231"/>
    <x v="1"/>
    <d v="2012-12-31T00:00:00"/>
    <n v="-21728.31"/>
  </r>
  <r>
    <s v="100051673"/>
    <s v="SA"/>
    <s v="40501_PD0025"/>
    <x v="0"/>
    <s v="DIT Fed- Interest Rate Swap"/>
    <s v="20121231"/>
    <x v="2"/>
    <d v="2012-12-31T00:00:00"/>
    <n v="-6092.69"/>
  </r>
  <r>
    <s v="100008040"/>
    <s v="SA"/>
    <s v="40501_PD0018"/>
    <x v="0"/>
    <s v="DIT Federal - Interest Rate Swap"/>
    <s v="20130131"/>
    <x v="1"/>
    <d v="2013-01-31T00:00:00"/>
    <n v="-21728.31"/>
  </r>
  <r>
    <s v="100008063"/>
    <s v="SA"/>
    <s v="40501_PD0025"/>
    <x v="0"/>
    <s v="DIT Fed- Interest Rate Swap"/>
    <s v="20130131"/>
    <x v="2"/>
    <d v="2013-01-31T00:00:00"/>
    <n v="-6092.69"/>
  </r>
  <r>
    <s v="100010123"/>
    <s v="SA"/>
    <s v="40501_PD0018"/>
    <x v="0"/>
    <s v="DIT Federal - Interest Rate Swap"/>
    <s v="20130228"/>
    <x v="1"/>
    <d v="2013-02-28T00:00:00"/>
    <n v="-21728.31"/>
  </r>
  <r>
    <s v="100010145"/>
    <s v="SA"/>
    <s v="40501_PD0025"/>
    <x v="0"/>
    <s v="DIT Fed- Interest Rate Swap"/>
    <s v="20130228"/>
    <x v="2"/>
    <d v="2013-02-28T00:00:00"/>
    <n v="-6092.69"/>
  </r>
  <r>
    <s v="100022147"/>
    <s v="SA"/>
    <s v="40501_PD0018"/>
    <x v="0"/>
    <s v="DIT Federal - Interest Rate Swap"/>
    <s v="20130331"/>
    <x v="1"/>
    <d v="2013-03-31T00:00:00"/>
    <n v="-21728.31"/>
  </r>
  <r>
    <s v="100022148"/>
    <s v="SA"/>
    <s v="40501_PD0025"/>
    <x v="0"/>
    <s v="DIT Fed- Interest Rate Swap"/>
    <s v="20130331"/>
    <x v="2"/>
    <d v="2013-03-31T00:00:00"/>
    <n v="-6092.69"/>
  </r>
  <r>
    <s v="100030992"/>
    <s v="SA"/>
    <s v="40501_PD0018"/>
    <x v="0"/>
    <s v="DIT Federal - Interest Rate Swap"/>
    <s v="20130430"/>
    <x v="1"/>
    <d v="2013-04-30T00:00:00"/>
    <n v="-21728.31"/>
  </r>
  <r>
    <s v="100030993"/>
    <s v="SA"/>
    <s v="40501_PD0025"/>
    <x v="0"/>
    <s v="DIT Fed- Interest Rate Swap"/>
    <s v="20130430"/>
    <x v="2"/>
    <d v="2013-04-30T00:00:00"/>
    <n v="-6092.69"/>
  </r>
  <r>
    <s v="100039249"/>
    <s v="SA"/>
    <s v="40501_PD0018"/>
    <x v="0"/>
    <s v="DIT Federal - Interest Rate Swap"/>
    <s v="20130531"/>
    <x v="1"/>
    <d v="2013-05-31T00:00:00"/>
    <n v="-21728.31"/>
  </r>
  <r>
    <s v="100039250"/>
    <s v="SA"/>
    <s v="40501_PD0025"/>
    <x v="0"/>
    <s v="DIT Fed- Interest Rate Swap"/>
    <s v="20130531"/>
    <x v="2"/>
    <d v="2013-05-31T00:00:00"/>
    <n v="-6092.69"/>
  </r>
  <r>
    <s v="100047599"/>
    <s v="SA"/>
    <s v="40501_PD0018"/>
    <x v="0"/>
    <s v="DIT Federal - Interest Rate Swap"/>
    <s v="20130630"/>
    <x v="1"/>
    <d v="2013-06-30T00:00:00"/>
    <n v="-21728.31"/>
  </r>
  <r>
    <s v="100047600"/>
    <s v="SA"/>
    <s v="40501_PD0025"/>
    <x v="0"/>
    <s v="DIT Fed- Interest Rate Swap"/>
    <s v="20130630"/>
    <x v="2"/>
    <d v="2013-06-30T00:00:00"/>
    <n v="-6092.69"/>
  </r>
  <r>
    <s v="100048965"/>
    <s v="SA"/>
    <s v="89009"/>
    <x v="0"/>
    <s v=""/>
    <s v="20130630"/>
    <x v="0"/>
    <d v="2013-06-30T00:00:00"/>
    <n v="166926"/>
  </r>
  <r>
    <s v="100057888"/>
    <s v="SA"/>
    <s v="89850-3"/>
    <x v="0"/>
    <s v="Power Tax Reversal"/>
    <s v="20130701"/>
    <x v="0"/>
    <d v="2013-07-31T00:00:00"/>
    <n v="27821.01"/>
  </r>
  <r>
    <s v="9200002215"/>
    <s v="YA"/>
    <s v="050000"/>
    <x v="0"/>
    <s v="050000"/>
    <s v="20130705"/>
    <x v="0"/>
    <d v="2013-06-30T00:00:00"/>
    <n v="-166925.91"/>
  </r>
  <r>
    <s v="100056975"/>
    <s v="SA"/>
    <s v="40501_PD0018"/>
    <x v="0"/>
    <s v="DIT Federal - Interest Rate Swap"/>
    <s v="20130731"/>
    <x v="1"/>
    <d v="2013-07-31T00:00:00"/>
    <n v="-21728.31"/>
  </r>
  <r>
    <s v="100056976"/>
    <s v="SA"/>
    <s v="40501_PD0025"/>
    <x v="0"/>
    <s v="DIT Fed- Interest Rate Swap"/>
    <s v="20130731"/>
    <x v="2"/>
    <d v="2013-07-31T00:00:00"/>
    <n v="-6092.69"/>
  </r>
  <r>
    <s v="9200002601"/>
    <s v="YA"/>
    <s v="050000"/>
    <x v="0"/>
    <s v="050000"/>
    <s v="20130808"/>
    <x v="0"/>
    <d v="2013-07-31T00:00:00"/>
    <n v="-27821"/>
  </r>
  <r>
    <s v="9200002980"/>
    <s v="YA"/>
    <s v="050000"/>
    <x v="0"/>
    <s v="050000"/>
    <s v="20130910"/>
    <x v="1"/>
    <d v="2013-08-31T00:00:00"/>
    <n v="-21728.2"/>
  </r>
  <r>
    <s v="9200002980"/>
    <s v="YA"/>
    <s v="050000"/>
    <x v="0"/>
    <s v="050000"/>
    <s v="20130910"/>
    <x v="2"/>
    <d v="2013-08-31T00:00:00"/>
    <n v="-6092.8"/>
  </r>
  <r>
    <s v="9200002983"/>
    <s v="YA"/>
    <s v="050000"/>
    <x v="0"/>
    <s v="050000"/>
    <s v="20130910"/>
    <x v="1"/>
    <d v="2013-08-31T00:00:00"/>
    <n v="-21728.2"/>
  </r>
  <r>
    <s v="9200002983"/>
    <s v="YA"/>
    <s v="050000"/>
    <x v="0"/>
    <s v="050000"/>
    <s v="20130910"/>
    <x v="2"/>
    <d v="2013-08-31T00:00:00"/>
    <n v="-6092.8"/>
  </r>
  <r>
    <s v="9200002985"/>
    <s v="YA"/>
    <s v="050000"/>
    <x v="0"/>
    <s v="050000"/>
    <s v="20130910"/>
    <x v="1"/>
    <d v="2013-08-31T00:00:00"/>
    <n v="21728.2"/>
  </r>
  <r>
    <s v="9200002985"/>
    <s v="YA"/>
    <s v="050000"/>
    <x v="0"/>
    <s v="050000"/>
    <s v="20130910"/>
    <x v="2"/>
    <d v="2013-08-31T00:00:00"/>
    <n v="6092.8"/>
  </r>
  <r>
    <s v="9200003310"/>
    <s v="YA"/>
    <s v="050000"/>
    <x v="0"/>
    <s v="050000"/>
    <s v="20131005"/>
    <x v="1"/>
    <d v="2013-09-30T00:00:00"/>
    <n v="-43456.4"/>
  </r>
  <r>
    <s v="9200003310"/>
    <s v="YA"/>
    <s v="050000"/>
    <x v="0"/>
    <s v="050000"/>
    <s v="20131005"/>
    <x v="2"/>
    <d v="2013-09-30T00:00:00"/>
    <n v="-12185.6"/>
  </r>
  <r>
    <s v="9200003312"/>
    <s v="YA"/>
    <s v="050000"/>
    <x v="0"/>
    <s v="050000"/>
    <s v="20131005"/>
    <x v="1"/>
    <d v="2013-09-30T00:00:00"/>
    <n v="-21728.2"/>
  </r>
  <r>
    <s v="9200003312"/>
    <s v="YA"/>
    <s v="050000"/>
    <x v="0"/>
    <s v="050000"/>
    <s v="20131005"/>
    <x v="2"/>
    <d v="2013-09-30T00:00:00"/>
    <n v="-6092.8"/>
  </r>
  <r>
    <s v="9200003314"/>
    <s v="YA"/>
    <s v="9959-260"/>
    <x v="0"/>
    <s v="9959-260"/>
    <s v="20131005"/>
    <x v="1"/>
    <d v="2013-09-30T00:00:00"/>
    <n v="43456.4"/>
  </r>
  <r>
    <s v="9200003314"/>
    <s v="YA"/>
    <s v="9959-260"/>
    <x v="0"/>
    <s v="9959-260"/>
    <s v="20131005"/>
    <x v="2"/>
    <d v="2013-09-30T00:00:00"/>
    <n v="12185.6"/>
  </r>
  <r>
    <s v="9200003736"/>
    <s v="YA"/>
    <s v="050000"/>
    <x v="0"/>
    <s v="050000"/>
    <s v="20131107"/>
    <x v="1"/>
    <d v="2013-10-31T00:00:00"/>
    <n v="-21728.19"/>
  </r>
  <r>
    <s v="9200003736"/>
    <s v="YA"/>
    <s v="050000"/>
    <x v="0"/>
    <s v="050000"/>
    <s v="20131107"/>
    <x v="2"/>
    <d v="2013-10-31T00:00:00"/>
    <n v="-6092.8"/>
  </r>
  <r>
    <s v="9200004109"/>
    <s v="YA"/>
    <s v="050000"/>
    <x v="0"/>
    <s v="050000"/>
    <s v="20131206"/>
    <x v="2"/>
    <d v="2013-11-30T00:00:00"/>
    <n v="-6092.79"/>
  </r>
  <r>
    <s v="9200004109"/>
    <s v="YA"/>
    <s v="050000"/>
    <x v="0"/>
    <s v="050000"/>
    <s v="20131206"/>
    <x v="1"/>
    <d v="2013-11-30T00:00:00"/>
    <n v="-21728.19"/>
  </r>
  <r>
    <s v="9200004446"/>
    <s v="YA"/>
    <s v="050000"/>
    <x v="0"/>
    <s v="050000"/>
    <s v="20140106"/>
    <x v="2"/>
    <d v="2013-12-31T00:00:00"/>
    <n v="-6092.8"/>
  </r>
  <r>
    <s v="9200004446"/>
    <s v="YA"/>
    <s v="050000"/>
    <x v="0"/>
    <s v="050000"/>
    <s v="20140106"/>
    <x v="1"/>
    <d v="2013-12-31T00:00:00"/>
    <n v="-21728.2"/>
  </r>
  <r>
    <s v="9200004448"/>
    <s v="YA"/>
    <s v="050000"/>
    <x v="0"/>
    <s v="050000"/>
    <s v="20140106"/>
    <x v="1"/>
    <d v="2013-12-31T00:00:00"/>
    <n v="-21728.2"/>
  </r>
  <r>
    <s v="9200004448"/>
    <s v="YA"/>
    <s v="050000"/>
    <x v="0"/>
    <s v="050000"/>
    <s v="20140106"/>
    <x v="2"/>
    <d v="2013-12-31T00:00:00"/>
    <n v="-6092.8"/>
  </r>
  <r>
    <s v="9200004450"/>
    <s v="YA"/>
    <s v="9959-260"/>
    <x v="0"/>
    <s v="9959-260"/>
    <s v="20140106"/>
    <x v="2"/>
    <d v="2013-12-31T00:00:00"/>
    <n v="6092.8"/>
  </r>
  <r>
    <s v="9200004450"/>
    <s v="YA"/>
    <s v="9959-260"/>
    <x v="0"/>
    <s v="9959-260"/>
    <s v="20140106"/>
    <x v="1"/>
    <d v="2013-12-31T00:00:00"/>
    <n v="21728.2"/>
  </r>
  <r>
    <s v="9200004451"/>
    <s v="YA"/>
    <s v="050000"/>
    <x v="0"/>
    <s v="050000"/>
    <s v="20140117"/>
    <x v="2"/>
    <d v="2013-12-31T00:00:00"/>
    <n v="-6092.8"/>
  </r>
  <r>
    <s v="9200004451"/>
    <s v="YA"/>
    <s v="050000"/>
    <x v="0"/>
    <s v="050000"/>
    <s v="20140117"/>
    <x v="1"/>
    <d v="2013-12-31T00:00:00"/>
    <n v="-21728.2"/>
  </r>
  <r>
    <s v="9200004453"/>
    <s v="YA"/>
    <s v="9959-260"/>
    <x v="0"/>
    <s v="9959-260"/>
    <s v="20140117"/>
    <x v="2"/>
    <d v="2013-12-31T00:00:00"/>
    <n v="6092.8"/>
  </r>
  <r>
    <s v="9200004453"/>
    <s v="YA"/>
    <s v="9959-260"/>
    <x v="0"/>
    <s v="9959-260"/>
    <s v="20140117"/>
    <x v="1"/>
    <d v="2013-12-31T00:00:00"/>
    <n v="21728.2"/>
  </r>
  <r>
    <s v="9200000366"/>
    <s v="YA"/>
    <s v="050000"/>
    <x v="0"/>
    <s v="050000"/>
    <s v="20140207"/>
    <x v="1"/>
    <d v="2014-01-31T00:00:00"/>
    <n v="-21728.2"/>
  </r>
  <r>
    <s v="9200000366"/>
    <s v="YA"/>
    <s v="050000"/>
    <x v="0"/>
    <s v="050000"/>
    <s v="20140207"/>
    <x v="2"/>
    <d v="2014-01-31T00:00:00"/>
    <n v="-6092.8"/>
  </r>
  <r>
    <s v="9200000704"/>
    <s v="YA"/>
    <s v="050000"/>
    <x v="0"/>
    <s v="050000"/>
    <s v="20140307"/>
    <x v="1"/>
    <d v="2014-02-28T00:00:00"/>
    <n v="-21728.2"/>
  </r>
  <r>
    <s v="9200000704"/>
    <s v="YA"/>
    <s v="050000"/>
    <x v="0"/>
    <s v="050000"/>
    <s v="20140307"/>
    <x v="2"/>
    <d v="2014-02-28T00:00:00"/>
    <n v="-6092.8"/>
  </r>
  <r>
    <s v="9200001105"/>
    <s v="YA"/>
    <s v="050000"/>
    <x v="0"/>
    <s v="050000"/>
    <s v="20140405"/>
    <x v="2"/>
    <d v="2014-03-31T00:00:00"/>
    <n v="-6092.8"/>
  </r>
  <r>
    <s v="9200001105"/>
    <s v="YA"/>
    <s v="050000"/>
    <x v="0"/>
    <s v="050000"/>
    <s v="20140405"/>
    <x v="1"/>
    <d v="2014-03-31T00:00:00"/>
    <n v="-21728.2"/>
  </r>
  <r>
    <s v="9200001508"/>
    <s v="YA"/>
    <s v="050000"/>
    <x v="0"/>
    <s v="050000"/>
    <s v="20140507"/>
    <x v="1"/>
    <d v="2014-04-30T00:00:00"/>
    <n v="-21728.53"/>
  </r>
  <r>
    <s v="9200001508"/>
    <s v="YA"/>
    <s v="050000"/>
    <x v="0"/>
    <s v="050000"/>
    <s v="20140507"/>
    <x v="3"/>
    <d v="2014-04-30T00:00:00"/>
    <n v="-22863.360000000001"/>
  </r>
  <r>
    <s v="9200001508"/>
    <s v="YA"/>
    <s v="050000"/>
    <x v="0"/>
    <s v="050000"/>
    <s v="20140507"/>
    <x v="2"/>
    <d v="2014-04-30T00:00:00"/>
    <n v="-6092.81"/>
  </r>
  <r>
    <s v="9200001935"/>
    <s v="YA"/>
    <s v="050000"/>
    <x v="0"/>
    <s v="050000"/>
    <s v="20140606"/>
    <x v="1"/>
    <d v="2014-05-31T00:00:00"/>
    <n v="-21728.21"/>
  </r>
  <r>
    <s v="9200001935"/>
    <s v="YA"/>
    <s v="050000"/>
    <x v="0"/>
    <s v="050000"/>
    <s v="20140606"/>
    <x v="3"/>
    <d v="2014-05-31T00:00:00"/>
    <n v="121915.99"/>
  </r>
  <r>
    <s v="9200001935"/>
    <s v="YA"/>
    <s v="050000"/>
    <x v="0"/>
    <s v="050000"/>
    <s v="20140606"/>
    <x v="2"/>
    <d v="2014-05-31T00:00:00"/>
    <n v="-6092.8"/>
  </r>
  <r>
    <s v="9200002384"/>
    <s v="YA"/>
    <s v="050000"/>
    <x v="0"/>
    <s v="050000"/>
    <s v="20140706"/>
    <x v="2"/>
    <d v="2014-06-30T00:00:00"/>
    <n v="-6092.8"/>
  </r>
  <r>
    <s v="9200002384"/>
    <s v="YA"/>
    <s v="050000"/>
    <x v="0"/>
    <s v="050000"/>
    <s v="20140706"/>
    <x v="1"/>
    <d v="2014-06-30T00:00:00"/>
    <n v="-21728.2"/>
  </r>
  <r>
    <s v="9200002384"/>
    <s v="YA"/>
    <s v="050000"/>
    <x v="0"/>
    <s v="050000"/>
    <s v="20140706"/>
    <x v="3"/>
    <d v="2014-06-30T00:00:00"/>
    <n v="-275.91000000000003"/>
  </r>
  <r>
    <s v="9200002785"/>
    <s v="YA"/>
    <s v="050000"/>
    <x v="0"/>
    <s v="050000"/>
    <s v="20140807"/>
    <x v="1"/>
    <d v="2014-07-31T00:00:00"/>
    <n v="-21728.2"/>
  </r>
  <r>
    <s v="9200002785"/>
    <s v="YA"/>
    <s v="050000"/>
    <x v="0"/>
    <s v="050000"/>
    <s v="20140807"/>
    <x v="3"/>
    <d v="2014-07-31T00:00:00"/>
    <n v="-275.91000000000003"/>
  </r>
  <r>
    <s v="9200002785"/>
    <s v="YA"/>
    <s v="050000"/>
    <x v="0"/>
    <s v="050000"/>
    <s v="20140807"/>
    <x v="2"/>
    <d v="2014-07-31T00:00:00"/>
    <n v="-6092.8"/>
  </r>
  <r>
    <s v="9200003185"/>
    <s v="YA"/>
    <s v="050000"/>
    <x v="0"/>
    <s v="050000"/>
    <s v="20140908"/>
    <x v="2"/>
    <d v="2014-08-31T00:00:00"/>
    <n v="-6092.8"/>
  </r>
  <r>
    <s v="9200003185"/>
    <s v="YA"/>
    <s v="050000"/>
    <x v="0"/>
    <s v="050000"/>
    <s v="20140908"/>
    <x v="3"/>
    <d v="2014-08-31T00:00:00"/>
    <n v="-275.91000000000003"/>
  </r>
  <r>
    <s v="9200003185"/>
    <s v="YA"/>
    <s v="050000"/>
    <x v="0"/>
    <s v="050000"/>
    <s v="20140908"/>
    <x v="1"/>
    <d v="2014-08-31T00:00:00"/>
    <n v="-21728.2"/>
  </r>
  <r>
    <s v="9200003592"/>
    <s v="YA"/>
    <s v="050000"/>
    <x v="0"/>
    <s v="050000"/>
    <s v="20141005"/>
    <x v="3"/>
    <d v="2014-09-30T00:00:00"/>
    <n v="-275.91000000000003"/>
  </r>
  <r>
    <s v="9200003592"/>
    <s v="YA"/>
    <s v="050000"/>
    <x v="0"/>
    <s v="050000"/>
    <s v="20141005"/>
    <x v="1"/>
    <d v="2014-09-30T00:00:00"/>
    <n v="-21728.19"/>
  </r>
  <r>
    <s v="9200003592"/>
    <s v="YA"/>
    <s v="050000"/>
    <x v="0"/>
    <s v="050000"/>
    <s v="20141005"/>
    <x v="2"/>
    <d v="2014-09-30T00:00:00"/>
    <n v="-6092.8"/>
  </r>
  <r>
    <s v="9200003954"/>
    <s v="YA"/>
    <s v="050000"/>
    <x v="0"/>
    <s v="050000"/>
    <s v="20141107"/>
    <x v="2"/>
    <d v="2014-10-31T00:00:00"/>
    <n v="-6092.8"/>
  </r>
  <r>
    <s v="9200003954"/>
    <s v="YA"/>
    <s v="050000"/>
    <x v="0"/>
    <s v="050000"/>
    <s v="20141107"/>
    <x v="1"/>
    <d v="2014-10-31T00:00:00"/>
    <n v="-21728.2"/>
  </r>
  <r>
    <s v="9200003954"/>
    <s v="YA"/>
    <s v="050000"/>
    <x v="0"/>
    <s v="050000"/>
    <s v="20141107"/>
    <x v="3"/>
    <d v="2014-10-31T00:00:00"/>
    <n v="-275.91000000000003"/>
  </r>
  <r>
    <s v="9200004391"/>
    <s v="YA"/>
    <s v="050000"/>
    <x v="0"/>
    <s v="050000"/>
    <s v="20141208"/>
    <x v="1"/>
    <d v="2014-11-30T00:00:00"/>
    <n v="-21728.2"/>
  </r>
  <r>
    <s v="9200004391"/>
    <s v="YA"/>
    <s v="050000"/>
    <x v="0"/>
    <s v="050000"/>
    <s v="20141208"/>
    <x v="3"/>
    <d v="2014-11-30T00:00:00"/>
    <n v="-275.91000000000003"/>
  </r>
  <r>
    <s v="9200004391"/>
    <s v="YA"/>
    <s v="050000"/>
    <x v="0"/>
    <s v="050000"/>
    <s v="20141208"/>
    <x v="2"/>
    <d v="2014-11-30T00:00:00"/>
    <n v="-6092.8"/>
  </r>
  <r>
    <s v="9200004933"/>
    <s v="YA"/>
    <s v="050000"/>
    <x v="0"/>
    <s v="050000"/>
    <s v="20150107"/>
    <x v="3"/>
    <d v="2014-12-31T00:00:00"/>
    <n v="-275.91000000000003"/>
  </r>
  <r>
    <s v="9200004933"/>
    <s v="YA"/>
    <s v="050000"/>
    <x v="0"/>
    <s v="050000"/>
    <s v="20150107"/>
    <x v="2"/>
    <d v="2014-12-31T00:00:00"/>
    <n v="-6092.8"/>
  </r>
  <r>
    <s v="9200004933"/>
    <s v="YA"/>
    <s v="050000"/>
    <x v="0"/>
    <s v="050000"/>
    <s v="20150107"/>
    <x v="1"/>
    <d v="2014-12-31T00:00:00"/>
    <n v="-21728.2"/>
  </r>
  <r>
    <s v="9200004936"/>
    <s v="YA"/>
    <s v="050000"/>
    <x v="0"/>
    <s v="050000"/>
    <s v="20150120"/>
    <x v="2"/>
    <d v="2014-12-31T00:00:00"/>
    <n v="-6092.8"/>
  </r>
  <r>
    <s v="9200004936"/>
    <s v="YA"/>
    <s v="050000"/>
    <x v="0"/>
    <s v="050000"/>
    <s v="20150120"/>
    <x v="3"/>
    <d v="2014-12-31T00:00:00"/>
    <n v="-275.91000000000003"/>
  </r>
  <r>
    <s v="9200004936"/>
    <s v="YA"/>
    <s v="050000"/>
    <x v="0"/>
    <s v="050000"/>
    <s v="20150120"/>
    <x v="1"/>
    <d v="2014-12-31T00:00:00"/>
    <n v="-21728.2"/>
  </r>
  <r>
    <s v="9200004937"/>
    <s v="YA"/>
    <s v="9959-260"/>
    <x v="0"/>
    <s v="9959-260"/>
    <s v="20150120"/>
    <x v="1"/>
    <d v="2014-12-31T00:00:00"/>
    <n v="21728.2"/>
  </r>
  <r>
    <s v="9200004937"/>
    <s v="YA"/>
    <s v="9959-260"/>
    <x v="0"/>
    <s v="9959-260"/>
    <s v="20150120"/>
    <x v="2"/>
    <d v="2014-12-31T00:00:00"/>
    <n v="6092.8"/>
  </r>
  <r>
    <s v="9200004937"/>
    <s v="YA"/>
    <s v="9959-260"/>
    <x v="0"/>
    <s v="9959-260"/>
    <s v="20150120"/>
    <x v="3"/>
    <d v="2014-12-31T00:00:00"/>
    <n v="275.91000000000003"/>
  </r>
  <r>
    <s v="9200000561"/>
    <s v="YA"/>
    <s v="050000"/>
    <x v="0"/>
    <s v="050000"/>
    <s v="20150206"/>
    <x v="1"/>
    <d v="2015-01-31T00:00:00"/>
    <n v="-21728.2"/>
  </r>
  <r>
    <s v="9200000561"/>
    <s v="YA"/>
    <s v="050000"/>
    <x v="0"/>
    <s v="050000"/>
    <s v="20150206"/>
    <x v="3"/>
    <d v="2015-01-31T00:00:00"/>
    <n v="-275.91000000000003"/>
  </r>
  <r>
    <s v="9200000561"/>
    <s v="YA"/>
    <s v="050000"/>
    <x v="0"/>
    <s v="050000"/>
    <s v="20150206"/>
    <x v="2"/>
    <d v="2015-01-31T00:00:00"/>
    <n v="-6092.8"/>
  </r>
  <r>
    <s v="9200001095"/>
    <s v="YA"/>
    <s v="050000"/>
    <x v="0"/>
    <s v="050000"/>
    <s v="20150306"/>
    <x v="2"/>
    <d v="2015-02-28T00:00:00"/>
    <n v="-6092.8"/>
  </r>
  <r>
    <s v="9200001095"/>
    <s v="YA"/>
    <s v="050000"/>
    <x v="0"/>
    <s v="050000"/>
    <s v="20150306"/>
    <x v="3"/>
    <d v="2015-02-28T00:00:00"/>
    <n v="-275.91000000000003"/>
  </r>
  <r>
    <s v="9200001095"/>
    <s v="YA"/>
    <s v="050000"/>
    <x v="0"/>
    <s v="050000"/>
    <s v="20150306"/>
    <x v="1"/>
    <d v="2015-02-28T00:00:00"/>
    <n v="-21728.2"/>
  </r>
  <r>
    <s v="9200001658"/>
    <s v="YA"/>
    <s v="050000"/>
    <x v="0"/>
    <s v="050000"/>
    <s v="20150406"/>
    <x v="3"/>
    <d v="2015-03-31T00:00:00"/>
    <n v="-275.91000000000003"/>
  </r>
  <r>
    <s v="9200001658"/>
    <s v="YA"/>
    <s v="050000"/>
    <x v="0"/>
    <s v="050000"/>
    <s v="20150406"/>
    <x v="2"/>
    <d v="2015-03-31T00:00:00"/>
    <n v="-6092.8"/>
  </r>
  <r>
    <s v="9200001658"/>
    <s v="YA"/>
    <s v="050000"/>
    <x v="0"/>
    <s v="050000"/>
    <s v="20150406"/>
    <x v="4"/>
    <d v="2015-03-31T00:00:00"/>
    <n v="-104690.67"/>
  </r>
  <r>
    <s v="9200001658"/>
    <s v="YA"/>
    <s v="050000"/>
    <x v="0"/>
    <s v="050000"/>
    <s v="20150406"/>
    <x v="1"/>
    <d v="2015-03-31T00:00:00"/>
    <n v="-21728.2"/>
  </r>
  <r>
    <s v="9200002218"/>
    <s v="YA"/>
    <s v="050000"/>
    <x v="0"/>
    <s v="050000"/>
    <s v="20150508"/>
    <x v="1"/>
    <d v="2015-04-30T00:00:00"/>
    <n v="-21728.2"/>
  </r>
  <r>
    <s v="9200002218"/>
    <s v="YA"/>
    <s v="050000"/>
    <x v="0"/>
    <s v="050000"/>
    <s v="20150508"/>
    <x v="2"/>
    <d v="2015-04-30T00:00:00"/>
    <n v="-6092.8"/>
  </r>
  <r>
    <s v="9200002218"/>
    <s v="YA"/>
    <s v="050000"/>
    <x v="0"/>
    <s v="050000"/>
    <s v="20150508"/>
    <x v="3"/>
    <d v="2015-04-30T00:00:00"/>
    <n v="-275.91000000000003"/>
  </r>
  <r>
    <s v="9200002218"/>
    <s v="YA"/>
    <s v="050000"/>
    <x v="0"/>
    <s v="050000"/>
    <s v="20150508"/>
    <x v="4"/>
    <d v="2015-04-30T00:00:00"/>
    <n v="-609584.15"/>
  </r>
  <r>
    <s v="9200002820"/>
    <s v="YA"/>
    <s v="050000"/>
    <x v="0"/>
    <s v="050000"/>
    <s v="20150605"/>
    <x v="3"/>
    <d v="2015-05-31T00:00:00"/>
    <n v="-275.91000000000003"/>
  </r>
  <r>
    <s v="9200002820"/>
    <s v="YA"/>
    <s v="050000"/>
    <x v="0"/>
    <s v="050000"/>
    <s v="20150605"/>
    <x v="2"/>
    <d v="2015-05-31T00:00:00"/>
    <n v="-6092.8"/>
  </r>
  <r>
    <s v="9200002820"/>
    <s v="YA"/>
    <s v="050000"/>
    <x v="0"/>
    <s v="050000"/>
    <s v="20150605"/>
    <x v="1"/>
    <d v="2015-05-31T00:00:00"/>
    <n v="-21728.2"/>
  </r>
  <r>
    <s v="9200002820"/>
    <s v="YA"/>
    <s v="050000"/>
    <x v="0"/>
    <s v="050000"/>
    <s v="20150605"/>
    <x v="4"/>
    <d v="2015-05-31T00:00:00"/>
    <n v="-605735.19999999995"/>
  </r>
  <r>
    <s v="9200003424"/>
    <s v="YA"/>
    <s v="050000"/>
    <x v="0"/>
    <s v="050000"/>
    <s v="20150706"/>
    <x v="2"/>
    <d v="2015-06-30T00:00:00"/>
    <n v="-6092.8"/>
  </r>
  <r>
    <s v="9200003424"/>
    <s v="YA"/>
    <s v="050000"/>
    <x v="0"/>
    <s v="050000"/>
    <s v="20150706"/>
    <x v="3"/>
    <d v="2015-06-30T00:00:00"/>
    <n v="-275.91000000000003"/>
  </r>
  <r>
    <s v="9200003424"/>
    <s v="YA"/>
    <s v="050000"/>
    <x v="0"/>
    <s v="050000"/>
    <s v="20150706"/>
    <x v="4"/>
    <d v="2015-06-30T00:00:00"/>
    <n v="3666.7"/>
  </r>
  <r>
    <s v="9200003424"/>
    <s v="YA"/>
    <s v="050000"/>
    <x v="0"/>
    <s v="050000"/>
    <s v="20150706"/>
    <x v="1"/>
    <d v="2015-06-30T00:00:00"/>
    <n v="-21728.2"/>
  </r>
  <r>
    <s v="9200004050"/>
    <s v="YA"/>
    <s v="050000"/>
    <x v="0"/>
    <s v="050000"/>
    <s v="20150807"/>
    <x v="3"/>
    <d v="2015-07-31T00:00:00"/>
    <n v="-275.91000000000003"/>
  </r>
  <r>
    <s v="9200004050"/>
    <s v="YA"/>
    <s v="050000"/>
    <x v="0"/>
    <s v="050000"/>
    <s v="20150807"/>
    <x v="2"/>
    <d v="2015-07-31T00:00:00"/>
    <n v="-6092.8"/>
  </r>
  <r>
    <s v="9200004050"/>
    <s v="YA"/>
    <s v="050000"/>
    <x v="0"/>
    <s v="050000"/>
    <s v="20150807"/>
    <x v="4"/>
    <d v="2015-07-31T00:00:00"/>
    <n v="3666.7"/>
  </r>
  <r>
    <s v="9200004050"/>
    <s v="YA"/>
    <s v="050000"/>
    <x v="0"/>
    <s v="050000"/>
    <s v="20150807"/>
    <x v="1"/>
    <d v="2015-07-31T00:00:00"/>
    <n v="-21728.2"/>
  </r>
  <r>
    <s v="9200004737"/>
    <s v="YA"/>
    <s v="050000"/>
    <x v="0"/>
    <s v="050000"/>
    <s v="20150908"/>
    <x v="3"/>
    <d v="2015-08-31T00:00:00"/>
    <n v="-275.91000000000003"/>
  </r>
  <r>
    <s v="9200004737"/>
    <s v="YA"/>
    <s v="050000"/>
    <x v="0"/>
    <s v="050000"/>
    <s v="20150908"/>
    <x v="2"/>
    <d v="2015-08-31T00:00:00"/>
    <n v="-6092.8"/>
  </r>
  <r>
    <s v="9200004737"/>
    <s v="YA"/>
    <s v="050000"/>
    <x v="0"/>
    <s v="050000"/>
    <s v="20150908"/>
    <x v="1"/>
    <d v="2015-08-31T00:00:00"/>
    <n v="-21728.2"/>
  </r>
  <r>
    <s v="9200004737"/>
    <s v="YA"/>
    <s v="050000"/>
    <x v="0"/>
    <s v="050000"/>
    <s v="20150908"/>
    <x v="4"/>
    <d v="2015-08-31T00:00:00"/>
    <n v="3666.7"/>
  </r>
  <r>
    <s v="9200006317"/>
    <s v="YA"/>
    <s v="050000"/>
    <x v="0"/>
    <s v="050000"/>
    <s v="20151006"/>
    <x v="1"/>
    <d v="2015-09-30T00:00:00"/>
    <n v="-21728.21"/>
  </r>
  <r>
    <s v="9200006317"/>
    <s v="YA"/>
    <s v="050000"/>
    <x v="0"/>
    <s v="050000"/>
    <s v="20151006"/>
    <x v="3"/>
    <d v="2015-09-30T00:00:00"/>
    <n v="-275.91000000000003"/>
  </r>
  <r>
    <s v="9200006317"/>
    <s v="YA"/>
    <s v="050000"/>
    <x v="0"/>
    <s v="050000"/>
    <s v="20151006"/>
    <x v="2"/>
    <d v="2015-09-30T00:00:00"/>
    <n v="-6092.8"/>
  </r>
  <r>
    <s v="9200006317"/>
    <s v="YA"/>
    <s v="050000"/>
    <x v="0"/>
    <s v="050000"/>
    <s v="20151006"/>
    <x v="4"/>
    <d v="2015-09-30T00:00:00"/>
    <n v="3666.7"/>
  </r>
  <r>
    <s v="9200007979"/>
    <s v="YA"/>
    <s v="050000"/>
    <x v="0"/>
    <s v="050000"/>
    <s v="20151106"/>
    <x v="4"/>
    <d v="2015-10-31T00:00:00"/>
    <n v="3666.7"/>
  </r>
  <r>
    <s v="9200007979"/>
    <s v="YA"/>
    <s v="050000"/>
    <x v="0"/>
    <s v="050000"/>
    <s v="20151106"/>
    <x v="1"/>
    <d v="2015-10-31T00:00:00"/>
    <n v="-21728.2"/>
  </r>
  <r>
    <s v="9200007979"/>
    <s v="YA"/>
    <s v="050000"/>
    <x v="0"/>
    <s v="050000"/>
    <s v="20151106"/>
    <x v="2"/>
    <d v="2015-10-31T00:00:00"/>
    <n v="-6092.8"/>
  </r>
  <r>
    <s v="9200007979"/>
    <s v="YA"/>
    <s v="050000"/>
    <x v="0"/>
    <s v="050000"/>
    <s v="20151106"/>
    <x v="3"/>
    <d v="2015-10-31T00:00:00"/>
    <n v="-275.91000000000003"/>
  </r>
  <r>
    <s v="9200009377"/>
    <s v="YA"/>
    <s v="050000"/>
    <x v="0"/>
    <s v="050000"/>
    <s v="20151207"/>
    <x v="4"/>
    <d v="2015-11-30T00:00:00"/>
    <n v="3666.7"/>
  </r>
  <r>
    <s v="9200009377"/>
    <s v="YA"/>
    <s v="050000"/>
    <x v="0"/>
    <s v="050000"/>
    <s v="20151207"/>
    <x v="1"/>
    <d v="2015-11-30T00:00:00"/>
    <n v="-21728.21"/>
  </r>
  <r>
    <s v="9200009377"/>
    <s v="YA"/>
    <s v="050000"/>
    <x v="0"/>
    <s v="050000"/>
    <s v="20151207"/>
    <x v="2"/>
    <d v="2015-11-30T00:00:00"/>
    <n v="-6092.8"/>
  </r>
  <r>
    <s v="9200009377"/>
    <s v="YA"/>
    <s v="050000"/>
    <x v="0"/>
    <s v="050000"/>
    <s v="20151207"/>
    <x v="3"/>
    <d v="2015-11-30T00:00:00"/>
    <n v="-275.91000000000003"/>
  </r>
  <r>
    <s v="9200010383"/>
    <s v="YA"/>
    <s v="050000"/>
    <x v="0"/>
    <s v="050000"/>
    <s v="20160107"/>
    <x v="1"/>
    <d v="2015-12-31T00:00:00"/>
    <n v="-21728.2"/>
  </r>
  <r>
    <s v="9200010383"/>
    <s v="YA"/>
    <s v="050000"/>
    <x v="0"/>
    <s v="050000"/>
    <s v="20160107"/>
    <x v="2"/>
    <d v="2015-12-31T00:00:00"/>
    <n v="-6092.8"/>
  </r>
  <r>
    <s v="9200010383"/>
    <s v="YA"/>
    <s v="050000"/>
    <x v="0"/>
    <s v="050000"/>
    <s v="20160107"/>
    <x v="3"/>
    <d v="2015-12-31T00:00:00"/>
    <n v="-275.91000000000003"/>
  </r>
  <r>
    <s v="9200010383"/>
    <s v="YA"/>
    <s v="050000"/>
    <x v="0"/>
    <s v="050000"/>
    <s v="20160107"/>
    <x v="4"/>
    <d v="2015-12-31T00:00:00"/>
    <n v="3666.7"/>
  </r>
  <r>
    <s v="9200010385"/>
    <s v="YA"/>
    <s v="050000"/>
    <x v="0"/>
    <s v="050000"/>
    <s v="20160109"/>
    <x v="3"/>
    <d v="2015-12-31T00:00:00"/>
    <n v="-275.91000000000003"/>
  </r>
  <r>
    <s v="9200010385"/>
    <s v="YA"/>
    <s v="050000"/>
    <x v="0"/>
    <s v="050000"/>
    <s v="20160109"/>
    <x v="4"/>
    <d v="2015-12-31T00:00:00"/>
    <n v="3666.7"/>
  </r>
  <r>
    <s v="9200010385"/>
    <s v="YA"/>
    <s v="050000"/>
    <x v="0"/>
    <s v="050000"/>
    <s v="20160109"/>
    <x v="1"/>
    <d v="2015-12-31T00:00:00"/>
    <n v="-21728.2"/>
  </r>
  <r>
    <s v="9200010385"/>
    <s v="YA"/>
    <s v="050000"/>
    <x v="0"/>
    <s v="050000"/>
    <s v="20160109"/>
    <x v="2"/>
    <d v="2015-12-31T00:00:00"/>
    <n v="-6092.8"/>
  </r>
  <r>
    <s v="9200010387"/>
    <s v="YA"/>
    <s v="9959-260"/>
    <x v="0"/>
    <s v="9959-260"/>
    <s v="20160109"/>
    <x v="4"/>
    <d v="2015-12-31T00:00:00"/>
    <n v="-3666.7"/>
  </r>
  <r>
    <s v="9200010387"/>
    <s v="YA"/>
    <s v="9959-260"/>
    <x v="0"/>
    <s v="9959-260"/>
    <s v="20160109"/>
    <x v="3"/>
    <d v="2015-12-31T00:00:00"/>
    <n v="275.91000000000003"/>
  </r>
  <r>
    <s v="9200010387"/>
    <s v="YA"/>
    <s v="9959-260"/>
    <x v="0"/>
    <s v="9959-260"/>
    <s v="20160109"/>
    <x v="1"/>
    <d v="2015-12-31T00:00:00"/>
    <n v="21728.2"/>
  </r>
  <r>
    <s v="9200010387"/>
    <s v="YA"/>
    <s v="9959-260"/>
    <x v="0"/>
    <s v="9959-260"/>
    <s v="20160109"/>
    <x v="2"/>
    <d v="2015-12-31T00:00:00"/>
    <n v="6092.8"/>
  </r>
  <r>
    <s v="9200010388"/>
    <s v="YA"/>
    <s v="050000"/>
    <x v="0"/>
    <s v="050000"/>
    <s v="20160119"/>
    <x v="3"/>
    <d v="2015-12-31T00:00:00"/>
    <n v="-275.91000000000003"/>
  </r>
  <r>
    <s v="9200010388"/>
    <s v="YA"/>
    <s v="050000"/>
    <x v="0"/>
    <s v="050000"/>
    <s v="20160119"/>
    <x v="2"/>
    <d v="2015-12-31T00:00:00"/>
    <n v="-6092.8"/>
  </r>
  <r>
    <s v="9200010388"/>
    <s v="YA"/>
    <s v="050000"/>
    <x v="0"/>
    <s v="050000"/>
    <s v="20160119"/>
    <x v="1"/>
    <d v="2015-12-31T00:00:00"/>
    <n v="-21728.2"/>
  </r>
  <r>
    <s v="9200010388"/>
    <s v="YA"/>
    <s v="050000"/>
    <x v="0"/>
    <s v="050000"/>
    <s v="20160119"/>
    <x v="4"/>
    <d v="2015-12-31T00:00:00"/>
    <n v="3666.7"/>
  </r>
  <r>
    <s v="9200010390"/>
    <s v="YA"/>
    <s v="9959-260"/>
    <x v="0"/>
    <s v="9959-260"/>
    <s v="20160119"/>
    <x v="4"/>
    <d v="2015-12-31T00:00:00"/>
    <n v="-3666.7"/>
  </r>
  <r>
    <s v="9200010390"/>
    <s v="YA"/>
    <s v="9959-260"/>
    <x v="0"/>
    <s v="9959-260"/>
    <s v="20160119"/>
    <x v="3"/>
    <d v="2015-12-31T00:00:00"/>
    <n v="275.91000000000003"/>
  </r>
  <r>
    <s v="9200010390"/>
    <s v="YA"/>
    <s v="9959-260"/>
    <x v="0"/>
    <s v="9959-260"/>
    <s v="20160119"/>
    <x v="2"/>
    <d v="2015-12-31T00:00:00"/>
    <n v="6092.8"/>
  </r>
  <r>
    <s v="9200010390"/>
    <s v="YA"/>
    <s v="9959-260"/>
    <x v="0"/>
    <s v="9959-260"/>
    <s v="20160119"/>
    <x v="1"/>
    <d v="2015-12-31T00:00:00"/>
    <n v="21728.2"/>
  </r>
  <r>
    <s v="9200001308"/>
    <s v="YA"/>
    <s v="050000"/>
    <x v="0"/>
    <s v="050000"/>
    <s v="20160208"/>
    <x v="2"/>
    <d v="2016-01-31T00:00:00"/>
    <n v="-6092.8"/>
  </r>
  <r>
    <s v="9200001308"/>
    <s v="YA"/>
    <s v="050000"/>
    <x v="0"/>
    <s v="050000"/>
    <s v="20160208"/>
    <x v="1"/>
    <d v="2016-01-31T00:00:00"/>
    <n v="-21728.2"/>
  </r>
  <r>
    <s v="9200001308"/>
    <s v="YA"/>
    <s v="050000"/>
    <x v="0"/>
    <s v="050000"/>
    <s v="20160208"/>
    <x v="4"/>
    <d v="2016-01-31T00:00:00"/>
    <n v="3666.7"/>
  </r>
  <r>
    <s v="9200001308"/>
    <s v="YA"/>
    <s v="050000"/>
    <x v="0"/>
    <s v="050000"/>
    <s v="20160208"/>
    <x v="3"/>
    <d v="2016-01-31T00:00:00"/>
    <n v="-275.91000000000003"/>
  </r>
  <r>
    <s v="9200002518"/>
    <s v="YA"/>
    <s v="050000"/>
    <x v="0"/>
    <s v="050000"/>
    <s v="20160307"/>
    <x v="2"/>
    <d v="2016-02-29T00:00:00"/>
    <n v="-6092.8"/>
  </r>
  <r>
    <s v="9200002518"/>
    <s v="YA"/>
    <s v="050000"/>
    <x v="0"/>
    <s v="050000"/>
    <s v="20160307"/>
    <x v="4"/>
    <d v="2016-02-29T00:00:00"/>
    <n v="3666.7"/>
  </r>
  <r>
    <s v="9200002518"/>
    <s v="YA"/>
    <s v="050000"/>
    <x v="0"/>
    <s v="050000"/>
    <s v="20160307"/>
    <x v="3"/>
    <d v="2016-02-29T00:00:00"/>
    <n v="-275.91000000000003"/>
  </r>
  <r>
    <s v="9200002518"/>
    <s v="YA"/>
    <s v="050000"/>
    <x v="0"/>
    <s v="050000"/>
    <s v="20160307"/>
    <x v="1"/>
    <d v="2016-02-29T00:00:00"/>
    <n v="-21728.21"/>
  </r>
  <r>
    <s v="9200002557"/>
    <s v="YA"/>
    <s v="050000"/>
    <x v="0"/>
    <s v="050000"/>
    <s v="20160308"/>
    <x v="3"/>
    <d v="2016-02-29T00:00:00"/>
    <n v="-275.91000000000003"/>
  </r>
  <r>
    <s v="9200002557"/>
    <s v="YA"/>
    <s v="050000"/>
    <x v="0"/>
    <s v="050000"/>
    <s v="20160308"/>
    <x v="2"/>
    <d v="2016-02-29T00:00:00"/>
    <n v="-6092.8"/>
  </r>
  <r>
    <s v="9200002557"/>
    <s v="YA"/>
    <s v="050000"/>
    <x v="0"/>
    <s v="050000"/>
    <s v="20160308"/>
    <x v="4"/>
    <d v="2016-02-29T00:00:00"/>
    <n v="3666.7"/>
  </r>
  <r>
    <s v="9200002557"/>
    <s v="YA"/>
    <s v="050000"/>
    <x v="0"/>
    <s v="050000"/>
    <s v="20160308"/>
    <x v="1"/>
    <d v="2016-02-29T00:00:00"/>
    <n v="-21728.21"/>
  </r>
  <r>
    <s v="9200002559"/>
    <s v="YA"/>
    <s v="9959-260"/>
    <x v="0"/>
    <s v="9959-260"/>
    <s v="20160308"/>
    <x v="1"/>
    <d v="2016-02-29T00:00:00"/>
    <n v="21728.21"/>
  </r>
  <r>
    <s v="9200002559"/>
    <s v="YA"/>
    <s v="9959-260"/>
    <x v="0"/>
    <s v="9959-260"/>
    <s v="20160308"/>
    <x v="3"/>
    <d v="2016-02-29T00:00:00"/>
    <n v="275.91000000000003"/>
  </r>
  <r>
    <s v="9200002559"/>
    <s v="YA"/>
    <s v="9959-260"/>
    <x v="0"/>
    <s v="9959-260"/>
    <s v="20160308"/>
    <x v="4"/>
    <d v="2016-02-29T00:00:00"/>
    <n v="-3666.7"/>
  </r>
  <r>
    <s v="9200002559"/>
    <s v="YA"/>
    <s v="9959-260"/>
    <x v="0"/>
    <s v="9959-260"/>
    <s v="20160308"/>
    <x v="2"/>
    <d v="2016-02-29T00:00:00"/>
    <n v="6092.8"/>
  </r>
  <r>
    <s v="9200003820"/>
    <s v="YA"/>
    <s v="050000"/>
    <x v="0"/>
    <s v="050000"/>
    <s v="20160406"/>
    <x v="2"/>
    <d v="2016-03-31T00:00:00"/>
    <n v="-6092.8"/>
  </r>
  <r>
    <s v="9200003820"/>
    <s v="YA"/>
    <s v="050000"/>
    <x v="0"/>
    <s v="050000"/>
    <s v="20160406"/>
    <x v="1"/>
    <d v="2016-03-31T00:00:00"/>
    <n v="-21728.2"/>
  </r>
  <r>
    <s v="9200003820"/>
    <s v="YA"/>
    <s v="050000"/>
    <x v="0"/>
    <s v="050000"/>
    <s v="20160406"/>
    <x v="3"/>
    <d v="2016-03-31T00:00:00"/>
    <n v="-275.91000000000003"/>
  </r>
  <r>
    <s v="9200003820"/>
    <s v="YA"/>
    <s v="050000"/>
    <x v="0"/>
    <s v="050000"/>
    <s v="20160406"/>
    <x v="4"/>
    <d v="2016-03-31T00:00:00"/>
    <n v="3666.7"/>
  </r>
  <r>
    <s v="9200005365"/>
    <s v="YA"/>
    <s v="050000"/>
    <x v="0"/>
    <s v="050000"/>
    <s v="20160505"/>
    <x v="3"/>
    <d v="2016-04-30T00:00:00"/>
    <n v="-275.91000000000003"/>
  </r>
  <r>
    <s v="9200005365"/>
    <s v="YA"/>
    <s v="050000"/>
    <x v="0"/>
    <s v="050000"/>
    <s v="20160505"/>
    <x v="1"/>
    <d v="2016-04-30T00:00:00"/>
    <n v="-21728.21"/>
  </r>
  <r>
    <s v="9200005365"/>
    <s v="YA"/>
    <s v="050000"/>
    <x v="0"/>
    <s v="050000"/>
    <s v="20160505"/>
    <x v="4"/>
    <d v="2016-04-30T00:00:00"/>
    <n v="3666.7"/>
  </r>
  <r>
    <s v="9200005365"/>
    <s v="YA"/>
    <s v="050000"/>
    <x v="0"/>
    <s v="050000"/>
    <s v="20160505"/>
    <x v="2"/>
    <d v="2016-04-30T00:00:00"/>
    <n v="-6092.8"/>
  </r>
  <r>
    <s v="9200006861"/>
    <s v="YA"/>
    <s v="050000"/>
    <x v="0"/>
    <s v="050000"/>
    <s v="20160606"/>
    <x v="4"/>
    <d v="2016-05-31T00:00:00"/>
    <n v="3666.69"/>
  </r>
  <r>
    <s v="9200006861"/>
    <s v="YA"/>
    <s v="050000"/>
    <x v="0"/>
    <s v="050000"/>
    <s v="20160606"/>
    <x v="3"/>
    <d v="2016-05-31T00:00:00"/>
    <n v="-275.91000000000003"/>
  </r>
  <r>
    <s v="9200006861"/>
    <s v="YA"/>
    <s v="050000"/>
    <x v="0"/>
    <s v="050000"/>
    <s v="20160606"/>
    <x v="2"/>
    <d v="2016-05-31T00:00:00"/>
    <n v="-6092.79"/>
  </r>
  <r>
    <s v="9200006861"/>
    <s v="YA"/>
    <s v="050000"/>
    <x v="0"/>
    <s v="050000"/>
    <s v="20160606"/>
    <x v="1"/>
    <d v="2016-05-31T00:00:00"/>
    <n v="-21728.19"/>
  </r>
  <r>
    <s v="9200008488"/>
    <s v="YA"/>
    <s v="050000"/>
    <x v="0"/>
    <s v="050000"/>
    <s v="20160707"/>
    <x v="3"/>
    <d v="2016-06-30T00:00:00"/>
    <n v="-275.91000000000003"/>
  </r>
  <r>
    <s v="9200008488"/>
    <s v="YA"/>
    <s v="050000"/>
    <x v="0"/>
    <s v="050000"/>
    <s v="20160707"/>
    <x v="4"/>
    <d v="2016-06-30T00:00:00"/>
    <n v="3666.7"/>
  </r>
  <r>
    <s v="9200008488"/>
    <s v="YA"/>
    <s v="050000"/>
    <x v="0"/>
    <s v="050000"/>
    <s v="20160707"/>
    <x v="1"/>
    <d v="2016-06-30T00:00:00"/>
    <n v="-21728.21"/>
  </r>
  <r>
    <s v="9200008488"/>
    <s v="YA"/>
    <s v="050000"/>
    <x v="0"/>
    <s v="050000"/>
    <s v="20160707"/>
    <x v="2"/>
    <d v="2016-06-30T00:00:00"/>
    <n v="-6092.8"/>
  </r>
  <r>
    <s v="9200010014"/>
    <s v="YA"/>
    <s v="050000"/>
    <x v="0"/>
    <s v="050000"/>
    <s v="20160804"/>
    <x v="1"/>
    <d v="2016-07-31T00:00:00"/>
    <n v="-21728.21"/>
  </r>
  <r>
    <s v="9200010014"/>
    <s v="YA"/>
    <s v="050000"/>
    <x v="0"/>
    <s v="050000"/>
    <s v="20160804"/>
    <x v="2"/>
    <d v="2016-07-31T00:00:00"/>
    <n v="-6092.8"/>
  </r>
  <r>
    <s v="9200010014"/>
    <s v="YA"/>
    <s v="050000"/>
    <x v="0"/>
    <s v="050000"/>
    <s v="20160804"/>
    <x v="4"/>
    <d v="2016-07-31T00:00:00"/>
    <n v="3666.7"/>
  </r>
  <r>
    <s v="9200010014"/>
    <s v="YA"/>
    <s v="050000"/>
    <x v="0"/>
    <s v="050000"/>
    <s v="20160804"/>
    <x v="3"/>
    <d v="2016-07-31T00:00:00"/>
    <n v="-275.91000000000003"/>
  </r>
  <r>
    <s v="9200012011"/>
    <s v="YA"/>
    <s v="050000"/>
    <x v="0"/>
    <s v="050000"/>
    <s v="20160907"/>
    <x v="3"/>
    <d v="2016-08-31T00:00:00"/>
    <n v="-275.91000000000003"/>
  </r>
  <r>
    <s v="9200012011"/>
    <s v="YA"/>
    <s v="050000"/>
    <x v="0"/>
    <s v="050000"/>
    <s v="20160907"/>
    <x v="2"/>
    <d v="2016-08-31T00:00:00"/>
    <n v="-6092.8"/>
  </r>
  <r>
    <s v="9200012011"/>
    <s v="YA"/>
    <s v="050000"/>
    <x v="0"/>
    <s v="050000"/>
    <s v="20160907"/>
    <x v="1"/>
    <d v="2016-08-31T00:00:00"/>
    <n v="-21728.2"/>
  </r>
  <r>
    <s v="9200012011"/>
    <s v="YA"/>
    <s v="050000"/>
    <x v="0"/>
    <s v="050000"/>
    <s v="20160907"/>
    <x v="4"/>
    <d v="2016-08-31T00:00:00"/>
    <n v="3666.7"/>
  </r>
  <r>
    <s v="9200013870"/>
    <s v="YA"/>
    <s v="050000"/>
    <x v="0"/>
    <s v="050000"/>
    <s v="20161006"/>
    <x v="4"/>
    <d v="2016-09-30T00:00:00"/>
    <n v="3666.7"/>
  </r>
  <r>
    <s v="9200013870"/>
    <s v="YA"/>
    <s v="050000"/>
    <x v="0"/>
    <s v="050000"/>
    <s v="20161006"/>
    <x v="3"/>
    <d v="2016-09-30T00:00:00"/>
    <n v="-275.91000000000003"/>
  </r>
  <r>
    <s v="9200013870"/>
    <s v="YA"/>
    <s v="050000"/>
    <x v="0"/>
    <s v="050000"/>
    <s v="20161006"/>
    <x v="2"/>
    <d v="2016-09-30T00:00:00"/>
    <n v="-6092.8"/>
  </r>
  <r>
    <s v="9200013870"/>
    <s v="YA"/>
    <s v="050000"/>
    <x v="0"/>
    <s v="050000"/>
    <s v="20161006"/>
    <x v="1"/>
    <d v="2016-09-30T00:00:00"/>
    <n v="-21728.21"/>
  </r>
  <r>
    <s v="9200015683"/>
    <s v="YA"/>
    <s v="050000"/>
    <x v="0"/>
    <s v="050000"/>
    <s v="20161104"/>
    <x v="4"/>
    <d v="2016-10-31T00:00:00"/>
    <n v="3666.69"/>
  </r>
  <r>
    <s v="9200015683"/>
    <s v="YA"/>
    <s v="050000"/>
    <x v="0"/>
    <s v="050000"/>
    <s v="20161104"/>
    <x v="1"/>
    <d v="2016-10-31T00:00:00"/>
    <n v="-21728.19"/>
  </r>
  <r>
    <s v="9200015683"/>
    <s v="YA"/>
    <s v="050000"/>
    <x v="0"/>
    <s v="050000"/>
    <s v="20161104"/>
    <x v="2"/>
    <d v="2016-10-31T00:00:00"/>
    <n v="-6092.79"/>
  </r>
  <r>
    <s v="9200015683"/>
    <s v="YA"/>
    <s v="050000"/>
    <x v="0"/>
    <s v="050000"/>
    <s v="20161104"/>
    <x v="3"/>
    <d v="2016-10-31T00:00:00"/>
    <n v="-275.91000000000003"/>
  </r>
  <r>
    <s v="9200017366"/>
    <s v="YA"/>
    <s v="050000"/>
    <x v="0"/>
    <s v="050000"/>
    <s v="20161206"/>
    <x v="2"/>
    <d v="2016-11-30T00:00:00"/>
    <n v="-6092.8"/>
  </r>
  <r>
    <s v="9200017366"/>
    <s v="YA"/>
    <s v="050000"/>
    <x v="0"/>
    <s v="050000"/>
    <s v="20161206"/>
    <x v="1"/>
    <d v="2016-11-30T00:00:00"/>
    <n v="-21728.21"/>
  </r>
  <r>
    <s v="9200017366"/>
    <s v="YA"/>
    <s v="050000"/>
    <x v="0"/>
    <s v="050000"/>
    <s v="20161206"/>
    <x v="3"/>
    <d v="2016-11-30T00:00:00"/>
    <n v="-275.91000000000003"/>
  </r>
  <r>
    <s v="9200017366"/>
    <s v="YA"/>
    <s v="050000"/>
    <x v="0"/>
    <s v="050000"/>
    <s v="20161206"/>
    <x v="4"/>
    <d v="2016-11-30T00:00:00"/>
    <n v="3666.7"/>
  </r>
  <r>
    <s v="9200018946"/>
    <s v="YA"/>
    <s v="050000"/>
    <x v="0"/>
    <s v="050000"/>
    <s v="20170107"/>
    <x v="3"/>
    <d v="2016-12-31T00:00:00"/>
    <n v="-275.91000000000003"/>
  </r>
  <r>
    <s v="9200018946"/>
    <s v="YA"/>
    <s v="050000"/>
    <x v="0"/>
    <s v="050000"/>
    <s v="20170107"/>
    <x v="1"/>
    <d v="2016-12-31T00:00:00"/>
    <n v="-21728.2"/>
  </r>
  <r>
    <s v="9200018946"/>
    <s v="YA"/>
    <s v="050000"/>
    <x v="0"/>
    <s v="050000"/>
    <s v="20170107"/>
    <x v="2"/>
    <d v="2016-12-31T00:00:00"/>
    <n v="-6092.8"/>
  </r>
  <r>
    <s v="9200018946"/>
    <s v="YA"/>
    <s v="050000"/>
    <x v="0"/>
    <s v="050000"/>
    <s v="20170107"/>
    <x v="4"/>
    <d v="2016-12-31T00:00:00"/>
    <n v="3666.7"/>
  </r>
  <r>
    <s v="9200018948"/>
    <s v="YA"/>
    <s v="050000"/>
    <x v="0"/>
    <s v="050000"/>
    <s v="20170108"/>
    <x v="1"/>
    <d v="2016-12-31T00:00:00"/>
    <n v="-21728.2"/>
  </r>
  <r>
    <s v="9200018948"/>
    <s v="YA"/>
    <s v="050000"/>
    <x v="0"/>
    <s v="050000"/>
    <s v="20170108"/>
    <x v="3"/>
    <d v="2016-12-31T00:00:00"/>
    <n v="-275.91000000000003"/>
  </r>
  <r>
    <s v="9200018948"/>
    <s v="YA"/>
    <s v="050000"/>
    <x v="0"/>
    <s v="050000"/>
    <s v="20170108"/>
    <x v="2"/>
    <d v="2016-12-31T00:00:00"/>
    <n v="-6092.8"/>
  </r>
  <r>
    <s v="9200018948"/>
    <s v="YA"/>
    <s v="050000"/>
    <x v="0"/>
    <s v="050000"/>
    <s v="20170108"/>
    <x v="4"/>
    <d v="2016-12-31T00:00:00"/>
    <n v="3666.7"/>
  </r>
  <r>
    <s v="9200018950"/>
    <s v="YA"/>
    <s v="9959-260"/>
    <x v="0"/>
    <s v="9959-260"/>
    <s v="20170108"/>
    <x v="4"/>
    <d v="2016-12-31T00:00:00"/>
    <n v="-3666.7"/>
  </r>
  <r>
    <s v="9200018950"/>
    <s v="YA"/>
    <s v="9959-260"/>
    <x v="0"/>
    <s v="9959-260"/>
    <s v="20170108"/>
    <x v="1"/>
    <d v="2016-12-31T00:00:00"/>
    <n v="21728.2"/>
  </r>
  <r>
    <s v="9200018950"/>
    <s v="YA"/>
    <s v="9959-260"/>
    <x v="0"/>
    <s v="9959-260"/>
    <s v="20170108"/>
    <x v="3"/>
    <d v="2016-12-31T00:00:00"/>
    <n v="275.91000000000003"/>
  </r>
  <r>
    <s v="9200018950"/>
    <s v="YA"/>
    <s v="9959-260"/>
    <x v="0"/>
    <s v="9959-260"/>
    <s v="20170108"/>
    <x v="2"/>
    <d v="2016-12-31T00:00:00"/>
    <n v="6092.8"/>
  </r>
  <r>
    <s v="9200018951"/>
    <s v="YA"/>
    <s v="050000"/>
    <x v="0"/>
    <s v="050000"/>
    <s v="20170116"/>
    <x v="4"/>
    <d v="2016-12-31T00:00:00"/>
    <n v="3666.7"/>
  </r>
  <r>
    <s v="9200018951"/>
    <s v="YA"/>
    <s v="050000"/>
    <x v="0"/>
    <s v="050000"/>
    <s v="20170116"/>
    <x v="3"/>
    <d v="2016-12-31T00:00:00"/>
    <n v="-275.91000000000003"/>
  </r>
  <r>
    <s v="9200018951"/>
    <s v="YA"/>
    <s v="050000"/>
    <x v="0"/>
    <s v="050000"/>
    <s v="20170116"/>
    <x v="1"/>
    <d v="2016-12-31T00:00:00"/>
    <n v="-21728.2"/>
  </r>
  <r>
    <s v="9200018951"/>
    <s v="YA"/>
    <s v="050000"/>
    <x v="0"/>
    <s v="050000"/>
    <s v="20170116"/>
    <x v="2"/>
    <d v="2016-12-31T00:00:00"/>
    <n v="-6092.8"/>
  </r>
  <r>
    <s v="9200018953"/>
    <s v="YA"/>
    <s v="9959-260"/>
    <x v="0"/>
    <s v="9959-260"/>
    <s v="20170116"/>
    <x v="4"/>
    <d v="2016-12-31T00:00:00"/>
    <n v="-3666.7"/>
  </r>
  <r>
    <s v="9200018953"/>
    <s v="YA"/>
    <s v="9959-260"/>
    <x v="0"/>
    <s v="9959-260"/>
    <s v="20170116"/>
    <x v="3"/>
    <d v="2016-12-31T00:00:00"/>
    <n v="275.91000000000003"/>
  </r>
  <r>
    <s v="9200018953"/>
    <s v="YA"/>
    <s v="9959-260"/>
    <x v="0"/>
    <s v="9959-260"/>
    <s v="20170116"/>
    <x v="2"/>
    <d v="2016-12-31T00:00:00"/>
    <n v="6092.8"/>
  </r>
  <r>
    <s v="9200018953"/>
    <s v="YA"/>
    <s v="9959-260"/>
    <x v="0"/>
    <s v="9959-260"/>
    <s v="20170116"/>
    <x v="1"/>
    <d v="2016-12-31T00:00:00"/>
    <n v="21728.2"/>
  </r>
  <r>
    <s v="9200005670"/>
    <s v="YA"/>
    <s v="050000"/>
    <x v="0"/>
    <s v="050000"/>
    <s v="20170213"/>
    <x v="4"/>
    <d v="2017-01-31T00:00:00"/>
    <n v="3666.7"/>
  </r>
  <r>
    <s v="9200005670"/>
    <s v="YA"/>
    <s v="050000"/>
    <x v="0"/>
    <s v="050000"/>
    <s v="20170213"/>
    <x v="2"/>
    <d v="2017-01-31T00:00:00"/>
    <n v="-6092.8"/>
  </r>
  <r>
    <s v="9200005670"/>
    <s v="YA"/>
    <s v="050000"/>
    <x v="0"/>
    <s v="050000"/>
    <s v="20170213"/>
    <x v="3"/>
    <d v="2017-01-31T00:00:00"/>
    <n v="-275.91000000000003"/>
  </r>
  <r>
    <s v="9200005670"/>
    <s v="YA"/>
    <s v="050000"/>
    <x v="0"/>
    <s v="050000"/>
    <s v="20170213"/>
    <x v="1"/>
    <d v="2017-01-31T00:00:00"/>
    <n v="-21728.21"/>
  </r>
  <r>
    <s v="9200009013"/>
    <s v="YA"/>
    <s v="050000"/>
    <x v="0"/>
    <s v="050000"/>
    <s v="20170307"/>
    <x v="3"/>
    <d v="2017-02-28T00:00:00"/>
    <n v="-275.91000000000003"/>
  </r>
  <r>
    <s v="9200009013"/>
    <s v="YA"/>
    <s v="050000"/>
    <x v="0"/>
    <s v="050000"/>
    <s v="20170307"/>
    <x v="4"/>
    <d v="2017-02-28T00:00:00"/>
    <n v="3666.7"/>
  </r>
  <r>
    <s v="9200009013"/>
    <s v="YA"/>
    <s v="050000"/>
    <x v="0"/>
    <s v="050000"/>
    <s v="20170307"/>
    <x v="2"/>
    <d v="2017-02-28T00:00:00"/>
    <n v="-6092.8"/>
  </r>
  <r>
    <s v="9200009013"/>
    <s v="YA"/>
    <s v="050000"/>
    <x v="0"/>
    <s v="050000"/>
    <s v="20170307"/>
    <x v="1"/>
    <d v="2017-02-28T00:00:00"/>
    <n v="-21728.21"/>
  </r>
  <r>
    <s v="9200013421"/>
    <s v="YA"/>
    <s v="050000"/>
    <x v="0"/>
    <s v="050000"/>
    <s v="20170406"/>
    <x v="1"/>
    <d v="2017-03-31T00:00:00"/>
    <n v="-21728.19"/>
  </r>
  <r>
    <s v="9200013421"/>
    <s v="YA"/>
    <s v="050000"/>
    <x v="0"/>
    <s v="050000"/>
    <s v="20170406"/>
    <x v="3"/>
    <d v="2017-03-31T00:00:00"/>
    <n v="-275.91000000000003"/>
  </r>
  <r>
    <s v="9200013421"/>
    <s v="YA"/>
    <s v="050000"/>
    <x v="0"/>
    <s v="050000"/>
    <s v="20170406"/>
    <x v="4"/>
    <d v="2017-03-31T00:00:00"/>
    <n v="3666.69"/>
  </r>
  <r>
    <s v="9200013421"/>
    <s v="YA"/>
    <s v="050000"/>
    <x v="0"/>
    <s v="050000"/>
    <s v="20170406"/>
    <x v="2"/>
    <d v="2017-03-31T00:00:00"/>
    <n v="-6092.79"/>
  </r>
  <r>
    <s v="9200017813"/>
    <s v="YA"/>
    <s v="050000"/>
    <x v="0"/>
    <s v="050000"/>
    <s v="20170505"/>
    <x v="4"/>
    <d v="2017-04-30T00:00:00"/>
    <n v="3666.7"/>
  </r>
  <r>
    <s v="9200017813"/>
    <s v="YA"/>
    <s v="050000"/>
    <x v="0"/>
    <s v="050000"/>
    <s v="20170505"/>
    <x v="3"/>
    <d v="2017-04-30T00:00:00"/>
    <n v="-275.91000000000003"/>
  </r>
  <r>
    <s v="9200017813"/>
    <s v="YA"/>
    <s v="050000"/>
    <x v="0"/>
    <s v="050000"/>
    <s v="20170505"/>
    <x v="1"/>
    <d v="2017-04-30T00:00:00"/>
    <n v="-21728.21"/>
  </r>
  <r>
    <s v="9200017813"/>
    <s v="YA"/>
    <s v="050000"/>
    <x v="0"/>
    <s v="050000"/>
    <s v="20170505"/>
    <x v="2"/>
    <d v="2017-04-30T00:00:00"/>
    <n v="-6092.8"/>
  </r>
  <r>
    <s v="9200022975"/>
    <s v="YA"/>
    <s v="050000"/>
    <x v="0"/>
    <s v="050000"/>
    <s v="20170607"/>
    <x v="2"/>
    <d v="2017-05-31T00:00:00"/>
    <n v="-6092.8"/>
  </r>
  <r>
    <s v="9200022975"/>
    <s v="YA"/>
    <s v="050000"/>
    <x v="0"/>
    <s v="050000"/>
    <s v="20170607"/>
    <x v="3"/>
    <d v="2017-05-31T00:00:00"/>
    <n v="-275.91000000000003"/>
  </r>
  <r>
    <s v="9200022975"/>
    <s v="YA"/>
    <s v="050000"/>
    <x v="0"/>
    <s v="050000"/>
    <s v="20170607"/>
    <x v="4"/>
    <d v="2017-05-31T00:00:00"/>
    <n v="3666.7"/>
  </r>
  <r>
    <s v="9200022975"/>
    <s v="YA"/>
    <s v="050000"/>
    <x v="0"/>
    <s v="050000"/>
    <s v="20170607"/>
    <x v="1"/>
    <d v="2017-05-31T00:00:00"/>
    <n v="-21728.2"/>
  </r>
  <r>
    <s v="9200028615"/>
    <s v="YA"/>
    <s v="050000"/>
    <x v="0"/>
    <s v="050000"/>
    <s v="20170707"/>
    <x v="4"/>
    <d v="2017-06-30T00:00:00"/>
    <n v="3666.7"/>
  </r>
  <r>
    <s v="9200028615"/>
    <s v="YA"/>
    <s v="050000"/>
    <x v="0"/>
    <s v="050000"/>
    <s v="20170707"/>
    <x v="3"/>
    <d v="2017-06-30T00:00:00"/>
    <n v="-275.91000000000003"/>
  </r>
  <r>
    <s v="9200028615"/>
    <s v="YA"/>
    <s v="050000"/>
    <x v="0"/>
    <s v="050000"/>
    <s v="20170707"/>
    <x v="2"/>
    <d v="2017-06-30T00:00:00"/>
    <n v="-6092.8"/>
  </r>
  <r>
    <s v="9200028615"/>
    <s v="YA"/>
    <s v="050000"/>
    <x v="0"/>
    <s v="050000"/>
    <s v="20170707"/>
    <x v="1"/>
    <d v="2017-06-30T00:00:00"/>
    <n v="-21728.21"/>
  </r>
  <r>
    <s v="9200035002"/>
    <s v="YA"/>
    <s v="050000"/>
    <x v="0"/>
    <s v="050000"/>
    <s v="20170807"/>
    <x v="3"/>
    <d v="2017-07-31T00:00:00"/>
    <n v="-275.91000000000003"/>
  </r>
  <r>
    <s v="9200035002"/>
    <s v="YA"/>
    <s v="050000"/>
    <x v="0"/>
    <s v="050000"/>
    <s v="20170807"/>
    <x v="1"/>
    <d v="2017-07-31T00:00:00"/>
    <n v="-21728.2"/>
  </r>
  <r>
    <s v="9200035002"/>
    <s v="YA"/>
    <s v="050000"/>
    <x v="0"/>
    <s v="050000"/>
    <s v="20170807"/>
    <x v="2"/>
    <d v="2017-07-31T00:00:00"/>
    <n v="-6092.8"/>
  </r>
  <r>
    <s v="9200035002"/>
    <s v="YA"/>
    <s v="050000"/>
    <x v="0"/>
    <s v="050000"/>
    <s v="20170807"/>
    <x v="4"/>
    <d v="2017-07-31T00:00:00"/>
    <n v="3666.7"/>
  </r>
  <r>
    <s v="9200040426"/>
    <s v="YA"/>
    <s v="050000"/>
    <x v="0"/>
    <s v="050000"/>
    <s v="20170907"/>
    <x v="1"/>
    <d v="2017-08-31T00:00:00"/>
    <n v="-21728.2"/>
  </r>
  <r>
    <s v="9200040426"/>
    <s v="YA"/>
    <s v="050000"/>
    <x v="0"/>
    <s v="050000"/>
    <s v="20170907"/>
    <x v="3"/>
    <d v="2017-08-31T00:00:00"/>
    <n v="-275.91000000000003"/>
  </r>
  <r>
    <s v="9200040426"/>
    <s v="YA"/>
    <s v="050000"/>
    <x v="0"/>
    <s v="050000"/>
    <s v="20170907"/>
    <x v="2"/>
    <d v="2017-08-31T00:00:00"/>
    <n v="-6092.8"/>
  </r>
  <r>
    <s v="9200040426"/>
    <s v="YA"/>
    <s v="050000"/>
    <x v="0"/>
    <s v="050000"/>
    <s v="20170907"/>
    <x v="4"/>
    <d v="2017-08-31T00:00:00"/>
    <n v="3666.7"/>
  </r>
  <r>
    <s v="9200044627"/>
    <s v="YA"/>
    <s v="050000"/>
    <x v="0"/>
    <s v="050000"/>
    <s v="20171005"/>
    <x v="2"/>
    <d v="2017-09-30T00:00:00"/>
    <n v="-6092.8"/>
  </r>
  <r>
    <s v="9200044627"/>
    <s v="YA"/>
    <s v="050000"/>
    <x v="0"/>
    <s v="050000"/>
    <s v="20171005"/>
    <x v="1"/>
    <d v="2017-09-30T00:00:00"/>
    <n v="-21728.21"/>
  </r>
  <r>
    <s v="9200044627"/>
    <s v="YA"/>
    <s v="050000"/>
    <x v="0"/>
    <s v="050000"/>
    <s v="20171005"/>
    <x v="3"/>
    <d v="2017-09-30T00:00:00"/>
    <n v="-275.91000000000003"/>
  </r>
  <r>
    <s v="9200044627"/>
    <s v="YA"/>
    <s v="050000"/>
    <x v="0"/>
    <s v="050000"/>
    <s v="20171005"/>
    <x v="4"/>
    <d v="2017-09-30T00:00:00"/>
    <n v="3666.7"/>
  </r>
  <r>
    <s v="9200049913"/>
    <s v="YA"/>
    <s v="050000"/>
    <x v="0"/>
    <s v="050000"/>
    <s v="20171107"/>
    <x v="2"/>
    <d v="2017-10-31T00:00:00"/>
    <n v="-6092.8"/>
  </r>
  <r>
    <s v="9200049913"/>
    <s v="YA"/>
    <s v="050000"/>
    <x v="0"/>
    <s v="050000"/>
    <s v="20171107"/>
    <x v="1"/>
    <d v="2017-10-31T00:00:00"/>
    <n v="-21728.2"/>
  </r>
  <r>
    <s v="9200049913"/>
    <s v="YA"/>
    <s v="050000"/>
    <x v="0"/>
    <s v="050000"/>
    <s v="20171107"/>
    <x v="3"/>
    <d v="2017-10-31T00:00:00"/>
    <n v="-275.91000000000003"/>
  </r>
  <r>
    <s v="9200049913"/>
    <s v="YA"/>
    <s v="050000"/>
    <x v="0"/>
    <s v="050000"/>
    <s v="20171107"/>
    <x v="4"/>
    <d v="2017-10-31T00:00:00"/>
    <n v="3666.7"/>
  </r>
  <r>
    <s v="9200054401"/>
    <s v="YA"/>
    <s v="050000"/>
    <x v="0"/>
    <s v="050000"/>
    <s v="20171206"/>
    <x v="4"/>
    <d v="2017-11-30T00:00:00"/>
    <n v="3666.7"/>
  </r>
  <r>
    <s v="9200054401"/>
    <s v="YA"/>
    <s v="050000"/>
    <x v="0"/>
    <s v="050000"/>
    <s v="20171206"/>
    <x v="3"/>
    <d v="2017-11-30T00:00:00"/>
    <n v="-275.91000000000003"/>
  </r>
  <r>
    <s v="9200054401"/>
    <s v="YA"/>
    <s v="050000"/>
    <x v="0"/>
    <s v="050000"/>
    <s v="20171206"/>
    <x v="2"/>
    <d v="2017-11-30T00:00:00"/>
    <n v="-6092.8"/>
  </r>
  <r>
    <s v="9200054401"/>
    <s v="YA"/>
    <s v="050000"/>
    <x v="0"/>
    <s v="050000"/>
    <s v="20171206"/>
    <x v="1"/>
    <d v="2017-11-30T00:00:00"/>
    <n v="-21728.21"/>
  </r>
  <r>
    <s v="9200058328"/>
    <s v="YA"/>
    <s v="050000"/>
    <x v="0"/>
    <s v="050000"/>
    <s v="20180106"/>
    <x v="3"/>
    <d v="2017-12-31T00:00:00"/>
    <n v="1048.46"/>
  </r>
  <r>
    <s v="9200058328"/>
    <s v="YA"/>
    <s v="050000"/>
    <x v="0"/>
    <s v="050000"/>
    <s v="20180106"/>
    <x v="4"/>
    <d v="2017-12-31T00:00:00"/>
    <n v="-13933.44"/>
  </r>
  <r>
    <s v="9200058328"/>
    <s v="YA"/>
    <s v="050000"/>
    <x v="0"/>
    <s v="050000"/>
    <s v="20180106"/>
    <x v="2"/>
    <d v="2017-12-31T00:00:00"/>
    <n v="23152.62"/>
  </r>
  <r>
    <s v="9200058328"/>
    <s v="YA"/>
    <s v="050000"/>
    <x v="0"/>
    <s v="050000"/>
    <s v="20180106"/>
    <x v="1"/>
    <d v="2017-12-31T00:00:00"/>
    <n v="82567.17"/>
  </r>
  <r>
    <s v="9200058330"/>
    <s v="YA"/>
    <s v="050000"/>
    <x v="0"/>
    <s v="050000"/>
    <s v="20180110"/>
    <x v="3"/>
    <d v="2017-12-31T00:00:00"/>
    <n v="1048.46"/>
  </r>
  <r>
    <s v="9200058330"/>
    <s v="YA"/>
    <s v="050000"/>
    <x v="0"/>
    <s v="050000"/>
    <s v="20180110"/>
    <x v="4"/>
    <d v="2017-12-31T00:00:00"/>
    <n v="-13933.44"/>
  </r>
  <r>
    <s v="9200058330"/>
    <s v="YA"/>
    <s v="050000"/>
    <x v="0"/>
    <s v="050000"/>
    <s v="20180110"/>
    <x v="1"/>
    <d v="2017-12-31T00:00:00"/>
    <n v="82567.17"/>
  </r>
  <r>
    <s v="9200058330"/>
    <s v="YA"/>
    <s v="050000"/>
    <x v="0"/>
    <s v="050000"/>
    <s v="20180110"/>
    <x v="2"/>
    <d v="2017-12-31T00:00:00"/>
    <n v="23152.62"/>
  </r>
  <r>
    <s v="9200058332"/>
    <s v="YA"/>
    <s v="9959-260"/>
    <x v="0"/>
    <s v="9959-260"/>
    <s v="20180110"/>
    <x v="1"/>
    <d v="2017-12-31T00:00:00"/>
    <n v="-82567.17"/>
  </r>
  <r>
    <s v="9200058332"/>
    <s v="YA"/>
    <s v="9959-260"/>
    <x v="0"/>
    <s v="9959-260"/>
    <s v="20180110"/>
    <x v="3"/>
    <d v="2017-12-31T00:00:00"/>
    <n v="-1048.46"/>
  </r>
  <r>
    <s v="9200058332"/>
    <s v="YA"/>
    <s v="9959-260"/>
    <x v="0"/>
    <s v="9959-260"/>
    <s v="20180110"/>
    <x v="2"/>
    <d v="2017-12-31T00:00:00"/>
    <n v="-23152.62"/>
  </r>
  <r>
    <s v="9200058332"/>
    <s v="YA"/>
    <s v="9959-260"/>
    <x v="0"/>
    <s v="9959-260"/>
    <s v="20180110"/>
    <x v="4"/>
    <d v="2017-12-31T00:00:00"/>
    <n v="13933.44"/>
  </r>
  <r>
    <s v="9200005745"/>
    <s v="YA"/>
    <s v="050000"/>
    <x v="0"/>
    <s v="050000"/>
    <s v="20180207"/>
    <x v="4"/>
    <d v="2018-01-31T00:00:00"/>
    <n v="2200.02"/>
  </r>
  <r>
    <s v="9200005745"/>
    <s v="YA"/>
    <s v="050000"/>
    <x v="0"/>
    <s v="050000"/>
    <s v="20180207"/>
    <x v="3"/>
    <d v="2018-01-31T00:00:00"/>
    <n v="-165.55"/>
  </r>
  <r>
    <s v="9200005745"/>
    <s v="YA"/>
    <s v="050000"/>
    <x v="0"/>
    <s v="050000"/>
    <s v="20180207"/>
    <x v="2"/>
    <d v="2018-01-31T00:00:00"/>
    <n v="-3655.68"/>
  </r>
  <r>
    <s v="9200005745"/>
    <s v="YA"/>
    <s v="050000"/>
    <x v="0"/>
    <s v="050000"/>
    <s v="20180207"/>
    <x v="1"/>
    <d v="2018-01-31T00:00:00"/>
    <n v="-13036.92"/>
  </r>
  <r>
    <s v="9200009793"/>
    <s v="YA"/>
    <s v="050000"/>
    <x v="0"/>
    <s v="050000"/>
    <s v="20180307"/>
    <x v="3"/>
    <d v="2018-02-28T00:00:00"/>
    <n v="-165.55"/>
  </r>
  <r>
    <s v="9200009793"/>
    <s v="YA"/>
    <s v="050000"/>
    <x v="0"/>
    <s v="050000"/>
    <s v="20180307"/>
    <x v="1"/>
    <d v="2018-02-28T00:00:00"/>
    <n v="-13036.92"/>
  </r>
  <r>
    <s v="9200009793"/>
    <s v="YA"/>
    <s v="050000"/>
    <x v="0"/>
    <s v="050000"/>
    <s v="20180307"/>
    <x v="2"/>
    <d v="2018-02-28T00:00:00"/>
    <n v="-3655.68"/>
  </r>
  <r>
    <s v="9200009793"/>
    <s v="YA"/>
    <s v="050000"/>
    <x v="0"/>
    <s v="050000"/>
    <s v="20180307"/>
    <x v="4"/>
    <d v="2018-02-28T00:00:00"/>
    <n v="2200.02"/>
  </r>
  <r>
    <s v="9200014225"/>
    <s v="YA"/>
    <s v="050000"/>
    <x v="0"/>
    <s v="050000"/>
    <s v="20180405"/>
    <x v="4"/>
    <d v="2018-03-31T00:00:00"/>
    <n v="2200.02"/>
  </r>
  <r>
    <s v="9200014225"/>
    <s v="YA"/>
    <s v="050000"/>
    <x v="0"/>
    <s v="050000"/>
    <s v="20180405"/>
    <x v="1"/>
    <d v="2018-03-31T00:00:00"/>
    <n v="-13036.92"/>
  </r>
  <r>
    <s v="9200014225"/>
    <s v="YA"/>
    <s v="050000"/>
    <x v="0"/>
    <s v="050000"/>
    <s v="20180405"/>
    <x v="3"/>
    <d v="2018-03-31T00:00:00"/>
    <n v="-165.55"/>
  </r>
  <r>
    <s v="9200014225"/>
    <s v="YA"/>
    <s v="050000"/>
    <x v="0"/>
    <s v="050000"/>
    <s v="20180405"/>
    <x v="2"/>
    <d v="2018-03-31T00:00:00"/>
    <n v="-3655.68"/>
  </r>
  <r>
    <s v="9200018651"/>
    <s v="YA"/>
    <s v="050000"/>
    <x v="0"/>
    <s v="050000"/>
    <s v="20180507"/>
    <x v="1"/>
    <d v="2018-04-30T00:00:00"/>
    <n v="-13036.93"/>
  </r>
  <r>
    <s v="9200018651"/>
    <s v="YA"/>
    <s v="050000"/>
    <x v="0"/>
    <s v="050000"/>
    <s v="20180507"/>
    <x v="4"/>
    <d v="2018-04-30T00:00:00"/>
    <n v="2200.02"/>
  </r>
  <r>
    <s v="9200018651"/>
    <s v="YA"/>
    <s v="050000"/>
    <x v="0"/>
    <s v="050000"/>
    <s v="20180507"/>
    <x v="3"/>
    <d v="2018-04-30T00:00:00"/>
    <n v="-165.55"/>
  </r>
  <r>
    <s v="9200018651"/>
    <s v="YA"/>
    <s v="050000"/>
    <x v="0"/>
    <s v="050000"/>
    <s v="20180507"/>
    <x v="2"/>
    <d v="2018-04-30T00:00:00"/>
    <n v="-3655.68"/>
  </r>
  <r>
    <s v="9200023068"/>
    <s v="YA"/>
    <s v="050000"/>
    <x v="0"/>
    <s v="050000"/>
    <s v="20180606"/>
    <x v="1"/>
    <d v="2018-05-31T00:00:00"/>
    <n v="-6518.57"/>
  </r>
  <r>
    <s v="9200023068"/>
    <s v="YA"/>
    <s v="050000"/>
    <x v="0"/>
    <s v="050000"/>
    <s v="20180606"/>
    <x v="3"/>
    <d v="2018-05-31T00:00:00"/>
    <n v="-165.55"/>
  </r>
  <r>
    <s v="9200023068"/>
    <s v="YA"/>
    <s v="050000"/>
    <x v="0"/>
    <s v="050000"/>
    <s v="20180606"/>
    <x v="2"/>
    <d v="2018-05-31T00:00:00"/>
    <n v="-3655.61"/>
  </r>
  <r>
    <s v="9200023068"/>
    <s v="YA"/>
    <s v="050000"/>
    <x v="0"/>
    <s v="050000"/>
    <s v="20180606"/>
    <x v="4"/>
    <d v="2018-05-31T00:00:00"/>
    <n v="2200.02"/>
  </r>
  <r>
    <s v="9200027935"/>
    <s v="YA"/>
    <s v="050000"/>
    <x v="0"/>
    <s v="050000"/>
    <s v="20180706"/>
    <x v="4"/>
    <d v="2018-06-30T00:00:00"/>
    <n v="2200"/>
  </r>
  <r>
    <s v="9200027935"/>
    <s v="YA"/>
    <s v="050000"/>
    <x v="0"/>
    <s v="050000"/>
    <s v="20180706"/>
    <x v="2"/>
    <d v="2018-06-30T00:00:00"/>
    <n v="-3655.58"/>
  </r>
  <r>
    <s v="9200027935"/>
    <s v="YA"/>
    <s v="050000"/>
    <x v="0"/>
    <s v="050000"/>
    <s v="20180706"/>
    <x v="3"/>
    <d v="2018-06-30T00:00:00"/>
    <n v="-165.55"/>
  </r>
  <r>
    <s v="9200033092"/>
    <s v="YA"/>
    <s v="050000"/>
    <x v="0"/>
    <s v="050000"/>
    <s v="20180807"/>
    <x v="4"/>
    <d v="2018-07-31T00:00:00"/>
    <n v="2200.02"/>
  </r>
  <r>
    <s v="9200033092"/>
    <s v="YA"/>
    <s v="050000"/>
    <x v="0"/>
    <s v="050000"/>
    <s v="20180807"/>
    <x v="3"/>
    <d v="2018-07-31T00:00:00"/>
    <n v="-165.55"/>
  </r>
  <r>
    <s v="9200033092"/>
    <s v="YA"/>
    <s v="050000"/>
    <x v="0"/>
    <s v="050000"/>
    <s v="20180807"/>
    <x v="2"/>
    <d v="2018-07-31T00:00:00"/>
    <n v="-3655.63"/>
  </r>
  <r>
    <s v="9200037999"/>
    <s v="YA"/>
    <s v="050000"/>
    <x v="0"/>
    <s v="050000"/>
    <s v="20180907"/>
    <x v="2"/>
    <d v="2018-08-31T00:00:00"/>
    <n v="-3655.6"/>
  </r>
  <r>
    <s v="9200037999"/>
    <s v="YA"/>
    <s v="050000"/>
    <x v="0"/>
    <s v="050000"/>
    <s v="20180907"/>
    <x v="4"/>
    <d v="2018-08-31T00:00:00"/>
    <n v="2200.0100000000002"/>
  </r>
  <r>
    <s v="9200037999"/>
    <s v="YA"/>
    <s v="050000"/>
    <x v="0"/>
    <s v="050000"/>
    <s v="20180907"/>
    <x v="3"/>
    <d v="2018-08-31T00:00:00"/>
    <n v="-165.55"/>
  </r>
  <r>
    <s v="9200043134"/>
    <s v="YA"/>
    <s v="050000"/>
    <x v="0"/>
    <s v="050000"/>
    <s v="20181005"/>
    <x v="4"/>
    <d v="2018-09-30T00:00:00"/>
    <n v="2200.02"/>
  </r>
  <r>
    <s v="9200043134"/>
    <s v="YA"/>
    <s v="050000"/>
    <x v="0"/>
    <s v="050000"/>
    <s v="20181005"/>
    <x v="2"/>
    <d v="2018-09-30T00:00:00"/>
    <n v="-3655.63"/>
  </r>
  <r>
    <s v="9200043134"/>
    <s v="YA"/>
    <s v="050000"/>
    <x v="0"/>
    <s v="050000"/>
    <s v="20181005"/>
    <x v="3"/>
    <d v="2018-09-30T00:00:00"/>
    <n v="-165.55"/>
  </r>
  <r>
    <s v="9200047992"/>
    <s v="YA"/>
    <s v="050000"/>
    <x v="0"/>
    <s v="050000"/>
    <s v="20181107"/>
    <x v="4"/>
    <d v="2018-10-31T00:00:00"/>
    <n v="2200.0100000000002"/>
  </r>
  <r>
    <s v="9200047992"/>
    <s v="YA"/>
    <s v="050000"/>
    <x v="0"/>
    <s v="050000"/>
    <s v="20181107"/>
    <x v="2"/>
    <d v="2018-10-31T00:00:00"/>
    <n v="-3655.6"/>
  </r>
  <r>
    <s v="9200047992"/>
    <s v="YA"/>
    <s v="050000"/>
    <x v="0"/>
    <s v="050000"/>
    <s v="20181107"/>
    <x v="3"/>
    <d v="2018-10-31T00:00:00"/>
    <n v="-165.55"/>
  </r>
  <r>
    <s v="9200052346"/>
    <s v="YA"/>
    <s v="050000"/>
    <x v="0"/>
    <s v="050000"/>
    <s v="20181207"/>
    <x v="4"/>
    <d v="2018-11-30T00:00:00"/>
    <n v="2200.0100000000002"/>
  </r>
  <r>
    <s v="9200052346"/>
    <s v="YA"/>
    <s v="050000"/>
    <x v="0"/>
    <s v="050000"/>
    <s v="20181207"/>
    <x v="3"/>
    <d v="2018-11-30T00:00:00"/>
    <n v="-165.55"/>
  </r>
  <r>
    <s v="9200052346"/>
    <s v="YA"/>
    <s v="050000"/>
    <x v="0"/>
    <s v="050000"/>
    <s v="20181207"/>
    <x v="2"/>
    <d v="2018-11-30T00:00:00"/>
    <n v="-3655.6"/>
  </r>
  <r>
    <s v="9200056070"/>
    <s v="YA"/>
    <s v="050000"/>
    <x v="0"/>
    <s v="050000"/>
    <s v="20190108"/>
    <x v="2"/>
    <d v="2018-12-31T00:00:00"/>
    <n v="-3655.63"/>
  </r>
  <r>
    <s v="9200056070"/>
    <s v="YA"/>
    <s v="050000"/>
    <x v="0"/>
    <s v="050000"/>
    <s v="20190108"/>
    <x v="3"/>
    <d v="2018-12-31T00:00:00"/>
    <n v="-165.55"/>
  </r>
  <r>
    <s v="9200056070"/>
    <s v="YA"/>
    <s v="050000"/>
    <x v="0"/>
    <s v="050000"/>
    <s v="20190108"/>
    <x v="4"/>
    <d v="2018-12-31T00:00:00"/>
    <n v="2200.02"/>
  </r>
  <r>
    <s v="9200056072"/>
    <s v="YA"/>
    <s v="050000"/>
    <x v="0"/>
    <s v="050000"/>
    <s v="20190116"/>
    <x v="2"/>
    <d v="2018-12-31T00:00:00"/>
    <n v="-3655.63"/>
  </r>
  <r>
    <s v="9200056072"/>
    <s v="YA"/>
    <s v="050000"/>
    <x v="0"/>
    <s v="050000"/>
    <s v="20190116"/>
    <x v="4"/>
    <d v="2018-12-31T00:00:00"/>
    <n v="2200.02"/>
  </r>
  <r>
    <s v="9200056072"/>
    <s v="YA"/>
    <s v="050000"/>
    <x v="0"/>
    <s v="050000"/>
    <s v="20190116"/>
    <x v="3"/>
    <d v="2018-12-31T00:00:00"/>
    <n v="-165.55"/>
  </r>
  <r>
    <s v="9200056074"/>
    <s v="YA"/>
    <s v="9959-260"/>
    <x v="0"/>
    <s v="9959-260"/>
    <s v="20190116"/>
    <x v="2"/>
    <d v="2018-12-31T00:00:00"/>
    <n v="3655.63"/>
  </r>
  <r>
    <s v="9200056074"/>
    <s v="YA"/>
    <s v="9959-260"/>
    <x v="0"/>
    <s v="9959-260"/>
    <s v="20190116"/>
    <x v="4"/>
    <d v="2018-12-31T00:00:00"/>
    <n v="-2200.02"/>
  </r>
  <r>
    <s v="9200056074"/>
    <s v="YA"/>
    <s v="9959-260"/>
    <x v="0"/>
    <s v="9959-260"/>
    <s v="20190116"/>
    <x v="3"/>
    <d v="2018-12-31T00:00:00"/>
    <n v="165.55"/>
  </r>
  <r>
    <s v="9200005634"/>
    <s v="YA"/>
    <s v="050000"/>
    <x v="0"/>
    <s v="050000"/>
    <s v="20190207"/>
    <x v="3"/>
    <d v="2019-01-31T00:00:00"/>
    <n v="-165.55"/>
  </r>
  <r>
    <s v="9200005634"/>
    <s v="YA"/>
    <s v="050000"/>
    <x v="0"/>
    <s v="050000"/>
    <s v="20190207"/>
    <x v="2"/>
    <d v="2019-01-31T00:00:00"/>
    <n v="-3655.63"/>
  </r>
  <r>
    <s v="9200005634"/>
    <s v="YA"/>
    <s v="050000"/>
    <x v="0"/>
    <s v="050000"/>
    <s v="20190207"/>
    <x v="4"/>
    <d v="2019-01-31T00:00:00"/>
    <n v="2200.02"/>
  </r>
  <r>
    <s v="9200010042"/>
    <s v="YA"/>
    <s v="050000"/>
    <x v="0"/>
    <s v="050000"/>
    <s v="20190307"/>
    <x v="4"/>
    <d v="2019-02-28T00:00:00"/>
    <n v="2200.0100000000002"/>
  </r>
  <r>
    <s v="9200010042"/>
    <s v="YA"/>
    <s v="050000"/>
    <x v="0"/>
    <s v="050000"/>
    <s v="20190307"/>
    <x v="2"/>
    <d v="2019-02-28T00:00:00"/>
    <n v="-3655.6"/>
  </r>
  <r>
    <s v="9200010042"/>
    <s v="YA"/>
    <s v="050000"/>
    <x v="0"/>
    <s v="050000"/>
    <s v="20190307"/>
    <x v="3"/>
    <d v="2019-02-28T00:00:00"/>
    <n v="-165.55"/>
  </r>
  <r>
    <s v="9200015074"/>
    <s v="YA"/>
    <s v="050000"/>
    <x v="0"/>
    <s v="050000"/>
    <s v="20190404"/>
    <x v="3"/>
    <d v="2019-03-31T00:00:00"/>
    <n v="-165.55"/>
  </r>
  <r>
    <s v="9200015074"/>
    <s v="YA"/>
    <s v="050000"/>
    <x v="0"/>
    <s v="050000"/>
    <s v="20190404"/>
    <x v="4"/>
    <d v="2019-03-31T00:00:00"/>
    <n v="2200.0100000000002"/>
  </r>
  <r>
    <s v="9200015074"/>
    <s v="YA"/>
    <s v="050000"/>
    <x v="0"/>
    <s v="050000"/>
    <s v="20190404"/>
    <x v="2"/>
    <d v="2019-03-31T00:00:00"/>
    <n v="-3655.6"/>
  </r>
  <r>
    <s v="9200016562"/>
    <s v="YA"/>
    <s v="050000"/>
    <x v="0"/>
    <s v="050000"/>
    <s v="20190415"/>
    <x v="3"/>
    <d v="2019-03-31T00:00:00"/>
    <n v="-165.55"/>
  </r>
  <r>
    <s v="9200016562"/>
    <s v="YA"/>
    <s v="050000"/>
    <x v="0"/>
    <s v="050000"/>
    <s v="20190415"/>
    <x v="2"/>
    <d v="2019-03-31T00:00:00"/>
    <n v="-3655.6"/>
  </r>
  <r>
    <s v="9200016562"/>
    <s v="YA"/>
    <s v="050000"/>
    <x v="0"/>
    <s v="050000"/>
    <s v="20190415"/>
    <x v="4"/>
    <d v="2019-03-31T00:00:00"/>
    <n v="2200.0100000000002"/>
  </r>
  <r>
    <s v="9200016564"/>
    <s v="YA"/>
    <s v="9959-260"/>
    <x v="0"/>
    <s v="9959-260"/>
    <s v="20190415"/>
    <x v="4"/>
    <d v="2019-03-31T00:00:00"/>
    <n v="-2200.0100000000002"/>
  </r>
  <r>
    <s v="9200016564"/>
    <s v="YA"/>
    <s v="9959-260"/>
    <x v="0"/>
    <s v="9959-260"/>
    <s v="20190415"/>
    <x v="2"/>
    <d v="2019-03-31T00:00:00"/>
    <n v="3655.6"/>
  </r>
  <r>
    <s v="9200016564"/>
    <s v="YA"/>
    <s v="9959-260"/>
    <x v="0"/>
    <s v="9959-260"/>
    <s v="20190415"/>
    <x v="3"/>
    <d v="2019-03-31T00:00:00"/>
    <n v="165.55"/>
  </r>
  <r>
    <s v="9200021042"/>
    <s v="YA"/>
    <s v="050000"/>
    <x v="0"/>
    <s v="050000"/>
    <s v="20190507"/>
    <x v="4"/>
    <d v="2019-04-30T00:00:00"/>
    <n v="2200.02"/>
  </r>
  <r>
    <s v="9200021042"/>
    <s v="YA"/>
    <s v="050000"/>
    <x v="0"/>
    <s v="050000"/>
    <s v="20190507"/>
    <x v="2"/>
    <d v="2019-04-30T00:00:00"/>
    <n v="-3655.63"/>
  </r>
  <r>
    <s v="9200021042"/>
    <s v="YA"/>
    <s v="050000"/>
    <x v="0"/>
    <s v="050000"/>
    <s v="20190507"/>
    <x v="3"/>
    <d v="2019-04-30T00:00:00"/>
    <n v="-165.55"/>
  </r>
  <r>
    <s v="9200028099"/>
    <s v="YA"/>
    <s v="050000"/>
    <x v="0"/>
    <s v="050000"/>
    <s v="20190607"/>
    <x v="4"/>
    <d v="2019-05-31T00:00:00"/>
    <n v="2200.0100000000002"/>
  </r>
  <r>
    <s v="9200028099"/>
    <s v="YA"/>
    <s v="050000"/>
    <x v="0"/>
    <s v="050000"/>
    <s v="20190607"/>
    <x v="2"/>
    <d v="2019-05-31T00:00:00"/>
    <n v="-3655.6"/>
  </r>
  <r>
    <s v="9200028099"/>
    <s v="YA"/>
    <s v="050000"/>
    <x v="0"/>
    <s v="050000"/>
    <s v="20190607"/>
    <x v="3"/>
    <d v="2019-05-31T00:00:00"/>
    <n v="-165.55"/>
  </r>
  <r>
    <s v="9200032921"/>
    <s v="YA"/>
    <s v="050000"/>
    <x v="0"/>
    <s v="050000"/>
    <s v="20190705"/>
    <x v="3"/>
    <d v="2019-06-30T00:00:00"/>
    <n v="-165.55"/>
  </r>
  <r>
    <s v="9200032921"/>
    <s v="YA"/>
    <s v="050000"/>
    <x v="0"/>
    <s v="050000"/>
    <s v="20190705"/>
    <x v="2"/>
    <d v="2019-06-30T00:00:00"/>
    <n v="-3655.63"/>
  </r>
  <r>
    <s v="9200032921"/>
    <s v="YA"/>
    <s v="050000"/>
    <x v="0"/>
    <s v="050000"/>
    <s v="20190705"/>
    <x v="4"/>
    <d v="2019-06-30T00:00:00"/>
    <n v="2200.02"/>
  </r>
  <r>
    <s v="9200038700"/>
    <s v="YA"/>
    <s v="050000"/>
    <x v="0"/>
    <s v="050000"/>
    <s v="20190807"/>
    <x v="4"/>
    <d v="2019-07-31T00:00:00"/>
    <n v="2200"/>
  </r>
  <r>
    <s v="9200038700"/>
    <s v="YA"/>
    <s v="050000"/>
    <x v="0"/>
    <s v="050000"/>
    <s v="20190807"/>
    <x v="2"/>
    <d v="2019-07-31T00:00:00"/>
    <n v="-3655.58"/>
  </r>
  <r>
    <s v="9200038700"/>
    <s v="YA"/>
    <s v="050000"/>
    <x v="0"/>
    <s v="050000"/>
    <s v="20190807"/>
    <x v="3"/>
    <d v="2019-07-31T00:00:00"/>
    <n v="-165.55"/>
  </r>
  <r>
    <s v="9200044168"/>
    <s v="YA"/>
    <s v="050000"/>
    <x v="0"/>
    <s v="050000"/>
    <s v="20190909"/>
    <x v="3"/>
    <d v="2019-08-31T00:00:00"/>
    <n v="-165.55"/>
  </r>
  <r>
    <s v="9200044168"/>
    <s v="YA"/>
    <s v="050000"/>
    <x v="0"/>
    <s v="050000"/>
    <s v="20190909"/>
    <x v="4"/>
    <d v="2019-08-31T00:00:00"/>
    <n v="2200.02"/>
  </r>
  <r>
    <s v="9200044168"/>
    <s v="YA"/>
    <s v="050000"/>
    <x v="0"/>
    <s v="050000"/>
    <s v="20190909"/>
    <x v="2"/>
    <d v="2019-08-31T00:00:00"/>
    <n v="-3655.63"/>
  </r>
  <r>
    <s v="9200048480"/>
    <s v="YA"/>
    <s v="050000"/>
    <x v="0"/>
    <s v="050000"/>
    <s v="20191004"/>
    <x v="4"/>
    <d v="2019-09-30T00:00:00"/>
    <n v="2200.02"/>
  </r>
  <r>
    <s v="9200048480"/>
    <s v="YA"/>
    <s v="050000"/>
    <x v="0"/>
    <s v="050000"/>
    <s v="20191004"/>
    <x v="2"/>
    <d v="2019-09-30T00:00:00"/>
    <n v="-3655.63"/>
  </r>
  <r>
    <s v="9200048480"/>
    <s v="YA"/>
    <s v="050000"/>
    <x v="0"/>
    <s v="050000"/>
    <s v="20191004"/>
    <x v="3"/>
    <d v="2019-09-30T00:00:00"/>
    <n v="-165.55"/>
  </r>
  <r>
    <s v="9200049360"/>
    <s v="YA"/>
    <s v="050000"/>
    <x v="0"/>
    <s v="050000"/>
    <s v="20191011"/>
    <x v="3"/>
    <d v="2019-09-30T00:00:00"/>
    <n v="-165.55"/>
  </r>
  <r>
    <s v="9200049360"/>
    <s v="YA"/>
    <s v="050000"/>
    <x v="0"/>
    <s v="050000"/>
    <s v="20191011"/>
    <x v="4"/>
    <d v="2019-09-30T00:00:00"/>
    <n v="2200.02"/>
  </r>
  <r>
    <s v="9200049360"/>
    <s v="YA"/>
    <s v="050000"/>
    <x v="0"/>
    <s v="050000"/>
    <s v="20191011"/>
    <x v="2"/>
    <d v="2019-09-30T00:00:00"/>
    <n v="-3655.63"/>
  </r>
  <r>
    <s v="9200049362"/>
    <s v="YA"/>
    <s v="9959-260"/>
    <x v="0"/>
    <s v="9959-260"/>
    <s v="20191011"/>
    <x v="2"/>
    <d v="2019-09-30T00:00:00"/>
    <n v="3655.63"/>
  </r>
  <r>
    <s v="9200049362"/>
    <s v="YA"/>
    <s v="9959-260"/>
    <x v="0"/>
    <s v="9959-260"/>
    <s v="20191011"/>
    <x v="3"/>
    <d v="2019-09-30T00:00:00"/>
    <n v="165.55"/>
  </r>
  <r>
    <s v="9200049362"/>
    <s v="YA"/>
    <s v="9959-260"/>
    <x v="0"/>
    <s v="9959-260"/>
    <s v="20191011"/>
    <x v="4"/>
    <d v="2019-09-30T00:00:00"/>
    <n v="-2200.02"/>
  </r>
  <r>
    <s v="9200053623"/>
    <s v="YA"/>
    <s v="050000"/>
    <x v="0"/>
    <s v="050000"/>
    <s v="20191107"/>
    <x v="4"/>
    <d v="2019-10-31T00:00:00"/>
    <n v="2200.0100000000002"/>
  </r>
  <r>
    <s v="9200053623"/>
    <s v="YA"/>
    <s v="050000"/>
    <x v="0"/>
    <s v="050000"/>
    <s v="20191107"/>
    <x v="2"/>
    <d v="2019-10-31T00:00:00"/>
    <n v="-3655.6"/>
  </r>
  <r>
    <s v="9200053623"/>
    <s v="YA"/>
    <s v="050000"/>
    <x v="0"/>
    <s v="050000"/>
    <s v="20191107"/>
    <x v="3"/>
    <d v="2019-10-31T00:00:00"/>
    <n v="-165.55"/>
  </r>
  <r>
    <s v="9200057756"/>
    <s v="YA"/>
    <s v="050000"/>
    <x v="0"/>
    <s v="050000"/>
    <s v="20191206"/>
    <x v="4"/>
    <d v="2019-11-30T00:00:00"/>
    <n v="2200.0100000000002"/>
  </r>
  <r>
    <s v="9200057756"/>
    <s v="YA"/>
    <s v="050000"/>
    <x v="0"/>
    <s v="050000"/>
    <s v="20191206"/>
    <x v="3"/>
    <d v="2019-11-30T00:00:00"/>
    <n v="-165.55"/>
  </r>
  <r>
    <s v="9200057756"/>
    <s v="YA"/>
    <s v="050000"/>
    <x v="0"/>
    <s v="050000"/>
    <s v="20191206"/>
    <x v="2"/>
    <d v="2019-11-30T00:00:00"/>
    <n v="-3655.6"/>
  </r>
  <r>
    <s v="9200062204"/>
    <s v="YA"/>
    <s v="050000"/>
    <x v="0"/>
    <s v="050000"/>
    <s v="20200108"/>
    <x v="4"/>
    <d v="2019-12-31T00:00:00"/>
    <n v="2200.02"/>
  </r>
  <r>
    <s v="9200062204"/>
    <s v="YA"/>
    <s v="050000"/>
    <x v="0"/>
    <s v="050000"/>
    <s v="20200108"/>
    <x v="3"/>
    <d v="2019-12-31T00:00:00"/>
    <n v="-165.55"/>
  </r>
  <r>
    <s v="9200062204"/>
    <s v="YA"/>
    <s v="050000"/>
    <x v="0"/>
    <s v="050000"/>
    <s v="20200108"/>
    <x v="2"/>
    <d v="2019-12-31T00:00:00"/>
    <n v="-3655.63"/>
  </r>
  <r>
    <s v="9200062206"/>
    <s v="YA"/>
    <s v="050000"/>
    <x v="0"/>
    <s v="050000"/>
    <s v="20200116"/>
    <x v="4"/>
    <d v="2019-12-31T00:00:00"/>
    <n v="2200.02"/>
  </r>
  <r>
    <s v="9200062206"/>
    <s v="YA"/>
    <s v="050000"/>
    <x v="0"/>
    <s v="050000"/>
    <s v="20200116"/>
    <x v="2"/>
    <d v="2019-12-31T00:00:00"/>
    <n v="-3655.63"/>
  </r>
  <r>
    <s v="9200062206"/>
    <s v="YA"/>
    <s v="050000"/>
    <x v="0"/>
    <s v="050000"/>
    <s v="20200116"/>
    <x v="3"/>
    <d v="2019-12-31T00:00:00"/>
    <n v="-165.55"/>
  </r>
  <r>
    <s v="9200062208"/>
    <s v="YA"/>
    <s v="9959-260"/>
    <x v="0"/>
    <s v="9959-260"/>
    <s v="20200116"/>
    <x v="2"/>
    <d v="2019-12-31T00:00:00"/>
    <n v="3655.63"/>
  </r>
  <r>
    <s v="9200062208"/>
    <s v="YA"/>
    <s v="9959-260"/>
    <x v="0"/>
    <s v="9959-260"/>
    <s v="20200116"/>
    <x v="3"/>
    <d v="2019-12-31T00:00:00"/>
    <n v="165.55"/>
  </r>
  <r>
    <s v="9200062208"/>
    <s v="YA"/>
    <s v="9959-260"/>
    <x v="0"/>
    <s v="9959-260"/>
    <s v="20200116"/>
    <x v="4"/>
    <d v="2019-12-31T00:00:00"/>
    <n v="-2200.02"/>
  </r>
  <r>
    <s v="9500000000"/>
    <s v="YZ"/>
    <s v="DEC 31 2010"/>
    <x v="1"/>
    <s v="19045 TEC GL CONV YE 2010"/>
    <s v="20101231"/>
    <x v="0"/>
    <d v="2010-12-31T00:00:00"/>
    <n v="319765.88"/>
  </r>
  <r>
    <s v="9500000001"/>
    <s v="YZ"/>
    <s v="DEC 31 2010"/>
    <x v="1"/>
    <s v="19045 TEC GL CONV YE 2010"/>
    <s v="20101231"/>
    <x v="0"/>
    <d v="2010-12-31T00:00:00"/>
    <n v="319765.88"/>
  </r>
  <r>
    <s v="9500000002"/>
    <s v="YZ"/>
    <s v="DEC 31 2010"/>
    <x v="1"/>
    <s v="19045 TEC GL CONV YE 2010"/>
    <s v="20101231"/>
    <x v="0"/>
    <d v="2010-12-31T00:00:00"/>
    <n v="-319765.88"/>
  </r>
  <r>
    <s v="9500000006"/>
    <s v="YZ"/>
    <s v="201101"/>
    <x v="1"/>
    <s v="19045 TEC CONVERSION ACCOUNT SUMMARY"/>
    <s v="20120326"/>
    <x v="0"/>
    <d v="2011-01-31T00:00:00"/>
    <n v="-3613.17"/>
  </r>
  <r>
    <s v="9500000010"/>
    <s v="YZ"/>
    <s v="201102"/>
    <x v="1"/>
    <s v="19045 TEC CONVERSION ACCOUNT SUMMARY"/>
    <s v="20120326"/>
    <x v="0"/>
    <d v="2011-02-28T00:00:00"/>
    <n v="-3613.17"/>
  </r>
  <r>
    <s v="9500000015"/>
    <s v="YZ"/>
    <s v="201103"/>
    <x v="1"/>
    <s v="19045 TEC CONVERSION ACCOUNT SUMMARY"/>
    <s v="20120326"/>
    <x v="0"/>
    <d v="2011-03-31T00:00:00"/>
    <n v="-3613.17"/>
  </r>
  <r>
    <s v="9500000020"/>
    <s v="YZ"/>
    <s v="201104"/>
    <x v="1"/>
    <s v="19045 TEC CONVERSION ACCOUNT SUMMARY"/>
    <s v="20120326"/>
    <x v="0"/>
    <d v="2011-04-30T00:00:00"/>
    <n v="-3613.17"/>
  </r>
  <r>
    <s v="9500000025"/>
    <s v="YZ"/>
    <s v="201105"/>
    <x v="1"/>
    <s v="19045 TEC CONVERSION ACCOUNT SUMMARY"/>
    <s v="20120326"/>
    <x v="0"/>
    <d v="2011-05-31T00:00:00"/>
    <n v="-3613.17"/>
  </r>
  <r>
    <s v="9500000030"/>
    <s v="YZ"/>
    <s v="201106"/>
    <x v="1"/>
    <s v="19045 TEC CONVERSION ACCOUNT SUMMARY"/>
    <s v="20120326"/>
    <x v="0"/>
    <d v="2011-06-30T00:00:00"/>
    <n v="-3613.17"/>
  </r>
  <r>
    <s v="9500000035"/>
    <s v="YZ"/>
    <s v="201107"/>
    <x v="1"/>
    <s v="19045 TEC CONVERSION ACCOUNT SUMMARY"/>
    <s v="20120326"/>
    <x v="0"/>
    <d v="2011-07-31T00:00:00"/>
    <n v="-3613.17"/>
  </r>
  <r>
    <s v="9500000040"/>
    <s v="YZ"/>
    <s v="201108"/>
    <x v="1"/>
    <s v="19045 TEC CONVERSION ACCOUNT SUMMARY"/>
    <s v="20120326"/>
    <x v="0"/>
    <d v="2011-08-31T00:00:00"/>
    <n v="-3613.17"/>
  </r>
  <r>
    <s v="9500000045"/>
    <s v="YZ"/>
    <s v="201109"/>
    <x v="1"/>
    <s v="19045 TEC CONVERSION ACCOUNT SUMMARY"/>
    <s v="20120326"/>
    <x v="0"/>
    <d v="2011-09-30T00:00:00"/>
    <n v="-3613.17"/>
  </r>
  <r>
    <s v="9500000050"/>
    <s v="YZ"/>
    <s v="201110"/>
    <x v="1"/>
    <s v="19045 TEC CONVERSION ACCOUNT SUMMARY"/>
    <s v="20120326"/>
    <x v="0"/>
    <d v="2011-10-31T00:00:00"/>
    <n v="-3613.17"/>
  </r>
  <r>
    <s v="9500000055"/>
    <s v="YZ"/>
    <s v="201111"/>
    <x v="1"/>
    <s v="19045 TEC CONVERSION ACCOUNT SUMMARY"/>
    <s v="20120326"/>
    <x v="0"/>
    <d v="2011-11-30T00:00:00"/>
    <n v="-3613.17"/>
  </r>
  <r>
    <s v="9500000060"/>
    <s v="YZ"/>
    <s v="201112"/>
    <x v="1"/>
    <s v="19045 TEC CONVERSION ACCOUNT SUMMARY"/>
    <s v="20120326"/>
    <x v="0"/>
    <d v="2011-12-31T00:00:00"/>
    <n v="-3613.17"/>
  </r>
  <r>
    <s v="9500000101"/>
    <s v="YZ"/>
    <s v="201201"/>
    <x v="1"/>
    <s v="19045 TEC CONVERSION ACCOUNT SUMMARY"/>
    <s v="20120326"/>
    <x v="0"/>
    <d v="2012-01-31T00:00:00"/>
    <n v="-3613.17"/>
  </r>
  <r>
    <s v="9500000105"/>
    <s v="YZ"/>
    <s v="201202"/>
    <x v="1"/>
    <s v="19045 TEC CONVERSION ACCOUNT SUMMARY"/>
    <s v="20120402"/>
    <x v="0"/>
    <d v="2012-02-29T00:00:00"/>
    <n v="-3613.17"/>
  </r>
  <r>
    <s v="9500000109"/>
    <s v="YZ"/>
    <s v="201203"/>
    <x v="1"/>
    <s v="19045 TEC CONVERSION ACCOUNT SUMMARY"/>
    <s v="20120424"/>
    <x v="0"/>
    <d v="2012-03-31T00:00:00"/>
    <n v="-3613.17"/>
  </r>
  <r>
    <s v="9500000114"/>
    <s v="YZ"/>
    <s v="201204"/>
    <x v="1"/>
    <s v="19045 TEC CONVERSION ACCOUNT SUMMARY"/>
    <s v="20120516"/>
    <x v="0"/>
    <d v="2012-04-30T00:00:00"/>
    <n v="31021.43"/>
  </r>
  <r>
    <s v="9500000131"/>
    <s v="YZ"/>
    <s v="201205"/>
    <x v="1"/>
    <s v="19045 TEC CONVERSION ACCOUNT SUMMARY"/>
    <s v="20120614"/>
    <x v="0"/>
    <d v="2012-05-31T00:00:00"/>
    <n v="326484.73"/>
  </r>
  <r>
    <s v="100000053"/>
    <s v="SA"/>
    <s v="40501"/>
    <x v="1"/>
    <s v=""/>
    <s v="20120701"/>
    <x v="1"/>
    <d v="2012-07-23T00:00:00"/>
    <n v="-3613.17"/>
  </r>
  <r>
    <s v="100000053"/>
    <s v="SA"/>
    <s v="40501"/>
    <x v="1"/>
    <s v=""/>
    <s v="20120701"/>
    <x v="2"/>
    <d v="2012-07-23T00:00:00"/>
    <n v="-1013.15"/>
  </r>
  <r>
    <s v="9500000139"/>
    <s v="YZ"/>
    <s v="201206"/>
    <x v="1"/>
    <s v="19045 TEC CONVERSION ACCOUNT SUMMARY"/>
    <s v="20120722"/>
    <x v="0"/>
    <d v="2012-06-30T00:00:00"/>
    <n v="-4626.32"/>
  </r>
  <r>
    <s v="9500000147"/>
    <s v="YZ"/>
    <s v="201206"/>
    <x v="1"/>
    <s v="19045 TEC CONVERSION ACCOUNT SUMMARY"/>
    <s v="20120722"/>
    <x v="0"/>
    <d v="2012-06-30T00:00:00"/>
    <n v="4626.32"/>
  </r>
  <r>
    <s v="9500000155"/>
    <s v="YZ"/>
    <s v="201206"/>
    <x v="1"/>
    <s v="19045 TEC CONVERSION ACCOUNT SUMMARY"/>
    <s v="20120722"/>
    <x v="0"/>
    <d v="2012-06-30T00:00:00"/>
    <n v="-4626.32"/>
  </r>
  <r>
    <s v="100018957"/>
    <s v="SA"/>
    <s v="40501_PD0025"/>
    <x v="1"/>
    <s v="RECURRING ENTRY ENDS 04/42; FV50 NEEDED 05/42"/>
    <s v="20120831"/>
    <x v="2"/>
    <d v="2012-08-31T00:00:00"/>
    <n v="-1013.15"/>
  </r>
  <r>
    <s v="100018958"/>
    <s v="SA"/>
    <s v="40501_PD0018"/>
    <x v="1"/>
    <s v="RECURRING ENTRY ENDS 04/18; FV50 NEEDED 05/18"/>
    <s v="20120831"/>
    <x v="1"/>
    <d v="2012-08-31T00:00:00"/>
    <n v="-3613.17"/>
  </r>
  <r>
    <s v="100027515"/>
    <s v="SA"/>
    <s v="40501_PD0025"/>
    <x v="1"/>
    <s v="RECURRING ENTRY ENDS 04/42; FV50 NEEDED 05/42"/>
    <s v="20120930"/>
    <x v="2"/>
    <d v="2012-09-30T00:00:00"/>
    <n v="-1013.15"/>
  </r>
  <r>
    <s v="100027516"/>
    <s v="SA"/>
    <s v="40501_PD0018"/>
    <x v="1"/>
    <s v="RECURRING ENTRY ENDS 04/18; FV50 NEEDED 05/18"/>
    <s v="20120930"/>
    <x v="1"/>
    <d v="2012-09-30T00:00:00"/>
    <n v="-3613.17"/>
  </r>
  <r>
    <s v="100036818"/>
    <s v="SA"/>
    <s v="40501_PD0025"/>
    <x v="1"/>
    <s v="RECURRING ENTRY ENDS 04/42; FV50 NEEDED 05/42"/>
    <s v="20121031"/>
    <x v="2"/>
    <d v="2012-10-31T00:00:00"/>
    <n v="-1013.15"/>
  </r>
  <r>
    <s v="100036819"/>
    <s v="SA"/>
    <s v="40501_PD0018"/>
    <x v="1"/>
    <s v="RECURRING ENTRY ENDS 04/18; FV50 NEEDED 05/18"/>
    <s v="20121031"/>
    <x v="1"/>
    <d v="2012-10-31T00:00:00"/>
    <n v="-3613.17"/>
  </r>
  <r>
    <s v="100036857"/>
    <s v="AB"/>
    <s v="40501_PD0025"/>
    <x v="1"/>
    <s v="RECURRING ENTRY ENDS 04/42; FV50 NEEDED 05/42"/>
    <s v="20121031"/>
    <x v="2"/>
    <d v="2012-10-31T00:00:00"/>
    <n v="1013.15"/>
  </r>
  <r>
    <s v="100036858"/>
    <s v="AB"/>
    <s v="40501_PD0018"/>
    <x v="1"/>
    <s v="RECURRING ENTRY ENDS 04/18; FV50 NEEDED 05/18"/>
    <s v="20121031"/>
    <x v="1"/>
    <d v="2012-10-31T00:00:00"/>
    <n v="3613.17"/>
  </r>
  <r>
    <s v="100037868"/>
    <s v="SA"/>
    <s v="40501_PD0018"/>
    <x v="1"/>
    <s v="DIT State - Interest Rate Swap"/>
    <s v="20121031"/>
    <x v="1"/>
    <d v="2012-10-31T00:00:00"/>
    <n v="-3613.17"/>
  </r>
  <r>
    <s v="100037892"/>
    <s v="SA"/>
    <s v="40501_PD0025"/>
    <x v="1"/>
    <s v="DIT State - Interest Rate Swap"/>
    <s v="20121031"/>
    <x v="2"/>
    <d v="2012-10-31T00:00:00"/>
    <n v="-1013.15"/>
  </r>
  <r>
    <s v="100044337"/>
    <s v="SA"/>
    <s v="40501_PD0018"/>
    <x v="1"/>
    <s v="DIT State - Interest Rate Swap"/>
    <s v="20121130"/>
    <x v="1"/>
    <d v="2012-11-30T00:00:00"/>
    <n v="-3613.17"/>
  </r>
  <r>
    <s v="100044360"/>
    <s v="SA"/>
    <s v="40501_PD0025"/>
    <x v="1"/>
    <s v="DIT State - Interest Rate Swap"/>
    <s v="20121130"/>
    <x v="2"/>
    <d v="2012-11-30T00:00:00"/>
    <n v="-1013.15"/>
  </r>
  <r>
    <s v="100051577"/>
    <s v="SA"/>
    <s v="89850-2"/>
    <x v="1"/>
    <s v=""/>
    <s v="20121201"/>
    <x v="2"/>
    <d v="2012-12-31T00:00:00"/>
    <n v="364732.5"/>
  </r>
  <r>
    <s v="100051577"/>
    <s v="SA"/>
    <s v="89850-2"/>
    <x v="1"/>
    <s v=""/>
    <s v="20121201"/>
    <x v="1"/>
    <d v="2012-12-31T00:00:00"/>
    <n v="319765.88"/>
  </r>
  <r>
    <s v="100051577"/>
    <s v="SA"/>
    <s v="89850-2"/>
    <x v="1"/>
    <s v=""/>
    <s v="20121201"/>
    <x v="0"/>
    <d v="2012-12-31T00:00:00"/>
    <n v="66050.210000000006"/>
  </r>
  <r>
    <s v="100051577"/>
    <s v="SA"/>
    <s v="89850-2"/>
    <x v="1"/>
    <s v=""/>
    <s v="20121201"/>
    <x v="2"/>
    <d v="2012-12-31T00:00:00"/>
    <n v="-1013.15"/>
  </r>
  <r>
    <s v="100051577"/>
    <s v="SA"/>
    <s v="89850-2"/>
    <x v="1"/>
    <s v=""/>
    <s v="20121201"/>
    <x v="1"/>
    <d v="2012-12-31T00:00:00"/>
    <n v="-65037.06"/>
  </r>
  <r>
    <s v="100051577"/>
    <s v="SA"/>
    <s v="89850-2"/>
    <x v="1"/>
    <s v=""/>
    <s v="20121201"/>
    <x v="0"/>
    <d v="2012-12-31T00:00:00"/>
    <n v="-684498.38"/>
  </r>
  <r>
    <s v="100051650"/>
    <s v="SA"/>
    <s v="40501_PD0018"/>
    <x v="1"/>
    <s v="DIT State - Interest Rate Swap"/>
    <s v="20121231"/>
    <x v="1"/>
    <d v="2012-12-31T00:00:00"/>
    <n v="-3613.17"/>
  </r>
  <r>
    <s v="100051673"/>
    <s v="SA"/>
    <s v="40501_PD0025"/>
    <x v="1"/>
    <s v="DIT State - Interest Rate Swap"/>
    <s v="20121231"/>
    <x v="2"/>
    <d v="2012-12-31T00:00:00"/>
    <n v="-1013.15"/>
  </r>
  <r>
    <s v="100008040"/>
    <s v="SA"/>
    <s v="40501_PD0018"/>
    <x v="1"/>
    <s v="DIT State - Interest Rate Swap"/>
    <s v="20130131"/>
    <x v="1"/>
    <d v="2013-01-31T00:00:00"/>
    <n v="-3613.17"/>
  </r>
  <r>
    <s v="100008063"/>
    <s v="SA"/>
    <s v="40501_PD0025"/>
    <x v="1"/>
    <s v="DIT State - Interest Rate Swap"/>
    <s v="20130131"/>
    <x v="2"/>
    <d v="2013-01-31T00:00:00"/>
    <n v="-1013.15"/>
  </r>
  <r>
    <s v="100010123"/>
    <s v="SA"/>
    <s v="40501_PD0018"/>
    <x v="1"/>
    <s v="DIT State - Interest Rate Swap"/>
    <s v="20130228"/>
    <x v="1"/>
    <d v="2013-02-28T00:00:00"/>
    <n v="-3613.17"/>
  </r>
  <r>
    <s v="100010145"/>
    <s v="SA"/>
    <s v="40501_PD0025"/>
    <x v="1"/>
    <s v="DIT State - Interest Rate Swap"/>
    <s v="20130228"/>
    <x v="2"/>
    <d v="2013-02-28T00:00:00"/>
    <n v="-1013.15"/>
  </r>
  <r>
    <s v="100022147"/>
    <s v="SA"/>
    <s v="40501_PD0018"/>
    <x v="1"/>
    <s v="DIT State - Interest Rate Swap"/>
    <s v="20130331"/>
    <x v="1"/>
    <d v="2013-03-31T00:00:00"/>
    <n v="-3613.17"/>
  </r>
  <r>
    <s v="100022148"/>
    <s v="SA"/>
    <s v="40501_PD0025"/>
    <x v="1"/>
    <s v="DIT State - Interest Rate Swap"/>
    <s v="20130331"/>
    <x v="2"/>
    <d v="2013-03-31T00:00:00"/>
    <n v="-1013.15"/>
  </r>
  <r>
    <s v="100030992"/>
    <s v="SA"/>
    <s v="40501_PD0018"/>
    <x v="1"/>
    <s v="DIT State - Interest Rate Swap"/>
    <s v="20130430"/>
    <x v="1"/>
    <d v="2013-04-30T00:00:00"/>
    <n v="-3613.17"/>
  </r>
  <r>
    <s v="100030993"/>
    <s v="SA"/>
    <s v="40501_PD0025"/>
    <x v="1"/>
    <s v="DIT State - Interest Rate Swap"/>
    <s v="20130430"/>
    <x v="2"/>
    <d v="2013-04-30T00:00:00"/>
    <n v="-1013.15"/>
  </r>
  <r>
    <s v="100039249"/>
    <s v="SA"/>
    <s v="40501_PD0018"/>
    <x v="1"/>
    <s v="DIT State - Interest Rate Swap"/>
    <s v="20130531"/>
    <x v="1"/>
    <d v="2013-05-31T00:00:00"/>
    <n v="-3613.17"/>
  </r>
  <r>
    <s v="100039250"/>
    <s v="SA"/>
    <s v="40501_PD0025"/>
    <x v="1"/>
    <s v="DIT State - Interest Rate Swap"/>
    <s v="20130531"/>
    <x v="2"/>
    <d v="2013-05-31T00:00:00"/>
    <n v="-1013.15"/>
  </r>
  <r>
    <s v="100047599"/>
    <s v="SA"/>
    <s v="40501_PD0018"/>
    <x v="1"/>
    <s v="DIT State - Interest Rate Swap"/>
    <s v="20130630"/>
    <x v="1"/>
    <d v="2013-06-30T00:00:00"/>
    <n v="-3613.17"/>
  </r>
  <r>
    <s v="100047600"/>
    <s v="SA"/>
    <s v="40501_PD0025"/>
    <x v="1"/>
    <s v="DIT State - Interest Rate Swap"/>
    <s v="20130630"/>
    <x v="2"/>
    <d v="2013-06-30T00:00:00"/>
    <n v="-1013.15"/>
  </r>
  <r>
    <s v="100048965"/>
    <s v="SA"/>
    <s v="89009"/>
    <x v="1"/>
    <s v=""/>
    <s v="20130630"/>
    <x v="0"/>
    <d v="2013-06-30T00:00:00"/>
    <n v="27757.919999999998"/>
  </r>
  <r>
    <s v="100057888"/>
    <s v="SA"/>
    <s v="89850-3"/>
    <x v="1"/>
    <s v="Power Tax Reversal"/>
    <s v="20130701"/>
    <x v="0"/>
    <d v="2013-07-31T00:00:00"/>
    <n v="4626.32"/>
  </r>
  <r>
    <s v="9200002215"/>
    <s v="YA"/>
    <s v="050000"/>
    <x v="1"/>
    <s v="050000"/>
    <s v="20130705"/>
    <x v="0"/>
    <d v="2013-06-30T00:00:00"/>
    <n v="-27757.9"/>
  </r>
  <r>
    <s v="100056975"/>
    <s v="SA"/>
    <s v="40501_PD0018"/>
    <x v="1"/>
    <s v="DIT State - Interest Rate Swap"/>
    <s v="20130731"/>
    <x v="1"/>
    <d v="2013-07-31T00:00:00"/>
    <n v="-3613.17"/>
  </r>
  <r>
    <s v="100056976"/>
    <s v="SA"/>
    <s v="40501_PD0025"/>
    <x v="1"/>
    <s v="DIT State - Interest Rate Swap"/>
    <s v="20130731"/>
    <x v="2"/>
    <d v="2013-07-31T00:00:00"/>
    <n v="-1013.15"/>
  </r>
  <r>
    <s v="9200002601"/>
    <s v="YA"/>
    <s v="050000"/>
    <x v="1"/>
    <s v="050000"/>
    <s v="20130808"/>
    <x v="0"/>
    <d v="2013-07-31T00:00:00"/>
    <n v="-4626.32"/>
  </r>
  <r>
    <s v="9200002980"/>
    <s v="YA"/>
    <s v="050000"/>
    <x v="1"/>
    <s v="050000"/>
    <s v="20130910"/>
    <x v="2"/>
    <d v="2013-08-31T00:00:00"/>
    <n v="-1013.16"/>
  </r>
  <r>
    <s v="9200002980"/>
    <s v="YA"/>
    <s v="050000"/>
    <x v="1"/>
    <s v="050000"/>
    <s v="20130910"/>
    <x v="1"/>
    <d v="2013-08-31T00:00:00"/>
    <n v="-3613.15"/>
  </r>
  <r>
    <s v="9200002983"/>
    <s v="YA"/>
    <s v="050000"/>
    <x v="1"/>
    <s v="050000"/>
    <s v="20130910"/>
    <x v="2"/>
    <d v="2013-08-31T00:00:00"/>
    <n v="-1013.16"/>
  </r>
  <r>
    <s v="9200002983"/>
    <s v="YA"/>
    <s v="050000"/>
    <x v="1"/>
    <s v="050000"/>
    <s v="20130910"/>
    <x v="1"/>
    <d v="2013-08-31T00:00:00"/>
    <n v="-3613.15"/>
  </r>
  <r>
    <s v="9200002985"/>
    <s v="YA"/>
    <s v="050000"/>
    <x v="1"/>
    <s v="050000"/>
    <s v="20130910"/>
    <x v="2"/>
    <d v="2013-08-31T00:00:00"/>
    <n v="1013.16"/>
  </r>
  <r>
    <s v="9200002985"/>
    <s v="YA"/>
    <s v="050000"/>
    <x v="1"/>
    <s v="050000"/>
    <s v="20130910"/>
    <x v="1"/>
    <d v="2013-08-31T00:00:00"/>
    <n v="3613.15"/>
  </r>
  <r>
    <s v="9200003310"/>
    <s v="YA"/>
    <s v="050000"/>
    <x v="1"/>
    <s v="050000"/>
    <s v="20131005"/>
    <x v="2"/>
    <d v="2013-09-30T00:00:00"/>
    <n v="-2026.33"/>
  </r>
  <r>
    <s v="9200003310"/>
    <s v="YA"/>
    <s v="050000"/>
    <x v="1"/>
    <s v="050000"/>
    <s v="20131005"/>
    <x v="1"/>
    <d v="2013-09-30T00:00:00"/>
    <n v="-7226.31"/>
  </r>
  <r>
    <s v="9200003312"/>
    <s v="YA"/>
    <s v="050000"/>
    <x v="1"/>
    <s v="050000"/>
    <s v="20131005"/>
    <x v="2"/>
    <d v="2013-09-30T00:00:00"/>
    <n v="-1013.16"/>
  </r>
  <r>
    <s v="9200003312"/>
    <s v="YA"/>
    <s v="050000"/>
    <x v="1"/>
    <s v="050000"/>
    <s v="20131005"/>
    <x v="1"/>
    <d v="2013-09-30T00:00:00"/>
    <n v="-3613.16"/>
  </r>
  <r>
    <s v="9200003314"/>
    <s v="YA"/>
    <s v="9959-260"/>
    <x v="1"/>
    <s v="9959-260"/>
    <s v="20131005"/>
    <x v="1"/>
    <d v="2013-09-30T00:00:00"/>
    <n v="7226.31"/>
  </r>
  <r>
    <s v="9200003314"/>
    <s v="YA"/>
    <s v="9959-260"/>
    <x v="1"/>
    <s v="9959-260"/>
    <s v="20131005"/>
    <x v="2"/>
    <d v="2013-09-30T00:00:00"/>
    <n v="2026.33"/>
  </r>
  <r>
    <s v="9200003736"/>
    <s v="YA"/>
    <s v="050000"/>
    <x v="1"/>
    <s v="050000"/>
    <s v="20131107"/>
    <x v="1"/>
    <d v="2013-10-31T00:00:00"/>
    <n v="-3613.16"/>
  </r>
  <r>
    <s v="9200003736"/>
    <s v="YA"/>
    <s v="050000"/>
    <x v="1"/>
    <s v="050000"/>
    <s v="20131107"/>
    <x v="2"/>
    <d v="2013-10-31T00:00:00"/>
    <n v="-1013.17"/>
  </r>
  <r>
    <s v="9200004109"/>
    <s v="YA"/>
    <s v="050000"/>
    <x v="1"/>
    <s v="050000"/>
    <s v="20131206"/>
    <x v="2"/>
    <d v="2013-11-30T00:00:00"/>
    <n v="-1013.16"/>
  </r>
  <r>
    <s v="9200004109"/>
    <s v="YA"/>
    <s v="050000"/>
    <x v="1"/>
    <s v="050000"/>
    <s v="20131206"/>
    <x v="1"/>
    <d v="2013-11-30T00:00:00"/>
    <n v="-3613.16"/>
  </r>
  <r>
    <s v="9200004446"/>
    <s v="YA"/>
    <s v="050000"/>
    <x v="1"/>
    <s v="050000"/>
    <s v="20140106"/>
    <x v="2"/>
    <d v="2013-12-31T00:00:00"/>
    <n v="-1013.16"/>
  </r>
  <r>
    <s v="9200004446"/>
    <s v="YA"/>
    <s v="050000"/>
    <x v="1"/>
    <s v="050000"/>
    <s v="20140106"/>
    <x v="1"/>
    <d v="2013-12-31T00:00:00"/>
    <n v="-3613.16"/>
  </r>
  <r>
    <s v="9200004448"/>
    <s v="YA"/>
    <s v="050000"/>
    <x v="1"/>
    <s v="050000"/>
    <s v="20140106"/>
    <x v="1"/>
    <d v="2013-12-31T00:00:00"/>
    <n v="-3613.16"/>
  </r>
  <r>
    <s v="9200004448"/>
    <s v="YA"/>
    <s v="050000"/>
    <x v="1"/>
    <s v="050000"/>
    <s v="20140106"/>
    <x v="2"/>
    <d v="2013-12-31T00:00:00"/>
    <n v="-1013.16"/>
  </r>
  <r>
    <s v="9200004450"/>
    <s v="YA"/>
    <s v="9959-260"/>
    <x v="1"/>
    <s v="9959-260"/>
    <s v="20140106"/>
    <x v="1"/>
    <d v="2013-12-31T00:00:00"/>
    <n v="3613.16"/>
  </r>
  <r>
    <s v="9200004450"/>
    <s v="YA"/>
    <s v="9959-260"/>
    <x v="1"/>
    <s v="9959-260"/>
    <s v="20140106"/>
    <x v="2"/>
    <d v="2013-12-31T00:00:00"/>
    <n v="1013.16"/>
  </r>
  <r>
    <s v="9200004451"/>
    <s v="YA"/>
    <s v="050000"/>
    <x v="1"/>
    <s v="050000"/>
    <s v="20140117"/>
    <x v="2"/>
    <d v="2013-12-31T00:00:00"/>
    <n v="-1013.16"/>
  </r>
  <r>
    <s v="9200004451"/>
    <s v="YA"/>
    <s v="050000"/>
    <x v="1"/>
    <s v="050000"/>
    <s v="20140117"/>
    <x v="1"/>
    <d v="2013-12-31T00:00:00"/>
    <n v="-3613.16"/>
  </r>
  <r>
    <s v="9200004453"/>
    <s v="YA"/>
    <s v="9959-260"/>
    <x v="1"/>
    <s v="9959-260"/>
    <s v="20140117"/>
    <x v="2"/>
    <d v="2013-12-31T00:00:00"/>
    <n v="1013.16"/>
  </r>
  <r>
    <s v="9200004453"/>
    <s v="YA"/>
    <s v="9959-260"/>
    <x v="1"/>
    <s v="9959-260"/>
    <s v="20140117"/>
    <x v="1"/>
    <d v="2013-12-31T00:00:00"/>
    <n v="3613.16"/>
  </r>
  <r>
    <s v="9200000366"/>
    <s v="YA"/>
    <s v="050000"/>
    <x v="1"/>
    <s v="050000"/>
    <s v="20140207"/>
    <x v="1"/>
    <d v="2014-01-31T00:00:00"/>
    <n v="-3613.16"/>
  </r>
  <r>
    <s v="9200000366"/>
    <s v="YA"/>
    <s v="050000"/>
    <x v="1"/>
    <s v="050000"/>
    <s v="20140207"/>
    <x v="2"/>
    <d v="2014-01-31T00:00:00"/>
    <n v="-1013.16"/>
  </r>
  <r>
    <s v="9200000704"/>
    <s v="YA"/>
    <s v="050000"/>
    <x v="1"/>
    <s v="050000"/>
    <s v="20140307"/>
    <x v="1"/>
    <d v="2014-02-28T00:00:00"/>
    <n v="-3613.15"/>
  </r>
  <r>
    <s v="9200000704"/>
    <s v="YA"/>
    <s v="050000"/>
    <x v="1"/>
    <s v="050000"/>
    <s v="20140307"/>
    <x v="2"/>
    <d v="2014-02-28T00:00:00"/>
    <n v="-1013.16"/>
  </r>
  <r>
    <s v="9200001105"/>
    <s v="YA"/>
    <s v="050000"/>
    <x v="1"/>
    <s v="050000"/>
    <s v="20140405"/>
    <x v="2"/>
    <d v="2014-03-31T00:00:00"/>
    <n v="-1013.16"/>
  </r>
  <r>
    <s v="9200001105"/>
    <s v="YA"/>
    <s v="050000"/>
    <x v="1"/>
    <s v="050000"/>
    <s v="20140405"/>
    <x v="1"/>
    <d v="2014-03-31T00:00:00"/>
    <n v="-3613.16"/>
  </r>
  <r>
    <s v="9200001508"/>
    <s v="YA"/>
    <s v="050000"/>
    <x v="1"/>
    <s v="050000"/>
    <s v="20140507"/>
    <x v="3"/>
    <d v="2014-04-30T00:00:00"/>
    <n v="-3801.92"/>
  </r>
  <r>
    <s v="9200001508"/>
    <s v="YA"/>
    <s v="050000"/>
    <x v="1"/>
    <s v="050000"/>
    <s v="20140507"/>
    <x v="1"/>
    <d v="2014-04-30T00:00:00"/>
    <n v="-3613.21"/>
  </r>
  <r>
    <s v="9200001508"/>
    <s v="YA"/>
    <s v="050000"/>
    <x v="1"/>
    <s v="050000"/>
    <s v="20140507"/>
    <x v="2"/>
    <d v="2014-04-30T00:00:00"/>
    <n v="-1013.17"/>
  </r>
  <r>
    <s v="9200001935"/>
    <s v="YA"/>
    <s v="050000"/>
    <x v="1"/>
    <s v="050000"/>
    <s v="20140606"/>
    <x v="3"/>
    <d v="2014-05-31T00:00:00"/>
    <n v="20273.259999999998"/>
  </r>
  <r>
    <s v="9200001935"/>
    <s v="YA"/>
    <s v="050000"/>
    <x v="1"/>
    <s v="050000"/>
    <s v="20140606"/>
    <x v="1"/>
    <d v="2014-05-31T00:00:00"/>
    <n v="-3613.16"/>
  </r>
  <r>
    <s v="9200001935"/>
    <s v="YA"/>
    <s v="050000"/>
    <x v="1"/>
    <s v="050000"/>
    <s v="20140606"/>
    <x v="2"/>
    <d v="2014-05-31T00:00:00"/>
    <n v="-1013.16"/>
  </r>
  <r>
    <s v="9200002384"/>
    <s v="YA"/>
    <s v="050000"/>
    <x v="1"/>
    <s v="050000"/>
    <s v="20140706"/>
    <x v="3"/>
    <d v="2014-06-30T00:00:00"/>
    <n v="-45.88"/>
  </r>
  <r>
    <s v="9200002384"/>
    <s v="YA"/>
    <s v="050000"/>
    <x v="1"/>
    <s v="050000"/>
    <s v="20140706"/>
    <x v="1"/>
    <d v="2014-06-30T00:00:00"/>
    <n v="-3613.16"/>
  </r>
  <r>
    <s v="9200002384"/>
    <s v="YA"/>
    <s v="050000"/>
    <x v="1"/>
    <s v="050000"/>
    <s v="20140706"/>
    <x v="2"/>
    <d v="2014-06-30T00:00:00"/>
    <n v="-1013.16"/>
  </r>
  <r>
    <s v="9200002785"/>
    <s v="YA"/>
    <s v="050000"/>
    <x v="1"/>
    <s v="050000"/>
    <s v="20140807"/>
    <x v="3"/>
    <d v="2014-07-31T00:00:00"/>
    <n v="-45.88"/>
  </r>
  <r>
    <s v="9200002785"/>
    <s v="YA"/>
    <s v="050000"/>
    <x v="1"/>
    <s v="050000"/>
    <s v="20140807"/>
    <x v="1"/>
    <d v="2014-07-31T00:00:00"/>
    <n v="-3613.16"/>
  </r>
  <r>
    <s v="9200002785"/>
    <s v="YA"/>
    <s v="050000"/>
    <x v="1"/>
    <s v="050000"/>
    <s v="20140807"/>
    <x v="2"/>
    <d v="2014-07-31T00:00:00"/>
    <n v="-1013.16"/>
  </r>
  <r>
    <s v="9200003185"/>
    <s v="YA"/>
    <s v="050000"/>
    <x v="1"/>
    <s v="050000"/>
    <s v="20140908"/>
    <x v="1"/>
    <d v="2014-08-31T00:00:00"/>
    <n v="-3613.16"/>
  </r>
  <r>
    <s v="9200003185"/>
    <s v="YA"/>
    <s v="050000"/>
    <x v="1"/>
    <s v="050000"/>
    <s v="20140908"/>
    <x v="2"/>
    <d v="2014-08-31T00:00:00"/>
    <n v="-1013.16"/>
  </r>
  <r>
    <s v="9200003185"/>
    <s v="YA"/>
    <s v="050000"/>
    <x v="1"/>
    <s v="050000"/>
    <s v="20140908"/>
    <x v="3"/>
    <d v="2014-08-31T00:00:00"/>
    <n v="-45.88"/>
  </r>
  <r>
    <s v="9200003592"/>
    <s v="YA"/>
    <s v="050000"/>
    <x v="1"/>
    <s v="050000"/>
    <s v="20141005"/>
    <x v="1"/>
    <d v="2014-09-30T00:00:00"/>
    <n v="-3613.16"/>
  </r>
  <r>
    <s v="9200003592"/>
    <s v="YA"/>
    <s v="050000"/>
    <x v="1"/>
    <s v="050000"/>
    <s v="20141005"/>
    <x v="2"/>
    <d v="2014-09-30T00:00:00"/>
    <n v="-1013.16"/>
  </r>
  <r>
    <s v="9200003592"/>
    <s v="YA"/>
    <s v="050000"/>
    <x v="1"/>
    <s v="050000"/>
    <s v="20141005"/>
    <x v="3"/>
    <d v="2014-09-30T00:00:00"/>
    <n v="-45.88"/>
  </r>
  <r>
    <s v="9200003954"/>
    <s v="YA"/>
    <s v="050000"/>
    <x v="1"/>
    <s v="050000"/>
    <s v="20141107"/>
    <x v="1"/>
    <d v="2014-10-31T00:00:00"/>
    <n v="-3613.16"/>
  </r>
  <r>
    <s v="9200003954"/>
    <s v="YA"/>
    <s v="050000"/>
    <x v="1"/>
    <s v="050000"/>
    <s v="20141107"/>
    <x v="2"/>
    <d v="2014-10-31T00:00:00"/>
    <n v="-1013.16"/>
  </r>
  <r>
    <s v="9200003954"/>
    <s v="YA"/>
    <s v="050000"/>
    <x v="1"/>
    <s v="050000"/>
    <s v="20141107"/>
    <x v="3"/>
    <d v="2014-10-31T00:00:00"/>
    <n v="-45.88"/>
  </r>
  <r>
    <s v="9200004391"/>
    <s v="YA"/>
    <s v="050000"/>
    <x v="1"/>
    <s v="050000"/>
    <s v="20141208"/>
    <x v="2"/>
    <d v="2014-11-30T00:00:00"/>
    <n v="-1013.16"/>
  </r>
  <r>
    <s v="9200004391"/>
    <s v="YA"/>
    <s v="050000"/>
    <x v="1"/>
    <s v="050000"/>
    <s v="20141208"/>
    <x v="3"/>
    <d v="2014-11-30T00:00:00"/>
    <n v="-45.88"/>
  </r>
  <r>
    <s v="9200004391"/>
    <s v="YA"/>
    <s v="050000"/>
    <x v="1"/>
    <s v="050000"/>
    <s v="20141208"/>
    <x v="1"/>
    <d v="2014-11-30T00:00:00"/>
    <n v="-3613.16"/>
  </r>
  <r>
    <s v="9200004933"/>
    <s v="YA"/>
    <s v="050000"/>
    <x v="1"/>
    <s v="050000"/>
    <s v="20150107"/>
    <x v="3"/>
    <d v="2014-12-31T00:00:00"/>
    <n v="-45.88"/>
  </r>
  <r>
    <s v="9200004933"/>
    <s v="YA"/>
    <s v="050000"/>
    <x v="1"/>
    <s v="050000"/>
    <s v="20150107"/>
    <x v="2"/>
    <d v="2014-12-31T00:00:00"/>
    <n v="-1013.16"/>
  </r>
  <r>
    <s v="9200004933"/>
    <s v="YA"/>
    <s v="050000"/>
    <x v="1"/>
    <s v="050000"/>
    <s v="20150107"/>
    <x v="1"/>
    <d v="2014-12-31T00:00:00"/>
    <n v="-3613.16"/>
  </r>
  <r>
    <s v="9200004936"/>
    <s v="YA"/>
    <s v="050000"/>
    <x v="1"/>
    <s v="050000"/>
    <s v="20150120"/>
    <x v="3"/>
    <d v="2014-12-31T00:00:00"/>
    <n v="-45.88"/>
  </r>
  <r>
    <s v="9200004936"/>
    <s v="YA"/>
    <s v="050000"/>
    <x v="1"/>
    <s v="050000"/>
    <s v="20150120"/>
    <x v="2"/>
    <d v="2014-12-31T00:00:00"/>
    <n v="-1013.16"/>
  </r>
  <r>
    <s v="9200004936"/>
    <s v="YA"/>
    <s v="050000"/>
    <x v="1"/>
    <s v="050000"/>
    <s v="20150120"/>
    <x v="1"/>
    <d v="2014-12-31T00:00:00"/>
    <n v="-3613.16"/>
  </r>
  <r>
    <s v="9200004937"/>
    <s v="YA"/>
    <s v="9959-260"/>
    <x v="1"/>
    <s v="9959-260"/>
    <s v="20150120"/>
    <x v="2"/>
    <d v="2014-12-31T00:00:00"/>
    <n v="1013.16"/>
  </r>
  <r>
    <s v="9200004937"/>
    <s v="YA"/>
    <s v="9959-260"/>
    <x v="1"/>
    <s v="9959-260"/>
    <s v="20150120"/>
    <x v="1"/>
    <d v="2014-12-31T00:00:00"/>
    <n v="3613.16"/>
  </r>
  <r>
    <s v="9200004937"/>
    <s v="YA"/>
    <s v="9959-260"/>
    <x v="1"/>
    <s v="9959-260"/>
    <s v="20150120"/>
    <x v="3"/>
    <d v="2014-12-31T00:00:00"/>
    <n v="45.88"/>
  </r>
  <r>
    <s v="9200000561"/>
    <s v="YA"/>
    <s v="050000"/>
    <x v="1"/>
    <s v="050000"/>
    <s v="20150206"/>
    <x v="2"/>
    <d v="2015-01-31T00:00:00"/>
    <n v="-1013.16"/>
  </r>
  <r>
    <s v="9200000561"/>
    <s v="YA"/>
    <s v="050000"/>
    <x v="1"/>
    <s v="050000"/>
    <s v="20150206"/>
    <x v="1"/>
    <d v="2015-01-31T00:00:00"/>
    <n v="-3613.16"/>
  </r>
  <r>
    <s v="9200000561"/>
    <s v="YA"/>
    <s v="050000"/>
    <x v="1"/>
    <s v="050000"/>
    <s v="20150206"/>
    <x v="3"/>
    <d v="2015-01-31T00:00:00"/>
    <n v="-45.88"/>
  </r>
  <r>
    <s v="9200001095"/>
    <s v="YA"/>
    <s v="050000"/>
    <x v="1"/>
    <s v="050000"/>
    <s v="20150306"/>
    <x v="1"/>
    <d v="2015-02-28T00:00:00"/>
    <n v="-3613.16"/>
  </r>
  <r>
    <s v="9200001095"/>
    <s v="YA"/>
    <s v="050000"/>
    <x v="1"/>
    <s v="050000"/>
    <s v="20150306"/>
    <x v="2"/>
    <d v="2015-02-28T00:00:00"/>
    <n v="-1013.16"/>
  </r>
  <r>
    <s v="9200001095"/>
    <s v="YA"/>
    <s v="050000"/>
    <x v="1"/>
    <s v="050000"/>
    <s v="20150306"/>
    <x v="3"/>
    <d v="2015-02-28T00:00:00"/>
    <n v="-45.88"/>
  </r>
  <r>
    <s v="9200001658"/>
    <s v="YA"/>
    <s v="050000"/>
    <x v="1"/>
    <s v="050000"/>
    <s v="20150406"/>
    <x v="1"/>
    <d v="2015-03-31T00:00:00"/>
    <n v="-3613.15"/>
  </r>
  <r>
    <s v="9200001658"/>
    <s v="YA"/>
    <s v="050000"/>
    <x v="1"/>
    <s v="050000"/>
    <s v="20150406"/>
    <x v="3"/>
    <d v="2015-03-31T00:00:00"/>
    <n v="-45.88"/>
  </r>
  <r>
    <s v="9200001658"/>
    <s v="YA"/>
    <s v="050000"/>
    <x v="1"/>
    <s v="050000"/>
    <s v="20150406"/>
    <x v="4"/>
    <d v="2015-03-31T00:00:00"/>
    <n v="-17408.87"/>
  </r>
  <r>
    <s v="9200001658"/>
    <s v="YA"/>
    <s v="050000"/>
    <x v="1"/>
    <s v="050000"/>
    <s v="20150406"/>
    <x v="2"/>
    <d v="2015-03-31T00:00:00"/>
    <n v="-1013.16"/>
  </r>
  <r>
    <s v="9200002218"/>
    <s v="YA"/>
    <s v="050000"/>
    <x v="1"/>
    <s v="050000"/>
    <s v="20150508"/>
    <x v="2"/>
    <d v="2015-04-30T00:00:00"/>
    <n v="-1013.16"/>
  </r>
  <r>
    <s v="9200002218"/>
    <s v="YA"/>
    <s v="050000"/>
    <x v="1"/>
    <s v="050000"/>
    <s v="20150508"/>
    <x v="4"/>
    <d v="2015-04-30T00:00:00"/>
    <n v="-101366.98"/>
  </r>
  <r>
    <s v="9200002218"/>
    <s v="YA"/>
    <s v="050000"/>
    <x v="1"/>
    <s v="050000"/>
    <s v="20150508"/>
    <x v="1"/>
    <d v="2015-04-30T00:00:00"/>
    <n v="-3613.16"/>
  </r>
  <r>
    <s v="9200002218"/>
    <s v="YA"/>
    <s v="050000"/>
    <x v="1"/>
    <s v="050000"/>
    <s v="20150508"/>
    <x v="3"/>
    <d v="2015-04-30T00:00:00"/>
    <n v="-45.88"/>
  </r>
  <r>
    <s v="9200002820"/>
    <s v="YA"/>
    <s v="050000"/>
    <x v="1"/>
    <s v="050000"/>
    <s v="20150605"/>
    <x v="4"/>
    <d v="2015-05-31T00:00:00"/>
    <n v="-100726.94"/>
  </r>
  <r>
    <s v="9200002820"/>
    <s v="YA"/>
    <s v="050000"/>
    <x v="1"/>
    <s v="050000"/>
    <s v="20150605"/>
    <x v="2"/>
    <d v="2015-05-31T00:00:00"/>
    <n v="-1013.16"/>
  </r>
  <r>
    <s v="9200002820"/>
    <s v="YA"/>
    <s v="050000"/>
    <x v="1"/>
    <s v="050000"/>
    <s v="20150605"/>
    <x v="1"/>
    <d v="2015-05-31T00:00:00"/>
    <n v="-3613.16"/>
  </r>
  <r>
    <s v="9200002820"/>
    <s v="YA"/>
    <s v="050000"/>
    <x v="1"/>
    <s v="050000"/>
    <s v="20150605"/>
    <x v="3"/>
    <d v="2015-05-31T00:00:00"/>
    <n v="-45.88"/>
  </r>
  <r>
    <s v="9200003424"/>
    <s v="YA"/>
    <s v="050000"/>
    <x v="1"/>
    <s v="050000"/>
    <s v="20150706"/>
    <x v="1"/>
    <d v="2015-06-30T00:00:00"/>
    <n v="-3613.16"/>
  </r>
  <r>
    <s v="9200003424"/>
    <s v="YA"/>
    <s v="050000"/>
    <x v="1"/>
    <s v="050000"/>
    <s v="20150706"/>
    <x v="4"/>
    <d v="2015-06-30T00:00:00"/>
    <n v="609.73"/>
  </r>
  <r>
    <s v="9200003424"/>
    <s v="YA"/>
    <s v="050000"/>
    <x v="1"/>
    <s v="050000"/>
    <s v="20150706"/>
    <x v="2"/>
    <d v="2015-06-30T00:00:00"/>
    <n v="-1013.16"/>
  </r>
  <r>
    <s v="9200003424"/>
    <s v="YA"/>
    <s v="050000"/>
    <x v="1"/>
    <s v="050000"/>
    <s v="20150706"/>
    <x v="3"/>
    <d v="2015-06-30T00:00:00"/>
    <n v="-45.88"/>
  </r>
  <r>
    <s v="9200004050"/>
    <s v="YA"/>
    <s v="050000"/>
    <x v="1"/>
    <s v="050000"/>
    <s v="20150807"/>
    <x v="4"/>
    <d v="2015-07-31T00:00:00"/>
    <n v="609.73"/>
  </r>
  <r>
    <s v="9200004050"/>
    <s v="YA"/>
    <s v="050000"/>
    <x v="1"/>
    <s v="050000"/>
    <s v="20150807"/>
    <x v="1"/>
    <d v="2015-07-31T00:00:00"/>
    <n v="-3613.16"/>
  </r>
  <r>
    <s v="9200004050"/>
    <s v="YA"/>
    <s v="050000"/>
    <x v="1"/>
    <s v="050000"/>
    <s v="20150807"/>
    <x v="3"/>
    <d v="2015-07-31T00:00:00"/>
    <n v="-45.88"/>
  </r>
  <r>
    <s v="9200004050"/>
    <s v="YA"/>
    <s v="050000"/>
    <x v="1"/>
    <s v="050000"/>
    <s v="20150807"/>
    <x v="2"/>
    <d v="2015-07-31T00:00:00"/>
    <n v="-1013.16"/>
  </r>
  <r>
    <s v="9200004737"/>
    <s v="YA"/>
    <s v="050000"/>
    <x v="1"/>
    <s v="050000"/>
    <s v="20150908"/>
    <x v="3"/>
    <d v="2015-08-31T00:00:00"/>
    <n v="-45.88"/>
  </r>
  <r>
    <s v="9200004737"/>
    <s v="YA"/>
    <s v="050000"/>
    <x v="1"/>
    <s v="050000"/>
    <s v="20150908"/>
    <x v="4"/>
    <d v="2015-08-31T00:00:00"/>
    <n v="609.73"/>
  </r>
  <r>
    <s v="9200004737"/>
    <s v="YA"/>
    <s v="050000"/>
    <x v="1"/>
    <s v="050000"/>
    <s v="20150908"/>
    <x v="1"/>
    <d v="2015-08-31T00:00:00"/>
    <n v="-3613.16"/>
  </r>
  <r>
    <s v="9200004737"/>
    <s v="YA"/>
    <s v="050000"/>
    <x v="1"/>
    <s v="050000"/>
    <s v="20150908"/>
    <x v="2"/>
    <d v="2015-08-31T00:00:00"/>
    <n v="-1013.16"/>
  </r>
  <r>
    <s v="9200006317"/>
    <s v="YA"/>
    <s v="050000"/>
    <x v="1"/>
    <s v="050000"/>
    <s v="20151006"/>
    <x v="2"/>
    <d v="2015-09-30T00:00:00"/>
    <n v="-1013.16"/>
  </r>
  <r>
    <s v="9200006317"/>
    <s v="YA"/>
    <s v="050000"/>
    <x v="1"/>
    <s v="050000"/>
    <s v="20151006"/>
    <x v="3"/>
    <d v="2015-09-30T00:00:00"/>
    <n v="-45.88"/>
  </r>
  <r>
    <s v="9200006317"/>
    <s v="YA"/>
    <s v="050000"/>
    <x v="1"/>
    <s v="050000"/>
    <s v="20151006"/>
    <x v="1"/>
    <d v="2015-09-30T00:00:00"/>
    <n v="-3613.16"/>
  </r>
  <r>
    <s v="9200006317"/>
    <s v="YA"/>
    <s v="050000"/>
    <x v="1"/>
    <s v="050000"/>
    <s v="20151006"/>
    <x v="4"/>
    <d v="2015-09-30T00:00:00"/>
    <n v="609.73"/>
  </r>
  <r>
    <s v="9200007979"/>
    <s v="YA"/>
    <s v="050000"/>
    <x v="1"/>
    <s v="050000"/>
    <s v="20151106"/>
    <x v="3"/>
    <d v="2015-10-31T00:00:00"/>
    <n v="-45.88"/>
  </r>
  <r>
    <s v="9200007979"/>
    <s v="YA"/>
    <s v="050000"/>
    <x v="1"/>
    <s v="050000"/>
    <s v="20151106"/>
    <x v="4"/>
    <d v="2015-10-31T00:00:00"/>
    <n v="609.73"/>
  </r>
  <r>
    <s v="9200007979"/>
    <s v="YA"/>
    <s v="050000"/>
    <x v="1"/>
    <s v="050000"/>
    <s v="20151106"/>
    <x v="1"/>
    <d v="2015-10-31T00:00:00"/>
    <n v="-3613.16"/>
  </r>
  <r>
    <s v="9200007979"/>
    <s v="YA"/>
    <s v="050000"/>
    <x v="1"/>
    <s v="050000"/>
    <s v="20151106"/>
    <x v="2"/>
    <d v="2015-10-31T00:00:00"/>
    <n v="-1013.16"/>
  </r>
  <r>
    <s v="9200009377"/>
    <s v="YA"/>
    <s v="050000"/>
    <x v="1"/>
    <s v="050000"/>
    <s v="20151207"/>
    <x v="2"/>
    <d v="2015-11-30T00:00:00"/>
    <n v="-1013.16"/>
  </r>
  <r>
    <s v="9200009377"/>
    <s v="YA"/>
    <s v="050000"/>
    <x v="1"/>
    <s v="050000"/>
    <s v="20151207"/>
    <x v="3"/>
    <d v="2015-11-30T00:00:00"/>
    <n v="-45.88"/>
  </r>
  <r>
    <s v="9200009377"/>
    <s v="YA"/>
    <s v="050000"/>
    <x v="1"/>
    <s v="050000"/>
    <s v="20151207"/>
    <x v="1"/>
    <d v="2015-11-30T00:00:00"/>
    <n v="-3613.16"/>
  </r>
  <r>
    <s v="9200009377"/>
    <s v="YA"/>
    <s v="050000"/>
    <x v="1"/>
    <s v="050000"/>
    <s v="20151207"/>
    <x v="4"/>
    <d v="2015-11-30T00:00:00"/>
    <n v="609.73"/>
  </r>
  <r>
    <s v="9200010383"/>
    <s v="YA"/>
    <s v="050000"/>
    <x v="1"/>
    <s v="050000"/>
    <s v="20160107"/>
    <x v="1"/>
    <d v="2015-12-31T00:00:00"/>
    <n v="-3613.16"/>
  </r>
  <r>
    <s v="9200010383"/>
    <s v="YA"/>
    <s v="050000"/>
    <x v="1"/>
    <s v="050000"/>
    <s v="20160107"/>
    <x v="3"/>
    <d v="2015-12-31T00:00:00"/>
    <n v="-45.88"/>
  </r>
  <r>
    <s v="9200010383"/>
    <s v="YA"/>
    <s v="050000"/>
    <x v="1"/>
    <s v="050000"/>
    <s v="20160107"/>
    <x v="2"/>
    <d v="2015-12-31T00:00:00"/>
    <n v="-1013.16"/>
  </r>
  <r>
    <s v="9200010383"/>
    <s v="YA"/>
    <s v="050000"/>
    <x v="1"/>
    <s v="050000"/>
    <s v="20160107"/>
    <x v="4"/>
    <d v="2015-12-31T00:00:00"/>
    <n v="609.73"/>
  </r>
  <r>
    <s v="9200010385"/>
    <s v="YA"/>
    <s v="050000"/>
    <x v="1"/>
    <s v="050000"/>
    <s v="20160109"/>
    <x v="4"/>
    <d v="2015-12-31T00:00:00"/>
    <n v="609.73"/>
  </r>
  <r>
    <s v="9200010385"/>
    <s v="YA"/>
    <s v="050000"/>
    <x v="1"/>
    <s v="050000"/>
    <s v="20160109"/>
    <x v="3"/>
    <d v="2015-12-31T00:00:00"/>
    <n v="-45.88"/>
  </r>
  <r>
    <s v="9200010385"/>
    <s v="YA"/>
    <s v="050000"/>
    <x v="1"/>
    <s v="050000"/>
    <s v="20160109"/>
    <x v="2"/>
    <d v="2015-12-31T00:00:00"/>
    <n v="-1013.16"/>
  </r>
  <r>
    <s v="9200010385"/>
    <s v="YA"/>
    <s v="050000"/>
    <x v="1"/>
    <s v="050000"/>
    <s v="20160109"/>
    <x v="1"/>
    <d v="2015-12-31T00:00:00"/>
    <n v="-3613.16"/>
  </r>
  <r>
    <s v="9200010387"/>
    <s v="YA"/>
    <s v="9959-260"/>
    <x v="1"/>
    <s v="9959-260"/>
    <s v="20160109"/>
    <x v="4"/>
    <d v="2015-12-31T00:00:00"/>
    <n v="-609.73"/>
  </r>
  <r>
    <s v="9200010387"/>
    <s v="YA"/>
    <s v="9959-260"/>
    <x v="1"/>
    <s v="9959-260"/>
    <s v="20160109"/>
    <x v="1"/>
    <d v="2015-12-31T00:00:00"/>
    <n v="3613.16"/>
  </r>
  <r>
    <s v="9200010387"/>
    <s v="YA"/>
    <s v="9959-260"/>
    <x v="1"/>
    <s v="9959-260"/>
    <s v="20160109"/>
    <x v="3"/>
    <d v="2015-12-31T00:00:00"/>
    <n v="45.88"/>
  </r>
  <r>
    <s v="9200010387"/>
    <s v="YA"/>
    <s v="9959-260"/>
    <x v="1"/>
    <s v="9959-260"/>
    <s v="20160109"/>
    <x v="2"/>
    <d v="2015-12-31T00:00:00"/>
    <n v="1013.16"/>
  </r>
  <r>
    <s v="9200010388"/>
    <s v="YA"/>
    <s v="050000"/>
    <x v="1"/>
    <s v="050000"/>
    <s v="20160119"/>
    <x v="3"/>
    <d v="2015-12-31T00:00:00"/>
    <n v="-45.88"/>
  </r>
  <r>
    <s v="9200010388"/>
    <s v="YA"/>
    <s v="050000"/>
    <x v="1"/>
    <s v="050000"/>
    <s v="20160119"/>
    <x v="1"/>
    <d v="2015-12-31T00:00:00"/>
    <n v="-3613.16"/>
  </r>
  <r>
    <s v="9200010388"/>
    <s v="YA"/>
    <s v="050000"/>
    <x v="1"/>
    <s v="050000"/>
    <s v="20160119"/>
    <x v="2"/>
    <d v="2015-12-31T00:00:00"/>
    <n v="-1013.16"/>
  </r>
  <r>
    <s v="9200010388"/>
    <s v="YA"/>
    <s v="050000"/>
    <x v="1"/>
    <s v="050000"/>
    <s v="20160119"/>
    <x v="4"/>
    <d v="2015-12-31T00:00:00"/>
    <n v="609.73"/>
  </r>
  <r>
    <s v="9200010390"/>
    <s v="YA"/>
    <s v="9959-260"/>
    <x v="1"/>
    <s v="9959-260"/>
    <s v="20160119"/>
    <x v="4"/>
    <d v="2015-12-31T00:00:00"/>
    <n v="-609.73"/>
  </r>
  <r>
    <s v="9200010390"/>
    <s v="YA"/>
    <s v="9959-260"/>
    <x v="1"/>
    <s v="9959-260"/>
    <s v="20160119"/>
    <x v="1"/>
    <d v="2015-12-31T00:00:00"/>
    <n v="3613.16"/>
  </r>
  <r>
    <s v="9200010390"/>
    <s v="YA"/>
    <s v="9959-260"/>
    <x v="1"/>
    <s v="9959-260"/>
    <s v="20160119"/>
    <x v="2"/>
    <d v="2015-12-31T00:00:00"/>
    <n v="1013.16"/>
  </r>
  <r>
    <s v="9200010390"/>
    <s v="YA"/>
    <s v="9959-260"/>
    <x v="1"/>
    <s v="9959-260"/>
    <s v="20160119"/>
    <x v="3"/>
    <d v="2015-12-31T00:00:00"/>
    <n v="45.88"/>
  </r>
  <r>
    <s v="9200001308"/>
    <s v="YA"/>
    <s v="050000"/>
    <x v="1"/>
    <s v="050000"/>
    <s v="20160208"/>
    <x v="3"/>
    <d v="2016-01-31T00:00:00"/>
    <n v="-45.88"/>
  </r>
  <r>
    <s v="9200001308"/>
    <s v="YA"/>
    <s v="050000"/>
    <x v="1"/>
    <s v="050000"/>
    <s v="20160208"/>
    <x v="4"/>
    <d v="2016-01-31T00:00:00"/>
    <n v="609.73"/>
  </r>
  <r>
    <s v="9200001308"/>
    <s v="YA"/>
    <s v="050000"/>
    <x v="1"/>
    <s v="050000"/>
    <s v="20160208"/>
    <x v="2"/>
    <d v="2016-01-31T00:00:00"/>
    <n v="-1013.16"/>
  </r>
  <r>
    <s v="9200001308"/>
    <s v="YA"/>
    <s v="050000"/>
    <x v="1"/>
    <s v="050000"/>
    <s v="20160208"/>
    <x v="1"/>
    <d v="2016-01-31T00:00:00"/>
    <n v="-3613.16"/>
  </r>
  <r>
    <s v="9200002518"/>
    <s v="YA"/>
    <s v="050000"/>
    <x v="1"/>
    <s v="050000"/>
    <s v="20160307"/>
    <x v="4"/>
    <d v="2016-02-29T00:00:00"/>
    <n v="609.73"/>
  </r>
  <r>
    <s v="9200002518"/>
    <s v="YA"/>
    <s v="050000"/>
    <x v="1"/>
    <s v="050000"/>
    <s v="20160307"/>
    <x v="3"/>
    <d v="2016-02-29T00:00:00"/>
    <n v="-45.88"/>
  </r>
  <r>
    <s v="9200002518"/>
    <s v="YA"/>
    <s v="050000"/>
    <x v="1"/>
    <s v="050000"/>
    <s v="20160307"/>
    <x v="2"/>
    <d v="2016-02-29T00:00:00"/>
    <n v="-1013.16"/>
  </r>
  <r>
    <s v="9200002518"/>
    <s v="YA"/>
    <s v="050000"/>
    <x v="1"/>
    <s v="050000"/>
    <s v="20160307"/>
    <x v="1"/>
    <d v="2016-02-29T00:00:00"/>
    <n v="-3613.16"/>
  </r>
  <r>
    <s v="9200002557"/>
    <s v="YA"/>
    <s v="050000"/>
    <x v="1"/>
    <s v="050000"/>
    <s v="20160308"/>
    <x v="2"/>
    <d v="2016-02-29T00:00:00"/>
    <n v="-1013.16"/>
  </r>
  <r>
    <s v="9200002557"/>
    <s v="YA"/>
    <s v="050000"/>
    <x v="1"/>
    <s v="050000"/>
    <s v="20160308"/>
    <x v="1"/>
    <d v="2016-02-29T00:00:00"/>
    <n v="-3613.16"/>
  </r>
  <r>
    <s v="9200002557"/>
    <s v="YA"/>
    <s v="050000"/>
    <x v="1"/>
    <s v="050000"/>
    <s v="20160308"/>
    <x v="3"/>
    <d v="2016-02-29T00:00:00"/>
    <n v="-45.88"/>
  </r>
  <r>
    <s v="9200002557"/>
    <s v="YA"/>
    <s v="050000"/>
    <x v="1"/>
    <s v="050000"/>
    <s v="20160308"/>
    <x v="4"/>
    <d v="2016-02-29T00:00:00"/>
    <n v="609.73"/>
  </r>
  <r>
    <s v="9200002559"/>
    <s v="YA"/>
    <s v="9959-260"/>
    <x v="1"/>
    <s v="9959-260"/>
    <s v="20160308"/>
    <x v="4"/>
    <d v="2016-02-29T00:00:00"/>
    <n v="-609.73"/>
  </r>
  <r>
    <s v="9200002559"/>
    <s v="YA"/>
    <s v="9959-260"/>
    <x v="1"/>
    <s v="9959-260"/>
    <s v="20160308"/>
    <x v="2"/>
    <d v="2016-02-29T00:00:00"/>
    <n v="1013.16"/>
  </r>
  <r>
    <s v="9200002559"/>
    <s v="YA"/>
    <s v="9959-260"/>
    <x v="1"/>
    <s v="9959-260"/>
    <s v="20160308"/>
    <x v="3"/>
    <d v="2016-02-29T00:00:00"/>
    <n v="45.88"/>
  </r>
  <r>
    <s v="9200002559"/>
    <s v="YA"/>
    <s v="9959-260"/>
    <x v="1"/>
    <s v="9959-260"/>
    <s v="20160308"/>
    <x v="1"/>
    <d v="2016-02-29T00:00:00"/>
    <n v="3613.16"/>
  </r>
  <r>
    <s v="9200003820"/>
    <s v="YA"/>
    <s v="050000"/>
    <x v="1"/>
    <s v="050000"/>
    <s v="20160406"/>
    <x v="1"/>
    <d v="2016-03-31T00:00:00"/>
    <n v="-3613.16"/>
  </r>
  <r>
    <s v="9200003820"/>
    <s v="YA"/>
    <s v="050000"/>
    <x v="1"/>
    <s v="050000"/>
    <s v="20160406"/>
    <x v="3"/>
    <d v="2016-03-31T00:00:00"/>
    <n v="-45.88"/>
  </r>
  <r>
    <s v="9200003820"/>
    <s v="YA"/>
    <s v="050000"/>
    <x v="1"/>
    <s v="050000"/>
    <s v="20160406"/>
    <x v="4"/>
    <d v="2016-03-31T00:00:00"/>
    <n v="609.73"/>
  </r>
  <r>
    <s v="9200003820"/>
    <s v="YA"/>
    <s v="050000"/>
    <x v="1"/>
    <s v="050000"/>
    <s v="20160406"/>
    <x v="2"/>
    <d v="2016-03-31T00:00:00"/>
    <n v="-1013.16"/>
  </r>
  <r>
    <s v="9200005365"/>
    <s v="YA"/>
    <s v="050000"/>
    <x v="1"/>
    <s v="050000"/>
    <s v="20160505"/>
    <x v="1"/>
    <d v="2016-04-30T00:00:00"/>
    <n v="-3613.16"/>
  </r>
  <r>
    <s v="9200005365"/>
    <s v="YA"/>
    <s v="050000"/>
    <x v="1"/>
    <s v="050000"/>
    <s v="20160505"/>
    <x v="4"/>
    <d v="2016-04-30T00:00:00"/>
    <n v="609.73"/>
  </r>
  <r>
    <s v="9200005365"/>
    <s v="YA"/>
    <s v="050000"/>
    <x v="1"/>
    <s v="050000"/>
    <s v="20160505"/>
    <x v="2"/>
    <d v="2016-04-30T00:00:00"/>
    <n v="-1013.16"/>
  </r>
  <r>
    <s v="9200005365"/>
    <s v="YA"/>
    <s v="050000"/>
    <x v="1"/>
    <s v="050000"/>
    <s v="20160505"/>
    <x v="3"/>
    <d v="2016-04-30T00:00:00"/>
    <n v="-45.88"/>
  </r>
  <r>
    <s v="9200006861"/>
    <s v="YA"/>
    <s v="050000"/>
    <x v="1"/>
    <s v="050000"/>
    <s v="20160606"/>
    <x v="4"/>
    <d v="2016-05-31T00:00:00"/>
    <n v="609.73"/>
  </r>
  <r>
    <s v="9200006861"/>
    <s v="YA"/>
    <s v="050000"/>
    <x v="1"/>
    <s v="050000"/>
    <s v="20160606"/>
    <x v="3"/>
    <d v="2016-05-31T00:00:00"/>
    <n v="-45.88"/>
  </r>
  <r>
    <s v="9200006861"/>
    <s v="YA"/>
    <s v="050000"/>
    <x v="1"/>
    <s v="050000"/>
    <s v="20160606"/>
    <x v="1"/>
    <d v="2016-05-31T00:00:00"/>
    <n v="-3613.16"/>
  </r>
  <r>
    <s v="9200006861"/>
    <s v="YA"/>
    <s v="050000"/>
    <x v="1"/>
    <s v="050000"/>
    <s v="20160606"/>
    <x v="2"/>
    <d v="2016-05-31T00:00:00"/>
    <n v="-1013.16"/>
  </r>
  <r>
    <s v="9200008488"/>
    <s v="YA"/>
    <s v="050000"/>
    <x v="1"/>
    <s v="050000"/>
    <s v="20160707"/>
    <x v="4"/>
    <d v="2016-06-30T00:00:00"/>
    <n v="609.73"/>
  </r>
  <r>
    <s v="9200008488"/>
    <s v="YA"/>
    <s v="050000"/>
    <x v="1"/>
    <s v="050000"/>
    <s v="20160707"/>
    <x v="1"/>
    <d v="2016-06-30T00:00:00"/>
    <n v="-3613.16"/>
  </r>
  <r>
    <s v="9200008488"/>
    <s v="YA"/>
    <s v="050000"/>
    <x v="1"/>
    <s v="050000"/>
    <s v="20160707"/>
    <x v="3"/>
    <d v="2016-06-30T00:00:00"/>
    <n v="-45.88"/>
  </r>
  <r>
    <s v="9200008488"/>
    <s v="YA"/>
    <s v="050000"/>
    <x v="1"/>
    <s v="050000"/>
    <s v="20160707"/>
    <x v="2"/>
    <d v="2016-06-30T00:00:00"/>
    <n v="-1013.16"/>
  </r>
  <r>
    <s v="9200010014"/>
    <s v="YA"/>
    <s v="050000"/>
    <x v="1"/>
    <s v="050000"/>
    <s v="20160804"/>
    <x v="2"/>
    <d v="2016-07-31T00:00:00"/>
    <n v="-1013.16"/>
  </r>
  <r>
    <s v="9200010014"/>
    <s v="YA"/>
    <s v="050000"/>
    <x v="1"/>
    <s v="050000"/>
    <s v="20160804"/>
    <x v="1"/>
    <d v="2016-07-31T00:00:00"/>
    <n v="-3613.16"/>
  </r>
  <r>
    <s v="9200010014"/>
    <s v="YA"/>
    <s v="050000"/>
    <x v="1"/>
    <s v="050000"/>
    <s v="20160804"/>
    <x v="3"/>
    <d v="2016-07-31T00:00:00"/>
    <n v="-45.88"/>
  </r>
  <r>
    <s v="9200010014"/>
    <s v="YA"/>
    <s v="050000"/>
    <x v="1"/>
    <s v="050000"/>
    <s v="20160804"/>
    <x v="4"/>
    <d v="2016-07-31T00:00:00"/>
    <n v="609.73"/>
  </r>
  <r>
    <s v="9200012011"/>
    <s v="YA"/>
    <s v="050000"/>
    <x v="1"/>
    <s v="050000"/>
    <s v="20160907"/>
    <x v="3"/>
    <d v="2016-08-31T00:00:00"/>
    <n v="-45.88"/>
  </r>
  <r>
    <s v="9200012011"/>
    <s v="YA"/>
    <s v="050000"/>
    <x v="1"/>
    <s v="050000"/>
    <s v="20160907"/>
    <x v="1"/>
    <d v="2016-08-31T00:00:00"/>
    <n v="-3613.15"/>
  </r>
  <r>
    <s v="9200012011"/>
    <s v="YA"/>
    <s v="050000"/>
    <x v="1"/>
    <s v="050000"/>
    <s v="20160907"/>
    <x v="2"/>
    <d v="2016-08-31T00:00:00"/>
    <n v="-1013.16"/>
  </r>
  <r>
    <s v="9200012011"/>
    <s v="YA"/>
    <s v="050000"/>
    <x v="1"/>
    <s v="050000"/>
    <s v="20160907"/>
    <x v="4"/>
    <d v="2016-08-31T00:00:00"/>
    <n v="609.73"/>
  </r>
  <r>
    <s v="9200013870"/>
    <s v="YA"/>
    <s v="050000"/>
    <x v="1"/>
    <s v="050000"/>
    <s v="20161006"/>
    <x v="4"/>
    <d v="2016-09-30T00:00:00"/>
    <n v="609.73"/>
  </r>
  <r>
    <s v="9200013870"/>
    <s v="YA"/>
    <s v="050000"/>
    <x v="1"/>
    <s v="050000"/>
    <s v="20161006"/>
    <x v="1"/>
    <d v="2016-09-30T00:00:00"/>
    <n v="-3613.16"/>
  </r>
  <r>
    <s v="9200013870"/>
    <s v="YA"/>
    <s v="050000"/>
    <x v="1"/>
    <s v="050000"/>
    <s v="20161006"/>
    <x v="3"/>
    <d v="2016-09-30T00:00:00"/>
    <n v="-45.88"/>
  </r>
  <r>
    <s v="9200013870"/>
    <s v="YA"/>
    <s v="050000"/>
    <x v="1"/>
    <s v="050000"/>
    <s v="20161006"/>
    <x v="2"/>
    <d v="2016-09-30T00:00:00"/>
    <n v="-1013.16"/>
  </r>
  <r>
    <s v="9200015683"/>
    <s v="YA"/>
    <s v="050000"/>
    <x v="1"/>
    <s v="050000"/>
    <s v="20161104"/>
    <x v="4"/>
    <d v="2016-10-31T00:00:00"/>
    <n v="609.73"/>
  </r>
  <r>
    <s v="9200015683"/>
    <s v="YA"/>
    <s v="050000"/>
    <x v="1"/>
    <s v="050000"/>
    <s v="20161104"/>
    <x v="2"/>
    <d v="2016-10-31T00:00:00"/>
    <n v="-1013.16"/>
  </r>
  <r>
    <s v="9200015683"/>
    <s v="YA"/>
    <s v="050000"/>
    <x v="1"/>
    <s v="050000"/>
    <s v="20161104"/>
    <x v="1"/>
    <d v="2016-10-31T00:00:00"/>
    <n v="-3613.16"/>
  </r>
  <r>
    <s v="9200015683"/>
    <s v="YA"/>
    <s v="050000"/>
    <x v="1"/>
    <s v="050000"/>
    <s v="20161104"/>
    <x v="3"/>
    <d v="2016-10-31T00:00:00"/>
    <n v="-45.88"/>
  </r>
  <r>
    <s v="9200017366"/>
    <s v="YA"/>
    <s v="050000"/>
    <x v="1"/>
    <s v="050000"/>
    <s v="20161206"/>
    <x v="3"/>
    <d v="2016-11-30T00:00:00"/>
    <n v="-45.88"/>
  </r>
  <r>
    <s v="9200017366"/>
    <s v="YA"/>
    <s v="050000"/>
    <x v="1"/>
    <s v="050000"/>
    <s v="20161206"/>
    <x v="1"/>
    <d v="2016-11-30T00:00:00"/>
    <n v="-3613.16"/>
  </r>
  <r>
    <s v="9200017366"/>
    <s v="YA"/>
    <s v="050000"/>
    <x v="1"/>
    <s v="050000"/>
    <s v="20161206"/>
    <x v="2"/>
    <d v="2016-11-30T00:00:00"/>
    <n v="-1013.16"/>
  </r>
  <r>
    <s v="9200017366"/>
    <s v="YA"/>
    <s v="050000"/>
    <x v="1"/>
    <s v="050000"/>
    <s v="20161206"/>
    <x v="4"/>
    <d v="2016-11-30T00:00:00"/>
    <n v="609.73"/>
  </r>
  <r>
    <s v="9200018946"/>
    <s v="YA"/>
    <s v="050000"/>
    <x v="1"/>
    <s v="050000"/>
    <s v="20170107"/>
    <x v="1"/>
    <d v="2016-12-31T00:00:00"/>
    <n v="-3613.16"/>
  </r>
  <r>
    <s v="9200018946"/>
    <s v="YA"/>
    <s v="050000"/>
    <x v="1"/>
    <s v="050000"/>
    <s v="20170107"/>
    <x v="3"/>
    <d v="2016-12-31T00:00:00"/>
    <n v="-45.88"/>
  </r>
  <r>
    <s v="9200018946"/>
    <s v="YA"/>
    <s v="050000"/>
    <x v="1"/>
    <s v="050000"/>
    <s v="20170107"/>
    <x v="2"/>
    <d v="2016-12-31T00:00:00"/>
    <n v="-1013.16"/>
  </r>
  <r>
    <s v="9200018946"/>
    <s v="YA"/>
    <s v="050000"/>
    <x v="1"/>
    <s v="050000"/>
    <s v="20170107"/>
    <x v="4"/>
    <d v="2016-12-31T00:00:00"/>
    <n v="609.73"/>
  </r>
  <r>
    <s v="9200018948"/>
    <s v="YA"/>
    <s v="050000"/>
    <x v="1"/>
    <s v="050000"/>
    <s v="20170108"/>
    <x v="1"/>
    <d v="2016-12-31T00:00:00"/>
    <n v="-3613.16"/>
  </r>
  <r>
    <s v="9200018948"/>
    <s v="YA"/>
    <s v="050000"/>
    <x v="1"/>
    <s v="050000"/>
    <s v="20170108"/>
    <x v="3"/>
    <d v="2016-12-31T00:00:00"/>
    <n v="-45.88"/>
  </r>
  <r>
    <s v="9200018948"/>
    <s v="YA"/>
    <s v="050000"/>
    <x v="1"/>
    <s v="050000"/>
    <s v="20170108"/>
    <x v="2"/>
    <d v="2016-12-31T00:00:00"/>
    <n v="-1013.16"/>
  </r>
  <r>
    <s v="9200018948"/>
    <s v="YA"/>
    <s v="050000"/>
    <x v="1"/>
    <s v="050000"/>
    <s v="20170108"/>
    <x v="4"/>
    <d v="2016-12-31T00:00:00"/>
    <n v="609.73"/>
  </r>
  <r>
    <s v="9200018950"/>
    <s v="YA"/>
    <s v="9959-260"/>
    <x v="1"/>
    <s v="9959-260"/>
    <s v="20170108"/>
    <x v="4"/>
    <d v="2016-12-31T00:00:00"/>
    <n v="-609.73"/>
  </r>
  <r>
    <s v="9200018950"/>
    <s v="YA"/>
    <s v="9959-260"/>
    <x v="1"/>
    <s v="9959-260"/>
    <s v="20170108"/>
    <x v="3"/>
    <d v="2016-12-31T00:00:00"/>
    <n v="45.88"/>
  </r>
  <r>
    <s v="9200018950"/>
    <s v="YA"/>
    <s v="9959-260"/>
    <x v="1"/>
    <s v="9959-260"/>
    <s v="20170108"/>
    <x v="2"/>
    <d v="2016-12-31T00:00:00"/>
    <n v="1013.16"/>
  </r>
  <r>
    <s v="9200018950"/>
    <s v="YA"/>
    <s v="9959-260"/>
    <x v="1"/>
    <s v="9959-260"/>
    <s v="20170108"/>
    <x v="1"/>
    <d v="2016-12-31T00:00:00"/>
    <n v="3613.16"/>
  </r>
  <r>
    <s v="9200018951"/>
    <s v="YA"/>
    <s v="050000"/>
    <x v="1"/>
    <s v="050000"/>
    <s v="20170116"/>
    <x v="3"/>
    <d v="2016-12-31T00:00:00"/>
    <n v="-45.88"/>
  </r>
  <r>
    <s v="9200018951"/>
    <s v="YA"/>
    <s v="050000"/>
    <x v="1"/>
    <s v="050000"/>
    <s v="20170116"/>
    <x v="1"/>
    <d v="2016-12-31T00:00:00"/>
    <n v="-3613.16"/>
  </r>
  <r>
    <s v="9200018951"/>
    <s v="YA"/>
    <s v="050000"/>
    <x v="1"/>
    <s v="050000"/>
    <s v="20170116"/>
    <x v="2"/>
    <d v="2016-12-31T00:00:00"/>
    <n v="-1013.16"/>
  </r>
  <r>
    <s v="9200018951"/>
    <s v="YA"/>
    <s v="050000"/>
    <x v="1"/>
    <s v="050000"/>
    <s v="20170116"/>
    <x v="4"/>
    <d v="2016-12-31T00:00:00"/>
    <n v="609.73"/>
  </r>
  <r>
    <s v="9200018953"/>
    <s v="YA"/>
    <s v="9959-260"/>
    <x v="1"/>
    <s v="9959-260"/>
    <s v="20170116"/>
    <x v="4"/>
    <d v="2016-12-31T00:00:00"/>
    <n v="-609.73"/>
  </r>
  <r>
    <s v="9200018953"/>
    <s v="YA"/>
    <s v="9959-260"/>
    <x v="1"/>
    <s v="9959-260"/>
    <s v="20170116"/>
    <x v="3"/>
    <d v="2016-12-31T00:00:00"/>
    <n v="45.88"/>
  </r>
  <r>
    <s v="9200018953"/>
    <s v="YA"/>
    <s v="9959-260"/>
    <x v="1"/>
    <s v="9959-260"/>
    <s v="20170116"/>
    <x v="2"/>
    <d v="2016-12-31T00:00:00"/>
    <n v="1013.16"/>
  </r>
  <r>
    <s v="9200018953"/>
    <s v="YA"/>
    <s v="9959-260"/>
    <x v="1"/>
    <s v="9959-260"/>
    <s v="20170116"/>
    <x v="1"/>
    <d v="2016-12-31T00:00:00"/>
    <n v="3613.16"/>
  </r>
  <r>
    <s v="9200005670"/>
    <s v="YA"/>
    <s v="050000"/>
    <x v="1"/>
    <s v="050000"/>
    <s v="20170213"/>
    <x v="3"/>
    <d v="2017-01-31T00:00:00"/>
    <n v="-45.88"/>
  </r>
  <r>
    <s v="9200005670"/>
    <s v="YA"/>
    <s v="050000"/>
    <x v="1"/>
    <s v="050000"/>
    <s v="20170213"/>
    <x v="4"/>
    <d v="2017-01-31T00:00:00"/>
    <n v="609.73"/>
  </r>
  <r>
    <s v="9200005670"/>
    <s v="YA"/>
    <s v="050000"/>
    <x v="1"/>
    <s v="050000"/>
    <s v="20170213"/>
    <x v="1"/>
    <d v="2017-01-31T00:00:00"/>
    <n v="-3613.16"/>
  </r>
  <r>
    <s v="9200005670"/>
    <s v="YA"/>
    <s v="050000"/>
    <x v="1"/>
    <s v="050000"/>
    <s v="20170213"/>
    <x v="2"/>
    <d v="2017-01-31T00:00:00"/>
    <n v="-1013.16"/>
  </r>
  <r>
    <s v="9200009013"/>
    <s v="YA"/>
    <s v="050000"/>
    <x v="1"/>
    <s v="050000"/>
    <s v="20170307"/>
    <x v="4"/>
    <d v="2017-02-28T00:00:00"/>
    <n v="609.73"/>
  </r>
  <r>
    <s v="9200009013"/>
    <s v="YA"/>
    <s v="050000"/>
    <x v="1"/>
    <s v="050000"/>
    <s v="20170307"/>
    <x v="2"/>
    <d v="2017-02-28T00:00:00"/>
    <n v="-1013.16"/>
  </r>
  <r>
    <s v="9200009013"/>
    <s v="YA"/>
    <s v="050000"/>
    <x v="1"/>
    <s v="050000"/>
    <s v="20170307"/>
    <x v="1"/>
    <d v="2017-02-28T00:00:00"/>
    <n v="-3613.16"/>
  </r>
  <r>
    <s v="9200009013"/>
    <s v="YA"/>
    <s v="050000"/>
    <x v="1"/>
    <s v="050000"/>
    <s v="20170307"/>
    <x v="3"/>
    <d v="2017-02-28T00:00:00"/>
    <n v="-45.88"/>
  </r>
  <r>
    <s v="9200013421"/>
    <s v="YA"/>
    <s v="050000"/>
    <x v="1"/>
    <s v="050000"/>
    <s v="20170406"/>
    <x v="1"/>
    <d v="2017-03-31T00:00:00"/>
    <n v="-3613.16"/>
  </r>
  <r>
    <s v="9200013421"/>
    <s v="YA"/>
    <s v="050000"/>
    <x v="1"/>
    <s v="050000"/>
    <s v="20170406"/>
    <x v="2"/>
    <d v="2017-03-31T00:00:00"/>
    <n v="-1013.16"/>
  </r>
  <r>
    <s v="9200013421"/>
    <s v="YA"/>
    <s v="050000"/>
    <x v="1"/>
    <s v="050000"/>
    <s v="20170406"/>
    <x v="4"/>
    <d v="2017-03-31T00:00:00"/>
    <n v="609.73"/>
  </r>
  <r>
    <s v="9200013421"/>
    <s v="YA"/>
    <s v="050000"/>
    <x v="1"/>
    <s v="050000"/>
    <s v="20170406"/>
    <x v="3"/>
    <d v="2017-03-31T00:00:00"/>
    <n v="-45.88"/>
  </r>
  <r>
    <s v="9200017813"/>
    <s v="YA"/>
    <s v="050000"/>
    <x v="1"/>
    <s v="050000"/>
    <s v="20170505"/>
    <x v="4"/>
    <d v="2017-04-30T00:00:00"/>
    <n v="609.73"/>
  </r>
  <r>
    <s v="9200017813"/>
    <s v="YA"/>
    <s v="050000"/>
    <x v="1"/>
    <s v="050000"/>
    <s v="20170505"/>
    <x v="2"/>
    <d v="2017-04-30T00:00:00"/>
    <n v="-1013.16"/>
  </r>
  <r>
    <s v="9200017813"/>
    <s v="YA"/>
    <s v="050000"/>
    <x v="1"/>
    <s v="050000"/>
    <s v="20170505"/>
    <x v="3"/>
    <d v="2017-04-30T00:00:00"/>
    <n v="-45.88"/>
  </r>
  <r>
    <s v="9200017813"/>
    <s v="YA"/>
    <s v="050000"/>
    <x v="1"/>
    <s v="050000"/>
    <s v="20170505"/>
    <x v="1"/>
    <d v="2017-04-30T00:00:00"/>
    <n v="-3613.16"/>
  </r>
  <r>
    <s v="9200022975"/>
    <s v="YA"/>
    <s v="050000"/>
    <x v="1"/>
    <s v="050000"/>
    <s v="20170607"/>
    <x v="4"/>
    <d v="2017-05-31T00:00:00"/>
    <n v="609.73"/>
  </r>
  <r>
    <s v="9200022975"/>
    <s v="YA"/>
    <s v="050000"/>
    <x v="1"/>
    <s v="050000"/>
    <s v="20170607"/>
    <x v="2"/>
    <d v="2017-05-31T00:00:00"/>
    <n v="-1013.16"/>
  </r>
  <r>
    <s v="9200022975"/>
    <s v="YA"/>
    <s v="050000"/>
    <x v="1"/>
    <s v="050000"/>
    <s v="20170607"/>
    <x v="3"/>
    <d v="2017-05-31T00:00:00"/>
    <n v="-45.88"/>
  </r>
  <r>
    <s v="9200022975"/>
    <s v="YA"/>
    <s v="050000"/>
    <x v="1"/>
    <s v="050000"/>
    <s v="20170607"/>
    <x v="1"/>
    <d v="2017-05-31T00:00:00"/>
    <n v="-3613.16"/>
  </r>
  <r>
    <s v="9200028615"/>
    <s v="YA"/>
    <s v="050000"/>
    <x v="1"/>
    <s v="050000"/>
    <s v="20170707"/>
    <x v="3"/>
    <d v="2017-06-30T00:00:00"/>
    <n v="-45.88"/>
  </r>
  <r>
    <s v="9200028615"/>
    <s v="YA"/>
    <s v="050000"/>
    <x v="1"/>
    <s v="050000"/>
    <s v="20170707"/>
    <x v="4"/>
    <d v="2017-06-30T00:00:00"/>
    <n v="609.73"/>
  </r>
  <r>
    <s v="9200028615"/>
    <s v="YA"/>
    <s v="050000"/>
    <x v="1"/>
    <s v="050000"/>
    <s v="20170707"/>
    <x v="1"/>
    <d v="2017-06-30T00:00:00"/>
    <n v="-3613.16"/>
  </r>
  <r>
    <s v="9200028615"/>
    <s v="YA"/>
    <s v="050000"/>
    <x v="1"/>
    <s v="050000"/>
    <s v="20170707"/>
    <x v="2"/>
    <d v="2017-06-30T00:00:00"/>
    <n v="-1013.16"/>
  </r>
  <r>
    <s v="9200035002"/>
    <s v="YA"/>
    <s v="050000"/>
    <x v="1"/>
    <s v="050000"/>
    <s v="20170807"/>
    <x v="4"/>
    <d v="2017-07-31T00:00:00"/>
    <n v="609.73"/>
  </r>
  <r>
    <s v="9200035002"/>
    <s v="YA"/>
    <s v="050000"/>
    <x v="1"/>
    <s v="050000"/>
    <s v="20170807"/>
    <x v="1"/>
    <d v="2017-07-31T00:00:00"/>
    <n v="-3613.16"/>
  </r>
  <r>
    <s v="9200035002"/>
    <s v="YA"/>
    <s v="050000"/>
    <x v="1"/>
    <s v="050000"/>
    <s v="20170807"/>
    <x v="2"/>
    <d v="2017-07-31T00:00:00"/>
    <n v="-1013.16"/>
  </r>
  <r>
    <s v="9200035002"/>
    <s v="YA"/>
    <s v="050000"/>
    <x v="1"/>
    <s v="050000"/>
    <s v="20170807"/>
    <x v="3"/>
    <d v="2017-07-31T00:00:00"/>
    <n v="-45.88"/>
  </r>
  <r>
    <s v="9200040426"/>
    <s v="YA"/>
    <s v="050000"/>
    <x v="1"/>
    <s v="050000"/>
    <s v="20170907"/>
    <x v="2"/>
    <d v="2017-08-31T00:00:00"/>
    <n v="-1013.16"/>
  </r>
  <r>
    <s v="9200040426"/>
    <s v="YA"/>
    <s v="050000"/>
    <x v="1"/>
    <s v="050000"/>
    <s v="20170907"/>
    <x v="3"/>
    <d v="2017-08-31T00:00:00"/>
    <n v="-45.88"/>
  </r>
  <r>
    <s v="9200040426"/>
    <s v="YA"/>
    <s v="050000"/>
    <x v="1"/>
    <s v="050000"/>
    <s v="20170907"/>
    <x v="1"/>
    <d v="2017-08-31T00:00:00"/>
    <n v="-3613.16"/>
  </r>
  <r>
    <s v="9200040426"/>
    <s v="YA"/>
    <s v="050000"/>
    <x v="1"/>
    <s v="050000"/>
    <s v="20170907"/>
    <x v="4"/>
    <d v="2017-08-31T00:00:00"/>
    <n v="609.73"/>
  </r>
  <r>
    <s v="9200044627"/>
    <s v="YA"/>
    <s v="050000"/>
    <x v="1"/>
    <s v="050000"/>
    <s v="20171005"/>
    <x v="4"/>
    <d v="2017-09-30T00:00:00"/>
    <n v="609.73"/>
  </r>
  <r>
    <s v="9200044627"/>
    <s v="YA"/>
    <s v="050000"/>
    <x v="1"/>
    <s v="050000"/>
    <s v="20171005"/>
    <x v="1"/>
    <d v="2017-09-30T00:00:00"/>
    <n v="-3613.16"/>
  </r>
  <r>
    <s v="9200044627"/>
    <s v="YA"/>
    <s v="050000"/>
    <x v="1"/>
    <s v="050000"/>
    <s v="20171005"/>
    <x v="2"/>
    <d v="2017-09-30T00:00:00"/>
    <n v="-1013.16"/>
  </r>
  <r>
    <s v="9200044627"/>
    <s v="YA"/>
    <s v="050000"/>
    <x v="1"/>
    <s v="050000"/>
    <s v="20171005"/>
    <x v="3"/>
    <d v="2017-09-30T00:00:00"/>
    <n v="-45.88"/>
  </r>
  <r>
    <s v="9200049913"/>
    <s v="YA"/>
    <s v="050000"/>
    <x v="1"/>
    <s v="050000"/>
    <s v="20171107"/>
    <x v="1"/>
    <d v="2017-10-31T00:00:00"/>
    <n v="-3613.16"/>
  </r>
  <r>
    <s v="9200049913"/>
    <s v="YA"/>
    <s v="050000"/>
    <x v="1"/>
    <s v="050000"/>
    <s v="20171107"/>
    <x v="4"/>
    <d v="2017-10-31T00:00:00"/>
    <n v="609.73"/>
  </r>
  <r>
    <s v="9200049913"/>
    <s v="YA"/>
    <s v="050000"/>
    <x v="1"/>
    <s v="050000"/>
    <s v="20171107"/>
    <x v="3"/>
    <d v="2017-10-31T00:00:00"/>
    <n v="-45.88"/>
  </r>
  <r>
    <s v="9200049913"/>
    <s v="YA"/>
    <s v="050000"/>
    <x v="1"/>
    <s v="050000"/>
    <s v="20171107"/>
    <x v="2"/>
    <d v="2017-10-31T00:00:00"/>
    <n v="-1013.16"/>
  </r>
  <r>
    <s v="9200054401"/>
    <s v="YA"/>
    <s v="050000"/>
    <x v="1"/>
    <s v="050000"/>
    <s v="20171206"/>
    <x v="4"/>
    <d v="2017-11-30T00:00:00"/>
    <n v="609.73"/>
  </r>
  <r>
    <s v="9200054401"/>
    <s v="YA"/>
    <s v="050000"/>
    <x v="1"/>
    <s v="050000"/>
    <s v="20171206"/>
    <x v="2"/>
    <d v="2017-11-30T00:00:00"/>
    <n v="-1013.16"/>
  </r>
  <r>
    <s v="9200054401"/>
    <s v="YA"/>
    <s v="050000"/>
    <x v="1"/>
    <s v="050000"/>
    <s v="20171206"/>
    <x v="3"/>
    <d v="2017-11-30T00:00:00"/>
    <n v="-45.88"/>
  </r>
  <r>
    <s v="9200054401"/>
    <s v="YA"/>
    <s v="050000"/>
    <x v="1"/>
    <s v="050000"/>
    <s v="20171206"/>
    <x v="1"/>
    <d v="2017-11-30T00:00:00"/>
    <n v="-3613.16"/>
  </r>
  <r>
    <s v="9200058328"/>
    <s v="YA"/>
    <s v="050000"/>
    <x v="1"/>
    <s v="050000"/>
    <s v="20180106"/>
    <x v="3"/>
    <d v="2017-12-31T00:00:00"/>
    <n v="-45.88"/>
  </r>
  <r>
    <s v="9200058328"/>
    <s v="YA"/>
    <s v="050000"/>
    <x v="1"/>
    <s v="050000"/>
    <s v="20180106"/>
    <x v="2"/>
    <d v="2017-12-31T00:00:00"/>
    <n v="-1013.16"/>
  </r>
  <r>
    <s v="9200058328"/>
    <s v="YA"/>
    <s v="050000"/>
    <x v="1"/>
    <s v="050000"/>
    <s v="20180106"/>
    <x v="1"/>
    <d v="2017-12-31T00:00:00"/>
    <n v="-3613.16"/>
  </r>
  <r>
    <s v="9200058328"/>
    <s v="YA"/>
    <s v="050000"/>
    <x v="1"/>
    <s v="050000"/>
    <s v="20180106"/>
    <x v="4"/>
    <d v="2017-12-31T00:00:00"/>
    <n v="609.73"/>
  </r>
  <r>
    <s v="9200058330"/>
    <s v="YA"/>
    <s v="050000"/>
    <x v="1"/>
    <s v="050000"/>
    <s v="20180110"/>
    <x v="1"/>
    <d v="2017-12-31T00:00:00"/>
    <n v="-3613.16"/>
  </r>
  <r>
    <s v="9200058330"/>
    <s v="YA"/>
    <s v="050000"/>
    <x v="1"/>
    <s v="050000"/>
    <s v="20180110"/>
    <x v="2"/>
    <d v="2017-12-31T00:00:00"/>
    <n v="-1013.16"/>
  </r>
  <r>
    <s v="9200058330"/>
    <s v="YA"/>
    <s v="050000"/>
    <x v="1"/>
    <s v="050000"/>
    <s v="20180110"/>
    <x v="4"/>
    <d v="2017-12-31T00:00:00"/>
    <n v="609.73"/>
  </r>
  <r>
    <s v="9200058330"/>
    <s v="YA"/>
    <s v="050000"/>
    <x v="1"/>
    <s v="050000"/>
    <s v="20180110"/>
    <x v="3"/>
    <d v="2017-12-31T00:00:00"/>
    <n v="-45.88"/>
  </r>
  <r>
    <s v="9200058332"/>
    <s v="YA"/>
    <s v="9959-260"/>
    <x v="1"/>
    <s v="9959-260"/>
    <s v="20180110"/>
    <x v="3"/>
    <d v="2017-12-31T00:00:00"/>
    <n v="45.88"/>
  </r>
  <r>
    <s v="9200058332"/>
    <s v="YA"/>
    <s v="9959-260"/>
    <x v="1"/>
    <s v="9959-260"/>
    <s v="20180110"/>
    <x v="4"/>
    <d v="2017-12-31T00:00:00"/>
    <n v="-609.73"/>
  </r>
  <r>
    <s v="9200058332"/>
    <s v="YA"/>
    <s v="9959-260"/>
    <x v="1"/>
    <s v="9959-260"/>
    <s v="20180110"/>
    <x v="2"/>
    <d v="2017-12-31T00:00:00"/>
    <n v="1013.16"/>
  </r>
  <r>
    <s v="9200058332"/>
    <s v="YA"/>
    <s v="9959-260"/>
    <x v="1"/>
    <s v="9959-260"/>
    <s v="20180110"/>
    <x v="1"/>
    <d v="2017-12-31T00:00:00"/>
    <n v="3613.16"/>
  </r>
  <r>
    <s v="9200005745"/>
    <s v="YA"/>
    <s v="050000"/>
    <x v="1"/>
    <s v="050000"/>
    <s v="20180207"/>
    <x v="4"/>
    <d v="2018-01-31T00:00:00"/>
    <n v="609.73"/>
  </r>
  <r>
    <s v="9200005745"/>
    <s v="YA"/>
    <s v="050000"/>
    <x v="1"/>
    <s v="050000"/>
    <s v="20180207"/>
    <x v="3"/>
    <d v="2018-01-31T00:00:00"/>
    <n v="-45.88"/>
  </r>
  <r>
    <s v="9200005745"/>
    <s v="YA"/>
    <s v="050000"/>
    <x v="1"/>
    <s v="050000"/>
    <s v="20180207"/>
    <x v="2"/>
    <d v="2018-01-31T00:00:00"/>
    <n v="-1013.16"/>
  </r>
  <r>
    <s v="9200005745"/>
    <s v="YA"/>
    <s v="050000"/>
    <x v="1"/>
    <s v="050000"/>
    <s v="20180207"/>
    <x v="1"/>
    <d v="2018-01-31T00:00:00"/>
    <n v="-3613.16"/>
  </r>
  <r>
    <s v="9200009793"/>
    <s v="YA"/>
    <s v="050000"/>
    <x v="1"/>
    <s v="050000"/>
    <s v="20180307"/>
    <x v="4"/>
    <d v="2018-02-28T00:00:00"/>
    <n v="609.73"/>
  </r>
  <r>
    <s v="9200009793"/>
    <s v="YA"/>
    <s v="050000"/>
    <x v="1"/>
    <s v="050000"/>
    <s v="20180307"/>
    <x v="3"/>
    <d v="2018-02-28T00:00:00"/>
    <n v="-45.88"/>
  </r>
  <r>
    <s v="9200009793"/>
    <s v="YA"/>
    <s v="050000"/>
    <x v="1"/>
    <s v="050000"/>
    <s v="20180307"/>
    <x v="1"/>
    <d v="2018-02-28T00:00:00"/>
    <n v="-3613.16"/>
  </r>
  <r>
    <s v="9200009793"/>
    <s v="YA"/>
    <s v="050000"/>
    <x v="1"/>
    <s v="050000"/>
    <s v="20180307"/>
    <x v="2"/>
    <d v="2018-02-28T00:00:00"/>
    <n v="-1013.16"/>
  </r>
  <r>
    <s v="9200014225"/>
    <s v="YA"/>
    <s v="050000"/>
    <x v="1"/>
    <s v="050000"/>
    <s v="20180405"/>
    <x v="4"/>
    <d v="2018-03-31T00:00:00"/>
    <n v="609.73"/>
  </r>
  <r>
    <s v="9200014225"/>
    <s v="YA"/>
    <s v="050000"/>
    <x v="1"/>
    <s v="050000"/>
    <s v="20180405"/>
    <x v="2"/>
    <d v="2018-03-31T00:00:00"/>
    <n v="-1013.16"/>
  </r>
  <r>
    <s v="9200014225"/>
    <s v="YA"/>
    <s v="050000"/>
    <x v="1"/>
    <s v="050000"/>
    <s v="20180405"/>
    <x v="1"/>
    <d v="2018-03-31T00:00:00"/>
    <n v="-3613.16"/>
  </r>
  <r>
    <s v="9200014225"/>
    <s v="YA"/>
    <s v="050000"/>
    <x v="1"/>
    <s v="050000"/>
    <s v="20180405"/>
    <x v="3"/>
    <d v="2018-03-31T00:00:00"/>
    <n v="-45.88"/>
  </r>
  <r>
    <s v="9200018651"/>
    <s v="YA"/>
    <s v="050000"/>
    <x v="1"/>
    <s v="050000"/>
    <s v="20180507"/>
    <x v="3"/>
    <d v="2018-04-30T00:00:00"/>
    <n v="-45.88"/>
  </r>
  <r>
    <s v="9200018651"/>
    <s v="YA"/>
    <s v="050000"/>
    <x v="1"/>
    <s v="050000"/>
    <s v="20180507"/>
    <x v="4"/>
    <d v="2018-04-30T00:00:00"/>
    <n v="609.73"/>
  </r>
  <r>
    <s v="9200018651"/>
    <s v="YA"/>
    <s v="050000"/>
    <x v="1"/>
    <s v="050000"/>
    <s v="20180507"/>
    <x v="2"/>
    <d v="2018-04-30T00:00:00"/>
    <n v="-1013.16"/>
  </r>
  <r>
    <s v="9200018651"/>
    <s v="YA"/>
    <s v="050000"/>
    <x v="1"/>
    <s v="050000"/>
    <s v="20180507"/>
    <x v="1"/>
    <d v="2018-04-30T00:00:00"/>
    <n v="-3613.16"/>
  </r>
  <r>
    <s v="9200023068"/>
    <s v="YA"/>
    <s v="050000"/>
    <x v="1"/>
    <s v="050000"/>
    <s v="20180606"/>
    <x v="1"/>
    <d v="2018-05-31T00:00:00"/>
    <n v="-1806.6"/>
  </r>
  <r>
    <s v="9200023068"/>
    <s v="YA"/>
    <s v="050000"/>
    <x v="1"/>
    <s v="050000"/>
    <s v="20180606"/>
    <x v="2"/>
    <d v="2018-05-31T00:00:00"/>
    <n v="-1013.14"/>
  </r>
  <r>
    <s v="9200023068"/>
    <s v="YA"/>
    <s v="050000"/>
    <x v="1"/>
    <s v="050000"/>
    <s v="20180606"/>
    <x v="3"/>
    <d v="2018-05-31T00:00:00"/>
    <n v="-45.88"/>
  </r>
  <r>
    <s v="9200023068"/>
    <s v="YA"/>
    <s v="050000"/>
    <x v="1"/>
    <s v="050000"/>
    <s v="20180606"/>
    <x v="4"/>
    <d v="2018-05-31T00:00:00"/>
    <n v="609.73"/>
  </r>
  <r>
    <s v="9200027935"/>
    <s v="YA"/>
    <s v="050000"/>
    <x v="1"/>
    <s v="050000"/>
    <s v="20180706"/>
    <x v="4"/>
    <d v="2018-06-30T00:00:00"/>
    <n v="609.73"/>
  </r>
  <r>
    <s v="9200027935"/>
    <s v="YA"/>
    <s v="050000"/>
    <x v="1"/>
    <s v="050000"/>
    <s v="20180706"/>
    <x v="2"/>
    <d v="2018-06-30T00:00:00"/>
    <n v="-1013.15"/>
  </r>
  <r>
    <s v="9200027935"/>
    <s v="YA"/>
    <s v="050000"/>
    <x v="1"/>
    <s v="050000"/>
    <s v="20180706"/>
    <x v="3"/>
    <d v="2018-06-30T00:00:00"/>
    <n v="-45.88"/>
  </r>
  <r>
    <s v="9200033092"/>
    <s v="YA"/>
    <s v="050000"/>
    <x v="1"/>
    <s v="050000"/>
    <s v="20180807"/>
    <x v="4"/>
    <d v="2018-07-31T00:00:00"/>
    <n v="609.72"/>
  </r>
  <r>
    <s v="9200033092"/>
    <s v="YA"/>
    <s v="050000"/>
    <x v="1"/>
    <s v="050000"/>
    <s v="20180807"/>
    <x v="3"/>
    <d v="2018-07-31T00:00:00"/>
    <n v="-45.88"/>
  </r>
  <r>
    <s v="9200033092"/>
    <s v="YA"/>
    <s v="050000"/>
    <x v="1"/>
    <s v="050000"/>
    <s v="20180807"/>
    <x v="2"/>
    <d v="2018-07-31T00:00:00"/>
    <n v="-1013.13"/>
  </r>
  <r>
    <s v="9200037999"/>
    <s v="YA"/>
    <s v="050000"/>
    <x v="1"/>
    <s v="050000"/>
    <s v="20180907"/>
    <x v="2"/>
    <d v="2018-08-31T00:00:00"/>
    <n v="-1013.15"/>
  </r>
  <r>
    <s v="9200037999"/>
    <s v="YA"/>
    <s v="050000"/>
    <x v="1"/>
    <s v="050000"/>
    <s v="20180907"/>
    <x v="4"/>
    <d v="2018-08-31T00:00:00"/>
    <n v="609.73"/>
  </r>
  <r>
    <s v="9200037999"/>
    <s v="YA"/>
    <s v="050000"/>
    <x v="1"/>
    <s v="050000"/>
    <s v="20180907"/>
    <x v="3"/>
    <d v="2018-08-31T00:00:00"/>
    <n v="-45.88"/>
  </r>
  <r>
    <s v="9200043134"/>
    <s v="YA"/>
    <s v="050000"/>
    <x v="1"/>
    <s v="050000"/>
    <s v="20181005"/>
    <x v="4"/>
    <d v="2018-09-30T00:00:00"/>
    <n v="609.73"/>
  </r>
  <r>
    <s v="9200043134"/>
    <s v="YA"/>
    <s v="050000"/>
    <x v="1"/>
    <s v="050000"/>
    <s v="20181005"/>
    <x v="2"/>
    <d v="2018-09-30T00:00:00"/>
    <n v="-1013.15"/>
  </r>
  <r>
    <s v="9200043134"/>
    <s v="YA"/>
    <s v="050000"/>
    <x v="1"/>
    <s v="050000"/>
    <s v="20181005"/>
    <x v="3"/>
    <d v="2018-09-30T00:00:00"/>
    <n v="-45.88"/>
  </r>
  <r>
    <s v="9200047992"/>
    <s v="YA"/>
    <s v="050000"/>
    <x v="1"/>
    <s v="050000"/>
    <s v="20181107"/>
    <x v="3"/>
    <d v="2018-10-31T00:00:00"/>
    <n v="-45.88"/>
  </r>
  <r>
    <s v="9200047992"/>
    <s v="YA"/>
    <s v="050000"/>
    <x v="1"/>
    <s v="050000"/>
    <s v="20181107"/>
    <x v="4"/>
    <d v="2018-10-31T00:00:00"/>
    <n v="609.72"/>
  </r>
  <r>
    <s v="9200047992"/>
    <s v="YA"/>
    <s v="050000"/>
    <x v="1"/>
    <s v="050000"/>
    <s v="20181107"/>
    <x v="2"/>
    <d v="2018-10-31T00:00:00"/>
    <n v="-1013.13"/>
  </r>
  <r>
    <s v="9200052346"/>
    <s v="YA"/>
    <s v="050000"/>
    <x v="1"/>
    <s v="050000"/>
    <s v="20181207"/>
    <x v="4"/>
    <d v="2018-11-30T00:00:00"/>
    <n v="609.73"/>
  </r>
  <r>
    <s v="9200052346"/>
    <s v="YA"/>
    <s v="050000"/>
    <x v="1"/>
    <s v="050000"/>
    <s v="20181207"/>
    <x v="2"/>
    <d v="2018-11-30T00:00:00"/>
    <n v="-1013.15"/>
  </r>
  <r>
    <s v="9200052346"/>
    <s v="YA"/>
    <s v="050000"/>
    <x v="1"/>
    <s v="050000"/>
    <s v="20181207"/>
    <x v="3"/>
    <d v="2018-11-30T00:00:00"/>
    <n v="-45.88"/>
  </r>
  <r>
    <s v="9200056070"/>
    <s v="YA"/>
    <s v="050000"/>
    <x v="1"/>
    <s v="050000"/>
    <s v="20190108"/>
    <x v="4"/>
    <d v="2018-12-31T00:00:00"/>
    <n v="609.73"/>
  </r>
  <r>
    <s v="9200056070"/>
    <s v="YA"/>
    <s v="050000"/>
    <x v="1"/>
    <s v="050000"/>
    <s v="20190108"/>
    <x v="2"/>
    <d v="2018-12-31T00:00:00"/>
    <n v="-1013.15"/>
  </r>
  <r>
    <s v="9200056070"/>
    <s v="YA"/>
    <s v="050000"/>
    <x v="1"/>
    <s v="050000"/>
    <s v="20190108"/>
    <x v="3"/>
    <d v="2018-12-31T00:00:00"/>
    <n v="-45.88"/>
  </r>
  <r>
    <s v="9200056072"/>
    <s v="YA"/>
    <s v="050000"/>
    <x v="1"/>
    <s v="050000"/>
    <s v="20190116"/>
    <x v="2"/>
    <d v="2018-12-31T00:00:00"/>
    <n v="-1013.15"/>
  </r>
  <r>
    <s v="9200056072"/>
    <s v="YA"/>
    <s v="050000"/>
    <x v="1"/>
    <s v="050000"/>
    <s v="20190116"/>
    <x v="4"/>
    <d v="2018-12-31T00:00:00"/>
    <n v="609.73"/>
  </r>
  <r>
    <s v="9200056072"/>
    <s v="YA"/>
    <s v="050000"/>
    <x v="1"/>
    <s v="050000"/>
    <s v="20190116"/>
    <x v="3"/>
    <d v="2018-12-31T00:00:00"/>
    <n v="-45.88"/>
  </r>
  <r>
    <s v="9200056074"/>
    <s v="YA"/>
    <s v="9959-260"/>
    <x v="1"/>
    <s v="9959-260"/>
    <s v="20190116"/>
    <x v="4"/>
    <d v="2018-12-31T00:00:00"/>
    <n v="-609.73"/>
  </r>
  <r>
    <s v="9200056074"/>
    <s v="YA"/>
    <s v="9959-260"/>
    <x v="1"/>
    <s v="9959-260"/>
    <s v="20190116"/>
    <x v="2"/>
    <d v="2018-12-31T00:00:00"/>
    <n v="1013.15"/>
  </r>
  <r>
    <s v="9200056074"/>
    <s v="YA"/>
    <s v="9959-260"/>
    <x v="1"/>
    <s v="9959-260"/>
    <s v="20190116"/>
    <x v="3"/>
    <d v="2018-12-31T00:00:00"/>
    <n v="45.88"/>
  </r>
  <r>
    <s v="9200005634"/>
    <s v="YA"/>
    <s v="050000"/>
    <x v="1"/>
    <s v="050000"/>
    <s v="20190207"/>
    <x v="3"/>
    <d v="2019-01-31T00:00:00"/>
    <n v="-45.88"/>
  </r>
  <r>
    <s v="9200005634"/>
    <s v="YA"/>
    <s v="050000"/>
    <x v="1"/>
    <s v="050000"/>
    <s v="20190207"/>
    <x v="2"/>
    <d v="2019-01-31T00:00:00"/>
    <n v="-1013.15"/>
  </r>
  <r>
    <s v="9200005634"/>
    <s v="YA"/>
    <s v="050000"/>
    <x v="1"/>
    <s v="050000"/>
    <s v="20190207"/>
    <x v="4"/>
    <d v="2019-01-31T00:00:00"/>
    <n v="609.73"/>
  </r>
  <r>
    <s v="9200010042"/>
    <s v="YA"/>
    <s v="050000"/>
    <x v="1"/>
    <s v="050000"/>
    <s v="20190307"/>
    <x v="4"/>
    <d v="2019-02-28T00:00:00"/>
    <n v="609.72"/>
  </r>
  <r>
    <s v="9200010042"/>
    <s v="YA"/>
    <s v="050000"/>
    <x v="1"/>
    <s v="050000"/>
    <s v="20190307"/>
    <x v="3"/>
    <d v="2019-02-28T00:00:00"/>
    <n v="-45.88"/>
  </r>
  <r>
    <s v="9200010042"/>
    <s v="YA"/>
    <s v="050000"/>
    <x v="1"/>
    <s v="050000"/>
    <s v="20190307"/>
    <x v="2"/>
    <d v="2019-02-28T00:00:00"/>
    <n v="-1013.13"/>
  </r>
  <r>
    <s v="9200015074"/>
    <s v="YA"/>
    <s v="050000"/>
    <x v="1"/>
    <s v="050000"/>
    <s v="20190404"/>
    <x v="3"/>
    <d v="2019-03-31T00:00:00"/>
    <n v="-45.88"/>
  </r>
  <r>
    <s v="9200015074"/>
    <s v="YA"/>
    <s v="050000"/>
    <x v="1"/>
    <s v="050000"/>
    <s v="20190404"/>
    <x v="2"/>
    <d v="2019-03-31T00:00:00"/>
    <n v="-1013.15"/>
  </r>
  <r>
    <s v="9200015074"/>
    <s v="YA"/>
    <s v="050000"/>
    <x v="1"/>
    <s v="050000"/>
    <s v="20190404"/>
    <x v="4"/>
    <d v="2019-03-31T00:00:00"/>
    <n v="609.73"/>
  </r>
  <r>
    <s v="9200016562"/>
    <s v="YA"/>
    <s v="050000"/>
    <x v="1"/>
    <s v="050000"/>
    <s v="20190415"/>
    <x v="2"/>
    <d v="2019-03-31T00:00:00"/>
    <n v="-1013.15"/>
  </r>
  <r>
    <s v="9200016562"/>
    <s v="YA"/>
    <s v="050000"/>
    <x v="1"/>
    <s v="050000"/>
    <s v="20190415"/>
    <x v="4"/>
    <d v="2019-03-31T00:00:00"/>
    <n v="609.73"/>
  </r>
  <r>
    <s v="9200016562"/>
    <s v="YA"/>
    <s v="050000"/>
    <x v="1"/>
    <s v="050000"/>
    <s v="20190415"/>
    <x v="3"/>
    <d v="2019-03-31T00:00:00"/>
    <n v="-45.88"/>
  </r>
  <r>
    <s v="9200016564"/>
    <s v="YA"/>
    <s v="9959-260"/>
    <x v="1"/>
    <s v="9959-260"/>
    <s v="20190415"/>
    <x v="4"/>
    <d v="2019-03-31T00:00:00"/>
    <n v="-609.73"/>
  </r>
  <r>
    <s v="9200016564"/>
    <s v="YA"/>
    <s v="9959-260"/>
    <x v="1"/>
    <s v="9959-260"/>
    <s v="20190415"/>
    <x v="3"/>
    <d v="2019-03-31T00:00:00"/>
    <n v="45.88"/>
  </r>
  <r>
    <s v="9200016564"/>
    <s v="YA"/>
    <s v="9959-260"/>
    <x v="1"/>
    <s v="9959-260"/>
    <s v="20190415"/>
    <x v="2"/>
    <d v="2019-03-31T00:00:00"/>
    <n v="1013.15"/>
  </r>
  <r>
    <s v="9200021042"/>
    <s v="YA"/>
    <s v="050000"/>
    <x v="1"/>
    <s v="050000"/>
    <s v="20190507"/>
    <x v="4"/>
    <d v="2019-04-30T00:00:00"/>
    <n v="609.73"/>
  </r>
  <r>
    <s v="9200021042"/>
    <s v="YA"/>
    <s v="050000"/>
    <x v="1"/>
    <s v="050000"/>
    <s v="20190507"/>
    <x v="2"/>
    <d v="2019-04-30T00:00:00"/>
    <n v="-1013.15"/>
  </r>
  <r>
    <s v="9200021042"/>
    <s v="YA"/>
    <s v="050000"/>
    <x v="1"/>
    <s v="050000"/>
    <s v="20190507"/>
    <x v="3"/>
    <d v="2019-04-30T00:00:00"/>
    <n v="-45.88"/>
  </r>
  <r>
    <s v="9200028099"/>
    <s v="YA"/>
    <s v="050000"/>
    <x v="1"/>
    <s v="050000"/>
    <s v="20190607"/>
    <x v="2"/>
    <d v="2019-05-31T00:00:00"/>
    <n v="-1013.13"/>
  </r>
  <r>
    <s v="9200028099"/>
    <s v="YA"/>
    <s v="050000"/>
    <x v="1"/>
    <s v="050000"/>
    <s v="20190607"/>
    <x v="4"/>
    <d v="2019-05-31T00:00:00"/>
    <n v="609.72"/>
  </r>
  <r>
    <s v="9200028099"/>
    <s v="YA"/>
    <s v="050000"/>
    <x v="1"/>
    <s v="050000"/>
    <s v="20190607"/>
    <x v="3"/>
    <d v="2019-05-31T00:00:00"/>
    <n v="-45.88"/>
  </r>
  <r>
    <s v="9200032921"/>
    <s v="YA"/>
    <s v="050000"/>
    <x v="1"/>
    <s v="050000"/>
    <s v="20190705"/>
    <x v="3"/>
    <d v="2019-06-30T00:00:00"/>
    <n v="-45.88"/>
  </r>
  <r>
    <s v="9200032921"/>
    <s v="YA"/>
    <s v="050000"/>
    <x v="1"/>
    <s v="050000"/>
    <s v="20190705"/>
    <x v="2"/>
    <d v="2019-06-30T00:00:00"/>
    <n v="-1013.15"/>
  </r>
  <r>
    <s v="9200032921"/>
    <s v="YA"/>
    <s v="050000"/>
    <x v="1"/>
    <s v="050000"/>
    <s v="20190705"/>
    <x v="4"/>
    <d v="2019-06-30T00:00:00"/>
    <n v="609.73"/>
  </r>
  <r>
    <s v="9200038700"/>
    <s v="YA"/>
    <s v="050000"/>
    <x v="1"/>
    <s v="050000"/>
    <s v="20190807"/>
    <x v="4"/>
    <d v="2019-07-31T00:00:00"/>
    <n v="609.73"/>
  </r>
  <r>
    <s v="9200038700"/>
    <s v="YA"/>
    <s v="050000"/>
    <x v="1"/>
    <s v="050000"/>
    <s v="20190807"/>
    <x v="3"/>
    <d v="2019-07-31T00:00:00"/>
    <n v="-45.88"/>
  </r>
  <r>
    <s v="9200038700"/>
    <s v="YA"/>
    <s v="050000"/>
    <x v="1"/>
    <s v="050000"/>
    <s v="20190807"/>
    <x v="2"/>
    <d v="2019-07-31T00:00:00"/>
    <n v="-1013.15"/>
  </r>
  <r>
    <s v="9200044168"/>
    <s v="YA"/>
    <s v="050000"/>
    <x v="1"/>
    <s v="050000"/>
    <s v="20190909"/>
    <x v="4"/>
    <d v="2019-08-31T00:00:00"/>
    <n v="609.72"/>
  </r>
  <r>
    <s v="9200044168"/>
    <s v="YA"/>
    <s v="050000"/>
    <x v="1"/>
    <s v="050000"/>
    <s v="20190909"/>
    <x v="3"/>
    <d v="2019-08-31T00:00:00"/>
    <n v="-45.88"/>
  </r>
  <r>
    <s v="9200044168"/>
    <s v="YA"/>
    <s v="050000"/>
    <x v="1"/>
    <s v="050000"/>
    <s v="20190909"/>
    <x v="2"/>
    <d v="2019-08-31T00:00:00"/>
    <n v="-1013.13"/>
  </r>
  <r>
    <s v="9200048480"/>
    <s v="YA"/>
    <s v="050000"/>
    <x v="1"/>
    <s v="050000"/>
    <s v="20191004"/>
    <x v="4"/>
    <d v="2019-09-30T00:00:00"/>
    <n v="609.73"/>
  </r>
  <r>
    <s v="9200048480"/>
    <s v="YA"/>
    <s v="050000"/>
    <x v="1"/>
    <s v="050000"/>
    <s v="20191004"/>
    <x v="2"/>
    <d v="2019-09-30T00:00:00"/>
    <n v="-1013.15"/>
  </r>
  <r>
    <s v="9200048480"/>
    <s v="YA"/>
    <s v="050000"/>
    <x v="1"/>
    <s v="050000"/>
    <s v="20191004"/>
    <x v="3"/>
    <d v="2019-09-30T00:00:00"/>
    <n v="-45.88"/>
  </r>
  <r>
    <s v="9200049360"/>
    <s v="YA"/>
    <s v="050000"/>
    <x v="1"/>
    <s v="050000"/>
    <s v="20191011"/>
    <x v="2"/>
    <d v="2019-09-30T00:00:00"/>
    <n v="-1013.15"/>
  </r>
  <r>
    <s v="9200049360"/>
    <s v="YA"/>
    <s v="050000"/>
    <x v="1"/>
    <s v="050000"/>
    <s v="20191011"/>
    <x v="3"/>
    <d v="2019-09-30T00:00:00"/>
    <n v="-45.88"/>
  </r>
  <r>
    <s v="9200049360"/>
    <s v="YA"/>
    <s v="050000"/>
    <x v="1"/>
    <s v="050000"/>
    <s v="20191011"/>
    <x v="4"/>
    <d v="2019-09-30T00:00:00"/>
    <n v="609.73"/>
  </r>
  <r>
    <s v="9200049362"/>
    <s v="YA"/>
    <s v="9959-260"/>
    <x v="1"/>
    <s v="9959-260"/>
    <s v="20191011"/>
    <x v="2"/>
    <d v="2019-09-30T00:00:00"/>
    <n v="1013.15"/>
  </r>
  <r>
    <s v="9200049362"/>
    <s v="YA"/>
    <s v="9959-260"/>
    <x v="1"/>
    <s v="9959-260"/>
    <s v="20191011"/>
    <x v="3"/>
    <d v="2019-09-30T00:00:00"/>
    <n v="45.88"/>
  </r>
  <r>
    <s v="9200049362"/>
    <s v="YA"/>
    <s v="9959-260"/>
    <x v="1"/>
    <s v="9959-260"/>
    <s v="20191011"/>
    <x v="4"/>
    <d v="2019-09-30T00:00:00"/>
    <n v="-609.73"/>
  </r>
  <r>
    <s v="9200053623"/>
    <s v="YA"/>
    <s v="050000"/>
    <x v="1"/>
    <s v="050000"/>
    <s v="20191107"/>
    <x v="3"/>
    <d v="2019-10-31T00:00:00"/>
    <n v="-45.88"/>
  </r>
  <r>
    <s v="9200053623"/>
    <s v="YA"/>
    <s v="050000"/>
    <x v="1"/>
    <s v="050000"/>
    <s v="20191107"/>
    <x v="4"/>
    <d v="2019-10-31T00:00:00"/>
    <n v="609.73"/>
  </r>
  <r>
    <s v="9200053623"/>
    <s v="YA"/>
    <s v="050000"/>
    <x v="1"/>
    <s v="050000"/>
    <s v="20191107"/>
    <x v="2"/>
    <d v="2019-10-31T00:00:00"/>
    <n v="-1013.15"/>
  </r>
  <r>
    <s v="9200057756"/>
    <s v="YA"/>
    <s v="050000"/>
    <x v="1"/>
    <s v="050000"/>
    <s v="20191206"/>
    <x v="4"/>
    <d v="2019-11-30T00:00:00"/>
    <n v="609.72"/>
  </r>
  <r>
    <s v="9200057756"/>
    <s v="YA"/>
    <s v="050000"/>
    <x v="1"/>
    <s v="050000"/>
    <s v="20191206"/>
    <x v="3"/>
    <d v="2019-11-30T00:00:00"/>
    <n v="-45.88"/>
  </r>
  <r>
    <s v="9200057756"/>
    <s v="YA"/>
    <s v="050000"/>
    <x v="1"/>
    <s v="050000"/>
    <s v="20191206"/>
    <x v="2"/>
    <d v="2019-11-30T00:00:00"/>
    <n v="-1013.13"/>
  </r>
  <r>
    <s v="9200062204"/>
    <s v="YA"/>
    <s v="050000"/>
    <x v="1"/>
    <s v="050000"/>
    <s v="20200108"/>
    <x v="4"/>
    <d v="2019-12-31T00:00:00"/>
    <n v="609.73"/>
  </r>
  <r>
    <s v="9200062204"/>
    <s v="YA"/>
    <s v="050000"/>
    <x v="1"/>
    <s v="050000"/>
    <s v="20200108"/>
    <x v="2"/>
    <d v="2019-12-31T00:00:00"/>
    <n v="-1013.15"/>
  </r>
  <r>
    <s v="9200062204"/>
    <s v="YA"/>
    <s v="050000"/>
    <x v="1"/>
    <s v="050000"/>
    <s v="20200108"/>
    <x v="3"/>
    <d v="2019-12-31T00:00:00"/>
    <n v="-45.88"/>
  </r>
  <r>
    <s v="9200062206"/>
    <s v="YA"/>
    <s v="050000"/>
    <x v="1"/>
    <s v="050000"/>
    <s v="20200116"/>
    <x v="4"/>
    <d v="2019-12-31T00:00:00"/>
    <n v="609.73"/>
  </r>
  <r>
    <s v="9200062206"/>
    <s v="YA"/>
    <s v="050000"/>
    <x v="1"/>
    <s v="050000"/>
    <s v="20200116"/>
    <x v="3"/>
    <d v="2019-12-31T00:00:00"/>
    <n v="-45.88"/>
  </r>
  <r>
    <s v="9200062206"/>
    <s v="YA"/>
    <s v="050000"/>
    <x v="1"/>
    <s v="050000"/>
    <s v="20200116"/>
    <x v="2"/>
    <d v="2019-12-31T00:00:00"/>
    <n v="-1013.15"/>
  </r>
  <r>
    <s v="9200062208"/>
    <s v="YA"/>
    <s v="9959-260"/>
    <x v="1"/>
    <s v="9959-260"/>
    <s v="20200116"/>
    <x v="3"/>
    <d v="2019-12-31T00:00:00"/>
    <n v="45.88"/>
  </r>
  <r>
    <s v="9200062208"/>
    <s v="YA"/>
    <s v="9959-260"/>
    <x v="1"/>
    <s v="9959-260"/>
    <s v="20200116"/>
    <x v="2"/>
    <d v="2019-12-31T00:00:00"/>
    <n v="1013.15"/>
  </r>
  <r>
    <s v="9200062208"/>
    <s v="YA"/>
    <s v="9959-260"/>
    <x v="1"/>
    <s v="9959-260"/>
    <s v="20200116"/>
    <x v="4"/>
    <d v="2019-12-31T00:00:00"/>
    <n v="-609.73"/>
  </r>
  <r>
    <s v="600034668"/>
    <s v="YO"/>
    <s v="JPMN ACWI 15723"/>
    <x v="2"/>
    <s v="SWF OF 15:05: 2168600139JS YOUR REF=SWF OF 15/05/1"/>
    <s v="0001813700003USD"/>
    <x v="4"/>
    <d v="2015-05-19T00:00:00"/>
    <n v="-3990960"/>
  </r>
  <r>
    <s v="9500000000"/>
    <s v="YZ"/>
    <s v="DEC 31 2010"/>
    <x v="2"/>
    <s v="21906 TEC GL CONV YE 2010"/>
    <s v="20101231"/>
    <x v="0"/>
    <d v="2010-12-31T00:00:00"/>
    <n v="3571202.61"/>
  </r>
  <r>
    <s v="9500000001"/>
    <s v="YZ"/>
    <s v="DEC 31 2010"/>
    <x v="2"/>
    <s v="21906 TEC GL CONV YE 2010"/>
    <s v="20101231"/>
    <x v="0"/>
    <d v="2010-12-31T00:00:00"/>
    <n v="3571202.61"/>
  </r>
  <r>
    <s v="9500000002"/>
    <s v="YZ"/>
    <s v="DEC 31 2010"/>
    <x v="2"/>
    <s v="21906 TEC GL CONV YE 2010"/>
    <s v="20101231"/>
    <x v="0"/>
    <d v="2010-12-31T00:00:00"/>
    <n v="-3571202.61"/>
  </r>
  <r>
    <s v="9500000006"/>
    <s v="YZ"/>
    <s v="201101"/>
    <x v="2"/>
    <s v="21906 TEC CONVERSION ACCOUNT SUMMARY"/>
    <s v="20120326"/>
    <x v="0"/>
    <d v="2011-01-31T00:00:00"/>
    <n v="-40352.57"/>
  </r>
  <r>
    <s v="9500000010"/>
    <s v="YZ"/>
    <s v="201102"/>
    <x v="2"/>
    <s v="21906 TEC CONVERSION ACCOUNT SUMMARY"/>
    <s v="20120326"/>
    <x v="0"/>
    <d v="2011-02-28T00:00:00"/>
    <n v="-40352.57"/>
  </r>
  <r>
    <s v="9500000015"/>
    <s v="YZ"/>
    <s v="201103"/>
    <x v="2"/>
    <s v="21906 TEC CONVERSION ACCOUNT SUMMARY"/>
    <s v="20120326"/>
    <x v="0"/>
    <d v="2011-03-31T00:00:00"/>
    <n v="-40352.57"/>
  </r>
  <r>
    <s v="9500000020"/>
    <s v="YZ"/>
    <s v="201104"/>
    <x v="2"/>
    <s v="21906 TEC CONVERSION ACCOUNT SUMMARY"/>
    <s v="20120326"/>
    <x v="0"/>
    <d v="2011-04-30T00:00:00"/>
    <n v="-40352.57"/>
  </r>
  <r>
    <s v="9500000025"/>
    <s v="YZ"/>
    <s v="201105"/>
    <x v="2"/>
    <s v="21906 TEC CONVERSION ACCOUNT SUMMARY"/>
    <s v="20120326"/>
    <x v="0"/>
    <d v="2011-05-31T00:00:00"/>
    <n v="-40352.57"/>
  </r>
  <r>
    <s v="9500000030"/>
    <s v="YZ"/>
    <s v="201106"/>
    <x v="2"/>
    <s v="21906 TEC CONVERSION ACCOUNT SUMMARY"/>
    <s v="20120326"/>
    <x v="0"/>
    <d v="2011-06-30T00:00:00"/>
    <n v="-40352.57"/>
  </r>
  <r>
    <s v="9500000035"/>
    <s v="YZ"/>
    <s v="201107"/>
    <x v="2"/>
    <s v="21906 TEC CONVERSION ACCOUNT SUMMARY"/>
    <s v="20120326"/>
    <x v="0"/>
    <d v="2011-07-31T00:00:00"/>
    <n v="-40352.57"/>
  </r>
  <r>
    <s v="9500000040"/>
    <s v="YZ"/>
    <s v="201108"/>
    <x v="2"/>
    <s v="21906 TEC CONVERSION ACCOUNT SUMMARY"/>
    <s v="20120326"/>
    <x v="0"/>
    <d v="2011-08-31T00:00:00"/>
    <n v="-40352.57"/>
  </r>
  <r>
    <s v="9500000045"/>
    <s v="YZ"/>
    <s v="201109"/>
    <x v="2"/>
    <s v="21906 TEC CONVERSION ACCOUNT SUMMARY"/>
    <s v="20120326"/>
    <x v="0"/>
    <d v="2011-09-30T00:00:00"/>
    <n v="-40352.57"/>
  </r>
  <r>
    <s v="9500000050"/>
    <s v="YZ"/>
    <s v="201110"/>
    <x v="2"/>
    <s v="21906 TEC CONVERSION ACCOUNT SUMMARY"/>
    <s v="20120326"/>
    <x v="0"/>
    <d v="2011-10-31T00:00:00"/>
    <n v="-40352.57"/>
  </r>
  <r>
    <s v="9500000055"/>
    <s v="YZ"/>
    <s v="201111"/>
    <x v="2"/>
    <s v="21906 TEC CONVERSION ACCOUNT SUMMARY"/>
    <s v="20120326"/>
    <x v="0"/>
    <d v="2011-11-30T00:00:00"/>
    <n v="-40352.57"/>
  </r>
  <r>
    <s v="9500000060"/>
    <s v="YZ"/>
    <s v="201112"/>
    <x v="2"/>
    <s v="21906 TEC CONVERSION ACCOUNT SUMMARY"/>
    <s v="20120326"/>
    <x v="0"/>
    <d v="2011-12-31T00:00:00"/>
    <n v="-40352.57"/>
  </r>
  <r>
    <s v="9500000101"/>
    <s v="YZ"/>
    <s v="201201"/>
    <x v="2"/>
    <s v="21906 TEC CONVERSION ACCOUNT SUMMARY"/>
    <s v="20120326"/>
    <x v="0"/>
    <d v="2012-01-31T00:00:00"/>
    <n v="-40352.57"/>
  </r>
  <r>
    <s v="9500000105"/>
    <s v="YZ"/>
    <s v="201202"/>
    <x v="2"/>
    <s v="21906 TEC CONVERSION ACCOUNT SUMMARY"/>
    <s v="20120402"/>
    <x v="0"/>
    <d v="2012-02-29T00:00:00"/>
    <n v="-40352.57"/>
  </r>
  <r>
    <s v="9500000109"/>
    <s v="YZ"/>
    <s v="201203"/>
    <x v="2"/>
    <s v="21906 TEC CONVERSION ACCOUNT SUMMARY"/>
    <s v="20120424"/>
    <x v="0"/>
    <d v="2012-03-31T00:00:00"/>
    <n v="-40352.57"/>
  </r>
  <r>
    <s v="9500000114"/>
    <s v="YZ"/>
    <s v="201204"/>
    <x v="2"/>
    <s v="21906 TEC CONVERSION ACCOUNT SUMMARY"/>
    <s v="20120516"/>
    <x v="0"/>
    <d v="2012-04-30T00:00:00"/>
    <n v="346452.97"/>
  </r>
  <r>
    <s v="9500000131"/>
    <s v="YZ"/>
    <s v="201205"/>
    <x v="2"/>
    <s v="21906 TEC CONVERSION ACCOUNT SUMMARY"/>
    <s v="20120614"/>
    <x v="0"/>
    <d v="2012-05-31T00:00:00"/>
    <n v="3646240.76"/>
  </r>
  <r>
    <s v="100000053"/>
    <s v="SA"/>
    <s v="40501"/>
    <x v="2"/>
    <s v=""/>
    <s v="20120701"/>
    <x v="1"/>
    <d v="2012-07-23T00:00:00"/>
    <n v="-40352.57"/>
  </r>
  <r>
    <s v="100000053"/>
    <s v="SA"/>
    <s v="40501"/>
    <x v="2"/>
    <s v=""/>
    <s v="20120701"/>
    <x v="2"/>
    <d v="2012-07-23T00:00:00"/>
    <n v="-11315"/>
  </r>
  <r>
    <s v="9500000139"/>
    <s v="YZ"/>
    <s v="201206"/>
    <x v="2"/>
    <s v="21906 TEC CONVERSION ACCOUNT SUMMARY"/>
    <s v="20120722"/>
    <x v="0"/>
    <d v="2012-06-30T00:00:00"/>
    <n v="-51667.57"/>
  </r>
  <r>
    <s v="9500000147"/>
    <s v="YZ"/>
    <s v="201206"/>
    <x v="2"/>
    <s v="21906 TEC CONVERSION ACCOUNT SUMMARY"/>
    <s v="20120722"/>
    <x v="0"/>
    <d v="2012-06-30T00:00:00"/>
    <n v="51667.57"/>
  </r>
  <r>
    <s v="9500000155"/>
    <s v="YZ"/>
    <s v="201206"/>
    <x v="2"/>
    <s v="21906 TEC CONVERSION ACCOUNT SUMMARY"/>
    <s v="20120722"/>
    <x v="0"/>
    <d v="2012-06-30T00:00:00"/>
    <n v="-51667.57"/>
  </r>
  <r>
    <s v="100018957"/>
    <s v="SA"/>
    <s v="40501_PD0025"/>
    <x v="2"/>
    <s v="RECURRING ENTRY ENDS 04/42; FV50 NEEDED 05/42"/>
    <s v="20120831"/>
    <x v="2"/>
    <d v="2012-08-31T00:00:00"/>
    <n v="-11315"/>
  </r>
  <r>
    <s v="100018958"/>
    <s v="SA"/>
    <s v="40501_PD0018"/>
    <x v="2"/>
    <s v="RECURRING ENTRY ENDS 04/18; FV50 NEEDED 05/18"/>
    <s v="20120831"/>
    <x v="1"/>
    <d v="2012-08-31T00:00:00"/>
    <n v="-40352.57"/>
  </r>
  <r>
    <s v="100027515"/>
    <s v="SA"/>
    <s v="40501_PD0025"/>
    <x v="2"/>
    <s v="RECURRING ENTRY ENDS 04/42; FV50 NEEDED 05/42"/>
    <s v="20120930"/>
    <x v="2"/>
    <d v="2012-09-30T00:00:00"/>
    <n v="-11315"/>
  </r>
  <r>
    <s v="100027516"/>
    <s v="SA"/>
    <s v="40501_PD0018"/>
    <x v="2"/>
    <s v="RECURRING ENTRY ENDS 04/18; FV50 NEEDED 05/18"/>
    <s v="20120930"/>
    <x v="1"/>
    <d v="2012-09-30T00:00:00"/>
    <n v="-40352.57"/>
  </r>
  <r>
    <s v="100028155"/>
    <s v="SA"/>
    <s v="89800-09"/>
    <x v="2"/>
    <s v=""/>
    <s v="20120930"/>
    <x v="1"/>
    <d v="2012-09-30T00:00:00"/>
    <n v="1938623.27"/>
  </r>
  <r>
    <s v="100028155"/>
    <s v="SA"/>
    <s v="89800-09"/>
    <x v="2"/>
    <s v=""/>
    <s v="20120930"/>
    <x v="1"/>
    <d v="2012-09-30T00:00:00"/>
    <n v="-228073.32"/>
  </r>
  <r>
    <s v="100028155"/>
    <s v="SA"/>
    <s v="89800-09"/>
    <x v="2"/>
    <s v=""/>
    <s v="20120930"/>
    <x v="2"/>
    <d v="2012-09-30T00:00:00"/>
    <n v="2558101.13"/>
  </r>
  <r>
    <s v="100028155"/>
    <s v="SA"/>
    <s v="89800-09"/>
    <x v="2"/>
    <s v=""/>
    <s v="20120930"/>
    <x v="2"/>
    <d v="2012-09-30T00:00:00"/>
    <n v="-28423.360000000001"/>
  </r>
  <r>
    <s v="100036818"/>
    <s v="SA"/>
    <s v="40501_PD0025"/>
    <x v="2"/>
    <s v="RECURRING ENTRY ENDS 04/42; FV50 NEEDED 05/42"/>
    <s v="20121031"/>
    <x v="2"/>
    <d v="2012-10-31T00:00:00"/>
    <n v="-11315"/>
  </r>
  <r>
    <s v="100036819"/>
    <s v="SA"/>
    <s v="40501_PD0018"/>
    <x v="2"/>
    <s v="RECURRING ENTRY ENDS 04/18; FV50 NEEDED 05/18"/>
    <s v="20121031"/>
    <x v="1"/>
    <d v="2012-10-31T00:00:00"/>
    <n v="-40352.57"/>
  </r>
  <r>
    <s v="100036857"/>
    <s v="AB"/>
    <s v="40501_PD0025"/>
    <x v="2"/>
    <s v="RECURRING ENTRY ENDS 04/42; FV50 NEEDED 05/42"/>
    <s v="20121031"/>
    <x v="2"/>
    <d v="2012-10-31T00:00:00"/>
    <n v="11315"/>
  </r>
  <r>
    <s v="100036858"/>
    <s v="AB"/>
    <s v="40501_PD0018"/>
    <x v="2"/>
    <s v="RECURRING ENTRY ENDS 04/18; FV50 NEEDED 05/18"/>
    <s v="20121031"/>
    <x v="1"/>
    <d v="2012-10-31T00:00:00"/>
    <n v="40352.57"/>
  </r>
  <r>
    <s v="100037868"/>
    <s v="SA"/>
    <s v="40501_PD0018"/>
    <x v="2"/>
    <s v="OCI -Interest Rate Swap (Gross)"/>
    <s v="20121031"/>
    <x v="1"/>
    <d v="2012-10-31T00:00:00"/>
    <n v="-65694.05"/>
  </r>
  <r>
    <s v="100037892"/>
    <s v="SA"/>
    <s v="40501_PD0025"/>
    <x v="2"/>
    <s v="OCI - Interest Rate Swap (Gross)"/>
    <s v="20121031"/>
    <x v="2"/>
    <d v="2012-10-31T00:00:00"/>
    <n v="-18420.830000000002"/>
  </r>
  <r>
    <s v="100044337"/>
    <s v="SA"/>
    <s v="40501_PD0018"/>
    <x v="2"/>
    <s v="OCI -Interest Rate Swap (Gross)"/>
    <s v="20121130"/>
    <x v="1"/>
    <d v="2012-11-30T00:00:00"/>
    <n v="-65694.05"/>
  </r>
  <r>
    <s v="100044360"/>
    <s v="SA"/>
    <s v="40501_PD0025"/>
    <x v="2"/>
    <s v="OCI - Interest Rate Swap (Gross)"/>
    <s v="20121130"/>
    <x v="2"/>
    <d v="2012-11-30T00:00:00"/>
    <n v="-18420.830000000002"/>
  </r>
  <r>
    <s v="100051577"/>
    <s v="SA"/>
    <s v="89850-2"/>
    <x v="2"/>
    <s v=""/>
    <s v="20121201"/>
    <x v="2"/>
    <d v="2012-12-31T00:00:00"/>
    <n v="4073398.87"/>
  </r>
  <r>
    <s v="100051577"/>
    <s v="SA"/>
    <s v="89850-2"/>
    <x v="2"/>
    <s v=""/>
    <s v="20121201"/>
    <x v="1"/>
    <d v="2012-12-31T00:00:00"/>
    <n v="3571202.61"/>
  </r>
  <r>
    <s v="100051577"/>
    <s v="SA"/>
    <s v="89850-2"/>
    <x v="2"/>
    <s v=""/>
    <s v="20121201"/>
    <x v="0"/>
    <d v="2012-12-31T00:00:00"/>
    <n v="737661.26"/>
  </r>
  <r>
    <s v="100051577"/>
    <s v="SA"/>
    <s v="89850-2"/>
    <x v="2"/>
    <s v=""/>
    <s v="20121201"/>
    <x v="2"/>
    <d v="2012-12-31T00:00:00"/>
    <n v="-11315"/>
  </r>
  <r>
    <s v="100051577"/>
    <s v="SA"/>
    <s v="89850-2"/>
    <x v="2"/>
    <s v=""/>
    <s v="20121201"/>
    <x v="1"/>
    <d v="2012-12-31T00:00:00"/>
    <n v="-726346.26"/>
  </r>
  <r>
    <s v="100051577"/>
    <s v="SA"/>
    <s v="89850-2"/>
    <x v="2"/>
    <s v=""/>
    <s v="20121201"/>
    <x v="0"/>
    <d v="2012-12-31T00:00:00"/>
    <n v="-7644601.4800000004"/>
  </r>
  <r>
    <s v="100051650"/>
    <s v="SA"/>
    <s v="40501_PD0018"/>
    <x v="2"/>
    <s v="OCI -Interest Rate Swap (Gross)"/>
    <s v="20121231"/>
    <x v="1"/>
    <d v="2012-12-31T00:00:00"/>
    <n v="-65694.05"/>
  </r>
  <r>
    <s v="100051673"/>
    <s v="SA"/>
    <s v="40501_PD0025"/>
    <x v="2"/>
    <s v="OCI - Interest Rate Swap (Gross)"/>
    <s v="20121231"/>
    <x v="2"/>
    <d v="2012-12-31T00:00:00"/>
    <n v="-18420.830000000002"/>
  </r>
  <r>
    <s v="100008040"/>
    <s v="SA"/>
    <s v="40501_PD0018"/>
    <x v="2"/>
    <s v="OCI -Interest Rate Swap (Gross)"/>
    <s v="20130131"/>
    <x v="1"/>
    <d v="2013-01-31T00:00:00"/>
    <n v="-65694.05"/>
  </r>
  <r>
    <s v="100008063"/>
    <s v="SA"/>
    <s v="40501_PD0025"/>
    <x v="2"/>
    <s v="OCI - Interest Rate Swap (Gross)"/>
    <s v="20130131"/>
    <x v="2"/>
    <d v="2013-01-31T00:00:00"/>
    <n v="-18420.830000000002"/>
  </r>
  <r>
    <s v="100010203"/>
    <s v="SA"/>
    <s v="89800-13"/>
    <x v="2"/>
    <s v=""/>
    <s v="20130201"/>
    <x v="1"/>
    <d v="2013-02-28T00:00:00"/>
    <n v="0.15"/>
  </r>
  <r>
    <s v="100010203"/>
    <s v="SA"/>
    <s v="89800-13"/>
    <x v="2"/>
    <s v=""/>
    <s v="20130201"/>
    <x v="2"/>
    <d v="2013-02-28T00:00:00"/>
    <n v="0.04"/>
  </r>
  <r>
    <s v="100010123"/>
    <s v="SA"/>
    <s v="40501_PD0018"/>
    <x v="2"/>
    <s v="OCI -Interest Rate Swap (Gross)"/>
    <s v="20130228"/>
    <x v="1"/>
    <d v="2013-02-28T00:00:00"/>
    <n v="-65694.05"/>
  </r>
  <r>
    <s v="100010145"/>
    <s v="SA"/>
    <s v="40501_PD0025"/>
    <x v="2"/>
    <s v="OCI - Interest Rate Swap (Gross)"/>
    <s v="20130228"/>
    <x v="2"/>
    <d v="2013-02-28T00:00:00"/>
    <n v="-18420.830000000002"/>
  </r>
  <r>
    <s v="100022147"/>
    <s v="SA"/>
    <s v="40501_PD0018"/>
    <x v="2"/>
    <s v="OCI -Interest Rate Swap (Gross)"/>
    <s v="20130331"/>
    <x v="1"/>
    <d v="2013-03-31T00:00:00"/>
    <n v="-65694.05"/>
  </r>
  <r>
    <s v="100022148"/>
    <s v="SA"/>
    <s v="40501_PD0025"/>
    <x v="2"/>
    <s v="OCI - Interest Rate Swap (Gross)"/>
    <s v="20130331"/>
    <x v="2"/>
    <d v="2013-03-31T00:00:00"/>
    <n v="-18420.830000000002"/>
  </r>
  <r>
    <s v="100030992"/>
    <s v="SA"/>
    <s v="40501_PD0018"/>
    <x v="2"/>
    <s v="OCI -Interest Rate Swap (Gross)"/>
    <s v="20130430"/>
    <x v="1"/>
    <d v="2013-04-30T00:00:00"/>
    <n v="-65694.05"/>
  </r>
  <r>
    <s v="100030993"/>
    <s v="SA"/>
    <s v="40501_PD0025"/>
    <x v="2"/>
    <s v="OCI - Interest Rate Swap (Gross)"/>
    <s v="20130430"/>
    <x v="2"/>
    <d v="2013-04-30T00:00:00"/>
    <n v="-18420.830000000002"/>
  </r>
  <r>
    <s v="100039249"/>
    <s v="SA"/>
    <s v="40501_PD0018"/>
    <x v="2"/>
    <s v="OCI -Interest Rate Swap (Gross)"/>
    <s v="20130531"/>
    <x v="1"/>
    <d v="2013-05-31T00:00:00"/>
    <n v="-65694.05"/>
  </r>
  <r>
    <s v="100039250"/>
    <s v="SA"/>
    <s v="40501_PD0025"/>
    <x v="2"/>
    <s v="OCI - Interest Rate Swap (Gross)"/>
    <s v="20130531"/>
    <x v="2"/>
    <d v="2013-05-31T00:00:00"/>
    <n v="-18420.830000000002"/>
  </r>
  <r>
    <s v="100047599"/>
    <s v="SA"/>
    <s v="40501_PD0018"/>
    <x v="2"/>
    <s v="OCI -Interest Rate Swap (Gross)"/>
    <s v="20130630"/>
    <x v="1"/>
    <d v="2013-06-30T00:00:00"/>
    <n v="-65694.05"/>
  </r>
  <r>
    <s v="100047600"/>
    <s v="SA"/>
    <s v="40501_PD0025"/>
    <x v="2"/>
    <s v="OCI - Interest Rate Swap (Gross)"/>
    <s v="20130630"/>
    <x v="2"/>
    <d v="2013-06-30T00:00:00"/>
    <n v="-18420.830000000002"/>
  </r>
  <r>
    <s v="100056975"/>
    <s v="SA"/>
    <s v="40501_PD0018"/>
    <x v="2"/>
    <s v="OCI -Interest Rate Swap (Gross)"/>
    <s v="20130731"/>
    <x v="1"/>
    <d v="2013-07-31T00:00:00"/>
    <n v="-65694.05"/>
  </r>
  <r>
    <s v="100056976"/>
    <s v="SA"/>
    <s v="40501_PD0025"/>
    <x v="2"/>
    <s v="OCI - Interest Rate Swap (Gross)"/>
    <s v="20130731"/>
    <x v="2"/>
    <d v="2013-07-31T00:00:00"/>
    <n v="-18420.830000000002"/>
  </r>
  <r>
    <s v="100067673"/>
    <s v="SA"/>
    <s v="40501_PD0018"/>
    <x v="2"/>
    <s v="Amortization Expense - Interest Rate Swap (Gross)"/>
    <s v="20130831"/>
    <x v="1"/>
    <d v="2013-08-31T00:00:00"/>
    <n v="-65694.05"/>
  </r>
  <r>
    <s v="100067674"/>
    <s v="SA"/>
    <s v="40501_PD0025"/>
    <x v="2"/>
    <s v="Amortization Expense - Interest Rate Swap (Gross)"/>
    <s v="20130831"/>
    <x v="2"/>
    <d v="2013-08-31T00:00:00"/>
    <n v="-18420.830000000002"/>
  </r>
  <r>
    <s v="100074590"/>
    <s v="SA"/>
    <s v="40501_PD0018"/>
    <x v="2"/>
    <s v="Amortization Expense - Interest Rate Swap (Gross)"/>
    <s v="20130930"/>
    <x v="1"/>
    <d v="2013-09-30T00:00:00"/>
    <n v="-65694.05"/>
  </r>
  <r>
    <s v="100074591"/>
    <s v="SA"/>
    <s v="40501_PD0025"/>
    <x v="2"/>
    <s v="Amortization Expense - Interest Rate Swap (Gross)"/>
    <s v="20130930"/>
    <x v="2"/>
    <d v="2013-09-30T00:00:00"/>
    <n v="-18420.830000000002"/>
  </r>
  <r>
    <s v="100084265"/>
    <s v="SA"/>
    <s v="40501_PD0018"/>
    <x v="2"/>
    <s v="Amortization Expense - Interest Rate Swap (Gross)"/>
    <s v="20131031"/>
    <x v="1"/>
    <d v="2013-10-31T00:00:00"/>
    <n v="-65694.05"/>
  </r>
  <r>
    <s v="100084266"/>
    <s v="SA"/>
    <s v="40501_PD0025"/>
    <x v="2"/>
    <s v="Amortization Expense - Interest Rate Swap (Gross)"/>
    <s v="20131031"/>
    <x v="2"/>
    <d v="2013-10-31T00:00:00"/>
    <n v="-18420.830000000002"/>
  </r>
  <r>
    <s v="100090919"/>
    <s v="SA"/>
    <s v="40501_PD0018"/>
    <x v="2"/>
    <s v="Amortization Expense - Interest Rate Swap (Gross)"/>
    <s v="20131130"/>
    <x v="1"/>
    <d v="2013-11-30T00:00:00"/>
    <n v="-65694.05"/>
  </r>
  <r>
    <s v="100090920"/>
    <s v="SA"/>
    <s v="40501_PD0025"/>
    <x v="2"/>
    <s v="Amortization Expense - Interest Rate Swap (Gross)"/>
    <s v="20131130"/>
    <x v="2"/>
    <d v="2013-11-30T00:00:00"/>
    <n v="-18420.830000000002"/>
  </r>
  <r>
    <s v="100099974"/>
    <s v="SA"/>
    <s v="40501_PD0018"/>
    <x v="2"/>
    <s v="Amortization Expense - Interest Rate Swap (Gross)"/>
    <s v="20131231"/>
    <x v="1"/>
    <d v="2013-12-31T00:00:00"/>
    <n v="-65694.05"/>
  </r>
  <r>
    <s v="100099975"/>
    <s v="SA"/>
    <s v="40501_PD0025"/>
    <x v="2"/>
    <s v="Amortization Expense - Interest Rate Swap (Gross)"/>
    <s v="20131231"/>
    <x v="2"/>
    <d v="2013-12-31T00:00:00"/>
    <n v="-18420.830000000002"/>
  </r>
  <r>
    <s v="100008647"/>
    <s v="SA"/>
    <s v="40501_PD0018"/>
    <x v="2"/>
    <s v="Amortization Expense - Interest Rate Swap (Gross)"/>
    <s v="20140131"/>
    <x v="1"/>
    <d v="2014-01-31T00:00:00"/>
    <n v="-65694.05"/>
  </r>
  <r>
    <s v="100008648"/>
    <s v="SA"/>
    <s v="40501_PD0025"/>
    <x v="2"/>
    <s v="Amortization Expense - Interest Rate Swap (Gross)"/>
    <s v="20140131"/>
    <x v="2"/>
    <d v="2014-01-31T00:00:00"/>
    <n v="-18420.830000000002"/>
  </r>
  <r>
    <s v="100016183"/>
    <s v="SA"/>
    <s v="40501_PD0018"/>
    <x v="2"/>
    <s v="Amortization Expense - Interest Rate Swap (Gross)"/>
    <s v="20140228"/>
    <x v="1"/>
    <d v="2014-02-28T00:00:00"/>
    <n v="-65694.05"/>
  </r>
  <r>
    <s v="100016184"/>
    <s v="SA"/>
    <s v="40501_PD0025"/>
    <x v="2"/>
    <s v="Amortization Expense - Interest Rate Swap (Gross)"/>
    <s v="20140228"/>
    <x v="2"/>
    <d v="2014-02-28T00:00:00"/>
    <n v="-18420.830000000002"/>
  </r>
  <r>
    <s v="100023547"/>
    <s v="SA"/>
    <s v="40501_PD0018"/>
    <x v="2"/>
    <s v="Amortization Expense - Interest Rate Swap (Gross)"/>
    <s v="20140331"/>
    <x v="1"/>
    <d v="2014-03-31T00:00:00"/>
    <n v="-65694.05"/>
  </r>
  <r>
    <s v="100023548"/>
    <s v="SA"/>
    <s v="40501_PD0025"/>
    <x v="2"/>
    <s v="Amortization Expense - Interest Rate Swap (Gross)"/>
    <s v="20140331"/>
    <x v="2"/>
    <d v="2014-03-31T00:00:00"/>
    <n v="-18420.830000000002"/>
  </r>
  <r>
    <s v="100032871"/>
    <s v="SA"/>
    <s v="40501_PD0018"/>
    <x v="2"/>
    <s v="Amortization Expense - Interest Rate Swap (Gross)"/>
    <s v="20140430"/>
    <x v="1"/>
    <d v="2014-04-30T00:00:00"/>
    <n v="-65694.05"/>
  </r>
  <r>
    <s v="100032872"/>
    <s v="SA"/>
    <s v="40501_PD0025"/>
    <x v="2"/>
    <s v="Amortization Expense - Interest Rate Swap (Gross)"/>
    <s v="20140430"/>
    <x v="2"/>
    <d v="2014-04-30T00:00:00"/>
    <n v="-18420.830000000002"/>
  </r>
  <r>
    <s v="9100000560"/>
    <s v="YP"/>
    <s v="89850-4"/>
    <x v="2"/>
    <s v="Unrealized Interest Rate Swap"/>
    <s v="20140506"/>
    <x v="3"/>
    <d v="2014-04-30T00:00:00"/>
    <n v="-69126.81"/>
  </r>
  <r>
    <s v="9100000674"/>
    <s v="YP"/>
    <s v="SWAP INTEREST"/>
    <x v="2"/>
    <s v=""/>
    <s v="20140514"/>
    <x v="3"/>
    <d v="2014-05-14T00:00:00"/>
    <n v="300312.40000000002"/>
  </r>
  <r>
    <s v="100041473"/>
    <s v="SA"/>
    <s v="40501_PD0018"/>
    <x v="2"/>
    <s v="Amortization Expense - Interest Rate Swap (Gross)"/>
    <s v="20140531"/>
    <x v="1"/>
    <d v="2014-05-31T00:00:00"/>
    <n v="-65694.05"/>
  </r>
  <r>
    <s v="100041474"/>
    <s v="SA"/>
    <s v="40501_PD0025"/>
    <x v="2"/>
    <s v="Amortization Expense - Interest Rate Swap (Gross)"/>
    <s v="20140531"/>
    <x v="2"/>
    <d v="2014-05-31T00:00:00"/>
    <n v="-18420.830000000002"/>
  </r>
  <r>
    <s v="100041488"/>
    <s v="SA"/>
    <s v="40501-PD0027"/>
    <x v="2"/>
    <s v="Amortization Expense-Interest Rate Swap (Gross)"/>
    <s v="20140531"/>
    <x v="3"/>
    <d v="2014-05-31T00:00:00"/>
    <n v="-834.6"/>
  </r>
  <r>
    <s v="9100000720"/>
    <s v="YP"/>
    <s v="89850-3"/>
    <x v="2"/>
    <s v="Unrealized Interest Rate Swap"/>
    <s v="20140604"/>
    <x v="3"/>
    <d v="2014-05-31T00:00:00"/>
    <n v="69126.81"/>
  </r>
  <r>
    <s v="100048909"/>
    <s v="SA"/>
    <s v="40501_PD0018"/>
    <x v="2"/>
    <s v="Amortization Expense - Interest Rate Swap (Gross)"/>
    <s v="20140630"/>
    <x v="1"/>
    <d v="2014-06-30T00:00:00"/>
    <n v="-65694.05"/>
  </r>
  <r>
    <s v="100048910"/>
    <s v="SA"/>
    <s v="40501_PD0025"/>
    <x v="2"/>
    <s v="Amortization Expense - Interest Rate Swap (Gross)"/>
    <s v="20140630"/>
    <x v="2"/>
    <d v="2014-06-30T00:00:00"/>
    <n v="-18420.830000000002"/>
  </r>
  <r>
    <s v="100048923"/>
    <s v="SA"/>
    <s v="40501-PD0027"/>
    <x v="2"/>
    <s v="Amortization Expense-Interest Rate Swap (Gross)"/>
    <s v="20140630"/>
    <x v="3"/>
    <d v="2014-06-30T00:00:00"/>
    <n v="-834.2"/>
  </r>
  <r>
    <s v="100058388"/>
    <s v="SA"/>
    <s v="40501_PD0018"/>
    <x v="2"/>
    <s v="Amortization Expense - Interest Rate Swap (Gross)"/>
    <s v="20140731"/>
    <x v="1"/>
    <d v="2014-07-31T00:00:00"/>
    <n v="-65694.05"/>
  </r>
  <r>
    <s v="100058389"/>
    <s v="SA"/>
    <s v="40501_PD0025"/>
    <x v="2"/>
    <s v="Amortization Expense - Interest Rate Swap (Gross)"/>
    <s v="20140731"/>
    <x v="2"/>
    <d v="2014-07-31T00:00:00"/>
    <n v="-18420.830000000002"/>
  </r>
  <r>
    <s v="100058402"/>
    <s v="SA"/>
    <s v="40501-PD0027"/>
    <x v="2"/>
    <s v="Amortization Expense-Interest Rate Swap (Gross)"/>
    <s v="20140731"/>
    <x v="3"/>
    <d v="2014-07-31T00:00:00"/>
    <n v="-834.2"/>
  </r>
  <r>
    <s v="100068447"/>
    <s v="SA"/>
    <s v="40501_PD0018"/>
    <x v="2"/>
    <s v="Amortization Expense - Interest Rate Swap (Gross)"/>
    <s v="20140831"/>
    <x v="1"/>
    <d v="2014-08-31T00:00:00"/>
    <n v="-65694.05"/>
  </r>
  <r>
    <s v="100068448"/>
    <s v="SA"/>
    <s v="40501_PD0025"/>
    <x v="2"/>
    <s v="Amortization Expense - Interest Rate Swap (Gross)"/>
    <s v="20140831"/>
    <x v="2"/>
    <d v="2014-08-31T00:00:00"/>
    <n v="-18420.830000000002"/>
  </r>
  <r>
    <s v="100068460"/>
    <s v="SA"/>
    <s v="40501-PD0027"/>
    <x v="2"/>
    <s v="Amortization Expense-Interest Rate Swap (Gross)"/>
    <s v="20140831"/>
    <x v="3"/>
    <d v="2014-08-31T00:00:00"/>
    <n v="-834.2"/>
  </r>
  <r>
    <s v="100076086"/>
    <s v="SA"/>
    <s v="40501_PD0018"/>
    <x v="2"/>
    <s v="Amortization Expense - Interest Rate Swap (Gross)"/>
    <s v="20140930"/>
    <x v="1"/>
    <d v="2014-09-30T00:00:00"/>
    <n v="-65694.05"/>
  </r>
  <r>
    <s v="100076087"/>
    <s v="SA"/>
    <s v="40501_PD0025"/>
    <x v="2"/>
    <s v="Amortization Expense - Interest Rate Swap (Gross)"/>
    <s v="20140930"/>
    <x v="2"/>
    <d v="2014-09-30T00:00:00"/>
    <n v="-18420.830000000002"/>
  </r>
  <r>
    <s v="100076099"/>
    <s v="SA"/>
    <s v="40501-PD0027"/>
    <x v="2"/>
    <s v="Amortization Expense-Interest Rate Swap (Gross)"/>
    <s v="20140930"/>
    <x v="3"/>
    <d v="2014-09-30T00:00:00"/>
    <n v="-834.2"/>
  </r>
  <r>
    <s v="100086032"/>
    <s v="SA"/>
    <s v="40501_PD0018"/>
    <x v="2"/>
    <s v="Amortization Expense - Interest Rate Swap (Gross)"/>
    <s v="20141031"/>
    <x v="1"/>
    <d v="2014-10-31T00:00:00"/>
    <n v="-65694.05"/>
  </r>
  <r>
    <s v="100086033"/>
    <s v="SA"/>
    <s v="40501_PD0025"/>
    <x v="2"/>
    <s v="Amortization Expense - Interest Rate Swap (Gross)"/>
    <s v="20141031"/>
    <x v="2"/>
    <d v="2014-10-31T00:00:00"/>
    <n v="-18420.830000000002"/>
  </r>
  <r>
    <s v="100086045"/>
    <s v="SA"/>
    <s v="40501-PD0027"/>
    <x v="2"/>
    <s v="Amortization Expense-Interest Rate Swap (Gross)"/>
    <s v="20141031"/>
    <x v="3"/>
    <d v="2014-10-31T00:00:00"/>
    <n v="-834.2"/>
  </r>
  <r>
    <s v="100093485"/>
    <s v="SA"/>
    <s v="40501_PD0018"/>
    <x v="2"/>
    <s v="Amortization Expense - Interest Rate Swap (Gross)"/>
    <s v="20141130"/>
    <x v="1"/>
    <d v="2014-11-30T00:00:00"/>
    <n v="-65694.05"/>
  </r>
  <r>
    <s v="100093486"/>
    <s v="SA"/>
    <s v="40501_PD0025"/>
    <x v="2"/>
    <s v="Amortization Expense - Interest Rate Swap (Gross)"/>
    <s v="20141130"/>
    <x v="2"/>
    <d v="2014-11-30T00:00:00"/>
    <n v="-18420.830000000002"/>
  </r>
  <r>
    <s v="100093498"/>
    <s v="SA"/>
    <s v="40501-PD0027"/>
    <x v="2"/>
    <s v="Amortization Expense-Interest Rate Swap (Gross)"/>
    <s v="20141130"/>
    <x v="3"/>
    <d v="2014-11-30T00:00:00"/>
    <n v="-834.2"/>
  </r>
  <r>
    <s v="100102840"/>
    <s v="SA"/>
    <s v="40501_PD0018"/>
    <x v="2"/>
    <s v="Amortization Expense - Interest Rate Swap (Gross)"/>
    <s v="20141231"/>
    <x v="1"/>
    <d v="2014-12-31T00:00:00"/>
    <n v="-65694.05"/>
  </r>
  <r>
    <s v="100102841"/>
    <s v="SA"/>
    <s v="40501_PD0025"/>
    <x v="2"/>
    <s v="Amortization Expense - Interest Rate Swap (Gross)"/>
    <s v="20141231"/>
    <x v="2"/>
    <d v="2014-12-31T00:00:00"/>
    <n v="-18420.830000000002"/>
  </r>
  <r>
    <s v="100102851"/>
    <s v="SA"/>
    <s v="40501-PD0027"/>
    <x v="2"/>
    <s v="Amortization Expense-Interest Rate Swap (Gross)"/>
    <s v="20141231"/>
    <x v="3"/>
    <d v="2014-12-31T00:00:00"/>
    <n v="-834.2"/>
  </r>
  <r>
    <s v="100007844"/>
    <s v="SA"/>
    <s v="40501_PD0018"/>
    <x v="2"/>
    <s v="Amortization Expense - Interest Rate Swap (Gross)"/>
    <s v="20150131"/>
    <x v="1"/>
    <d v="2015-01-31T00:00:00"/>
    <n v="-65694.05"/>
  </r>
  <r>
    <s v="100007845"/>
    <s v="SA"/>
    <s v="40501_PD0025"/>
    <x v="2"/>
    <s v="Amortization Expense - Interest Rate Swap (Gross)"/>
    <s v="20150131"/>
    <x v="2"/>
    <d v="2015-01-31T00:00:00"/>
    <n v="-18420.830000000002"/>
  </r>
  <r>
    <s v="100007851"/>
    <s v="SA"/>
    <s v="40501-PD0027"/>
    <x v="2"/>
    <s v="Amortization Expense-Interest Rate Swap (Gross)"/>
    <s v="20150131"/>
    <x v="3"/>
    <d v="2015-01-31T00:00:00"/>
    <n v="-834.2"/>
  </r>
  <r>
    <s v="100015737"/>
    <s v="SA"/>
    <s v="40501_PD0018"/>
    <x v="2"/>
    <s v="Amortization Expense - Interest Rate Swap (Gross)"/>
    <s v="20150228"/>
    <x v="1"/>
    <d v="2015-02-28T00:00:00"/>
    <n v="-65694.05"/>
  </r>
  <r>
    <s v="100015738"/>
    <s v="SA"/>
    <s v="40501_PD0025"/>
    <x v="2"/>
    <s v="Amortization Expense - Interest Rate Swap (Gross)"/>
    <s v="20150228"/>
    <x v="2"/>
    <d v="2015-02-28T00:00:00"/>
    <n v="-18420.830000000002"/>
  </r>
  <r>
    <s v="100015744"/>
    <s v="SA"/>
    <s v="40501-PD0027"/>
    <x v="2"/>
    <s v="Amortization Expense-Interest Rate Swap (Gross)"/>
    <s v="20150228"/>
    <x v="3"/>
    <d v="2015-02-28T00:00:00"/>
    <n v="-834.2"/>
  </r>
  <r>
    <s v="100024519"/>
    <s v="SA"/>
    <s v="40501_PD0018"/>
    <x v="2"/>
    <s v="Amortization Expense - Interest Rate Swap (Gross)"/>
    <s v="20150331"/>
    <x v="1"/>
    <d v="2015-03-31T00:00:00"/>
    <n v="-65694.05"/>
  </r>
  <r>
    <s v="100024520"/>
    <s v="SA"/>
    <s v="40501_PD0025"/>
    <x v="2"/>
    <s v="Amortization Expense - Interest Rate Swap (Gross)"/>
    <s v="20150331"/>
    <x v="2"/>
    <d v="2015-03-31T00:00:00"/>
    <n v="-18420.830000000002"/>
  </r>
  <r>
    <s v="100024525"/>
    <s v="SA"/>
    <s v="40501-PD0027"/>
    <x v="2"/>
    <s v="Amortization Expense-Interest Rate Swap (Gross)"/>
    <s v="20150331"/>
    <x v="3"/>
    <d v="2015-03-31T00:00:00"/>
    <n v="-834.2"/>
  </r>
  <r>
    <s v="100025181"/>
    <s v="SA"/>
    <s v="89850-4"/>
    <x v="2"/>
    <s v=""/>
    <s v="20150403"/>
    <x v="4"/>
    <d v="2015-03-31T00:00:00"/>
    <n v="-316525.08"/>
  </r>
  <r>
    <s v="100033456"/>
    <s v="SA"/>
    <s v="40501_PD0018"/>
    <x v="2"/>
    <s v="Amortization Expense - Interest Rate Swap (Gross)"/>
    <s v="20150430"/>
    <x v="1"/>
    <d v="2015-04-30T00:00:00"/>
    <n v="-65694.05"/>
  </r>
  <r>
    <s v="100033457"/>
    <s v="SA"/>
    <s v="40501_PD0025"/>
    <x v="2"/>
    <s v="Amortization Expense - Interest Rate Swap (Gross)"/>
    <s v="20150430"/>
    <x v="2"/>
    <d v="2015-04-30T00:00:00"/>
    <n v="-18420.830000000002"/>
  </r>
  <r>
    <s v="100033461"/>
    <s v="SA"/>
    <s v="40501-PD0027"/>
    <x v="2"/>
    <s v="Amortization Expense-Interest Rate Swap (Gross)"/>
    <s v="20150430"/>
    <x v="3"/>
    <d v="2015-04-30T00:00:00"/>
    <n v="-834.2"/>
  </r>
  <r>
    <s v="100034848"/>
    <s v="SA"/>
    <s v="89850-1"/>
    <x v="2"/>
    <s v="Reverse Prior Month"/>
    <s v="20150506"/>
    <x v="4"/>
    <d v="2015-04-30T00:00:00"/>
    <n v="316525.08"/>
  </r>
  <r>
    <s v="100034848"/>
    <s v="SA"/>
    <s v="89850-1"/>
    <x v="2"/>
    <s v="April M2M"/>
    <s v="20150506"/>
    <x v="4"/>
    <d v="2015-04-30T00:00:00"/>
    <n v="-2159561.08"/>
  </r>
  <r>
    <s v="100041704"/>
    <s v="SA"/>
    <s v="40501_PD0018"/>
    <x v="2"/>
    <s v="Amortization Expense - Interest Rate Swap (Gross)"/>
    <s v="20150531"/>
    <x v="1"/>
    <d v="2015-05-31T00:00:00"/>
    <n v="-65694.05"/>
  </r>
  <r>
    <s v="100041705"/>
    <s v="SA"/>
    <s v="40501_PD0025"/>
    <x v="2"/>
    <s v="Amortization Expense - Interest Rate Swap (Gross)"/>
    <s v="20150531"/>
    <x v="2"/>
    <d v="2015-05-31T00:00:00"/>
    <n v="-18420.830000000002"/>
  </r>
  <r>
    <s v="100041708"/>
    <s v="SA"/>
    <s v="40501-PD0027"/>
    <x v="2"/>
    <s v="Amortization Expense-Interest Rate Swap (Gross)"/>
    <s v="20150531"/>
    <x v="3"/>
    <d v="2015-05-31T00:00:00"/>
    <n v="-834.2"/>
  </r>
  <r>
    <s v="100041632"/>
    <s v="SA"/>
    <s v="89850-2"/>
    <x v="2"/>
    <s v="Reverse Prior Month"/>
    <s v="20150601"/>
    <x v="4"/>
    <d v="2015-05-31T00:00:00"/>
    <n v="2159561.08"/>
  </r>
  <r>
    <s v="100047138"/>
    <s v="SA"/>
    <s v="40501_PD0018"/>
    <x v="2"/>
    <s v="Amortization Expense - Interest Rate Swap (Gross)"/>
    <s v="20150630"/>
    <x v="1"/>
    <d v="2015-06-30T00:00:00"/>
    <n v="-65694.05"/>
  </r>
  <r>
    <s v="100047139"/>
    <s v="SA"/>
    <s v="40501_PD0025"/>
    <x v="2"/>
    <s v="Amortization Expense - Interest Rate Swap (Gross)"/>
    <s v="20150630"/>
    <x v="2"/>
    <d v="2015-06-30T00:00:00"/>
    <n v="-18420.830000000002"/>
  </r>
  <r>
    <s v="100047142"/>
    <s v="SA"/>
    <s v="40501-PD0027"/>
    <x v="2"/>
    <s v="Amortization Expense-Interest Rate Swap (Gross)"/>
    <s v="20150630"/>
    <x v="3"/>
    <d v="2015-06-30T00:00:00"/>
    <n v="-834.2"/>
  </r>
  <r>
    <s v="100047196"/>
    <s v="SA"/>
    <s v="40501-PD0028"/>
    <x v="2"/>
    <s v="Amortization Expense - Interest Rate Swap (Gross)"/>
    <s v="20150630"/>
    <x v="4"/>
    <d v="2015-06-30T00:00:00"/>
    <n v="11086"/>
  </r>
  <r>
    <s v="100062048"/>
    <s v="SA"/>
    <s v="40501_PD0018"/>
    <x v="2"/>
    <s v="Amortization Expense - Interest Rate Swap (Gross)"/>
    <s v="20150731"/>
    <x v="1"/>
    <d v="2015-07-31T00:00:00"/>
    <n v="-65694.05"/>
  </r>
  <r>
    <s v="100062049"/>
    <s v="SA"/>
    <s v="40501_PD0025"/>
    <x v="2"/>
    <s v="Amortization Expense - Interest Rate Swap (Gross)"/>
    <s v="20150731"/>
    <x v="2"/>
    <d v="2015-07-31T00:00:00"/>
    <n v="-18420.830000000002"/>
  </r>
  <r>
    <s v="100062052"/>
    <s v="SA"/>
    <s v="40501-PD0027"/>
    <x v="2"/>
    <s v="Amortization Expense-Interest Rate Swap (Gross)"/>
    <s v="20150731"/>
    <x v="3"/>
    <d v="2015-07-31T00:00:00"/>
    <n v="-834.2"/>
  </r>
  <r>
    <s v="100062089"/>
    <s v="SA"/>
    <s v="40501-PD0028"/>
    <x v="2"/>
    <s v="Amortization Expense - Interest Rate Swap (Gross)"/>
    <s v="20150731"/>
    <x v="4"/>
    <d v="2015-07-31T00:00:00"/>
    <n v="11086"/>
  </r>
  <r>
    <s v="100070997"/>
    <s v="SA"/>
    <s v="40501_PD0018"/>
    <x v="2"/>
    <s v="Amortization Expense - Interest Rate Swap (Gross)"/>
    <s v="20150831"/>
    <x v="1"/>
    <d v="2015-08-31T00:00:00"/>
    <n v="-65694.05"/>
  </r>
  <r>
    <s v="100070998"/>
    <s v="SA"/>
    <s v="40501_PD0025"/>
    <x v="2"/>
    <s v="Amortization Expense - Interest Rate Swap (Gross)"/>
    <s v="20150831"/>
    <x v="2"/>
    <d v="2015-08-31T00:00:00"/>
    <n v="-18420.830000000002"/>
  </r>
  <r>
    <s v="100071001"/>
    <s v="SA"/>
    <s v="40501-PD0027"/>
    <x v="2"/>
    <s v="Amortization Expense-Interest Rate Swap (Gross)"/>
    <s v="20150831"/>
    <x v="3"/>
    <d v="2015-08-31T00:00:00"/>
    <n v="-834.2"/>
  </r>
  <r>
    <s v="100071038"/>
    <s v="SA"/>
    <s v="40501-PD0028"/>
    <x v="2"/>
    <s v="Amortization Expense - Interest Rate Swap (Gross)"/>
    <s v="20150831"/>
    <x v="4"/>
    <d v="2015-08-31T00:00:00"/>
    <n v="11086"/>
  </r>
  <r>
    <s v="100080809"/>
    <s v="SA"/>
    <s v="40501_PD0018"/>
    <x v="2"/>
    <s v="Amortization Expense - Interest Rate Swap (Gross)"/>
    <s v="20150930"/>
    <x v="1"/>
    <d v="2015-09-30T00:00:00"/>
    <n v="-65694.05"/>
  </r>
  <r>
    <s v="100080810"/>
    <s v="SA"/>
    <s v="40501_PD0025"/>
    <x v="2"/>
    <s v="Amortization Expense - Interest Rate Swap (Gross)"/>
    <s v="20150930"/>
    <x v="2"/>
    <d v="2015-09-30T00:00:00"/>
    <n v="-18420.830000000002"/>
  </r>
  <r>
    <s v="100080813"/>
    <s v="SA"/>
    <s v="40501-PD0027"/>
    <x v="2"/>
    <s v="Amortization Expense-Interest Rate Swap (Gross)"/>
    <s v="20150930"/>
    <x v="3"/>
    <d v="2015-09-30T00:00:00"/>
    <n v="-834.2"/>
  </r>
  <r>
    <s v="100080849"/>
    <s v="SA"/>
    <s v="40501-PD0028"/>
    <x v="2"/>
    <s v="Amortization Expense - Interest Rate Swap (Gross)"/>
    <s v="20150930"/>
    <x v="4"/>
    <d v="2015-09-30T00:00:00"/>
    <n v="11086"/>
  </r>
  <r>
    <s v="100092437"/>
    <s v="SA"/>
    <s v="40501_PD0018"/>
    <x v="2"/>
    <s v="Amortization Expense - Interest Rate Swap (Gross)"/>
    <s v="20151031"/>
    <x v="1"/>
    <d v="2015-10-31T00:00:00"/>
    <n v="-65694.05"/>
  </r>
  <r>
    <s v="100092438"/>
    <s v="SA"/>
    <s v="40501_PD0025"/>
    <x v="2"/>
    <s v="Amortization Expense - Interest Rate Swap (Gross)"/>
    <s v="20151031"/>
    <x v="2"/>
    <d v="2015-10-31T00:00:00"/>
    <n v="-18420.830000000002"/>
  </r>
  <r>
    <s v="100092441"/>
    <s v="SA"/>
    <s v="40501-PD0027"/>
    <x v="2"/>
    <s v="Amortization Expense-Interest Rate Swap (Gross)"/>
    <s v="20151031"/>
    <x v="3"/>
    <d v="2015-10-31T00:00:00"/>
    <n v="-834.2"/>
  </r>
  <r>
    <s v="100092477"/>
    <s v="SA"/>
    <s v="40501-PD0028"/>
    <x v="2"/>
    <s v="Amortization Expense - Interest Rate Swap (Gross)"/>
    <s v="20151031"/>
    <x v="4"/>
    <d v="2015-10-31T00:00:00"/>
    <n v="11086"/>
  </r>
  <r>
    <s v="100102260"/>
    <s v="SA"/>
    <s v="40501_PD0018"/>
    <x v="2"/>
    <s v="Amortization Expense - Interest Rate Swap (Gross)"/>
    <s v="20151130"/>
    <x v="1"/>
    <d v="2015-11-30T00:00:00"/>
    <n v="-65694.05"/>
  </r>
  <r>
    <s v="100102261"/>
    <s v="SA"/>
    <s v="40501_PD0025"/>
    <x v="2"/>
    <s v="Amortization Expense - Interest Rate Swap (Gross)"/>
    <s v="20151130"/>
    <x v="2"/>
    <d v="2015-11-30T00:00:00"/>
    <n v="-18420.830000000002"/>
  </r>
  <r>
    <s v="100102264"/>
    <s v="SA"/>
    <s v="40501-PD0027"/>
    <x v="2"/>
    <s v="Amortization Expense-Interest Rate Swap (Gross)"/>
    <s v="20151130"/>
    <x v="3"/>
    <d v="2015-11-30T00:00:00"/>
    <n v="-834.2"/>
  </r>
  <r>
    <s v="100102300"/>
    <s v="SA"/>
    <s v="40501-PD0028"/>
    <x v="2"/>
    <s v="Amortization Expense - Interest Rate Swap (Gross)"/>
    <s v="20151130"/>
    <x v="4"/>
    <d v="2015-11-30T00:00:00"/>
    <n v="11086"/>
  </r>
  <r>
    <s v="100114809"/>
    <s v="SA"/>
    <s v="40501_PD0018"/>
    <x v="2"/>
    <s v="Amortization Expense - Interest Rate Swap (Gross)"/>
    <s v="20151231"/>
    <x v="1"/>
    <d v="2015-12-31T00:00:00"/>
    <n v="-65694.05"/>
  </r>
  <r>
    <s v="100114810"/>
    <s v="SA"/>
    <s v="40501_PD0025"/>
    <x v="2"/>
    <s v="Amortization Expense - Interest Rate Swap (Gross)"/>
    <s v="20151231"/>
    <x v="2"/>
    <d v="2015-12-31T00:00:00"/>
    <n v="-18420.830000000002"/>
  </r>
  <r>
    <s v="100114813"/>
    <s v="SA"/>
    <s v="40501-PD0027"/>
    <x v="2"/>
    <s v="Amortization Expense-Interest Rate Swap (Gross)"/>
    <s v="20151231"/>
    <x v="3"/>
    <d v="2015-12-31T00:00:00"/>
    <n v="-834.2"/>
  </r>
  <r>
    <s v="100114849"/>
    <s v="SA"/>
    <s v="40501-PD0028"/>
    <x v="2"/>
    <s v="Amortization Expense - Interest Rate Swap (Gross)"/>
    <s v="20151231"/>
    <x v="4"/>
    <d v="2015-12-31T00:00:00"/>
    <n v="11086"/>
  </r>
  <r>
    <s v="100010185"/>
    <s v="SA"/>
    <s v="40501_PD0018"/>
    <x v="2"/>
    <s v="Amortization Expense - Interest Rate Swap (Gross)"/>
    <s v="20160131"/>
    <x v="1"/>
    <d v="2016-01-31T00:00:00"/>
    <n v="-65694.05"/>
  </r>
  <r>
    <s v="100010186"/>
    <s v="SA"/>
    <s v="40501_PD0025"/>
    <x v="2"/>
    <s v="Amortization Expense - Interest Rate Swap (Gross)"/>
    <s v="20160131"/>
    <x v="2"/>
    <d v="2016-01-31T00:00:00"/>
    <n v="-18420.830000000002"/>
  </r>
  <r>
    <s v="100010189"/>
    <s v="SA"/>
    <s v="40501-PD0027"/>
    <x v="2"/>
    <s v="Amortization Expense-Interest Rate Swap (Gross)"/>
    <s v="20160131"/>
    <x v="3"/>
    <d v="2016-01-31T00:00:00"/>
    <n v="-834.2"/>
  </r>
  <r>
    <s v="100010201"/>
    <s v="SA"/>
    <s v="40501-PD0028"/>
    <x v="2"/>
    <s v="Amortization Expense - Interest Rate Swap (Gross)"/>
    <s v="20160131"/>
    <x v="4"/>
    <d v="2016-01-31T00:00:00"/>
    <n v="11086"/>
  </r>
  <r>
    <s v="100019895"/>
    <s v="SA"/>
    <s v="40501_PD0018"/>
    <x v="2"/>
    <s v="Amortization Expense - Interest Rate Swap (Gross)"/>
    <s v="20160229"/>
    <x v="1"/>
    <d v="2016-02-29T00:00:00"/>
    <n v="-65694.05"/>
  </r>
  <r>
    <s v="100019896"/>
    <s v="SA"/>
    <s v="40501_PD0025"/>
    <x v="2"/>
    <s v="Amortization Expense - Interest Rate Swap (Gross)"/>
    <s v="20160229"/>
    <x v="2"/>
    <d v="2016-02-29T00:00:00"/>
    <n v="-18420.830000000002"/>
  </r>
  <r>
    <s v="100019899"/>
    <s v="SA"/>
    <s v="40501-PD0027"/>
    <x v="2"/>
    <s v="Amortization Expense-Interest Rate Swap (Gross)"/>
    <s v="20160229"/>
    <x v="3"/>
    <d v="2016-02-29T00:00:00"/>
    <n v="-834.2"/>
  </r>
  <r>
    <s v="100019910"/>
    <s v="SA"/>
    <s v="40501-PD0028"/>
    <x v="2"/>
    <s v="Amortization Expense - Interest Rate Swap (Gross)"/>
    <s v="20160229"/>
    <x v="4"/>
    <d v="2016-02-29T00:00:00"/>
    <n v="11086"/>
  </r>
  <r>
    <s v="100031952"/>
    <s v="SA"/>
    <s v="40501_PD0018"/>
    <x v="2"/>
    <s v="Amortization Expense - Interest Rate Swap (Gross)"/>
    <s v="20160331"/>
    <x v="1"/>
    <d v="2016-03-31T00:00:00"/>
    <n v="-65694.05"/>
  </r>
  <r>
    <s v="100031953"/>
    <s v="SA"/>
    <s v="40501_PD0025"/>
    <x v="2"/>
    <s v="Amortization Expense - Interest Rate Swap (Gross)"/>
    <s v="20160331"/>
    <x v="2"/>
    <d v="2016-03-31T00:00:00"/>
    <n v="-18420.830000000002"/>
  </r>
  <r>
    <s v="100031956"/>
    <s v="SA"/>
    <s v="40501-PD0027"/>
    <x v="2"/>
    <s v="Amortization Expense-Interest Rate Swap (Gross)"/>
    <s v="20160331"/>
    <x v="3"/>
    <d v="2016-03-31T00:00:00"/>
    <n v="-834.2"/>
  </r>
  <r>
    <s v="100031966"/>
    <s v="SA"/>
    <s v="40501-PD0028"/>
    <x v="2"/>
    <s v="Amortization Expense - Interest Rate Swap (Gross)"/>
    <s v="20160331"/>
    <x v="4"/>
    <d v="2016-03-31T00:00:00"/>
    <n v="11086"/>
  </r>
  <r>
    <s v="100042515"/>
    <s v="SA"/>
    <s v="40501_PD0018"/>
    <x v="2"/>
    <s v="Amortization Expense - Interest Rate Swap (Gross)"/>
    <s v="20160430"/>
    <x v="1"/>
    <d v="2016-04-30T00:00:00"/>
    <n v="-65694.05"/>
  </r>
  <r>
    <s v="100042516"/>
    <s v="SA"/>
    <s v="40501_PD0025"/>
    <x v="2"/>
    <s v="Amortization Expense - Interest Rate Swap (Gross)"/>
    <s v="20160430"/>
    <x v="2"/>
    <d v="2016-04-30T00:00:00"/>
    <n v="-18420.830000000002"/>
  </r>
  <r>
    <s v="100042519"/>
    <s v="SA"/>
    <s v="40501-PD0027"/>
    <x v="2"/>
    <s v="Amortization Expense-Interest Rate Swap (Gross)"/>
    <s v="20160430"/>
    <x v="3"/>
    <d v="2016-04-30T00:00:00"/>
    <n v="-834.2"/>
  </r>
  <r>
    <s v="100042529"/>
    <s v="SA"/>
    <s v="40501-PD0028"/>
    <x v="2"/>
    <s v="Amortization Expense - Interest Rate Swap (Gross)"/>
    <s v="20160430"/>
    <x v="4"/>
    <d v="2016-04-30T00:00:00"/>
    <n v="11086"/>
  </r>
  <r>
    <s v="100053254"/>
    <s v="SA"/>
    <s v="40501_PD0018"/>
    <x v="2"/>
    <s v="Amortization Expense - Interest Rate Swap (Gross)"/>
    <s v="20160531"/>
    <x v="1"/>
    <d v="2016-05-31T00:00:00"/>
    <n v="-65694.05"/>
  </r>
  <r>
    <s v="100053255"/>
    <s v="SA"/>
    <s v="40501_PD0025"/>
    <x v="2"/>
    <s v="Amortization Expense - Interest Rate Swap (Gross)"/>
    <s v="20160531"/>
    <x v="2"/>
    <d v="2016-05-31T00:00:00"/>
    <n v="-18420.830000000002"/>
  </r>
  <r>
    <s v="100053257"/>
    <s v="SA"/>
    <s v="40501-PD0027"/>
    <x v="2"/>
    <s v="Amortization Expense-Interest Rate Swap (Gross)"/>
    <s v="20160531"/>
    <x v="3"/>
    <d v="2016-05-31T00:00:00"/>
    <n v="-834.2"/>
  </r>
  <r>
    <s v="100053267"/>
    <s v="SA"/>
    <s v="40501-PD0028"/>
    <x v="2"/>
    <s v="Amortization Expense - Interest Rate Swap (Gross)"/>
    <s v="20160531"/>
    <x v="4"/>
    <d v="2016-05-31T00:00:00"/>
    <n v="11086"/>
  </r>
  <r>
    <s v="100064234"/>
    <s v="SA"/>
    <s v="40501_PD0018"/>
    <x v="2"/>
    <s v="Amortization Expense - Interest Rate Swap (Gross)"/>
    <s v="20160630"/>
    <x v="1"/>
    <d v="2016-06-30T00:00:00"/>
    <n v="-65694.05"/>
  </r>
  <r>
    <s v="100064235"/>
    <s v="SA"/>
    <s v="40501_PD0025"/>
    <x v="2"/>
    <s v="Amortization Expense - Interest Rate Swap (Gross)"/>
    <s v="20160630"/>
    <x v="2"/>
    <d v="2016-06-30T00:00:00"/>
    <n v="-18420.830000000002"/>
  </r>
  <r>
    <s v="100064237"/>
    <s v="SA"/>
    <s v="40501-PD0027"/>
    <x v="2"/>
    <s v="Amortization Expense-Interest Rate Swap (Gross)"/>
    <s v="20160630"/>
    <x v="3"/>
    <d v="2016-06-30T00:00:00"/>
    <n v="-834.2"/>
  </r>
  <r>
    <s v="100064247"/>
    <s v="SA"/>
    <s v="40501-PD0028"/>
    <x v="2"/>
    <s v="Amortization Expense - Interest Rate Swap (Gross)"/>
    <s v="20160630"/>
    <x v="4"/>
    <d v="2016-06-30T00:00:00"/>
    <n v="11086"/>
  </r>
  <r>
    <s v="100074871"/>
    <s v="SA"/>
    <s v="40501_PD0018"/>
    <x v="2"/>
    <s v="Amortization Expense - Interest Rate Swap (Gross)"/>
    <s v="20160731"/>
    <x v="1"/>
    <d v="2016-07-31T00:00:00"/>
    <n v="-65694.05"/>
  </r>
  <r>
    <s v="100074872"/>
    <s v="SA"/>
    <s v="40501_PD0025"/>
    <x v="2"/>
    <s v="Amortization Expense - Interest Rate Swap (Gross)"/>
    <s v="20160731"/>
    <x v="2"/>
    <d v="2016-07-31T00:00:00"/>
    <n v="-18420.830000000002"/>
  </r>
  <r>
    <s v="100074874"/>
    <s v="SA"/>
    <s v="40501-PD0027"/>
    <x v="2"/>
    <s v="Amortization Expense-Interest Rate Swap (Gross)"/>
    <s v="20160731"/>
    <x v="3"/>
    <d v="2016-07-31T00:00:00"/>
    <n v="-834.2"/>
  </r>
  <r>
    <s v="100074884"/>
    <s v="SA"/>
    <s v="40501-PD0028"/>
    <x v="2"/>
    <s v="Amortization Expense - Interest Rate Swap (Gross)"/>
    <s v="20160731"/>
    <x v="4"/>
    <d v="2016-07-31T00:00:00"/>
    <n v="11086"/>
  </r>
  <r>
    <s v="100086930"/>
    <s v="SA"/>
    <s v="40501_PD0018"/>
    <x v="2"/>
    <s v="Amortization Expense - Interest Rate Swap (Gross)"/>
    <s v="20160831"/>
    <x v="1"/>
    <d v="2016-08-31T00:00:00"/>
    <n v="-65694.05"/>
  </r>
  <r>
    <s v="100086931"/>
    <s v="SA"/>
    <s v="40501_PD0025"/>
    <x v="2"/>
    <s v="Amortization Expense - Interest Rate Swap (Gross)"/>
    <s v="20160831"/>
    <x v="2"/>
    <d v="2016-08-31T00:00:00"/>
    <n v="-18420.830000000002"/>
  </r>
  <r>
    <s v="100086933"/>
    <s v="SA"/>
    <s v="40501-PD0027"/>
    <x v="2"/>
    <s v="Amortization Expense-Interest Rate Swap (Gross)"/>
    <s v="20160831"/>
    <x v="3"/>
    <d v="2016-08-31T00:00:00"/>
    <n v="-834.2"/>
  </r>
  <r>
    <s v="100086943"/>
    <s v="SA"/>
    <s v="40501-PD0028"/>
    <x v="2"/>
    <s v="Amortization Expense - Interest Rate Swap (Gross)"/>
    <s v="20160831"/>
    <x v="4"/>
    <d v="2016-08-31T00:00:00"/>
    <n v="11086"/>
  </r>
  <r>
    <s v="100098231"/>
    <s v="SA"/>
    <s v="40501_PD0018"/>
    <x v="2"/>
    <s v="Amortization Expense - Interest Rate Swap (Gross)"/>
    <s v="20160930"/>
    <x v="1"/>
    <d v="2016-09-30T00:00:00"/>
    <n v="-65694.05"/>
  </r>
  <r>
    <s v="100098232"/>
    <s v="SA"/>
    <s v="40501_PD0025"/>
    <x v="2"/>
    <s v="Amortization Expense - Interest Rate Swap (Gross)"/>
    <s v="20160930"/>
    <x v="2"/>
    <d v="2016-09-30T00:00:00"/>
    <n v="-18420.830000000002"/>
  </r>
  <r>
    <s v="100098234"/>
    <s v="SA"/>
    <s v="40501-PD0027"/>
    <x v="2"/>
    <s v="Amortization Expense-Interest Rate Swap (Gross)"/>
    <s v="20160930"/>
    <x v="3"/>
    <d v="2016-09-30T00:00:00"/>
    <n v="-834.2"/>
  </r>
  <r>
    <s v="100098244"/>
    <s v="SA"/>
    <s v="40501-PD0028"/>
    <x v="2"/>
    <s v="Amortization Expense - Interest Rate Swap (Gross)"/>
    <s v="20160930"/>
    <x v="4"/>
    <d v="2016-09-30T00:00:00"/>
    <n v="11086"/>
  </r>
  <r>
    <s v="100109766"/>
    <s v="SA"/>
    <s v="40501_PD0018"/>
    <x v="2"/>
    <s v="Amortization Expense - Interest Rate Swap (Gross)"/>
    <s v="20161031"/>
    <x v="1"/>
    <d v="2016-10-31T00:00:00"/>
    <n v="-65694.05"/>
  </r>
  <r>
    <s v="100109767"/>
    <s v="SA"/>
    <s v="40501_PD0025"/>
    <x v="2"/>
    <s v="Amortization Expense - Interest Rate Swap (Gross)"/>
    <s v="20161031"/>
    <x v="2"/>
    <d v="2016-10-31T00:00:00"/>
    <n v="-18420.830000000002"/>
  </r>
  <r>
    <s v="100109769"/>
    <s v="SA"/>
    <s v="40501-PD0027"/>
    <x v="2"/>
    <s v="Amortization Expense-Interest Rate Swap (Gross)"/>
    <s v="20161031"/>
    <x v="3"/>
    <d v="2016-10-31T00:00:00"/>
    <n v="-834.2"/>
  </r>
  <r>
    <s v="100109779"/>
    <s v="SA"/>
    <s v="40501-PD0028"/>
    <x v="2"/>
    <s v="Amortization Expense - Interest Rate Swap (Gross)"/>
    <s v="20161031"/>
    <x v="4"/>
    <d v="2016-10-31T00:00:00"/>
    <n v="11086"/>
  </r>
  <r>
    <s v="100121795"/>
    <s v="SA"/>
    <s v="40501_PD0018"/>
    <x v="2"/>
    <s v="Amortization Expense - Interest Rate Swap (Gross)"/>
    <s v="20161130"/>
    <x v="1"/>
    <d v="2016-11-30T00:00:00"/>
    <n v="-65694.05"/>
  </r>
  <r>
    <s v="100121796"/>
    <s v="SA"/>
    <s v="40501_PD0025"/>
    <x v="2"/>
    <s v="Amortization Expense - Interest Rate Swap (Gross)"/>
    <s v="20161130"/>
    <x v="2"/>
    <d v="2016-11-30T00:00:00"/>
    <n v="-18420.830000000002"/>
  </r>
  <r>
    <s v="100121798"/>
    <s v="SA"/>
    <s v="40501-PD0027"/>
    <x v="2"/>
    <s v="Amortization Expense-Interest Rate Swap (Gross)"/>
    <s v="20161130"/>
    <x v="3"/>
    <d v="2016-11-30T00:00:00"/>
    <n v="-834.2"/>
  </r>
  <r>
    <s v="100121808"/>
    <s v="SA"/>
    <s v="40501-PD0028"/>
    <x v="2"/>
    <s v="Amortization Expense - Interest Rate Swap (Gross)"/>
    <s v="20161130"/>
    <x v="4"/>
    <d v="2016-11-30T00:00:00"/>
    <n v="11086"/>
  </r>
  <r>
    <s v="100133502"/>
    <s v="SA"/>
    <s v="40501_PD0018"/>
    <x v="2"/>
    <s v="Amortization Expense - Interest Rate Swap (Gross)"/>
    <s v="20161231"/>
    <x v="1"/>
    <d v="2016-12-31T00:00:00"/>
    <n v="-65694.05"/>
  </r>
  <r>
    <s v="100133503"/>
    <s v="SA"/>
    <s v="40501_PD0025"/>
    <x v="2"/>
    <s v="Amortization Expense - Interest Rate Swap (Gross)"/>
    <s v="20161231"/>
    <x v="2"/>
    <d v="2016-12-31T00:00:00"/>
    <n v="-18420.830000000002"/>
  </r>
  <r>
    <s v="100133505"/>
    <s v="SA"/>
    <s v="40501-PD0027"/>
    <x v="2"/>
    <s v="Amortization Expense-Interest Rate Swap (Gross)"/>
    <s v="20161231"/>
    <x v="3"/>
    <d v="2016-12-31T00:00:00"/>
    <n v="-834.2"/>
  </r>
  <r>
    <s v="100133515"/>
    <s v="SA"/>
    <s v="40501-PD0028"/>
    <x v="2"/>
    <s v="Amortization Expense - Interest Rate Swap (Gross)"/>
    <s v="20161231"/>
    <x v="4"/>
    <d v="2016-12-31T00:00:00"/>
    <n v="11086"/>
  </r>
  <r>
    <s v="100007984"/>
    <s v="SA"/>
    <s v="40501_PD0018"/>
    <x v="2"/>
    <s v="Amortization Expense - Interest Rate Swap (Gross)"/>
    <s v="20170131"/>
    <x v="1"/>
    <d v="2017-01-31T00:00:00"/>
    <n v="-65694.05"/>
  </r>
  <r>
    <s v="100007985"/>
    <s v="SA"/>
    <s v="40501_PD0025"/>
    <x v="2"/>
    <s v="Amortization Expense - Interest Rate Swap (Gross)"/>
    <s v="20170131"/>
    <x v="2"/>
    <d v="2017-01-31T00:00:00"/>
    <n v="-18420.830000000002"/>
  </r>
  <r>
    <s v="100007987"/>
    <s v="SA"/>
    <s v="40501-PD0027"/>
    <x v="2"/>
    <s v="Amortization Expense-Interest Rate Swap (Gross)"/>
    <s v="20170131"/>
    <x v="3"/>
    <d v="2017-01-31T00:00:00"/>
    <n v="-834.2"/>
  </r>
  <r>
    <s v="100007997"/>
    <s v="SA"/>
    <s v="40501-PD0028"/>
    <x v="2"/>
    <s v="Amortization Expense - Interest Rate Swap (Gross)"/>
    <s v="20170131"/>
    <x v="4"/>
    <d v="2017-01-31T00:00:00"/>
    <n v="11086"/>
  </r>
  <r>
    <s v="100016460"/>
    <s v="SA"/>
    <s v="40501_PD0018"/>
    <x v="2"/>
    <s v="Amortization Expense - Interest Rate Swap (Gross)"/>
    <s v="20170228"/>
    <x v="1"/>
    <d v="2017-02-28T00:00:00"/>
    <n v="-65694.05"/>
  </r>
  <r>
    <s v="100016461"/>
    <s v="SA"/>
    <s v="40501_PD0025"/>
    <x v="2"/>
    <s v="Amortization Expense - Interest Rate Swap (Gross)"/>
    <s v="20170228"/>
    <x v="2"/>
    <d v="2017-02-28T00:00:00"/>
    <n v="-18420.830000000002"/>
  </r>
  <r>
    <s v="100016463"/>
    <s v="SA"/>
    <s v="40501-PD0027"/>
    <x v="2"/>
    <s v="Amortization Expense-Interest Rate Swap (Gross)"/>
    <s v="20170228"/>
    <x v="3"/>
    <d v="2017-02-28T00:00:00"/>
    <n v="-834.2"/>
  </r>
  <r>
    <s v="100016473"/>
    <s v="SA"/>
    <s v="40501-PD0028"/>
    <x v="2"/>
    <s v="Amortization Expense - Interest Rate Swap (Gross)"/>
    <s v="20170228"/>
    <x v="4"/>
    <d v="2017-02-28T00:00:00"/>
    <n v="11086"/>
  </r>
  <r>
    <s v="100024842"/>
    <s v="SA"/>
    <s v="40501_PD0018"/>
    <x v="2"/>
    <s v="Amortization Expense - Interest Rate Swap (Gross)"/>
    <s v="20170331"/>
    <x v="1"/>
    <d v="2017-03-31T00:00:00"/>
    <n v="-65694.05"/>
  </r>
  <r>
    <s v="100024843"/>
    <s v="SA"/>
    <s v="40501_PD0025"/>
    <x v="2"/>
    <s v="Amortization Expense - Interest Rate Swap (Gross)"/>
    <s v="20170331"/>
    <x v="2"/>
    <d v="2017-03-31T00:00:00"/>
    <n v="-18420.830000000002"/>
  </r>
  <r>
    <s v="100024845"/>
    <s v="SA"/>
    <s v="40501-PD0027"/>
    <x v="2"/>
    <s v="Amortization Expense-Interest Rate Swap (Gross)"/>
    <s v="20170331"/>
    <x v="3"/>
    <d v="2017-03-31T00:00:00"/>
    <n v="-834.2"/>
  </r>
  <r>
    <s v="100024855"/>
    <s v="SA"/>
    <s v="40501-PD0028"/>
    <x v="2"/>
    <s v="Amortization Expense - Interest Rate Swap (Gross)"/>
    <s v="20170331"/>
    <x v="4"/>
    <d v="2017-03-31T00:00:00"/>
    <n v="11086"/>
  </r>
  <r>
    <s v="100030775"/>
    <s v="SA"/>
    <s v="40501_PD0018"/>
    <x v="2"/>
    <s v="Amortization Expense - Interest Rate Swap (Gross)"/>
    <s v="20170430"/>
    <x v="1"/>
    <d v="2017-04-30T00:00:00"/>
    <n v="-65694.05"/>
  </r>
  <r>
    <s v="100030776"/>
    <s v="SA"/>
    <s v="40501_PD0025"/>
    <x v="2"/>
    <s v="Amortization Expense - Interest Rate Swap (Gross)"/>
    <s v="20170430"/>
    <x v="2"/>
    <d v="2017-04-30T00:00:00"/>
    <n v="-18420.830000000002"/>
  </r>
  <r>
    <s v="100030778"/>
    <s v="SA"/>
    <s v="40501-PD0027"/>
    <x v="2"/>
    <s v="Amortization Expense-Interest Rate Swap (Gross)"/>
    <s v="20170430"/>
    <x v="3"/>
    <d v="2017-04-30T00:00:00"/>
    <n v="-834.2"/>
  </r>
  <r>
    <s v="100030787"/>
    <s v="SA"/>
    <s v="40501-PD0028"/>
    <x v="2"/>
    <s v="Amortization Expense - Interest Rate Swap (Gross)"/>
    <s v="20170430"/>
    <x v="4"/>
    <d v="2017-04-30T00:00:00"/>
    <n v="11086"/>
  </r>
  <r>
    <s v="100038983"/>
    <s v="SA"/>
    <s v="40501_PD0018"/>
    <x v="2"/>
    <s v="Amortization Expense - Interest Rate Swap (Gross)"/>
    <s v="20170531"/>
    <x v="1"/>
    <d v="2017-05-31T00:00:00"/>
    <n v="-65694.05"/>
  </r>
  <r>
    <s v="100038984"/>
    <s v="SA"/>
    <s v="40501_PD0025"/>
    <x v="2"/>
    <s v="Amortization Expense - Interest Rate Swap (Gross)"/>
    <s v="20170531"/>
    <x v="2"/>
    <d v="2017-05-31T00:00:00"/>
    <n v="-18420.830000000002"/>
  </r>
  <r>
    <s v="100038986"/>
    <s v="SA"/>
    <s v="40501-PD0027"/>
    <x v="2"/>
    <s v="Amortization Expense-Interest Rate Swap (Gross)"/>
    <s v="20170531"/>
    <x v="3"/>
    <d v="2017-05-31T00:00:00"/>
    <n v="-834.2"/>
  </r>
  <r>
    <s v="100038995"/>
    <s v="SA"/>
    <s v="40501-PD0028"/>
    <x v="2"/>
    <s v="Amortization Expense - Interest Rate Swap (Gross)"/>
    <s v="20170531"/>
    <x v="4"/>
    <d v="2017-05-31T00:00:00"/>
    <n v="11086"/>
  </r>
  <r>
    <s v="100046463"/>
    <s v="SA"/>
    <s v="40501_PD0018"/>
    <x v="2"/>
    <s v="Amortization Expense - Interest Rate Swap (Gross)"/>
    <s v="20170630"/>
    <x v="1"/>
    <d v="2017-06-30T00:00:00"/>
    <n v="-65694.05"/>
  </r>
  <r>
    <s v="100046464"/>
    <s v="SA"/>
    <s v="40501_PD0025"/>
    <x v="2"/>
    <s v="Amortization Expense - Interest Rate Swap (Gross)"/>
    <s v="20170630"/>
    <x v="2"/>
    <d v="2017-06-30T00:00:00"/>
    <n v="-18420.830000000002"/>
  </r>
  <r>
    <s v="100046466"/>
    <s v="SA"/>
    <s v="40501-PD0027"/>
    <x v="2"/>
    <s v="Amortization Expense-Interest Rate Swap (Gross)"/>
    <s v="20170630"/>
    <x v="3"/>
    <d v="2017-06-30T00:00:00"/>
    <n v="-834.2"/>
  </r>
  <r>
    <s v="100046475"/>
    <s v="SA"/>
    <s v="40501-PD0028"/>
    <x v="2"/>
    <s v="Amortization Expense - Interest Rate Swap (Gross)"/>
    <s v="20170630"/>
    <x v="4"/>
    <d v="2017-06-30T00:00:00"/>
    <n v="11086"/>
  </r>
  <r>
    <s v="100052820"/>
    <s v="SA"/>
    <s v="40501_PD0018"/>
    <x v="2"/>
    <s v="Amortization Expense - Interest Rate Swap (Gross)"/>
    <s v="20170731"/>
    <x v="1"/>
    <d v="2017-07-31T00:00:00"/>
    <n v="-65694.05"/>
  </r>
  <r>
    <s v="100052821"/>
    <s v="SA"/>
    <s v="40501_PD0025"/>
    <x v="2"/>
    <s v="Amortization Expense - Interest Rate Swap (Gross)"/>
    <s v="20170731"/>
    <x v="2"/>
    <d v="2017-07-31T00:00:00"/>
    <n v="-18420.830000000002"/>
  </r>
  <r>
    <s v="100052823"/>
    <s v="SA"/>
    <s v="40501-PD0027"/>
    <x v="2"/>
    <s v="Amortization Expense-Interest Rate Swap (Gross)"/>
    <s v="20170731"/>
    <x v="3"/>
    <d v="2017-07-31T00:00:00"/>
    <n v="-834.2"/>
  </r>
  <r>
    <s v="100052832"/>
    <s v="SA"/>
    <s v="40501-PD0028"/>
    <x v="2"/>
    <s v="Amortization Expense - Interest Rate Swap (Gross)"/>
    <s v="20170731"/>
    <x v="4"/>
    <d v="2017-07-31T00:00:00"/>
    <n v="11086"/>
  </r>
  <r>
    <s v="100060256"/>
    <s v="SA"/>
    <s v="40501_PD0018"/>
    <x v="2"/>
    <s v="Amortization Expense - Interest Rate Swap (Gross)"/>
    <s v="20170831"/>
    <x v="1"/>
    <d v="2017-08-31T00:00:00"/>
    <n v="-65694.05"/>
  </r>
  <r>
    <s v="100060257"/>
    <s v="SA"/>
    <s v="40501_PD0025"/>
    <x v="2"/>
    <s v="Amortization Expense - Interest Rate Swap (Gross)"/>
    <s v="20170831"/>
    <x v="2"/>
    <d v="2017-08-31T00:00:00"/>
    <n v="-18420.830000000002"/>
  </r>
  <r>
    <s v="100060259"/>
    <s v="SA"/>
    <s v="40501-PD0027"/>
    <x v="2"/>
    <s v="Amortization Expense-Interest Rate Swap (Gross)"/>
    <s v="20170831"/>
    <x v="3"/>
    <d v="2017-08-31T00:00:00"/>
    <n v="-834.2"/>
  </r>
  <r>
    <s v="100060268"/>
    <s v="SA"/>
    <s v="40501-PD0028"/>
    <x v="2"/>
    <s v="Amortization Expense - Interest Rate Swap (Gross)"/>
    <s v="20170831"/>
    <x v="4"/>
    <d v="2017-08-31T00:00:00"/>
    <n v="11086"/>
  </r>
  <r>
    <s v="100066771"/>
    <s v="SA"/>
    <s v="40501_PD0018"/>
    <x v="2"/>
    <s v="Amortization Expense - Interest Rate Swap (Gross)"/>
    <s v="20170930"/>
    <x v="1"/>
    <d v="2017-09-30T00:00:00"/>
    <n v="-65694.05"/>
  </r>
  <r>
    <s v="100066772"/>
    <s v="SA"/>
    <s v="40501_PD0025"/>
    <x v="2"/>
    <s v="Amortization Expense - Interest Rate Swap (Gross)"/>
    <s v="20170930"/>
    <x v="2"/>
    <d v="2017-09-30T00:00:00"/>
    <n v="-18420.830000000002"/>
  </r>
  <r>
    <s v="100066774"/>
    <s v="SA"/>
    <s v="40501-PD0027"/>
    <x v="2"/>
    <s v="Amortization Expense-Interest Rate Swap (Gross)"/>
    <s v="20170930"/>
    <x v="3"/>
    <d v="2017-09-30T00:00:00"/>
    <n v="-834.2"/>
  </r>
  <r>
    <s v="100066783"/>
    <s v="SA"/>
    <s v="40501-PD0028"/>
    <x v="2"/>
    <s v="Amortization Expense - Interest Rate Swap (Gross)"/>
    <s v="20170930"/>
    <x v="4"/>
    <d v="2017-09-30T00:00:00"/>
    <n v="11086"/>
  </r>
  <r>
    <s v="100073971"/>
    <s v="SA"/>
    <s v="40501_PD0018"/>
    <x v="2"/>
    <s v="Amortization Expense - Interest Rate Swap (Gross)"/>
    <s v="20171031"/>
    <x v="1"/>
    <d v="2017-10-31T00:00:00"/>
    <n v="-65694.05"/>
  </r>
  <r>
    <s v="100073972"/>
    <s v="SA"/>
    <s v="40501_PD0025"/>
    <x v="2"/>
    <s v="Amortization Expense - Interest Rate Swap (Gross)"/>
    <s v="20171031"/>
    <x v="2"/>
    <d v="2017-10-31T00:00:00"/>
    <n v="-18420.830000000002"/>
  </r>
  <r>
    <s v="100073974"/>
    <s v="SA"/>
    <s v="40501-PD0027"/>
    <x v="2"/>
    <s v="Amortization Expense-Interest Rate Swap (Gross)"/>
    <s v="20171031"/>
    <x v="3"/>
    <d v="2017-10-31T00:00:00"/>
    <n v="-834.2"/>
  </r>
  <r>
    <s v="100073983"/>
    <s v="SA"/>
    <s v="40501-PD0028"/>
    <x v="2"/>
    <s v="Amortization Expense - Interest Rate Swap (Gross)"/>
    <s v="20171031"/>
    <x v="4"/>
    <d v="2017-10-31T00:00:00"/>
    <n v="11086"/>
  </r>
  <r>
    <s v="100080459"/>
    <s v="SA"/>
    <s v="40501_PD0018"/>
    <x v="2"/>
    <s v="Amortization Expense - Interest Rate Swap (Gross)"/>
    <s v="20171130"/>
    <x v="1"/>
    <d v="2017-11-30T00:00:00"/>
    <n v="-65694.05"/>
  </r>
  <r>
    <s v="100080460"/>
    <s v="SA"/>
    <s v="40501_PD0025"/>
    <x v="2"/>
    <s v="Amortization Expense - Interest Rate Swap (Gross)"/>
    <s v="20171130"/>
    <x v="2"/>
    <d v="2017-11-30T00:00:00"/>
    <n v="-18420.830000000002"/>
  </r>
  <r>
    <s v="100080462"/>
    <s v="SA"/>
    <s v="40501-PD0027"/>
    <x v="2"/>
    <s v="Amortization Expense-Interest Rate Swap (Gross)"/>
    <s v="20171130"/>
    <x v="3"/>
    <d v="2017-11-30T00:00:00"/>
    <n v="-834.2"/>
  </r>
  <r>
    <s v="100080471"/>
    <s v="SA"/>
    <s v="40501-PD0028"/>
    <x v="2"/>
    <s v="Amortization Expense - Interest Rate Swap (Gross)"/>
    <s v="20171130"/>
    <x v="4"/>
    <d v="2017-11-30T00:00:00"/>
    <n v="11086"/>
  </r>
  <r>
    <s v="100088093"/>
    <s v="SA"/>
    <s v="40501_PD0018"/>
    <x v="2"/>
    <s v="Amortization Expense - Interest Rate Swap (Gross)"/>
    <s v="20171231"/>
    <x v="1"/>
    <d v="2017-12-31T00:00:00"/>
    <n v="-65694.05"/>
  </r>
  <r>
    <s v="100088094"/>
    <s v="SA"/>
    <s v="40501_PD0025"/>
    <x v="2"/>
    <s v="Amortization Expense - Interest Rate Swap (Gross)"/>
    <s v="20171231"/>
    <x v="2"/>
    <d v="2017-12-31T00:00:00"/>
    <n v="-18420.830000000002"/>
  </r>
  <r>
    <s v="100088096"/>
    <s v="SA"/>
    <s v="40501-PD0027"/>
    <x v="2"/>
    <s v="Amortization Expense-Interest Rate Swap (Gross)"/>
    <s v="20171231"/>
    <x v="3"/>
    <d v="2017-12-31T00:00:00"/>
    <n v="-834.2"/>
  </r>
  <r>
    <s v="100088105"/>
    <s v="SA"/>
    <s v="40501-PD0028"/>
    <x v="2"/>
    <s v="Amortization Expense - Interest Rate Swap (Gross)"/>
    <s v="20171231"/>
    <x v="4"/>
    <d v="2017-12-31T00:00:00"/>
    <n v="11086"/>
  </r>
  <r>
    <s v="100006032"/>
    <s v="SA"/>
    <s v="40501_PD0018"/>
    <x v="2"/>
    <s v="Amortization Expense - Interest Rate Swap (Gross)"/>
    <s v="20180131"/>
    <x v="1"/>
    <d v="2018-01-31T00:00:00"/>
    <n v="-65694.05"/>
  </r>
  <r>
    <s v="100006033"/>
    <s v="SA"/>
    <s v="40501_PD0025"/>
    <x v="2"/>
    <s v="Amortization Expense - Interest Rate Swap (Gross)"/>
    <s v="20180131"/>
    <x v="2"/>
    <d v="2018-01-31T00:00:00"/>
    <n v="-18420.830000000002"/>
  </r>
  <r>
    <s v="100006034"/>
    <s v="SA"/>
    <s v="40501-PD0027"/>
    <x v="2"/>
    <s v="Amortization Expense-Interest Rate Swap (Gross)"/>
    <s v="20180131"/>
    <x v="3"/>
    <d v="2018-01-31T00:00:00"/>
    <n v="-834.2"/>
  </r>
  <r>
    <s v="100006042"/>
    <s v="SA"/>
    <s v="40501-PD0028"/>
    <x v="2"/>
    <s v="Amortization Expense - Interest Rate Swap (Gross)"/>
    <s v="20180131"/>
    <x v="4"/>
    <d v="2018-01-31T00:00:00"/>
    <n v="11086"/>
  </r>
  <r>
    <s v="100012402"/>
    <s v="SA"/>
    <s v="40501_PD0018"/>
    <x v="2"/>
    <s v="Amortization Expense - Interest Rate Swap (Gross)"/>
    <s v="20180228"/>
    <x v="1"/>
    <d v="2018-02-28T00:00:00"/>
    <n v="-65694.05"/>
  </r>
  <r>
    <s v="100012403"/>
    <s v="SA"/>
    <s v="40501_PD0025"/>
    <x v="2"/>
    <s v="Amortization Expense - Interest Rate Swap (Gross)"/>
    <s v="20180228"/>
    <x v="2"/>
    <d v="2018-02-28T00:00:00"/>
    <n v="-18420.830000000002"/>
  </r>
  <r>
    <s v="100012404"/>
    <s v="SA"/>
    <s v="40501-PD0027"/>
    <x v="2"/>
    <s v="Amortization Expense-Interest Rate Swap (Gross)"/>
    <s v="20180228"/>
    <x v="3"/>
    <d v="2018-02-28T00:00:00"/>
    <n v="-834.2"/>
  </r>
  <r>
    <s v="100012412"/>
    <s v="SA"/>
    <s v="40501-PD0028"/>
    <x v="2"/>
    <s v="Amortization Expense - Interest Rate Swap (Gross)"/>
    <s v="20180228"/>
    <x v="4"/>
    <d v="2018-02-28T00:00:00"/>
    <n v="11086"/>
  </r>
  <r>
    <s v="100020428"/>
    <s v="SA"/>
    <s v="40501_PD0018"/>
    <x v="2"/>
    <s v="Amortization Expense - Interest Rate Swap (Gross)"/>
    <s v="20180331"/>
    <x v="1"/>
    <d v="2018-03-31T00:00:00"/>
    <n v="-65694.05"/>
  </r>
  <r>
    <s v="100020429"/>
    <s v="SA"/>
    <s v="40501_PD0025"/>
    <x v="2"/>
    <s v="Amortization Expense - Interest Rate Swap (Gross)"/>
    <s v="20180331"/>
    <x v="2"/>
    <d v="2018-03-31T00:00:00"/>
    <n v="-18420.830000000002"/>
  </r>
  <r>
    <s v="100020430"/>
    <s v="SA"/>
    <s v="40501-PD0027"/>
    <x v="2"/>
    <s v="Amortization Expense-Interest Rate Swap (Gross)"/>
    <s v="20180331"/>
    <x v="3"/>
    <d v="2018-03-31T00:00:00"/>
    <n v="-834.2"/>
  </r>
  <r>
    <s v="100020438"/>
    <s v="SA"/>
    <s v="40501-PD0028"/>
    <x v="2"/>
    <s v="Amortization Expense - Interest Rate Swap (Gross)"/>
    <s v="20180331"/>
    <x v="4"/>
    <d v="2018-03-31T00:00:00"/>
    <n v="11086"/>
  </r>
  <r>
    <s v="100027589"/>
    <s v="SA"/>
    <s v="40501_PD0018"/>
    <x v="2"/>
    <s v="Amortization Expense - Interest Rate Swap (Gross)"/>
    <s v="20180430"/>
    <x v="1"/>
    <d v="2018-04-30T00:00:00"/>
    <n v="-65694.05"/>
  </r>
  <r>
    <s v="100027590"/>
    <s v="SA"/>
    <s v="40501_PD0025"/>
    <x v="2"/>
    <s v="Amortization Expense - Interest Rate Swap (Gross)"/>
    <s v="20180430"/>
    <x v="2"/>
    <d v="2018-04-30T00:00:00"/>
    <n v="-18420.830000000002"/>
  </r>
  <r>
    <s v="100027591"/>
    <s v="SA"/>
    <s v="40501-PD0027"/>
    <x v="2"/>
    <s v="Amortization Expense-Interest Rate Swap (Gross)"/>
    <s v="20180430"/>
    <x v="3"/>
    <d v="2018-04-30T00:00:00"/>
    <n v="-834.2"/>
  </r>
  <r>
    <s v="100027625"/>
    <s v="SA"/>
    <s v="40501-PD0028"/>
    <x v="2"/>
    <s v="Amortization Expense - Interest Rate Swap (Gross)"/>
    <s v="20180430"/>
    <x v="4"/>
    <d v="2018-04-30T00:00:00"/>
    <n v="11086"/>
  </r>
  <r>
    <s v="100035777"/>
    <s v="SA"/>
    <s v="40501_PD0025"/>
    <x v="2"/>
    <s v="Amortization Expense - Interest Rate Swap (Gross)"/>
    <s v="20180531"/>
    <x v="2"/>
    <d v="2018-05-31T00:00:00"/>
    <n v="-18420.830000000002"/>
  </r>
  <r>
    <s v="100035778"/>
    <s v="SA"/>
    <s v="40501_PD0018"/>
    <x v="2"/>
    <s v="Amortization Expense - Interest Rate Swap (Gross)"/>
    <s v="20180531"/>
    <x v="1"/>
    <d v="2018-05-31T00:00:00"/>
    <n v="-32847.39"/>
  </r>
  <r>
    <s v="100035779"/>
    <s v="SA"/>
    <s v="40501-PD0027"/>
    <x v="2"/>
    <s v="Amortization Expense-Interest Rate Swap (Gross)"/>
    <s v="20180531"/>
    <x v="3"/>
    <d v="2018-05-31T00:00:00"/>
    <n v="-834.2"/>
  </r>
  <r>
    <s v="100035786"/>
    <s v="SA"/>
    <s v="40501-PD0028"/>
    <x v="2"/>
    <s v="Amortization Expense - Interest Rate Swap (Gross)"/>
    <s v="20180531"/>
    <x v="4"/>
    <d v="2018-05-31T00:00:00"/>
    <n v="11086"/>
  </r>
  <r>
    <s v="100043161"/>
    <s v="SA"/>
    <s v="40501_PD0025"/>
    <x v="2"/>
    <s v="Amortization Expense - Interest Rate Swap (Gross)"/>
    <s v="20180630"/>
    <x v="2"/>
    <d v="2018-06-30T00:00:00"/>
    <n v="-18420.830000000002"/>
  </r>
  <r>
    <s v="100043162"/>
    <s v="SA"/>
    <s v="40501-PD0027"/>
    <x v="2"/>
    <s v="Amortization Expense-Interest Rate Swap (Gross)"/>
    <s v="20180630"/>
    <x v="3"/>
    <d v="2018-06-30T00:00:00"/>
    <n v="-834.2"/>
  </r>
  <r>
    <s v="100043169"/>
    <s v="SA"/>
    <s v="40501-PD0028"/>
    <x v="2"/>
    <s v="Amortization Expense - Interest Rate Swap (Gross)"/>
    <s v="20180630"/>
    <x v="4"/>
    <d v="2018-06-30T00:00:00"/>
    <n v="11086"/>
  </r>
  <r>
    <s v="100050030"/>
    <s v="SA"/>
    <s v="40501_PD0025"/>
    <x v="2"/>
    <s v="Amortization Expense - Interest Rate Swap (Gross)"/>
    <s v="20180731"/>
    <x v="2"/>
    <d v="2018-07-31T00:00:00"/>
    <n v="-18420.830000000002"/>
  </r>
  <r>
    <s v="100050031"/>
    <s v="SA"/>
    <s v="40501-PD0027"/>
    <x v="2"/>
    <s v="Amortization Expense-Interest Rate Swap (Gross)"/>
    <s v="20180731"/>
    <x v="3"/>
    <d v="2018-07-31T00:00:00"/>
    <n v="-834.2"/>
  </r>
  <r>
    <s v="100050038"/>
    <s v="SA"/>
    <s v="40501-PD0028"/>
    <x v="2"/>
    <s v="Amortization Expense - Interest Rate Swap (Gross)"/>
    <s v="20180731"/>
    <x v="4"/>
    <d v="2018-07-31T00:00:00"/>
    <n v="11086"/>
  </r>
  <r>
    <s v="100057792"/>
    <s v="SA"/>
    <s v="40501_PD0025"/>
    <x v="2"/>
    <s v="Amortization Expense - Interest Rate Swap (Gross)"/>
    <s v="20180831"/>
    <x v="2"/>
    <d v="2018-08-31T00:00:00"/>
    <n v="-18420.830000000002"/>
  </r>
  <r>
    <s v="100057793"/>
    <s v="SA"/>
    <s v="40501-PD0027"/>
    <x v="2"/>
    <s v="Amortization Expense-Interest Rate Swap (Gross)"/>
    <s v="20180831"/>
    <x v="3"/>
    <d v="2018-08-31T00:00:00"/>
    <n v="-834.2"/>
  </r>
  <r>
    <s v="100057800"/>
    <s v="SA"/>
    <s v="40501-PD0028"/>
    <x v="2"/>
    <s v="Amortization Expense - Interest Rate Swap (Gross)"/>
    <s v="20180831"/>
    <x v="4"/>
    <d v="2018-08-31T00:00:00"/>
    <n v="11086"/>
  </r>
  <r>
    <s v="100064755"/>
    <s v="SA"/>
    <s v="40501_PD0025"/>
    <x v="2"/>
    <s v="Amortization Expense - Interest Rate Swap (Gross)"/>
    <s v="20180930"/>
    <x v="2"/>
    <d v="2018-09-30T00:00:00"/>
    <n v="-18420.830000000002"/>
  </r>
  <r>
    <s v="100064756"/>
    <s v="SA"/>
    <s v="40501-PD0027"/>
    <x v="2"/>
    <s v="Amortization Expense-Interest Rate Swap (Gross)"/>
    <s v="20180930"/>
    <x v="3"/>
    <d v="2018-09-30T00:00:00"/>
    <n v="-834.2"/>
  </r>
  <r>
    <s v="100064763"/>
    <s v="SA"/>
    <s v="40501-PD0028"/>
    <x v="2"/>
    <s v="Amortization Expense - Interest Rate Swap (Gross)"/>
    <s v="20180930"/>
    <x v="4"/>
    <d v="2018-09-30T00:00:00"/>
    <n v="11086"/>
  </r>
  <r>
    <s v="100071883"/>
    <s v="SA"/>
    <s v="40501_PD0025"/>
    <x v="2"/>
    <s v="Amortization Expense - Interest Rate Swap (Gross)"/>
    <s v="20181031"/>
    <x v="2"/>
    <d v="2018-10-31T00:00:00"/>
    <n v="-18420.830000000002"/>
  </r>
  <r>
    <s v="100071884"/>
    <s v="SA"/>
    <s v="40501-PD0027"/>
    <x v="2"/>
    <s v="Amortization Expense-Interest Rate Swap (Gross)"/>
    <s v="20181031"/>
    <x v="3"/>
    <d v="2018-10-31T00:00:00"/>
    <n v="-834.2"/>
  </r>
  <r>
    <s v="100071891"/>
    <s v="SA"/>
    <s v="40501-PD0028"/>
    <x v="2"/>
    <s v="Amortization Expense - Interest Rate Swap (Gross)"/>
    <s v="20181031"/>
    <x v="4"/>
    <d v="2018-10-31T00:00:00"/>
    <n v="11086"/>
  </r>
  <r>
    <s v="100079605"/>
    <s v="SA"/>
    <s v="40501_PD0025"/>
    <x v="2"/>
    <s v="Amortization Expense - Interest Rate Swap (Gross)"/>
    <s v="20181130"/>
    <x v="2"/>
    <d v="2018-11-30T00:00:00"/>
    <n v="-18420.830000000002"/>
  </r>
  <r>
    <s v="100079606"/>
    <s v="SA"/>
    <s v="40501-PD0027"/>
    <x v="2"/>
    <s v="Amortization Expense-Interest Rate Swap (Gross)"/>
    <s v="20181130"/>
    <x v="3"/>
    <d v="2018-11-30T00:00:00"/>
    <n v="-834.2"/>
  </r>
  <r>
    <s v="100079613"/>
    <s v="SA"/>
    <s v="40501-PD0028"/>
    <x v="2"/>
    <s v="Amortization Expense - Interest Rate Swap (Gross)"/>
    <s v="20181130"/>
    <x v="4"/>
    <d v="2018-11-30T00:00:00"/>
    <n v="11086"/>
  </r>
  <r>
    <s v="100086604"/>
    <s v="SA"/>
    <s v="40501_PD0025"/>
    <x v="2"/>
    <s v="Amortization Expense - Interest Rate Swap (Gross)"/>
    <s v="20181231"/>
    <x v="2"/>
    <d v="2018-12-31T00:00:00"/>
    <n v="-18420.830000000002"/>
  </r>
  <r>
    <s v="100086605"/>
    <s v="SA"/>
    <s v="40501-PD0027"/>
    <x v="2"/>
    <s v="Amortization Expense-Interest Rate Swap (Gross)"/>
    <s v="20181231"/>
    <x v="3"/>
    <d v="2018-12-31T00:00:00"/>
    <n v="-834.2"/>
  </r>
  <r>
    <s v="100086612"/>
    <s v="SA"/>
    <s v="40501-PD0028"/>
    <x v="2"/>
    <s v="Amortization Expense - Interest Rate Swap (Gross)"/>
    <s v="20181231"/>
    <x v="4"/>
    <d v="2018-12-31T00:00:00"/>
    <n v="11086"/>
  </r>
  <r>
    <s v="100006732"/>
    <s v="SA"/>
    <s v="40501_PD0025"/>
    <x v="2"/>
    <s v="Amortization Expense - Interest Rate Swap (Gross)"/>
    <s v="20190131"/>
    <x v="2"/>
    <d v="2019-01-31T00:00:00"/>
    <n v="-18420.830000000002"/>
  </r>
  <r>
    <s v="100006733"/>
    <s v="SA"/>
    <s v="40501-PD0027"/>
    <x v="2"/>
    <s v="Amortization Expense-Interest Rate Swap (Gross)"/>
    <s v="20190131"/>
    <x v="3"/>
    <d v="2019-01-31T00:00:00"/>
    <n v="-834.2"/>
  </r>
  <r>
    <s v="100006740"/>
    <s v="SA"/>
    <s v="40501-PD0028"/>
    <x v="2"/>
    <s v="Amortization Expense - Interest Rate Swap (Gross)"/>
    <s v="20190131"/>
    <x v="4"/>
    <d v="2019-01-31T00:00:00"/>
    <n v="11086"/>
  </r>
  <r>
    <s v="100012424"/>
    <s v="SA"/>
    <s v="40501_PD0025"/>
    <x v="2"/>
    <s v="Amortization Expense - Interest Rate Swap (Gross)"/>
    <s v="20190228"/>
    <x v="2"/>
    <d v="2019-02-28T00:00:00"/>
    <n v="-18420.830000000002"/>
  </r>
  <r>
    <s v="100012425"/>
    <s v="SA"/>
    <s v="40501-PD0027"/>
    <x v="2"/>
    <s v="Amortization Expense-Interest Rate Swap (Gross)"/>
    <s v="20190228"/>
    <x v="3"/>
    <d v="2019-02-28T00:00:00"/>
    <n v="-834.2"/>
  </r>
  <r>
    <s v="100012432"/>
    <s v="SA"/>
    <s v="40501-PD0028"/>
    <x v="2"/>
    <s v="Amortization Expense - Interest Rate Swap (Gross)"/>
    <s v="20190228"/>
    <x v="4"/>
    <d v="2019-02-28T00:00:00"/>
    <n v="11086"/>
  </r>
  <r>
    <s v="100020426"/>
    <s v="SA"/>
    <s v="40501_PD0025"/>
    <x v="2"/>
    <s v="Amortization Expense - Interest Rate Swap (Gross)"/>
    <s v="20190331"/>
    <x v="2"/>
    <d v="2019-03-31T00:00:00"/>
    <n v="-18420.830000000002"/>
  </r>
  <r>
    <s v="100020427"/>
    <s v="SA"/>
    <s v="40501-PD0027"/>
    <x v="2"/>
    <s v="Amortization Expense-Interest Rate Swap (Gross)"/>
    <s v="20190331"/>
    <x v="3"/>
    <d v="2019-03-31T00:00:00"/>
    <n v="-834.2"/>
  </r>
  <r>
    <s v="100020434"/>
    <s v="SA"/>
    <s v="40501-PD0028"/>
    <x v="2"/>
    <s v="Amortization Expense - Interest Rate Swap (Gross)"/>
    <s v="20190331"/>
    <x v="4"/>
    <d v="2019-03-31T00:00:00"/>
    <n v="11086"/>
  </r>
  <r>
    <s v="100027266"/>
    <s v="SA"/>
    <s v="40501_PD0025"/>
    <x v="2"/>
    <s v="Amortization Expense - Interest Rate Swap (Gross)"/>
    <s v="20190430"/>
    <x v="2"/>
    <d v="2019-04-30T00:00:00"/>
    <n v="-18420.830000000002"/>
  </r>
  <r>
    <s v="100027267"/>
    <s v="SA"/>
    <s v="40501-PD0027"/>
    <x v="2"/>
    <s v="Amortization Expense-Interest Rate Swap (Gross)"/>
    <s v="20190430"/>
    <x v="3"/>
    <d v="2019-04-30T00:00:00"/>
    <n v="-834.2"/>
  </r>
  <r>
    <s v="100027273"/>
    <s v="SA"/>
    <s v="40501-PD0028"/>
    <x v="2"/>
    <s v="Amortization Expense - Interest Rate Swap (Gross)"/>
    <s v="20190430"/>
    <x v="4"/>
    <d v="2019-04-30T00:00:00"/>
    <n v="11086"/>
  </r>
  <r>
    <s v="100034690"/>
    <s v="SA"/>
    <s v="40501_PD0025"/>
    <x v="2"/>
    <s v="Amortization Expense - Interest Rate Swap (Gross)"/>
    <s v="20190531"/>
    <x v="2"/>
    <d v="2019-05-31T00:00:00"/>
    <n v="-18420.830000000002"/>
  </r>
  <r>
    <s v="100034691"/>
    <s v="SA"/>
    <s v="40501-PD0027"/>
    <x v="2"/>
    <s v="Amortization Expense-Interest Rate Swap (Gross)"/>
    <s v="20190531"/>
    <x v="3"/>
    <d v="2019-05-31T00:00:00"/>
    <n v="-834.2"/>
  </r>
  <r>
    <s v="100034697"/>
    <s v="SA"/>
    <s v="40501-PD0028"/>
    <x v="2"/>
    <s v="Amortization Expense - Interest Rate Swap (Gross)"/>
    <s v="20190531"/>
    <x v="4"/>
    <d v="2019-05-31T00:00:00"/>
    <n v="11086"/>
  </r>
  <r>
    <s v="100040832"/>
    <s v="SA"/>
    <s v="40501_PD0025"/>
    <x v="2"/>
    <s v="Amortization Expense - Interest Rate Swap (Gross)"/>
    <s v="20190630"/>
    <x v="2"/>
    <d v="2019-06-30T00:00:00"/>
    <n v="-18420.830000000002"/>
  </r>
  <r>
    <s v="100040833"/>
    <s v="SA"/>
    <s v="40501-PD0027"/>
    <x v="2"/>
    <s v="Amortization Expense-Interest Rate Swap (Gross)"/>
    <s v="20190630"/>
    <x v="3"/>
    <d v="2019-06-30T00:00:00"/>
    <n v="-834.2"/>
  </r>
  <r>
    <s v="100040839"/>
    <s v="SA"/>
    <s v="40501-PD0028"/>
    <x v="2"/>
    <s v="Amortization Expense - Interest Rate Swap (Gross)"/>
    <s v="20190630"/>
    <x v="4"/>
    <d v="2019-06-30T00:00:00"/>
    <n v="11086"/>
  </r>
  <r>
    <s v="100048465"/>
    <s v="SA"/>
    <s v="40501_PD0025"/>
    <x v="2"/>
    <s v="Amortization Expense - Interest Rate Swap (Gross)"/>
    <s v="20190731"/>
    <x v="2"/>
    <d v="2019-07-31T00:00:00"/>
    <n v="-18420.830000000002"/>
  </r>
  <r>
    <s v="100048466"/>
    <s v="SA"/>
    <s v="40501-PD0027"/>
    <x v="2"/>
    <s v="Amortization Expense-Interest Rate Swap (Gross)"/>
    <s v="20190731"/>
    <x v="3"/>
    <d v="2019-07-31T00:00:00"/>
    <n v="-834.2"/>
  </r>
  <r>
    <s v="100048472"/>
    <s v="SA"/>
    <s v="40501-PD0028"/>
    <x v="2"/>
    <s v="Amortization Expense - Interest Rate Swap (Gross)"/>
    <s v="20190731"/>
    <x v="4"/>
    <d v="2019-07-31T00:00:00"/>
    <n v="11086"/>
  </r>
  <r>
    <s v="100055087"/>
    <s v="SA"/>
    <s v="40501_PD0025"/>
    <x v="2"/>
    <s v="Amortization Expense - Interest Rate Swap (Gross)"/>
    <s v="20190831"/>
    <x v="2"/>
    <d v="2019-08-31T00:00:00"/>
    <n v="-18420.830000000002"/>
  </r>
  <r>
    <s v="100055088"/>
    <s v="SA"/>
    <s v="40501-PD0027"/>
    <x v="2"/>
    <s v="Amortization Expense-Interest Rate Swap (Gross)"/>
    <s v="20190831"/>
    <x v="3"/>
    <d v="2019-08-31T00:00:00"/>
    <n v="-834.2"/>
  </r>
  <r>
    <s v="100055094"/>
    <s v="SA"/>
    <s v="40501-PD0028"/>
    <x v="2"/>
    <s v="Amortization Expense - Interest Rate Swap (Gross)"/>
    <s v="20190831"/>
    <x v="4"/>
    <d v="2019-08-31T00:00:00"/>
    <n v="11086"/>
  </r>
  <r>
    <s v="100062037"/>
    <s v="SA"/>
    <s v="40501_PD0025"/>
    <x v="2"/>
    <s v="Amortization Expense - Interest Rate Swap (Gross)"/>
    <s v="20190930"/>
    <x v="2"/>
    <d v="2019-09-30T00:00:00"/>
    <n v="-18420.830000000002"/>
  </r>
  <r>
    <s v="100062038"/>
    <s v="SA"/>
    <s v="40501-PD0027"/>
    <x v="2"/>
    <s v="Amortization Expense-Interest Rate Swap (Gross)"/>
    <s v="20190930"/>
    <x v="3"/>
    <d v="2019-09-30T00:00:00"/>
    <n v="-834.2"/>
  </r>
  <r>
    <s v="100062044"/>
    <s v="SA"/>
    <s v="40501-PD0028"/>
    <x v="2"/>
    <s v="Amortization Expense - Interest Rate Swap (Gross)"/>
    <s v="20190930"/>
    <x v="4"/>
    <d v="2019-09-30T00:00:00"/>
    <n v="11086"/>
  </r>
  <r>
    <s v="100069291"/>
    <s v="SA"/>
    <s v="40501_PD0025"/>
    <x v="2"/>
    <s v="Amortization Expense - Interest Rate Swap (Gross)"/>
    <s v="20191031"/>
    <x v="2"/>
    <d v="2019-10-31T00:00:00"/>
    <n v="-18420.830000000002"/>
  </r>
  <r>
    <s v="100069292"/>
    <s v="SA"/>
    <s v="40501-PD0027"/>
    <x v="2"/>
    <s v="Amortization Expense-Interest Rate Swap (Gross)"/>
    <s v="20191031"/>
    <x v="3"/>
    <d v="2019-10-31T00:00:00"/>
    <n v="-834.2"/>
  </r>
  <r>
    <s v="100069298"/>
    <s v="SA"/>
    <s v="40501-PD0028"/>
    <x v="2"/>
    <s v="Amortization Expense - Interest Rate Swap (Gross)"/>
    <s v="20191031"/>
    <x v="4"/>
    <d v="2019-10-31T00:00:00"/>
    <n v="11086"/>
  </r>
  <r>
    <s v="100074914"/>
    <s v="SA"/>
    <s v="40501_PD0025"/>
    <x v="2"/>
    <s v="Amortization Expense - Interest Rate Swap (Gross)"/>
    <s v="20191130"/>
    <x v="2"/>
    <d v="2019-11-30T00:00:00"/>
    <n v="-18420.830000000002"/>
  </r>
  <r>
    <s v="100074915"/>
    <s v="SA"/>
    <s v="40501-PD0027"/>
    <x v="2"/>
    <s v="Amortization Expense-Interest Rate Swap (Gross)"/>
    <s v="20191130"/>
    <x v="3"/>
    <d v="2019-11-30T00:00:00"/>
    <n v="-834.2"/>
  </r>
  <r>
    <s v="100074921"/>
    <s v="SA"/>
    <s v="40501-PD0028"/>
    <x v="2"/>
    <s v="Amortization Expense - Interest Rate Swap (Gross)"/>
    <s v="20191130"/>
    <x v="4"/>
    <d v="2019-11-30T00:00:00"/>
    <n v="11086"/>
  </r>
  <r>
    <s v="100081838"/>
    <s v="SA"/>
    <s v="40501_PD0025"/>
    <x v="2"/>
    <s v="Amortization Expense - Interest Rate Swap (Gross)"/>
    <s v="20191231"/>
    <x v="2"/>
    <d v="2019-12-31T00:00:00"/>
    <n v="-18420.830000000002"/>
  </r>
  <r>
    <s v="100081839"/>
    <s v="SA"/>
    <s v="40501-PD0027"/>
    <x v="2"/>
    <s v="Amortization Expense-Interest Rate Swap (Gross)"/>
    <s v="20191231"/>
    <x v="3"/>
    <d v="2019-12-31T00:00:00"/>
    <n v="-834.2"/>
  </r>
  <r>
    <s v="100081845"/>
    <s v="SA"/>
    <s v="40501-PD0028"/>
    <x v="2"/>
    <s v="Amortization Expense - Interest Rate Swap (Gross)"/>
    <s v="20191231"/>
    <x v="4"/>
    <d v="2019-12-31T00:00:00"/>
    <n v="11086"/>
  </r>
  <r>
    <s v="100028155"/>
    <s v="SA"/>
    <s v="89800-09"/>
    <x v="3"/>
    <s v=""/>
    <s v="20120930"/>
    <x v="1"/>
    <d v="2012-09-30T00:00:00"/>
    <n v="-1938623.27"/>
  </r>
  <r>
    <s v="100028155"/>
    <s v="SA"/>
    <s v="89800-09"/>
    <x v="3"/>
    <s v=""/>
    <s v="20120930"/>
    <x v="1"/>
    <d v="2012-09-30T00:00:00"/>
    <n v="228073.32"/>
  </r>
  <r>
    <s v="100028155"/>
    <s v="SA"/>
    <s v="89800-09"/>
    <x v="3"/>
    <s v=""/>
    <s v="20120930"/>
    <x v="2"/>
    <d v="2012-09-30T00:00:00"/>
    <n v="-2558101.13"/>
  </r>
  <r>
    <s v="100028155"/>
    <s v="SA"/>
    <s v="89800-09"/>
    <x v="3"/>
    <s v=""/>
    <s v="20120930"/>
    <x v="2"/>
    <d v="2012-09-30T00:00:00"/>
    <n v="28423.360000000001"/>
  </r>
  <r>
    <s v="100037868"/>
    <s v="SA"/>
    <s v="40501_PD0018"/>
    <x v="3"/>
    <s v="OCI -Interest Rate Swap -DIT State"/>
    <s v="20121031"/>
    <x v="1"/>
    <d v="2012-10-31T00:00:00"/>
    <n v="3613.17"/>
  </r>
  <r>
    <s v="100037868"/>
    <s v="SA"/>
    <s v="40501_PD0018"/>
    <x v="3"/>
    <s v="OCI -Interest Rate Swap -DIT Federal"/>
    <s v="20121031"/>
    <x v="1"/>
    <d v="2012-10-31T00:00:00"/>
    <n v="21728.31"/>
  </r>
  <r>
    <s v="100037892"/>
    <s v="SA"/>
    <s v="40501_PD0025"/>
    <x v="3"/>
    <s v="OCI - Interest Rate Swap DIT State"/>
    <s v="20121031"/>
    <x v="2"/>
    <d v="2012-10-31T00:00:00"/>
    <n v="1013.15"/>
  </r>
  <r>
    <s v="100037892"/>
    <s v="SA"/>
    <s v="40501_PD0025"/>
    <x v="3"/>
    <s v="OCI - Interest Rate Swap DIT Federal"/>
    <s v="20121031"/>
    <x v="2"/>
    <d v="2012-10-31T00:00:00"/>
    <n v="6092.69"/>
  </r>
  <r>
    <s v="100044337"/>
    <s v="SA"/>
    <s v="40501_PD0018"/>
    <x v="3"/>
    <s v="OCI -Interest Rate Swap -DIT State"/>
    <s v="20121130"/>
    <x v="1"/>
    <d v="2012-11-30T00:00:00"/>
    <n v="3613.17"/>
  </r>
  <r>
    <s v="100044337"/>
    <s v="SA"/>
    <s v="40501_PD0018"/>
    <x v="3"/>
    <s v="OCI -Interest Rate Swap -DIT Federal"/>
    <s v="20121130"/>
    <x v="1"/>
    <d v="2012-11-30T00:00:00"/>
    <n v="21728.31"/>
  </r>
  <r>
    <s v="100044360"/>
    <s v="SA"/>
    <s v="40501_PD0025"/>
    <x v="3"/>
    <s v="OCI - Interest Rate Swap DIT State"/>
    <s v="20121130"/>
    <x v="2"/>
    <d v="2012-11-30T00:00:00"/>
    <n v="1013.15"/>
  </r>
  <r>
    <s v="100044360"/>
    <s v="SA"/>
    <s v="40501_PD0025"/>
    <x v="3"/>
    <s v="OCI - Interest Rate Swap DIT Federal"/>
    <s v="20121130"/>
    <x v="2"/>
    <d v="2012-11-30T00:00:00"/>
    <n v="6092.69"/>
  </r>
  <r>
    <s v="100051650"/>
    <s v="SA"/>
    <s v="40501_PD0018"/>
    <x v="3"/>
    <s v="OCI -Interest Rate Swap -DIT State"/>
    <s v="20121231"/>
    <x v="1"/>
    <d v="2012-12-31T00:00:00"/>
    <n v="3613.17"/>
  </r>
  <r>
    <s v="100051650"/>
    <s v="SA"/>
    <s v="40501_PD0018"/>
    <x v="3"/>
    <s v="OCI -Interest Rate Swap -DIT Federal"/>
    <s v="20121231"/>
    <x v="1"/>
    <d v="2012-12-31T00:00:00"/>
    <n v="21728.31"/>
  </r>
  <r>
    <s v="100051673"/>
    <s v="SA"/>
    <s v="40501_PD0025"/>
    <x v="3"/>
    <s v="OCI - Interest Rate Swap DIT State"/>
    <s v="20121231"/>
    <x v="2"/>
    <d v="2012-12-31T00:00:00"/>
    <n v="1013.15"/>
  </r>
  <r>
    <s v="100051673"/>
    <s v="SA"/>
    <s v="40501_PD0025"/>
    <x v="3"/>
    <s v="OCI - Interest Rate Swap DIT Federal"/>
    <s v="20121231"/>
    <x v="2"/>
    <d v="2012-12-31T00:00:00"/>
    <n v="6092.69"/>
  </r>
  <r>
    <s v="100008040"/>
    <s v="SA"/>
    <s v="40501_PD0018"/>
    <x v="3"/>
    <s v="OCI -Interest Rate Swap -DIT State"/>
    <s v="20130131"/>
    <x v="1"/>
    <d v="2013-01-31T00:00:00"/>
    <n v="3613.17"/>
  </r>
  <r>
    <s v="100008040"/>
    <s v="SA"/>
    <s v="40501_PD0018"/>
    <x v="3"/>
    <s v="OCI -Interest Rate Swap -DIT Federal"/>
    <s v="20130131"/>
    <x v="1"/>
    <d v="2013-01-31T00:00:00"/>
    <n v="21728.31"/>
  </r>
  <r>
    <s v="100008063"/>
    <s v="SA"/>
    <s v="40501_PD0025"/>
    <x v="3"/>
    <s v="OCI - Interest Rate Swap DIT State"/>
    <s v="20130131"/>
    <x v="2"/>
    <d v="2013-01-31T00:00:00"/>
    <n v="1013.15"/>
  </r>
  <r>
    <s v="100008063"/>
    <s v="SA"/>
    <s v="40501_PD0025"/>
    <x v="3"/>
    <s v="OCI - Interest Rate Swap DIT Federal"/>
    <s v="20130131"/>
    <x v="2"/>
    <d v="2013-01-31T00:00:00"/>
    <n v="6092.69"/>
  </r>
  <r>
    <s v="100010123"/>
    <s v="SA"/>
    <s v="40501_PD0018"/>
    <x v="3"/>
    <s v="OCI -Interest Rate Swap -DIT State"/>
    <s v="20130228"/>
    <x v="1"/>
    <d v="2013-02-28T00:00:00"/>
    <n v="3613.17"/>
  </r>
  <r>
    <s v="100010123"/>
    <s v="SA"/>
    <s v="40501_PD0018"/>
    <x v="3"/>
    <s v="OCI -Interest Rate Swap -DIT Federal"/>
    <s v="20130228"/>
    <x v="1"/>
    <d v="2013-02-28T00:00:00"/>
    <n v="21728.31"/>
  </r>
  <r>
    <s v="100010145"/>
    <s v="SA"/>
    <s v="40501_PD0025"/>
    <x v="3"/>
    <s v="OCI - Interest Rate Swap DIT State"/>
    <s v="20130228"/>
    <x v="2"/>
    <d v="2013-02-28T00:00:00"/>
    <n v="1013.15"/>
  </r>
  <r>
    <s v="100010145"/>
    <s v="SA"/>
    <s v="40501_PD0025"/>
    <x v="3"/>
    <s v="OCI - Interest Rate Swap DIT Federal"/>
    <s v="20130228"/>
    <x v="2"/>
    <d v="2013-02-28T00:00:00"/>
    <n v="6092.69"/>
  </r>
  <r>
    <s v="100022147"/>
    <s v="SA"/>
    <s v="40501_PD0018"/>
    <x v="3"/>
    <s v="OCI -Interest Rate Swap -DIT State"/>
    <s v="20130331"/>
    <x v="1"/>
    <d v="2013-03-31T00:00:00"/>
    <n v="3613.17"/>
  </r>
  <r>
    <s v="100022147"/>
    <s v="SA"/>
    <s v="40501_PD0018"/>
    <x v="3"/>
    <s v="OCI -Interest Rate Swap -DIT Federal"/>
    <s v="20130331"/>
    <x v="1"/>
    <d v="2013-03-31T00:00:00"/>
    <n v="21728.31"/>
  </r>
  <r>
    <s v="100022148"/>
    <s v="SA"/>
    <s v="40501_PD0025"/>
    <x v="3"/>
    <s v="OCI - Interest Rate Swap DIT State"/>
    <s v="20130331"/>
    <x v="2"/>
    <d v="2013-03-31T00:00:00"/>
    <n v="1013.15"/>
  </r>
  <r>
    <s v="100022148"/>
    <s v="SA"/>
    <s v="40501_PD0025"/>
    <x v="3"/>
    <s v="OCI - Interest Rate Swap DIT Federal"/>
    <s v="20130331"/>
    <x v="2"/>
    <d v="2013-03-31T00:00:00"/>
    <n v="6092.69"/>
  </r>
  <r>
    <s v="100030992"/>
    <s v="SA"/>
    <s v="40501_PD0018"/>
    <x v="3"/>
    <s v="OCI -Interest Rate Swap -DIT State"/>
    <s v="20130430"/>
    <x v="1"/>
    <d v="2013-04-30T00:00:00"/>
    <n v="3613.17"/>
  </r>
  <r>
    <s v="100030992"/>
    <s v="SA"/>
    <s v="40501_PD0018"/>
    <x v="3"/>
    <s v="OCI -Interest Rate Swap -DIT Federal"/>
    <s v="20130430"/>
    <x v="1"/>
    <d v="2013-04-30T00:00:00"/>
    <n v="21728.31"/>
  </r>
  <r>
    <s v="100030993"/>
    <s v="SA"/>
    <s v="40501_PD0025"/>
    <x v="3"/>
    <s v="OCI - Interest Rate Swap DIT State"/>
    <s v="20130430"/>
    <x v="2"/>
    <d v="2013-04-30T00:00:00"/>
    <n v="1013.15"/>
  </r>
  <r>
    <s v="100030993"/>
    <s v="SA"/>
    <s v="40501_PD0025"/>
    <x v="3"/>
    <s v="OCI - Interest Rate Swap DIT Federal"/>
    <s v="20130430"/>
    <x v="2"/>
    <d v="2013-04-30T00:00:00"/>
    <n v="6092.69"/>
  </r>
  <r>
    <s v="100039249"/>
    <s v="SA"/>
    <s v="40501_PD0018"/>
    <x v="3"/>
    <s v="OCI -Interest Rate Swap -DIT State"/>
    <s v="20130531"/>
    <x v="1"/>
    <d v="2013-05-31T00:00:00"/>
    <n v="3613.17"/>
  </r>
  <r>
    <s v="100039249"/>
    <s v="SA"/>
    <s v="40501_PD0018"/>
    <x v="3"/>
    <s v="OCI -Interest Rate Swap -DIT Federal"/>
    <s v="20130531"/>
    <x v="1"/>
    <d v="2013-05-31T00:00:00"/>
    <n v="21728.31"/>
  </r>
  <r>
    <s v="100039250"/>
    <s v="SA"/>
    <s v="40501_PD0025"/>
    <x v="3"/>
    <s v="OCI - Interest Rate Swap DIT State"/>
    <s v="20130531"/>
    <x v="2"/>
    <d v="2013-05-31T00:00:00"/>
    <n v="1013.15"/>
  </r>
  <r>
    <s v="100039250"/>
    <s v="SA"/>
    <s v="40501_PD0025"/>
    <x v="3"/>
    <s v="OCI - Interest Rate Swap DIT Federal"/>
    <s v="20130531"/>
    <x v="2"/>
    <d v="2013-05-31T00:00:00"/>
    <n v="6092.69"/>
  </r>
  <r>
    <s v="100047599"/>
    <s v="SA"/>
    <s v="40501_PD0018"/>
    <x v="3"/>
    <s v="OCI -Interest Rate Swap -DIT State"/>
    <s v="20130630"/>
    <x v="1"/>
    <d v="2013-06-30T00:00:00"/>
    <n v="3613.17"/>
  </r>
  <r>
    <s v="100047599"/>
    <s v="SA"/>
    <s v="40501_PD0018"/>
    <x v="3"/>
    <s v="OCI -Interest Rate Swap -DIT Federal"/>
    <s v="20130630"/>
    <x v="1"/>
    <d v="2013-06-30T00:00:00"/>
    <n v="21728.31"/>
  </r>
  <r>
    <s v="100047600"/>
    <s v="SA"/>
    <s v="40501_PD0025"/>
    <x v="3"/>
    <s v="OCI - Interest Rate Swap DIT State"/>
    <s v="20130630"/>
    <x v="2"/>
    <d v="2013-06-30T00:00:00"/>
    <n v="1013.15"/>
  </r>
  <r>
    <s v="100047600"/>
    <s v="SA"/>
    <s v="40501_PD0025"/>
    <x v="3"/>
    <s v="OCI - Interest Rate Swap DIT Federal"/>
    <s v="20130630"/>
    <x v="2"/>
    <d v="2013-06-30T00:00:00"/>
    <n v="6092.69"/>
  </r>
  <r>
    <s v="100048965"/>
    <s v="SA"/>
    <s v="89009"/>
    <x v="3"/>
    <s v=""/>
    <s v="20130630"/>
    <x v="0"/>
    <d v="2013-06-30T00:00:00"/>
    <n v="-194683.92"/>
  </r>
  <r>
    <s v="100057888"/>
    <s v="SA"/>
    <s v="89850-3"/>
    <x v="3"/>
    <s v="Power Tax Reversal"/>
    <s v="20130701"/>
    <x v="0"/>
    <d v="2013-07-31T00:00:00"/>
    <n v="-32447.33"/>
  </r>
  <r>
    <s v="9200002215"/>
    <s v="YA"/>
    <s v="050000"/>
    <x v="3"/>
    <s v="050000"/>
    <s v="20130705"/>
    <x v="0"/>
    <d v="2013-06-30T00:00:00"/>
    <n v="194683.81"/>
  </r>
  <r>
    <s v="100056975"/>
    <s v="SA"/>
    <s v="40501_PD0018"/>
    <x v="3"/>
    <s v="OCI -Interest Rate Swap -DIT State"/>
    <s v="20130731"/>
    <x v="1"/>
    <d v="2013-07-31T00:00:00"/>
    <n v="3613.17"/>
  </r>
  <r>
    <s v="100056975"/>
    <s v="SA"/>
    <s v="40501_PD0018"/>
    <x v="3"/>
    <s v="OCI -Interest Rate Swap -DIT Federal"/>
    <s v="20130731"/>
    <x v="1"/>
    <d v="2013-07-31T00:00:00"/>
    <n v="21728.31"/>
  </r>
  <r>
    <s v="100056976"/>
    <s v="SA"/>
    <s v="40501_PD0025"/>
    <x v="3"/>
    <s v="OCI - Interest Rate Swap DIT State"/>
    <s v="20130731"/>
    <x v="2"/>
    <d v="2013-07-31T00:00:00"/>
    <n v="1013.15"/>
  </r>
  <r>
    <s v="100056976"/>
    <s v="SA"/>
    <s v="40501_PD0025"/>
    <x v="3"/>
    <s v="OCI - Interest Rate Swap DIT Federal"/>
    <s v="20130731"/>
    <x v="2"/>
    <d v="2013-07-31T00:00:00"/>
    <n v="6092.69"/>
  </r>
  <r>
    <s v="9200002601"/>
    <s v="YA"/>
    <s v="050000"/>
    <x v="3"/>
    <s v="050000"/>
    <s v="20130808"/>
    <x v="0"/>
    <d v="2013-07-31T00:00:00"/>
    <n v="32447.32"/>
  </r>
  <r>
    <s v="9200002980"/>
    <s v="YA"/>
    <s v="050000"/>
    <x v="3"/>
    <s v="050000"/>
    <s v="20130910"/>
    <x v="2"/>
    <d v="2013-08-31T00:00:00"/>
    <n v="7105.96"/>
  </r>
  <r>
    <s v="9200002980"/>
    <s v="YA"/>
    <s v="050000"/>
    <x v="3"/>
    <s v="050000"/>
    <s v="20130910"/>
    <x v="1"/>
    <d v="2013-08-31T00:00:00"/>
    <n v="25341.35"/>
  </r>
  <r>
    <s v="9200002983"/>
    <s v="YA"/>
    <s v="050000"/>
    <x v="3"/>
    <s v="050000"/>
    <s v="20130910"/>
    <x v="2"/>
    <d v="2013-08-31T00:00:00"/>
    <n v="7105.96"/>
  </r>
  <r>
    <s v="9200002983"/>
    <s v="YA"/>
    <s v="050000"/>
    <x v="3"/>
    <s v="050000"/>
    <s v="20130910"/>
    <x v="1"/>
    <d v="2013-08-31T00:00:00"/>
    <n v="25341.35"/>
  </r>
  <r>
    <s v="9200002985"/>
    <s v="YA"/>
    <s v="050000"/>
    <x v="3"/>
    <s v="050000"/>
    <s v="20130910"/>
    <x v="2"/>
    <d v="2013-08-31T00:00:00"/>
    <n v="-7105.96"/>
  </r>
  <r>
    <s v="9200002985"/>
    <s v="YA"/>
    <s v="050000"/>
    <x v="3"/>
    <s v="050000"/>
    <s v="20130910"/>
    <x v="1"/>
    <d v="2013-08-31T00:00:00"/>
    <n v="-25341.35"/>
  </r>
  <r>
    <s v="9200003310"/>
    <s v="YA"/>
    <s v="050000"/>
    <x v="3"/>
    <s v="050000"/>
    <s v="20131005"/>
    <x v="1"/>
    <d v="2013-09-30T00:00:00"/>
    <n v="50682.71"/>
  </r>
  <r>
    <s v="9200003310"/>
    <s v="YA"/>
    <s v="050000"/>
    <x v="3"/>
    <s v="050000"/>
    <s v="20131005"/>
    <x v="2"/>
    <d v="2013-09-30T00:00:00"/>
    <n v="14211.93"/>
  </r>
  <r>
    <s v="9200003312"/>
    <s v="YA"/>
    <s v="050000"/>
    <x v="3"/>
    <s v="050000"/>
    <s v="20131005"/>
    <x v="1"/>
    <d v="2013-09-30T00:00:00"/>
    <n v="25341.360000000001"/>
  </r>
  <r>
    <s v="9200003312"/>
    <s v="YA"/>
    <s v="050000"/>
    <x v="3"/>
    <s v="050000"/>
    <s v="20131005"/>
    <x v="2"/>
    <d v="2013-09-30T00:00:00"/>
    <n v="7105.96"/>
  </r>
  <r>
    <s v="9200003314"/>
    <s v="YA"/>
    <s v="9959-260"/>
    <x v="3"/>
    <s v="9959-260"/>
    <s v="20131005"/>
    <x v="2"/>
    <d v="2013-09-30T00:00:00"/>
    <n v="-14211.93"/>
  </r>
  <r>
    <s v="9200003314"/>
    <s v="YA"/>
    <s v="9959-260"/>
    <x v="3"/>
    <s v="9959-260"/>
    <s v="20131005"/>
    <x v="1"/>
    <d v="2013-09-30T00:00:00"/>
    <n v="-50682.71"/>
  </r>
  <r>
    <s v="9200003736"/>
    <s v="YA"/>
    <s v="050000"/>
    <x v="3"/>
    <s v="050000"/>
    <s v="20131107"/>
    <x v="2"/>
    <d v="2013-10-31T00:00:00"/>
    <n v="7105.97"/>
  </r>
  <r>
    <s v="9200003736"/>
    <s v="YA"/>
    <s v="050000"/>
    <x v="3"/>
    <s v="050000"/>
    <s v="20131107"/>
    <x v="1"/>
    <d v="2013-10-31T00:00:00"/>
    <n v="25341.35"/>
  </r>
  <r>
    <s v="9200004109"/>
    <s v="YA"/>
    <s v="050000"/>
    <x v="3"/>
    <s v="050000"/>
    <s v="20131206"/>
    <x v="1"/>
    <d v="2013-11-30T00:00:00"/>
    <n v="25341.35"/>
  </r>
  <r>
    <s v="9200004109"/>
    <s v="YA"/>
    <s v="050000"/>
    <x v="3"/>
    <s v="050000"/>
    <s v="20131206"/>
    <x v="2"/>
    <d v="2013-11-30T00:00:00"/>
    <n v="7105.95"/>
  </r>
  <r>
    <s v="9200004446"/>
    <s v="YA"/>
    <s v="050000"/>
    <x v="3"/>
    <s v="050000"/>
    <s v="20140106"/>
    <x v="2"/>
    <d v="2013-12-31T00:00:00"/>
    <n v="7105.96"/>
  </r>
  <r>
    <s v="9200004446"/>
    <s v="YA"/>
    <s v="050000"/>
    <x v="3"/>
    <s v="050000"/>
    <s v="20140106"/>
    <x v="1"/>
    <d v="2013-12-31T00:00:00"/>
    <n v="25341.360000000001"/>
  </r>
  <r>
    <s v="9200004448"/>
    <s v="YA"/>
    <s v="050000"/>
    <x v="3"/>
    <s v="050000"/>
    <s v="20140106"/>
    <x v="1"/>
    <d v="2013-12-31T00:00:00"/>
    <n v="25341.360000000001"/>
  </r>
  <r>
    <s v="9200004448"/>
    <s v="YA"/>
    <s v="050000"/>
    <x v="3"/>
    <s v="050000"/>
    <s v="20140106"/>
    <x v="2"/>
    <d v="2013-12-31T00:00:00"/>
    <n v="7105.96"/>
  </r>
  <r>
    <s v="9200004450"/>
    <s v="YA"/>
    <s v="9959-260"/>
    <x v="3"/>
    <s v="9959-260"/>
    <s v="20140106"/>
    <x v="2"/>
    <d v="2013-12-31T00:00:00"/>
    <n v="-7105.96"/>
  </r>
  <r>
    <s v="9200004450"/>
    <s v="YA"/>
    <s v="9959-260"/>
    <x v="3"/>
    <s v="9959-260"/>
    <s v="20140106"/>
    <x v="1"/>
    <d v="2013-12-31T00:00:00"/>
    <n v="-25341.360000000001"/>
  </r>
  <r>
    <s v="9200004451"/>
    <s v="YA"/>
    <s v="050000"/>
    <x v="3"/>
    <s v="050000"/>
    <s v="20140117"/>
    <x v="1"/>
    <d v="2013-12-31T00:00:00"/>
    <n v="25341.360000000001"/>
  </r>
  <r>
    <s v="9200004451"/>
    <s v="YA"/>
    <s v="050000"/>
    <x v="3"/>
    <s v="050000"/>
    <s v="20140117"/>
    <x v="2"/>
    <d v="2013-12-31T00:00:00"/>
    <n v="7105.96"/>
  </r>
  <r>
    <s v="9200004453"/>
    <s v="YA"/>
    <s v="9959-260"/>
    <x v="3"/>
    <s v="9959-260"/>
    <s v="20140117"/>
    <x v="1"/>
    <d v="2013-12-31T00:00:00"/>
    <n v="-25341.360000000001"/>
  </r>
  <r>
    <s v="9200004453"/>
    <s v="YA"/>
    <s v="9959-260"/>
    <x v="3"/>
    <s v="9959-260"/>
    <s v="20140117"/>
    <x v="2"/>
    <d v="2013-12-31T00:00:00"/>
    <n v="-7105.96"/>
  </r>
  <r>
    <s v="9200000366"/>
    <s v="YA"/>
    <s v="050000"/>
    <x v="3"/>
    <s v="050000"/>
    <s v="20140207"/>
    <x v="2"/>
    <d v="2014-01-31T00:00:00"/>
    <n v="7105.96"/>
  </r>
  <r>
    <s v="9200000366"/>
    <s v="YA"/>
    <s v="050000"/>
    <x v="3"/>
    <s v="050000"/>
    <s v="20140207"/>
    <x v="1"/>
    <d v="2014-01-31T00:00:00"/>
    <n v="25341.360000000001"/>
  </r>
  <r>
    <s v="9200000704"/>
    <s v="YA"/>
    <s v="050000"/>
    <x v="3"/>
    <s v="050000"/>
    <s v="20140307"/>
    <x v="2"/>
    <d v="2014-02-28T00:00:00"/>
    <n v="7105.96"/>
  </r>
  <r>
    <s v="9200000704"/>
    <s v="YA"/>
    <s v="050000"/>
    <x v="3"/>
    <s v="050000"/>
    <s v="20140307"/>
    <x v="1"/>
    <d v="2014-02-28T00:00:00"/>
    <n v="25341.35"/>
  </r>
  <r>
    <s v="9200001105"/>
    <s v="YA"/>
    <s v="050000"/>
    <x v="3"/>
    <s v="050000"/>
    <s v="20140405"/>
    <x v="2"/>
    <d v="2014-03-31T00:00:00"/>
    <n v="7105.96"/>
  </r>
  <r>
    <s v="9200001105"/>
    <s v="YA"/>
    <s v="050000"/>
    <x v="3"/>
    <s v="050000"/>
    <s v="20140405"/>
    <x v="1"/>
    <d v="2014-03-31T00:00:00"/>
    <n v="25341.360000000001"/>
  </r>
  <r>
    <s v="9200001508"/>
    <s v="YA"/>
    <s v="050000"/>
    <x v="3"/>
    <s v="050000"/>
    <s v="20140507"/>
    <x v="3"/>
    <d v="2014-04-30T00:00:00"/>
    <n v="26665.279999999999"/>
  </r>
  <r>
    <s v="9200001508"/>
    <s v="YA"/>
    <s v="050000"/>
    <x v="3"/>
    <s v="050000"/>
    <s v="20140507"/>
    <x v="2"/>
    <d v="2014-04-30T00:00:00"/>
    <n v="7105.98"/>
  </r>
  <r>
    <s v="9200001508"/>
    <s v="YA"/>
    <s v="050000"/>
    <x v="3"/>
    <s v="050000"/>
    <s v="20140507"/>
    <x v="1"/>
    <d v="2014-04-30T00:00:00"/>
    <n v="25341.74"/>
  </r>
  <r>
    <s v="9200001935"/>
    <s v="YA"/>
    <s v="050000"/>
    <x v="3"/>
    <s v="050000"/>
    <s v="20140606"/>
    <x v="1"/>
    <d v="2014-05-31T00:00:00"/>
    <n v="25341.37"/>
  </r>
  <r>
    <s v="9200001935"/>
    <s v="YA"/>
    <s v="050000"/>
    <x v="3"/>
    <s v="050000"/>
    <s v="20140606"/>
    <x v="3"/>
    <d v="2014-05-31T00:00:00"/>
    <n v="-142189.25"/>
  </r>
  <r>
    <s v="9200001935"/>
    <s v="YA"/>
    <s v="050000"/>
    <x v="3"/>
    <s v="050000"/>
    <s v="20140606"/>
    <x v="2"/>
    <d v="2014-05-31T00:00:00"/>
    <n v="7105.96"/>
  </r>
  <r>
    <s v="9200002384"/>
    <s v="YA"/>
    <s v="050000"/>
    <x v="3"/>
    <s v="050000"/>
    <s v="20140706"/>
    <x v="1"/>
    <d v="2014-06-30T00:00:00"/>
    <n v="25341.360000000001"/>
  </r>
  <r>
    <s v="9200002384"/>
    <s v="YA"/>
    <s v="050000"/>
    <x v="3"/>
    <s v="050000"/>
    <s v="20140706"/>
    <x v="2"/>
    <d v="2014-06-30T00:00:00"/>
    <n v="7105.96"/>
  </r>
  <r>
    <s v="9200002384"/>
    <s v="YA"/>
    <s v="050000"/>
    <x v="3"/>
    <s v="050000"/>
    <s v="20140706"/>
    <x v="3"/>
    <d v="2014-06-30T00:00:00"/>
    <n v="321.79000000000002"/>
  </r>
  <r>
    <s v="9200002785"/>
    <s v="YA"/>
    <s v="050000"/>
    <x v="3"/>
    <s v="050000"/>
    <s v="20140807"/>
    <x v="1"/>
    <d v="2014-07-31T00:00:00"/>
    <n v="25341.360000000001"/>
  </r>
  <r>
    <s v="9200002785"/>
    <s v="YA"/>
    <s v="050000"/>
    <x v="3"/>
    <s v="050000"/>
    <s v="20140807"/>
    <x v="3"/>
    <d v="2014-07-31T00:00:00"/>
    <n v="321.79000000000002"/>
  </r>
  <r>
    <s v="9200002785"/>
    <s v="YA"/>
    <s v="050000"/>
    <x v="3"/>
    <s v="050000"/>
    <s v="20140807"/>
    <x v="2"/>
    <d v="2014-07-31T00:00:00"/>
    <n v="7105.96"/>
  </r>
  <r>
    <s v="9200003185"/>
    <s v="YA"/>
    <s v="050000"/>
    <x v="3"/>
    <s v="050000"/>
    <s v="20140908"/>
    <x v="2"/>
    <d v="2014-08-31T00:00:00"/>
    <n v="7105.96"/>
  </r>
  <r>
    <s v="9200003185"/>
    <s v="YA"/>
    <s v="050000"/>
    <x v="3"/>
    <s v="050000"/>
    <s v="20140908"/>
    <x v="1"/>
    <d v="2014-08-31T00:00:00"/>
    <n v="25341.360000000001"/>
  </r>
  <r>
    <s v="9200003185"/>
    <s v="YA"/>
    <s v="050000"/>
    <x v="3"/>
    <s v="050000"/>
    <s v="20140908"/>
    <x v="3"/>
    <d v="2014-08-31T00:00:00"/>
    <n v="321.79000000000002"/>
  </r>
  <r>
    <s v="9200003592"/>
    <s v="YA"/>
    <s v="050000"/>
    <x v="3"/>
    <s v="050000"/>
    <s v="20141005"/>
    <x v="1"/>
    <d v="2014-09-30T00:00:00"/>
    <n v="25341.35"/>
  </r>
  <r>
    <s v="9200003592"/>
    <s v="YA"/>
    <s v="050000"/>
    <x v="3"/>
    <s v="050000"/>
    <s v="20141005"/>
    <x v="3"/>
    <d v="2014-09-30T00:00:00"/>
    <n v="321.79000000000002"/>
  </r>
  <r>
    <s v="9200003592"/>
    <s v="YA"/>
    <s v="050000"/>
    <x v="3"/>
    <s v="050000"/>
    <s v="20141005"/>
    <x v="2"/>
    <d v="2014-09-30T00:00:00"/>
    <n v="7105.96"/>
  </r>
  <r>
    <s v="9200003954"/>
    <s v="YA"/>
    <s v="050000"/>
    <x v="3"/>
    <s v="050000"/>
    <s v="20141107"/>
    <x v="3"/>
    <d v="2014-10-31T00:00:00"/>
    <n v="321.79000000000002"/>
  </r>
  <r>
    <s v="9200003954"/>
    <s v="YA"/>
    <s v="050000"/>
    <x v="3"/>
    <s v="050000"/>
    <s v="20141107"/>
    <x v="2"/>
    <d v="2014-10-31T00:00:00"/>
    <n v="7105.96"/>
  </r>
  <r>
    <s v="9200003954"/>
    <s v="YA"/>
    <s v="050000"/>
    <x v="3"/>
    <s v="050000"/>
    <s v="20141107"/>
    <x v="1"/>
    <d v="2014-10-31T00:00:00"/>
    <n v="25341.360000000001"/>
  </r>
  <r>
    <s v="9200004391"/>
    <s v="YA"/>
    <s v="050000"/>
    <x v="3"/>
    <s v="050000"/>
    <s v="20141208"/>
    <x v="3"/>
    <d v="2014-11-30T00:00:00"/>
    <n v="321.79000000000002"/>
  </r>
  <r>
    <s v="9200004391"/>
    <s v="YA"/>
    <s v="050000"/>
    <x v="3"/>
    <s v="050000"/>
    <s v="20141208"/>
    <x v="2"/>
    <d v="2014-11-30T00:00:00"/>
    <n v="7105.96"/>
  </r>
  <r>
    <s v="9200004391"/>
    <s v="YA"/>
    <s v="050000"/>
    <x v="3"/>
    <s v="050000"/>
    <s v="20141208"/>
    <x v="1"/>
    <d v="2014-11-30T00:00:00"/>
    <n v="25341.360000000001"/>
  </r>
  <r>
    <s v="9200004933"/>
    <s v="YA"/>
    <s v="050000"/>
    <x v="3"/>
    <s v="050000"/>
    <s v="20150107"/>
    <x v="1"/>
    <d v="2014-12-31T00:00:00"/>
    <n v="25341.360000000001"/>
  </r>
  <r>
    <s v="9200004933"/>
    <s v="YA"/>
    <s v="050000"/>
    <x v="3"/>
    <s v="050000"/>
    <s v="20150107"/>
    <x v="3"/>
    <d v="2014-12-31T00:00:00"/>
    <n v="321.79000000000002"/>
  </r>
  <r>
    <s v="9200004933"/>
    <s v="YA"/>
    <s v="050000"/>
    <x v="3"/>
    <s v="050000"/>
    <s v="20150107"/>
    <x v="2"/>
    <d v="2014-12-31T00:00:00"/>
    <n v="7105.96"/>
  </r>
  <r>
    <s v="9200004936"/>
    <s v="YA"/>
    <s v="050000"/>
    <x v="3"/>
    <s v="050000"/>
    <s v="20150120"/>
    <x v="1"/>
    <d v="2014-12-31T00:00:00"/>
    <n v="25341.360000000001"/>
  </r>
  <r>
    <s v="9200004936"/>
    <s v="YA"/>
    <s v="050000"/>
    <x v="3"/>
    <s v="050000"/>
    <s v="20150120"/>
    <x v="3"/>
    <d v="2014-12-31T00:00:00"/>
    <n v="321.79000000000002"/>
  </r>
  <r>
    <s v="9200004936"/>
    <s v="YA"/>
    <s v="050000"/>
    <x v="3"/>
    <s v="050000"/>
    <s v="20150120"/>
    <x v="2"/>
    <d v="2014-12-31T00:00:00"/>
    <n v="7105.96"/>
  </r>
  <r>
    <s v="9200004937"/>
    <s v="YA"/>
    <s v="9959-260"/>
    <x v="3"/>
    <s v="9959-260"/>
    <s v="20150120"/>
    <x v="3"/>
    <d v="2014-12-31T00:00:00"/>
    <n v="-321.79000000000002"/>
  </r>
  <r>
    <s v="9200004937"/>
    <s v="YA"/>
    <s v="9959-260"/>
    <x v="3"/>
    <s v="9959-260"/>
    <s v="20150120"/>
    <x v="1"/>
    <d v="2014-12-31T00:00:00"/>
    <n v="-25341.360000000001"/>
  </r>
  <r>
    <s v="9200004937"/>
    <s v="YA"/>
    <s v="9959-260"/>
    <x v="3"/>
    <s v="9959-260"/>
    <s v="20150120"/>
    <x v="2"/>
    <d v="2014-12-31T00:00:00"/>
    <n v="-7105.96"/>
  </r>
  <r>
    <s v="9200000561"/>
    <s v="YA"/>
    <s v="050000"/>
    <x v="3"/>
    <s v="050000"/>
    <s v="20150206"/>
    <x v="3"/>
    <d v="2015-01-31T00:00:00"/>
    <n v="321.79000000000002"/>
  </r>
  <r>
    <s v="9200000561"/>
    <s v="YA"/>
    <s v="050000"/>
    <x v="3"/>
    <s v="050000"/>
    <s v="20150206"/>
    <x v="2"/>
    <d v="2015-01-31T00:00:00"/>
    <n v="7105.96"/>
  </r>
  <r>
    <s v="9200000561"/>
    <s v="YA"/>
    <s v="050000"/>
    <x v="3"/>
    <s v="050000"/>
    <s v="20150206"/>
    <x v="1"/>
    <d v="2015-01-31T00:00:00"/>
    <n v="25341.360000000001"/>
  </r>
  <r>
    <s v="9200001095"/>
    <s v="YA"/>
    <s v="050000"/>
    <x v="3"/>
    <s v="050000"/>
    <s v="20150306"/>
    <x v="1"/>
    <d v="2015-02-28T00:00:00"/>
    <n v="25341.360000000001"/>
  </r>
  <r>
    <s v="9200001095"/>
    <s v="YA"/>
    <s v="050000"/>
    <x v="3"/>
    <s v="050000"/>
    <s v="20150306"/>
    <x v="3"/>
    <d v="2015-02-28T00:00:00"/>
    <n v="321.79000000000002"/>
  </r>
  <r>
    <s v="9200001095"/>
    <s v="YA"/>
    <s v="050000"/>
    <x v="3"/>
    <s v="050000"/>
    <s v="20150306"/>
    <x v="2"/>
    <d v="2015-02-28T00:00:00"/>
    <n v="7105.96"/>
  </r>
  <r>
    <s v="9200001658"/>
    <s v="YA"/>
    <s v="050000"/>
    <x v="3"/>
    <s v="050000"/>
    <s v="20150406"/>
    <x v="3"/>
    <d v="2015-03-31T00:00:00"/>
    <n v="321.79000000000002"/>
  </r>
  <r>
    <s v="9200001658"/>
    <s v="YA"/>
    <s v="050000"/>
    <x v="3"/>
    <s v="050000"/>
    <s v="20150406"/>
    <x v="2"/>
    <d v="2015-03-31T00:00:00"/>
    <n v="7105.96"/>
  </r>
  <r>
    <s v="9200001658"/>
    <s v="YA"/>
    <s v="050000"/>
    <x v="3"/>
    <s v="050000"/>
    <s v="20150406"/>
    <x v="1"/>
    <d v="2015-03-31T00:00:00"/>
    <n v="25341.35"/>
  </r>
  <r>
    <s v="9200001658"/>
    <s v="YA"/>
    <s v="050000"/>
    <x v="3"/>
    <s v="050000"/>
    <s v="20150406"/>
    <x v="4"/>
    <d v="2015-03-31T00:00:00"/>
    <n v="122099.54"/>
  </r>
  <r>
    <s v="9200002218"/>
    <s v="YA"/>
    <s v="050000"/>
    <x v="3"/>
    <s v="050000"/>
    <s v="20150508"/>
    <x v="2"/>
    <d v="2015-04-30T00:00:00"/>
    <n v="7105.96"/>
  </r>
  <r>
    <s v="9200002218"/>
    <s v="YA"/>
    <s v="050000"/>
    <x v="3"/>
    <s v="050000"/>
    <s v="20150508"/>
    <x v="4"/>
    <d v="2015-04-30T00:00:00"/>
    <n v="710951.13"/>
  </r>
  <r>
    <s v="9200002218"/>
    <s v="YA"/>
    <s v="050000"/>
    <x v="3"/>
    <s v="050000"/>
    <s v="20150508"/>
    <x v="3"/>
    <d v="2015-04-30T00:00:00"/>
    <n v="321.79000000000002"/>
  </r>
  <r>
    <s v="9200002218"/>
    <s v="YA"/>
    <s v="050000"/>
    <x v="3"/>
    <s v="050000"/>
    <s v="20150508"/>
    <x v="1"/>
    <d v="2015-04-30T00:00:00"/>
    <n v="25341.360000000001"/>
  </r>
  <r>
    <s v="9200002820"/>
    <s v="YA"/>
    <s v="050000"/>
    <x v="3"/>
    <s v="050000"/>
    <s v="20150605"/>
    <x v="3"/>
    <d v="2015-05-31T00:00:00"/>
    <n v="321.79000000000002"/>
  </r>
  <r>
    <s v="9200002820"/>
    <s v="YA"/>
    <s v="050000"/>
    <x v="3"/>
    <s v="050000"/>
    <s v="20150605"/>
    <x v="4"/>
    <d v="2015-05-31T00:00:00"/>
    <n v="706462.14"/>
  </r>
  <r>
    <s v="9200002820"/>
    <s v="YA"/>
    <s v="050000"/>
    <x v="3"/>
    <s v="050000"/>
    <s v="20150605"/>
    <x v="1"/>
    <d v="2015-05-31T00:00:00"/>
    <n v="25341.360000000001"/>
  </r>
  <r>
    <s v="9200002820"/>
    <s v="YA"/>
    <s v="050000"/>
    <x v="3"/>
    <s v="050000"/>
    <s v="20150605"/>
    <x v="2"/>
    <d v="2015-05-31T00:00:00"/>
    <n v="7105.96"/>
  </r>
  <r>
    <s v="9200003424"/>
    <s v="YA"/>
    <s v="050000"/>
    <x v="3"/>
    <s v="050000"/>
    <s v="20150706"/>
    <x v="4"/>
    <d v="2015-06-30T00:00:00"/>
    <n v="-4276.43"/>
  </r>
  <r>
    <s v="9200003424"/>
    <s v="YA"/>
    <s v="050000"/>
    <x v="3"/>
    <s v="050000"/>
    <s v="20150706"/>
    <x v="3"/>
    <d v="2015-06-30T00:00:00"/>
    <n v="321.79000000000002"/>
  </r>
  <r>
    <s v="9200003424"/>
    <s v="YA"/>
    <s v="050000"/>
    <x v="3"/>
    <s v="050000"/>
    <s v="20150706"/>
    <x v="1"/>
    <d v="2015-06-30T00:00:00"/>
    <n v="25341.360000000001"/>
  </r>
  <r>
    <s v="9200003424"/>
    <s v="YA"/>
    <s v="050000"/>
    <x v="3"/>
    <s v="050000"/>
    <s v="20150706"/>
    <x v="2"/>
    <d v="2015-06-30T00:00:00"/>
    <n v="7105.96"/>
  </r>
  <r>
    <s v="9200004050"/>
    <s v="YA"/>
    <s v="050000"/>
    <x v="3"/>
    <s v="050000"/>
    <s v="20150807"/>
    <x v="1"/>
    <d v="2015-07-31T00:00:00"/>
    <n v="25341.360000000001"/>
  </r>
  <r>
    <s v="9200004050"/>
    <s v="YA"/>
    <s v="050000"/>
    <x v="3"/>
    <s v="050000"/>
    <s v="20150807"/>
    <x v="3"/>
    <d v="2015-07-31T00:00:00"/>
    <n v="321.79000000000002"/>
  </r>
  <r>
    <s v="9200004050"/>
    <s v="YA"/>
    <s v="050000"/>
    <x v="3"/>
    <s v="050000"/>
    <s v="20150807"/>
    <x v="4"/>
    <d v="2015-07-31T00:00:00"/>
    <n v="-4276.43"/>
  </r>
  <r>
    <s v="9200004050"/>
    <s v="YA"/>
    <s v="050000"/>
    <x v="3"/>
    <s v="050000"/>
    <s v="20150807"/>
    <x v="2"/>
    <d v="2015-07-31T00:00:00"/>
    <n v="7105.96"/>
  </r>
  <r>
    <s v="9200004737"/>
    <s v="YA"/>
    <s v="050000"/>
    <x v="3"/>
    <s v="050000"/>
    <s v="20150908"/>
    <x v="4"/>
    <d v="2015-08-31T00:00:00"/>
    <n v="-4276.43"/>
  </r>
  <r>
    <s v="9200004737"/>
    <s v="YA"/>
    <s v="050000"/>
    <x v="3"/>
    <s v="050000"/>
    <s v="20150908"/>
    <x v="3"/>
    <d v="2015-08-31T00:00:00"/>
    <n v="321.79000000000002"/>
  </r>
  <r>
    <s v="9200004737"/>
    <s v="YA"/>
    <s v="050000"/>
    <x v="3"/>
    <s v="050000"/>
    <s v="20150908"/>
    <x v="1"/>
    <d v="2015-08-31T00:00:00"/>
    <n v="25341.360000000001"/>
  </r>
  <r>
    <s v="9200004737"/>
    <s v="YA"/>
    <s v="050000"/>
    <x v="3"/>
    <s v="050000"/>
    <s v="20150908"/>
    <x v="2"/>
    <d v="2015-08-31T00:00:00"/>
    <n v="7105.96"/>
  </r>
  <r>
    <s v="9200006317"/>
    <s v="YA"/>
    <s v="050000"/>
    <x v="3"/>
    <s v="050000"/>
    <s v="20151006"/>
    <x v="4"/>
    <d v="2015-09-30T00:00:00"/>
    <n v="-4276.43"/>
  </r>
  <r>
    <s v="9200006317"/>
    <s v="YA"/>
    <s v="050000"/>
    <x v="3"/>
    <s v="050000"/>
    <s v="20151006"/>
    <x v="1"/>
    <d v="2015-09-30T00:00:00"/>
    <n v="25341.37"/>
  </r>
  <r>
    <s v="9200006317"/>
    <s v="YA"/>
    <s v="050000"/>
    <x v="3"/>
    <s v="050000"/>
    <s v="20151006"/>
    <x v="3"/>
    <d v="2015-09-30T00:00:00"/>
    <n v="321.79000000000002"/>
  </r>
  <r>
    <s v="9200006317"/>
    <s v="YA"/>
    <s v="050000"/>
    <x v="3"/>
    <s v="050000"/>
    <s v="20151006"/>
    <x v="2"/>
    <d v="2015-09-30T00:00:00"/>
    <n v="7105.96"/>
  </r>
  <r>
    <s v="9200007979"/>
    <s v="YA"/>
    <s v="050000"/>
    <x v="3"/>
    <s v="050000"/>
    <s v="20151106"/>
    <x v="1"/>
    <d v="2015-10-31T00:00:00"/>
    <n v="25341.360000000001"/>
  </r>
  <r>
    <s v="9200007979"/>
    <s v="YA"/>
    <s v="050000"/>
    <x v="3"/>
    <s v="050000"/>
    <s v="20151106"/>
    <x v="3"/>
    <d v="2015-10-31T00:00:00"/>
    <n v="321.79000000000002"/>
  </r>
  <r>
    <s v="9200007979"/>
    <s v="YA"/>
    <s v="050000"/>
    <x v="3"/>
    <s v="050000"/>
    <s v="20151106"/>
    <x v="2"/>
    <d v="2015-10-31T00:00:00"/>
    <n v="7105.96"/>
  </r>
  <r>
    <s v="9200007979"/>
    <s v="YA"/>
    <s v="050000"/>
    <x v="3"/>
    <s v="050000"/>
    <s v="20151106"/>
    <x v="4"/>
    <d v="2015-10-31T00:00:00"/>
    <n v="-4276.43"/>
  </r>
  <r>
    <s v="9200009377"/>
    <s v="YA"/>
    <s v="050000"/>
    <x v="3"/>
    <s v="050000"/>
    <s v="20151207"/>
    <x v="2"/>
    <d v="2015-11-30T00:00:00"/>
    <n v="7105.96"/>
  </r>
  <r>
    <s v="9200009377"/>
    <s v="YA"/>
    <s v="050000"/>
    <x v="3"/>
    <s v="050000"/>
    <s v="20151207"/>
    <x v="4"/>
    <d v="2015-11-30T00:00:00"/>
    <n v="-4276.43"/>
  </r>
  <r>
    <s v="9200009377"/>
    <s v="YA"/>
    <s v="050000"/>
    <x v="3"/>
    <s v="050000"/>
    <s v="20151207"/>
    <x v="1"/>
    <d v="2015-11-30T00:00:00"/>
    <n v="25341.37"/>
  </r>
  <r>
    <s v="9200009377"/>
    <s v="YA"/>
    <s v="050000"/>
    <x v="3"/>
    <s v="050000"/>
    <s v="20151207"/>
    <x v="3"/>
    <d v="2015-11-30T00:00:00"/>
    <n v="321.79000000000002"/>
  </r>
  <r>
    <s v="9200010383"/>
    <s v="YA"/>
    <s v="050000"/>
    <x v="3"/>
    <s v="050000"/>
    <s v="20160107"/>
    <x v="4"/>
    <d v="2015-12-31T00:00:00"/>
    <n v="-4276.43"/>
  </r>
  <r>
    <s v="9200010383"/>
    <s v="YA"/>
    <s v="050000"/>
    <x v="3"/>
    <s v="050000"/>
    <s v="20160107"/>
    <x v="1"/>
    <d v="2015-12-31T00:00:00"/>
    <n v="25341.360000000001"/>
  </r>
  <r>
    <s v="9200010383"/>
    <s v="YA"/>
    <s v="050000"/>
    <x v="3"/>
    <s v="050000"/>
    <s v="20160107"/>
    <x v="2"/>
    <d v="2015-12-31T00:00:00"/>
    <n v="7105.96"/>
  </r>
  <r>
    <s v="9200010383"/>
    <s v="YA"/>
    <s v="050000"/>
    <x v="3"/>
    <s v="050000"/>
    <s v="20160107"/>
    <x v="3"/>
    <d v="2015-12-31T00:00:00"/>
    <n v="321.79000000000002"/>
  </r>
  <r>
    <s v="9200010385"/>
    <s v="YA"/>
    <s v="050000"/>
    <x v="3"/>
    <s v="050000"/>
    <s v="20160109"/>
    <x v="4"/>
    <d v="2015-12-31T00:00:00"/>
    <n v="-4276.43"/>
  </r>
  <r>
    <s v="9200010385"/>
    <s v="YA"/>
    <s v="050000"/>
    <x v="3"/>
    <s v="050000"/>
    <s v="20160109"/>
    <x v="3"/>
    <d v="2015-12-31T00:00:00"/>
    <n v="321.79000000000002"/>
  </r>
  <r>
    <s v="9200010385"/>
    <s v="YA"/>
    <s v="050000"/>
    <x v="3"/>
    <s v="050000"/>
    <s v="20160109"/>
    <x v="1"/>
    <d v="2015-12-31T00:00:00"/>
    <n v="25341.360000000001"/>
  </r>
  <r>
    <s v="9200010385"/>
    <s v="YA"/>
    <s v="050000"/>
    <x v="3"/>
    <s v="050000"/>
    <s v="20160109"/>
    <x v="2"/>
    <d v="2015-12-31T00:00:00"/>
    <n v="7105.96"/>
  </r>
  <r>
    <s v="9200010387"/>
    <s v="YA"/>
    <s v="9959-260"/>
    <x v="3"/>
    <s v="9959-260"/>
    <s v="20160109"/>
    <x v="1"/>
    <d v="2015-12-31T00:00:00"/>
    <n v="-25341.360000000001"/>
  </r>
  <r>
    <s v="9200010387"/>
    <s v="YA"/>
    <s v="9959-260"/>
    <x v="3"/>
    <s v="9959-260"/>
    <s v="20160109"/>
    <x v="2"/>
    <d v="2015-12-31T00:00:00"/>
    <n v="-7105.96"/>
  </r>
  <r>
    <s v="9200010387"/>
    <s v="YA"/>
    <s v="9959-260"/>
    <x v="3"/>
    <s v="9959-260"/>
    <s v="20160109"/>
    <x v="3"/>
    <d v="2015-12-31T00:00:00"/>
    <n v="-321.79000000000002"/>
  </r>
  <r>
    <s v="9200010387"/>
    <s v="YA"/>
    <s v="9959-260"/>
    <x v="3"/>
    <s v="9959-260"/>
    <s v="20160109"/>
    <x v="4"/>
    <d v="2015-12-31T00:00:00"/>
    <n v="4276.43"/>
  </r>
  <r>
    <s v="9200010388"/>
    <s v="YA"/>
    <s v="050000"/>
    <x v="3"/>
    <s v="050000"/>
    <s v="20160119"/>
    <x v="4"/>
    <d v="2015-12-31T00:00:00"/>
    <n v="-4276.43"/>
  </r>
  <r>
    <s v="9200010388"/>
    <s v="YA"/>
    <s v="050000"/>
    <x v="3"/>
    <s v="050000"/>
    <s v="20160119"/>
    <x v="1"/>
    <d v="2015-12-31T00:00:00"/>
    <n v="25341.360000000001"/>
  </r>
  <r>
    <s v="9200010388"/>
    <s v="YA"/>
    <s v="050000"/>
    <x v="3"/>
    <s v="050000"/>
    <s v="20160119"/>
    <x v="2"/>
    <d v="2015-12-31T00:00:00"/>
    <n v="7105.96"/>
  </r>
  <r>
    <s v="9200010388"/>
    <s v="YA"/>
    <s v="050000"/>
    <x v="3"/>
    <s v="050000"/>
    <s v="20160119"/>
    <x v="3"/>
    <d v="2015-12-31T00:00:00"/>
    <n v="321.79000000000002"/>
  </r>
  <r>
    <s v="9200010390"/>
    <s v="YA"/>
    <s v="9959-260"/>
    <x v="3"/>
    <s v="9959-260"/>
    <s v="20160119"/>
    <x v="4"/>
    <d v="2015-12-31T00:00:00"/>
    <n v="4276.43"/>
  </r>
  <r>
    <s v="9200010390"/>
    <s v="YA"/>
    <s v="9959-260"/>
    <x v="3"/>
    <s v="9959-260"/>
    <s v="20160119"/>
    <x v="1"/>
    <d v="2015-12-31T00:00:00"/>
    <n v="-25341.360000000001"/>
  </r>
  <r>
    <s v="9200010390"/>
    <s v="YA"/>
    <s v="9959-260"/>
    <x v="3"/>
    <s v="9959-260"/>
    <s v="20160119"/>
    <x v="2"/>
    <d v="2015-12-31T00:00:00"/>
    <n v="-7105.96"/>
  </r>
  <r>
    <s v="9200010390"/>
    <s v="YA"/>
    <s v="9959-260"/>
    <x v="3"/>
    <s v="9959-260"/>
    <s v="20160119"/>
    <x v="3"/>
    <d v="2015-12-31T00:00:00"/>
    <n v="-321.79000000000002"/>
  </r>
  <r>
    <s v="9200001308"/>
    <s v="YA"/>
    <s v="050000"/>
    <x v="3"/>
    <s v="050000"/>
    <s v="20160208"/>
    <x v="4"/>
    <d v="2016-01-31T00:00:00"/>
    <n v="-4276.43"/>
  </r>
  <r>
    <s v="9200001308"/>
    <s v="YA"/>
    <s v="050000"/>
    <x v="3"/>
    <s v="050000"/>
    <s v="20160208"/>
    <x v="2"/>
    <d v="2016-01-31T00:00:00"/>
    <n v="7105.96"/>
  </r>
  <r>
    <s v="9200001308"/>
    <s v="YA"/>
    <s v="050000"/>
    <x v="3"/>
    <s v="050000"/>
    <s v="20160208"/>
    <x v="3"/>
    <d v="2016-01-31T00:00:00"/>
    <n v="321.79000000000002"/>
  </r>
  <r>
    <s v="9200001308"/>
    <s v="YA"/>
    <s v="050000"/>
    <x v="3"/>
    <s v="050000"/>
    <s v="20160208"/>
    <x v="1"/>
    <d v="2016-01-31T00:00:00"/>
    <n v="25341.360000000001"/>
  </r>
  <r>
    <s v="9200002518"/>
    <s v="YA"/>
    <s v="050000"/>
    <x v="3"/>
    <s v="050000"/>
    <s v="20160307"/>
    <x v="4"/>
    <d v="2016-02-29T00:00:00"/>
    <n v="-4276.43"/>
  </r>
  <r>
    <s v="9200002518"/>
    <s v="YA"/>
    <s v="050000"/>
    <x v="3"/>
    <s v="050000"/>
    <s v="20160307"/>
    <x v="3"/>
    <d v="2016-02-29T00:00:00"/>
    <n v="321.79000000000002"/>
  </r>
  <r>
    <s v="9200002518"/>
    <s v="YA"/>
    <s v="050000"/>
    <x v="3"/>
    <s v="050000"/>
    <s v="20160307"/>
    <x v="1"/>
    <d v="2016-02-29T00:00:00"/>
    <n v="25341.37"/>
  </r>
  <r>
    <s v="9200002518"/>
    <s v="YA"/>
    <s v="050000"/>
    <x v="3"/>
    <s v="050000"/>
    <s v="20160307"/>
    <x v="2"/>
    <d v="2016-02-29T00:00:00"/>
    <n v="7105.96"/>
  </r>
  <r>
    <s v="9200002557"/>
    <s v="YA"/>
    <s v="050000"/>
    <x v="3"/>
    <s v="050000"/>
    <s v="20160308"/>
    <x v="2"/>
    <d v="2016-02-29T00:00:00"/>
    <n v="7105.96"/>
  </r>
  <r>
    <s v="9200002557"/>
    <s v="YA"/>
    <s v="050000"/>
    <x v="3"/>
    <s v="050000"/>
    <s v="20160308"/>
    <x v="4"/>
    <d v="2016-02-29T00:00:00"/>
    <n v="-4276.43"/>
  </r>
  <r>
    <s v="9200002557"/>
    <s v="YA"/>
    <s v="050000"/>
    <x v="3"/>
    <s v="050000"/>
    <s v="20160308"/>
    <x v="3"/>
    <d v="2016-02-29T00:00:00"/>
    <n v="321.79000000000002"/>
  </r>
  <r>
    <s v="9200002557"/>
    <s v="YA"/>
    <s v="050000"/>
    <x v="3"/>
    <s v="050000"/>
    <s v="20160308"/>
    <x v="1"/>
    <d v="2016-02-29T00:00:00"/>
    <n v="25341.37"/>
  </r>
  <r>
    <s v="9200002559"/>
    <s v="YA"/>
    <s v="9959-260"/>
    <x v="3"/>
    <s v="9959-260"/>
    <s v="20160308"/>
    <x v="1"/>
    <d v="2016-02-29T00:00:00"/>
    <n v="-25341.37"/>
  </r>
  <r>
    <s v="9200002559"/>
    <s v="YA"/>
    <s v="9959-260"/>
    <x v="3"/>
    <s v="9959-260"/>
    <s v="20160308"/>
    <x v="2"/>
    <d v="2016-02-29T00:00:00"/>
    <n v="-7105.96"/>
  </r>
  <r>
    <s v="9200002559"/>
    <s v="YA"/>
    <s v="9959-260"/>
    <x v="3"/>
    <s v="9959-260"/>
    <s v="20160308"/>
    <x v="3"/>
    <d v="2016-02-29T00:00:00"/>
    <n v="-321.79000000000002"/>
  </r>
  <r>
    <s v="9200002559"/>
    <s v="YA"/>
    <s v="9959-260"/>
    <x v="3"/>
    <s v="9959-260"/>
    <s v="20160308"/>
    <x v="4"/>
    <d v="2016-02-29T00:00:00"/>
    <n v="4276.43"/>
  </r>
  <r>
    <s v="9200003820"/>
    <s v="YA"/>
    <s v="050000"/>
    <x v="3"/>
    <s v="050000"/>
    <s v="20160406"/>
    <x v="3"/>
    <d v="2016-03-31T00:00:00"/>
    <n v="321.79000000000002"/>
  </r>
  <r>
    <s v="9200003820"/>
    <s v="YA"/>
    <s v="050000"/>
    <x v="3"/>
    <s v="050000"/>
    <s v="20160406"/>
    <x v="2"/>
    <d v="2016-03-31T00:00:00"/>
    <n v="7105.96"/>
  </r>
  <r>
    <s v="9200003820"/>
    <s v="YA"/>
    <s v="050000"/>
    <x v="3"/>
    <s v="050000"/>
    <s v="20160406"/>
    <x v="1"/>
    <d v="2016-03-31T00:00:00"/>
    <n v="25341.360000000001"/>
  </r>
  <r>
    <s v="9200003820"/>
    <s v="YA"/>
    <s v="050000"/>
    <x v="3"/>
    <s v="050000"/>
    <s v="20160406"/>
    <x v="4"/>
    <d v="2016-03-31T00:00:00"/>
    <n v="-4276.43"/>
  </r>
  <r>
    <s v="9200005365"/>
    <s v="YA"/>
    <s v="050000"/>
    <x v="3"/>
    <s v="050000"/>
    <s v="20160505"/>
    <x v="4"/>
    <d v="2016-04-30T00:00:00"/>
    <n v="-4276.43"/>
  </r>
  <r>
    <s v="9200005365"/>
    <s v="YA"/>
    <s v="050000"/>
    <x v="3"/>
    <s v="050000"/>
    <s v="20160505"/>
    <x v="1"/>
    <d v="2016-04-30T00:00:00"/>
    <n v="25341.37"/>
  </r>
  <r>
    <s v="9200005365"/>
    <s v="YA"/>
    <s v="050000"/>
    <x v="3"/>
    <s v="050000"/>
    <s v="20160505"/>
    <x v="3"/>
    <d v="2016-04-30T00:00:00"/>
    <n v="321.79000000000002"/>
  </r>
  <r>
    <s v="9200005365"/>
    <s v="YA"/>
    <s v="050000"/>
    <x v="3"/>
    <s v="050000"/>
    <s v="20160505"/>
    <x v="2"/>
    <d v="2016-04-30T00:00:00"/>
    <n v="7105.96"/>
  </r>
  <r>
    <s v="9200006861"/>
    <s v="YA"/>
    <s v="050000"/>
    <x v="3"/>
    <s v="050000"/>
    <s v="20160606"/>
    <x v="4"/>
    <d v="2016-05-31T00:00:00"/>
    <n v="-4276.42"/>
  </r>
  <r>
    <s v="9200006861"/>
    <s v="YA"/>
    <s v="050000"/>
    <x v="3"/>
    <s v="050000"/>
    <s v="20160606"/>
    <x v="3"/>
    <d v="2016-05-31T00:00:00"/>
    <n v="321.79000000000002"/>
  </r>
  <r>
    <s v="9200006861"/>
    <s v="YA"/>
    <s v="050000"/>
    <x v="3"/>
    <s v="050000"/>
    <s v="20160606"/>
    <x v="2"/>
    <d v="2016-05-31T00:00:00"/>
    <n v="7105.95"/>
  </r>
  <r>
    <s v="9200006861"/>
    <s v="YA"/>
    <s v="050000"/>
    <x v="3"/>
    <s v="050000"/>
    <s v="20160606"/>
    <x v="1"/>
    <d v="2016-05-31T00:00:00"/>
    <n v="25341.35"/>
  </r>
  <r>
    <s v="9200008488"/>
    <s v="YA"/>
    <s v="050000"/>
    <x v="3"/>
    <s v="050000"/>
    <s v="20160707"/>
    <x v="1"/>
    <d v="2016-06-30T00:00:00"/>
    <n v="25341.37"/>
  </r>
  <r>
    <s v="9200008488"/>
    <s v="YA"/>
    <s v="050000"/>
    <x v="3"/>
    <s v="050000"/>
    <s v="20160707"/>
    <x v="2"/>
    <d v="2016-06-30T00:00:00"/>
    <n v="7105.96"/>
  </r>
  <r>
    <s v="9200008488"/>
    <s v="YA"/>
    <s v="050000"/>
    <x v="3"/>
    <s v="050000"/>
    <s v="20160707"/>
    <x v="3"/>
    <d v="2016-06-30T00:00:00"/>
    <n v="321.79000000000002"/>
  </r>
  <r>
    <s v="9200008488"/>
    <s v="YA"/>
    <s v="050000"/>
    <x v="3"/>
    <s v="050000"/>
    <s v="20160707"/>
    <x v="4"/>
    <d v="2016-06-30T00:00:00"/>
    <n v="-4276.43"/>
  </r>
  <r>
    <s v="9200010014"/>
    <s v="YA"/>
    <s v="050000"/>
    <x v="3"/>
    <s v="050000"/>
    <s v="20160804"/>
    <x v="1"/>
    <d v="2016-07-31T00:00:00"/>
    <n v="25341.37"/>
  </r>
  <r>
    <s v="9200010014"/>
    <s v="YA"/>
    <s v="050000"/>
    <x v="3"/>
    <s v="050000"/>
    <s v="20160804"/>
    <x v="2"/>
    <d v="2016-07-31T00:00:00"/>
    <n v="7105.96"/>
  </r>
  <r>
    <s v="9200010014"/>
    <s v="YA"/>
    <s v="050000"/>
    <x v="3"/>
    <s v="050000"/>
    <s v="20160804"/>
    <x v="4"/>
    <d v="2016-07-31T00:00:00"/>
    <n v="-4276.43"/>
  </r>
  <r>
    <s v="9200010014"/>
    <s v="YA"/>
    <s v="050000"/>
    <x v="3"/>
    <s v="050000"/>
    <s v="20160804"/>
    <x v="3"/>
    <d v="2016-07-31T00:00:00"/>
    <n v="321.79000000000002"/>
  </r>
  <r>
    <s v="9200012011"/>
    <s v="YA"/>
    <s v="050000"/>
    <x v="3"/>
    <s v="050000"/>
    <s v="20160907"/>
    <x v="4"/>
    <d v="2016-08-31T00:00:00"/>
    <n v="-4276.43"/>
  </r>
  <r>
    <s v="9200012011"/>
    <s v="YA"/>
    <s v="050000"/>
    <x v="3"/>
    <s v="050000"/>
    <s v="20160907"/>
    <x v="3"/>
    <d v="2016-08-31T00:00:00"/>
    <n v="321.79000000000002"/>
  </r>
  <r>
    <s v="9200012011"/>
    <s v="YA"/>
    <s v="050000"/>
    <x v="3"/>
    <s v="050000"/>
    <s v="20160907"/>
    <x v="1"/>
    <d v="2016-08-31T00:00:00"/>
    <n v="25341.35"/>
  </r>
  <r>
    <s v="9200012011"/>
    <s v="YA"/>
    <s v="050000"/>
    <x v="3"/>
    <s v="050000"/>
    <s v="20160907"/>
    <x v="2"/>
    <d v="2016-08-31T00:00:00"/>
    <n v="7105.96"/>
  </r>
  <r>
    <s v="9200013870"/>
    <s v="YA"/>
    <s v="050000"/>
    <x v="3"/>
    <s v="050000"/>
    <s v="20161006"/>
    <x v="1"/>
    <d v="2016-09-30T00:00:00"/>
    <n v="25341.37"/>
  </r>
  <r>
    <s v="9200013870"/>
    <s v="YA"/>
    <s v="050000"/>
    <x v="3"/>
    <s v="050000"/>
    <s v="20161006"/>
    <x v="4"/>
    <d v="2016-09-30T00:00:00"/>
    <n v="-4276.43"/>
  </r>
  <r>
    <s v="9200013870"/>
    <s v="YA"/>
    <s v="050000"/>
    <x v="3"/>
    <s v="050000"/>
    <s v="20161006"/>
    <x v="2"/>
    <d v="2016-09-30T00:00:00"/>
    <n v="7105.96"/>
  </r>
  <r>
    <s v="9200013870"/>
    <s v="YA"/>
    <s v="050000"/>
    <x v="3"/>
    <s v="050000"/>
    <s v="20161006"/>
    <x v="3"/>
    <d v="2016-09-30T00:00:00"/>
    <n v="321.79000000000002"/>
  </r>
  <r>
    <s v="9200015683"/>
    <s v="YA"/>
    <s v="050000"/>
    <x v="3"/>
    <s v="050000"/>
    <s v="20161104"/>
    <x v="1"/>
    <d v="2016-10-31T00:00:00"/>
    <n v="25341.35"/>
  </r>
  <r>
    <s v="9200015683"/>
    <s v="YA"/>
    <s v="050000"/>
    <x v="3"/>
    <s v="050000"/>
    <s v="20161104"/>
    <x v="2"/>
    <d v="2016-10-31T00:00:00"/>
    <n v="7105.95"/>
  </r>
  <r>
    <s v="9200015683"/>
    <s v="YA"/>
    <s v="050000"/>
    <x v="3"/>
    <s v="050000"/>
    <s v="20161104"/>
    <x v="3"/>
    <d v="2016-10-31T00:00:00"/>
    <n v="321.79000000000002"/>
  </r>
  <r>
    <s v="9200015683"/>
    <s v="YA"/>
    <s v="050000"/>
    <x v="3"/>
    <s v="050000"/>
    <s v="20161104"/>
    <x v="4"/>
    <d v="2016-10-31T00:00:00"/>
    <n v="-4276.42"/>
  </r>
  <r>
    <s v="9200017366"/>
    <s v="YA"/>
    <s v="050000"/>
    <x v="3"/>
    <s v="050000"/>
    <s v="20161206"/>
    <x v="1"/>
    <d v="2016-11-30T00:00:00"/>
    <n v="25341.37"/>
  </r>
  <r>
    <s v="9200017366"/>
    <s v="YA"/>
    <s v="050000"/>
    <x v="3"/>
    <s v="050000"/>
    <s v="20161206"/>
    <x v="4"/>
    <d v="2016-11-30T00:00:00"/>
    <n v="-4276.43"/>
  </r>
  <r>
    <s v="9200017366"/>
    <s v="YA"/>
    <s v="050000"/>
    <x v="3"/>
    <s v="050000"/>
    <s v="20161206"/>
    <x v="3"/>
    <d v="2016-11-30T00:00:00"/>
    <n v="321.79000000000002"/>
  </r>
  <r>
    <s v="9200017366"/>
    <s v="YA"/>
    <s v="050000"/>
    <x v="3"/>
    <s v="050000"/>
    <s v="20161206"/>
    <x v="2"/>
    <d v="2016-11-30T00:00:00"/>
    <n v="7105.96"/>
  </r>
  <r>
    <s v="9200018946"/>
    <s v="YA"/>
    <s v="050000"/>
    <x v="3"/>
    <s v="050000"/>
    <s v="20170107"/>
    <x v="3"/>
    <d v="2016-12-31T00:00:00"/>
    <n v="321.79000000000002"/>
  </r>
  <r>
    <s v="9200018946"/>
    <s v="YA"/>
    <s v="050000"/>
    <x v="3"/>
    <s v="050000"/>
    <s v="20170107"/>
    <x v="4"/>
    <d v="2016-12-31T00:00:00"/>
    <n v="-4276.43"/>
  </r>
  <r>
    <s v="9200018946"/>
    <s v="YA"/>
    <s v="050000"/>
    <x v="3"/>
    <s v="050000"/>
    <s v="20170107"/>
    <x v="2"/>
    <d v="2016-12-31T00:00:00"/>
    <n v="7105.96"/>
  </r>
  <r>
    <s v="9200018946"/>
    <s v="YA"/>
    <s v="050000"/>
    <x v="3"/>
    <s v="050000"/>
    <s v="20170107"/>
    <x v="1"/>
    <d v="2016-12-31T00:00:00"/>
    <n v="25341.360000000001"/>
  </r>
  <r>
    <s v="9200018948"/>
    <s v="YA"/>
    <s v="050000"/>
    <x v="3"/>
    <s v="050000"/>
    <s v="20170108"/>
    <x v="4"/>
    <d v="2016-12-31T00:00:00"/>
    <n v="-4276.43"/>
  </r>
  <r>
    <s v="9200018948"/>
    <s v="YA"/>
    <s v="050000"/>
    <x v="3"/>
    <s v="050000"/>
    <s v="20170108"/>
    <x v="2"/>
    <d v="2016-12-31T00:00:00"/>
    <n v="7105.96"/>
  </r>
  <r>
    <s v="9200018948"/>
    <s v="YA"/>
    <s v="050000"/>
    <x v="3"/>
    <s v="050000"/>
    <s v="20170108"/>
    <x v="1"/>
    <d v="2016-12-31T00:00:00"/>
    <n v="25341.360000000001"/>
  </r>
  <r>
    <s v="9200018948"/>
    <s v="YA"/>
    <s v="050000"/>
    <x v="3"/>
    <s v="050000"/>
    <s v="20170108"/>
    <x v="3"/>
    <d v="2016-12-31T00:00:00"/>
    <n v="321.79000000000002"/>
  </r>
  <r>
    <s v="9200018950"/>
    <s v="YA"/>
    <s v="9959-260"/>
    <x v="3"/>
    <s v="9959-260"/>
    <s v="20170108"/>
    <x v="2"/>
    <d v="2016-12-31T00:00:00"/>
    <n v="-7105.96"/>
  </r>
  <r>
    <s v="9200018950"/>
    <s v="YA"/>
    <s v="9959-260"/>
    <x v="3"/>
    <s v="9959-260"/>
    <s v="20170108"/>
    <x v="1"/>
    <d v="2016-12-31T00:00:00"/>
    <n v="-25341.360000000001"/>
  </r>
  <r>
    <s v="9200018950"/>
    <s v="YA"/>
    <s v="9959-260"/>
    <x v="3"/>
    <s v="9959-260"/>
    <s v="20170108"/>
    <x v="3"/>
    <d v="2016-12-31T00:00:00"/>
    <n v="-321.79000000000002"/>
  </r>
  <r>
    <s v="9200018950"/>
    <s v="YA"/>
    <s v="9959-260"/>
    <x v="3"/>
    <s v="9959-260"/>
    <s v="20170108"/>
    <x v="4"/>
    <d v="2016-12-31T00:00:00"/>
    <n v="4276.43"/>
  </r>
  <r>
    <s v="9200018951"/>
    <s v="YA"/>
    <s v="050000"/>
    <x v="3"/>
    <s v="050000"/>
    <s v="20170116"/>
    <x v="4"/>
    <d v="2016-12-31T00:00:00"/>
    <n v="-4276.43"/>
  </r>
  <r>
    <s v="9200018951"/>
    <s v="YA"/>
    <s v="050000"/>
    <x v="3"/>
    <s v="050000"/>
    <s v="20170116"/>
    <x v="1"/>
    <d v="2016-12-31T00:00:00"/>
    <n v="25341.360000000001"/>
  </r>
  <r>
    <s v="9200018951"/>
    <s v="YA"/>
    <s v="050000"/>
    <x v="3"/>
    <s v="050000"/>
    <s v="20170116"/>
    <x v="2"/>
    <d v="2016-12-31T00:00:00"/>
    <n v="7105.96"/>
  </r>
  <r>
    <s v="9200018951"/>
    <s v="YA"/>
    <s v="050000"/>
    <x v="3"/>
    <s v="050000"/>
    <s v="20170116"/>
    <x v="3"/>
    <d v="2016-12-31T00:00:00"/>
    <n v="321.79000000000002"/>
  </r>
  <r>
    <s v="9200018953"/>
    <s v="YA"/>
    <s v="9959-260"/>
    <x v="3"/>
    <s v="9959-260"/>
    <s v="20170116"/>
    <x v="2"/>
    <d v="2016-12-31T00:00:00"/>
    <n v="-7105.96"/>
  </r>
  <r>
    <s v="9200018953"/>
    <s v="YA"/>
    <s v="9959-260"/>
    <x v="3"/>
    <s v="9959-260"/>
    <s v="20170116"/>
    <x v="3"/>
    <d v="2016-12-31T00:00:00"/>
    <n v="-321.79000000000002"/>
  </r>
  <r>
    <s v="9200018953"/>
    <s v="YA"/>
    <s v="9959-260"/>
    <x v="3"/>
    <s v="9959-260"/>
    <s v="20170116"/>
    <x v="1"/>
    <d v="2016-12-31T00:00:00"/>
    <n v="-25341.360000000001"/>
  </r>
  <r>
    <s v="9200018953"/>
    <s v="YA"/>
    <s v="9959-260"/>
    <x v="3"/>
    <s v="9959-260"/>
    <s v="20170116"/>
    <x v="4"/>
    <d v="2016-12-31T00:00:00"/>
    <n v="4276.43"/>
  </r>
  <r>
    <s v="9200005670"/>
    <s v="YA"/>
    <s v="050000"/>
    <x v="3"/>
    <s v="050000"/>
    <s v="20170213"/>
    <x v="1"/>
    <d v="2017-01-31T00:00:00"/>
    <n v="25341.37"/>
  </r>
  <r>
    <s v="9200005670"/>
    <s v="YA"/>
    <s v="050000"/>
    <x v="3"/>
    <s v="050000"/>
    <s v="20170213"/>
    <x v="2"/>
    <d v="2017-01-31T00:00:00"/>
    <n v="7105.96"/>
  </r>
  <r>
    <s v="9200005670"/>
    <s v="YA"/>
    <s v="050000"/>
    <x v="3"/>
    <s v="050000"/>
    <s v="20170213"/>
    <x v="3"/>
    <d v="2017-01-31T00:00:00"/>
    <n v="321.79000000000002"/>
  </r>
  <r>
    <s v="9200005670"/>
    <s v="YA"/>
    <s v="050000"/>
    <x v="3"/>
    <s v="050000"/>
    <s v="20170213"/>
    <x v="4"/>
    <d v="2017-01-31T00:00:00"/>
    <n v="-4276.43"/>
  </r>
  <r>
    <s v="9200009013"/>
    <s v="YA"/>
    <s v="050000"/>
    <x v="3"/>
    <s v="050000"/>
    <s v="20170307"/>
    <x v="3"/>
    <d v="2017-02-28T00:00:00"/>
    <n v="321.79000000000002"/>
  </r>
  <r>
    <s v="9200009013"/>
    <s v="YA"/>
    <s v="050000"/>
    <x v="3"/>
    <s v="050000"/>
    <s v="20170307"/>
    <x v="2"/>
    <d v="2017-02-28T00:00:00"/>
    <n v="7105.96"/>
  </r>
  <r>
    <s v="9200009013"/>
    <s v="YA"/>
    <s v="050000"/>
    <x v="3"/>
    <s v="050000"/>
    <s v="20170307"/>
    <x v="1"/>
    <d v="2017-02-28T00:00:00"/>
    <n v="25341.37"/>
  </r>
  <r>
    <s v="9200009013"/>
    <s v="YA"/>
    <s v="050000"/>
    <x v="3"/>
    <s v="050000"/>
    <s v="20170307"/>
    <x v="4"/>
    <d v="2017-02-28T00:00:00"/>
    <n v="-4276.43"/>
  </r>
  <r>
    <s v="9200013421"/>
    <s v="YA"/>
    <s v="050000"/>
    <x v="3"/>
    <s v="050000"/>
    <s v="20170406"/>
    <x v="3"/>
    <d v="2017-03-31T00:00:00"/>
    <n v="321.79000000000002"/>
  </r>
  <r>
    <s v="9200013421"/>
    <s v="YA"/>
    <s v="050000"/>
    <x v="3"/>
    <s v="050000"/>
    <s v="20170406"/>
    <x v="1"/>
    <d v="2017-03-31T00:00:00"/>
    <n v="25341.35"/>
  </r>
  <r>
    <s v="9200013421"/>
    <s v="YA"/>
    <s v="050000"/>
    <x v="3"/>
    <s v="050000"/>
    <s v="20170406"/>
    <x v="4"/>
    <d v="2017-03-31T00:00:00"/>
    <n v="-4276.42"/>
  </r>
  <r>
    <s v="9200013421"/>
    <s v="YA"/>
    <s v="050000"/>
    <x v="3"/>
    <s v="050000"/>
    <s v="20170406"/>
    <x v="2"/>
    <d v="2017-03-31T00:00:00"/>
    <n v="7105.95"/>
  </r>
  <r>
    <s v="9200017813"/>
    <s v="YA"/>
    <s v="050000"/>
    <x v="3"/>
    <s v="050000"/>
    <s v="20170505"/>
    <x v="1"/>
    <d v="2017-04-30T00:00:00"/>
    <n v="25341.37"/>
  </r>
  <r>
    <s v="9200017813"/>
    <s v="YA"/>
    <s v="050000"/>
    <x v="3"/>
    <s v="050000"/>
    <s v="20170505"/>
    <x v="2"/>
    <d v="2017-04-30T00:00:00"/>
    <n v="7105.96"/>
  </r>
  <r>
    <s v="9200017813"/>
    <s v="YA"/>
    <s v="050000"/>
    <x v="3"/>
    <s v="050000"/>
    <s v="20170505"/>
    <x v="3"/>
    <d v="2017-04-30T00:00:00"/>
    <n v="321.79000000000002"/>
  </r>
  <r>
    <s v="9200017813"/>
    <s v="YA"/>
    <s v="050000"/>
    <x v="3"/>
    <s v="050000"/>
    <s v="20170505"/>
    <x v="4"/>
    <d v="2017-04-30T00:00:00"/>
    <n v="-4276.43"/>
  </r>
  <r>
    <s v="9200022975"/>
    <s v="YA"/>
    <s v="050000"/>
    <x v="3"/>
    <s v="050000"/>
    <s v="20170607"/>
    <x v="4"/>
    <d v="2017-05-31T00:00:00"/>
    <n v="-4276.43"/>
  </r>
  <r>
    <s v="9200022975"/>
    <s v="YA"/>
    <s v="050000"/>
    <x v="3"/>
    <s v="050000"/>
    <s v="20170607"/>
    <x v="3"/>
    <d v="2017-05-31T00:00:00"/>
    <n v="321.79000000000002"/>
  </r>
  <r>
    <s v="9200022975"/>
    <s v="YA"/>
    <s v="050000"/>
    <x v="3"/>
    <s v="050000"/>
    <s v="20170607"/>
    <x v="1"/>
    <d v="2017-05-31T00:00:00"/>
    <n v="25341.360000000001"/>
  </r>
  <r>
    <s v="9200022975"/>
    <s v="YA"/>
    <s v="050000"/>
    <x v="3"/>
    <s v="050000"/>
    <s v="20170607"/>
    <x v="2"/>
    <d v="2017-05-31T00:00:00"/>
    <n v="7105.96"/>
  </r>
  <r>
    <s v="9200028615"/>
    <s v="YA"/>
    <s v="050000"/>
    <x v="3"/>
    <s v="050000"/>
    <s v="20170707"/>
    <x v="4"/>
    <d v="2017-06-30T00:00:00"/>
    <n v="-4276.43"/>
  </r>
  <r>
    <s v="9200028615"/>
    <s v="YA"/>
    <s v="050000"/>
    <x v="3"/>
    <s v="050000"/>
    <s v="20170707"/>
    <x v="2"/>
    <d v="2017-06-30T00:00:00"/>
    <n v="7105.96"/>
  </r>
  <r>
    <s v="9200028615"/>
    <s v="YA"/>
    <s v="050000"/>
    <x v="3"/>
    <s v="050000"/>
    <s v="20170707"/>
    <x v="3"/>
    <d v="2017-06-30T00:00:00"/>
    <n v="321.79000000000002"/>
  </r>
  <r>
    <s v="9200028615"/>
    <s v="YA"/>
    <s v="050000"/>
    <x v="3"/>
    <s v="050000"/>
    <s v="20170707"/>
    <x v="1"/>
    <d v="2017-06-30T00:00:00"/>
    <n v="25341.37"/>
  </r>
  <r>
    <s v="9200035002"/>
    <s v="YA"/>
    <s v="050000"/>
    <x v="3"/>
    <s v="050000"/>
    <s v="20170807"/>
    <x v="4"/>
    <d v="2017-07-31T00:00:00"/>
    <n v="-4276.43"/>
  </r>
  <r>
    <s v="9200035002"/>
    <s v="YA"/>
    <s v="050000"/>
    <x v="3"/>
    <s v="050000"/>
    <s v="20170807"/>
    <x v="2"/>
    <d v="2017-07-31T00:00:00"/>
    <n v="7105.96"/>
  </r>
  <r>
    <s v="9200035002"/>
    <s v="YA"/>
    <s v="050000"/>
    <x v="3"/>
    <s v="050000"/>
    <s v="20170807"/>
    <x v="1"/>
    <d v="2017-07-31T00:00:00"/>
    <n v="25341.360000000001"/>
  </r>
  <r>
    <s v="9200035002"/>
    <s v="YA"/>
    <s v="050000"/>
    <x v="3"/>
    <s v="050000"/>
    <s v="20170807"/>
    <x v="3"/>
    <d v="2017-07-31T00:00:00"/>
    <n v="321.79000000000002"/>
  </r>
  <r>
    <s v="9200040426"/>
    <s v="YA"/>
    <s v="050000"/>
    <x v="3"/>
    <s v="050000"/>
    <s v="20170907"/>
    <x v="2"/>
    <d v="2017-08-31T00:00:00"/>
    <n v="7105.96"/>
  </r>
  <r>
    <s v="9200040426"/>
    <s v="YA"/>
    <s v="050000"/>
    <x v="3"/>
    <s v="050000"/>
    <s v="20170907"/>
    <x v="4"/>
    <d v="2017-08-31T00:00:00"/>
    <n v="-4276.43"/>
  </r>
  <r>
    <s v="9200040426"/>
    <s v="YA"/>
    <s v="050000"/>
    <x v="3"/>
    <s v="050000"/>
    <s v="20170907"/>
    <x v="3"/>
    <d v="2017-08-31T00:00:00"/>
    <n v="321.79000000000002"/>
  </r>
  <r>
    <s v="9200040426"/>
    <s v="YA"/>
    <s v="050000"/>
    <x v="3"/>
    <s v="050000"/>
    <s v="20170907"/>
    <x v="1"/>
    <d v="2017-08-31T00:00:00"/>
    <n v="25341.360000000001"/>
  </r>
  <r>
    <s v="9200044627"/>
    <s v="YA"/>
    <s v="050000"/>
    <x v="3"/>
    <s v="050000"/>
    <s v="20171005"/>
    <x v="4"/>
    <d v="2017-09-30T00:00:00"/>
    <n v="-4276.43"/>
  </r>
  <r>
    <s v="9200044627"/>
    <s v="YA"/>
    <s v="050000"/>
    <x v="3"/>
    <s v="050000"/>
    <s v="20171005"/>
    <x v="2"/>
    <d v="2017-09-30T00:00:00"/>
    <n v="7105.96"/>
  </r>
  <r>
    <s v="9200044627"/>
    <s v="YA"/>
    <s v="050000"/>
    <x v="3"/>
    <s v="050000"/>
    <s v="20171005"/>
    <x v="3"/>
    <d v="2017-09-30T00:00:00"/>
    <n v="321.79000000000002"/>
  </r>
  <r>
    <s v="9200044627"/>
    <s v="YA"/>
    <s v="050000"/>
    <x v="3"/>
    <s v="050000"/>
    <s v="20171005"/>
    <x v="1"/>
    <d v="2017-09-30T00:00:00"/>
    <n v="25341.37"/>
  </r>
  <r>
    <s v="9200049913"/>
    <s v="YA"/>
    <s v="050000"/>
    <x v="3"/>
    <s v="050000"/>
    <s v="20171107"/>
    <x v="3"/>
    <d v="2017-10-31T00:00:00"/>
    <n v="321.79000000000002"/>
  </r>
  <r>
    <s v="9200049913"/>
    <s v="YA"/>
    <s v="050000"/>
    <x v="3"/>
    <s v="050000"/>
    <s v="20171107"/>
    <x v="4"/>
    <d v="2017-10-31T00:00:00"/>
    <n v="-4276.43"/>
  </r>
  <r>
    <s v="9200049913"/>
    <s v="YA"/>
    <s v="050000"/>
    <x v="3"/>
    <s v="050000"/>
    <s v="20171107"/>
    <x v="2"/>
    <d v="2017-10-31T00:00:00"/>
    <n v="7105.96"/>
  </r>
  <r>
    <s v="9200049913"/>
    <s v="YA"/>
    <s v="050000"/>
    <x v="3"/>
    <s v="050000"/>
    <s v="20171107"/>
    <x v="1"/>
    <d v="2017-10-31T00:00:00"/>
    <n v="25341.360000000001"/>
  </r>
  <r>
    <s v="9200054401"/>
    <s v="YA"/>
    <s v="050000"/>
    <x v="3"/>
    <s v="050000"/>
    <s v="20171206"/>
    <x v="4"/>
    <d v="2017-11-30T00:00:00"/>
    <n v="-4276.43"/>
  </r>
  <r>
    <s v="9200054401"/>
    <s v="YA"/>
    <s v="050000"/>
    <x v="3"/>
    <s v="050000"/>
    <s v="20171206"/>
    <x v="1"/>
    <d v="2017-11-30T00:00:00"/>
    <n v="25341.37"/>
  </r>
  <r>
    <s v="9200054401"/>
    <s v="YA"/>
    <s v="050000"/>
    <x v="3"/>
    <s v="050000"/>
    <s v="20171206"/>
    <x v="2"/>
    <d v="2017-11-30T00:00:00"/>
    <n v="7105.96"/>
  </r>
  <r>
    <s v="9200054401"/>
    <s v="YA"/>
    <s v="050000"/>
    <x v="3"/>
    <s v="050000"/>
    <s v="20171206"/>
    <x v="3"/>
    <d v="2017-11-30T00:00:00"/>
    <n v="321.79000000000002"/>
  </r>
  <r>
    <s v="9200058328"/>
    <s v="YA"/>
    <s v="050000"/>
    <x v="3"/>
    <s v="050000"/>
    <s v="20180106"/>
    <x v="3"/>
    <d v="2017-12-31T00:00:00"/>
    <n v="-1002.58"/>
  </r>
  <r>
    <s v="9200058328"/>
    <s v="YA"/>
    <s v="050000"/>
    <x v="3"/>
    <s v="050000"/>
    <s v="20180106"/>
    <x v="2"/>
    <d v="2017-12-31T00:00:00"/>
    <n v="-22139.46"/>
  </r>
  <r>
    <s v="9200058328"/>
    <s v="YA"/>
    <s v="050000"/>
    <x v="3"/>
    <s v="050000"/>
    <s v="20180106"/>
    <x v="1"/>
    <d v="2017-12-31T00:00:00"/>
    <n v="-78954.009999999995"/>
  </r>
  <r>
    <s v="9200058328"/>
    <s v="YA"/>
    <s v="050000"/>
    <x v="3"/>
    <s v="050000"/>
    <s v="20180106"/>
    <x v="4"/>
    <d v="2017-12-31T00:00:00"/>
    <n v="13323.71"/>
  </r>
  <r>
    <s v="9200058330"/>
    <s v="YA"/>
    <s v="050000"/>
    <x v="3"/>
    <s v="050000"/>
    <s v="20180110"/>
    <x v="3"/>
    <d v="2017-12-31T00:00:00"/>
    <n v="-1002.58"/>
  </r>
  <r>
    <s v="9200058330"/>
    <s v="YA"/>
    <s v="050000"/>
    <x v="3"/>
    <s v="050000"/>
    <s v="20180110"/>
    <x v="2"/>
    <d v="2017-12-31T00:00:00"/>
    <n v="-22139.46"/>
  </r>
  <r>
    <s v="9200058330"/>
    <s v="YA"/>
    <s v="050000"/>
    <x v="3"/>
    <s v="050000"/>
    <s v="20180110"/>
    <x v="1"/>
    <d v="2017-12-31T00:00:00"/>
    <n v="-78954.009999999995"/>
  </r>
  <r>
    <s v="9200058330"/>
    <s v="YA"/>
    <s v="050000"/>
    <x v="3"/>
    <s v="050000"/>
    <s v="20180110"/>
    <x v="4"/>
    <d v="2017-12-31T00:00:00"/>
    <n v="13323.71"/>
  </r>
  <r>
    <s v="9200058332"/>
    <s v="YA"/>
    <s v="9959-260"/>
    <x v="3"/>
    <s v="9959-260"/>
    <s v="20180110"/>
    <x v="3"/>
    <d v="2017-12-31T00:00:00"/>
    <n v="1002.58"/>
  </r>
  <r>
    <s v="9200058332"/>
    <s v="YA"/>
    <s v="9959-260"/>
    <x v="3"/>
    <s v="9959-260"/>
    <s v="20180110"/>
    <x v="4"/>
    <d v="2017-12-31T00:00:00"/>
    <n v="-13323.71"/>
  </r>
  <r>
    <s v="9200058332"/>
    <s v="YA"/>
    <s v="9959-260"/>
    <x v="3"/>
    <s v="9959-260"/>
    <s v="20180110"/>
    <x v="1"/>
    <d v="2017-12-31T00:00:00"/>
    <n v="78954.009999999995"/>
  </r>
  <r>
    <s v="9200058332"/>
    <s v="YA"/>
    <s v="9959-260"/>
    <x v="3"/>
    <s v="9959-260"/>
    <s v="20180110"/>
    <x v="2"/>
    <d v="2017-12-31T00:00:00"/>
    <n v="22139.46"/>
  </r>
  <r>
    <s v="9200005745"/>
    <s v="YA"/>
    <s v="050000"/>
    <x v="3"/>
    <s v="050000"/>
    <s v="20180207"/>
    <x v="3"/>
    <d v="2018-01-31T00:00:00"/>
    <n v="211.43"/>
  </r>
  <r>
    <s v="9200005745"/>
    <s v="YA"/>
    <s v="050000"/>
    <x v="3"/>
    <s v="050000"/>
    <s v="20180207"/>
    <x v="2"/>
    <d v="2018-01-31T00:00:00"/>
    <n v="4668.84"/>
  </r>
  <r>
    <s v="9200005745"/>
    <s v="YA"/>
    <s v="050000"/>
    <x v="3"/>
    <s v="050000"/>
    <s v="20180207"/>
    <x v="1"/>
    <d v="2018-01-31T00:00:00"/>
    <n v="16650.080000000002"/>
  </r>
  <r>
    <s v="9200005745"/>
    <s v="YA"/>
    <s v="050000"/>
    <x v="3"/>
    <s v="050000"/>
    <s v="20180207"/>
    <x v="4"/>
    <d v="2018-01-31T00:00:00"/>
    <n v="-2809.75"/>
  </r>
  <r>
    <s v="9200009793"/>
    <s v="YA"/>
    <s v="050000"/>
    <x v="3"/>
    <s v="050000"/>
    <s v="20180307"/>
    <x v="1"/>
    <d v="2018-02-28T00:00:00"/>
    <n v="16650.080000000002"/>
  </r>
  <r>
    <s v="9200009793"/>
    <s v="YA"/>
    <s v="050000"/>
    <x v="3"/>
    <s v="050000"/>
    <s v="20180307"/>
    <x v="4"/>
    <d v="2018-02-28T00:00:00"/>
    <n v="-2809.75"/>
  </r>
  <r>
    <s v="9200009793"/>
    <s v="YA"/>
    <s v="050000"/>
    <x v="3"/>
    <s v="050000"/>
    <s v="20180307"/>
    <x v="3"/>
    <d v="2018-02-28T00:00:00"/>
    <n v="211.43"/>
  </r>
  <r>
    <s v="9200009793"/>
    <s v="YA"/>
    <s v="050000"/>
    <x v="3"/>
    <s v="050000"/>
    <s v="20180307"/>
    <x v="2"/>
    <d v="2018-02-28T00:00:00"/>
    <n v="4668.84"/>
  </r>
  <r>
    <s v="9200014225"/>
    <s v="YA"/>
    <s v="050000"/>
    <x v="3"/>
    <s v="050000"/>
    <s v="20180405"/>
    <x v="4"/>
    <d v="2018-03-31T00:00:00"/>
    <n v="-2809.75"/>
  </r>
  <r>
    <s v="9200014225"/>
    <s v="YA"/>
    <s v="050000"/>
    <x v="3"/>
    <s v="050000"/>
    <s v="20180405"/>
    <x v="3"/>
    <d v="2018-03-31T00:00:00"/>
    <n v="211.43"/>
  </r>
  <r>
    <s v="9200014225"/>
    <s v="YA"/>
    <s v="050000"/>
    <x v="3"/>
    <s v="050000"/>
    <s v="20180405"/>
    <x v="1"/>
    <d v="2018-03-31T00:00:00"/>
    <n v="16650.080000000002"/>
  </r>
  <r>
    <s v="9200014225"/>
    <s v="YA"/>
    <s v="050000"/>
    <x v="3"/>
    <s v="050000"/>
    <s v="20180405"/>
    <x v="2"/>
    <d v="2018-03-31T00:00:00"/>
    <n v="4668.84"/>
  </r>
  <r>
    <s v="9200018651"/>
    <s v="YA"/>
    <s v="050000"/>
    <x v="3"/>
    <s v="050000"/>
    <s v="20180507"/>
    <x v="1"/>
    <d v="2018-04-30T00:00:00"/>
    <n v="16650.09"/>
  </r>
  <r>
    <s v="9200018651"/>
    <s v="YA"/>
    <s v="050000"/>
    <x v="3"/>
    <s v="050000"/>
    <s v="20180507"/>
    <x v="3"/>
    <d v="2018-04-30T00:00:00"/>
    <n v="211.43"/>
  </r>
  <r>
    <s v="9200018651"/>
    <s v="YA"/>
    <s v="050000"/>
    <x v="3"/>
    <s v="050000"/>
    <s v="20180507"/>
    <x v="2"/>
    <d v="2018-04-30T00:00:00"/>
    <n v="4668.84"/>
  </r>
  <r>
    <s v="9200018651"/>
    <s v="YA"/>
    <s v="050000"/>
    <x v="3"/>
    <s v="050000"/>
    <s v="20180507"/>
    <x v="4"/>
    <d v="2018-04-30T00:00:00"/>
    <n v="-2809.75"/>
  </r>
  <r>
    <s v="9200023068"/>
    <s v="YA"/>
    <s v="050000"/>
    <x v="3"/>
    <s v="050000"/>
    <s v="20180606"/>
    <x v="4"/>
    <d v="2018-05-31T00:00:00"/>
    <n v="-2809.75"/>
  </r>
  <r>
    <s v="9200023068"/>
    <s v="YA"/>
    <s v="050000"/>
    <x v="3"/>
    <s v="050000"/>
    <s v="20180606"/>
    <x v="1"/>
    <d v="2018-05-31T00:00:00"/>
    <n v="8325.17"/>
  </r>
  <r>
    <s v="9200023068"/>
    <s v="YA"/>
    <s v="050000"/>
    <x v="3"/>
    <s v="050000"/>
    <s v="20180606"/>
    <x v="2"/>
    <d v="2018-05-31T00:00:00"/>
    <n v="4668.75"/>
  </r>
  <r>
    <s v="9200023068"/>
    <s v="YA"/>
    <s v="050000"/>
    <x v="3"/>
    <s v="050000"/>
    <s v="20180606"/>
    <x v="3"/>
    <d v="2018-05-31T00:00:00"/>
    <n v="211.43"/>
  </r>
  <r>
    <s v="9200027935"/>
    <s v="YA"/>
    <s v="050000"/>
    <x v="3"/>
    <s v="050000"/>
    <s v="20180706"/>
    <x v="4"/>
    <d v="2018-06-30T00:00:00"/>
    <n v="-2809.73"/>
  </r>
  <r>
    <s v="9200027935"/>
    <s v="YA"/>
    <s v="050000"/>
    <x v="3"/>
    <s v="050000"/>
    <s v="20180706"/>
    <x v="2"/>
    <d v="2018-06-30T00:00:00"/>
    <n v="4668.7299999999996"/>
  </r>
  <r>
    <s v="9200027935"/>
    <s v="YA"/>
    <s v="050000"/>
    <x v="3"/>
    <s v="050000"/>
    <s v="20180706"/>
    <x v="3"/>
    <d v="2018-06-30T00:00:00"/>
    <n v="211.43"/>
  </r>
  <r>
    <s v="9200033092"/>
    <s v="YA"/>
    <s v="050000"/>
    <x v="3"/>
    <s v="050000"/>
    <s v="20180807"/>
    <x v="4"/>
    <d v="2018-07-31T00:00:00"/>
    <n v="-2809.74"/>
  </r>
  <r>
    <s v="9200033092"/>
    <s v="YA"/>
    <s v="050000"/>
    <x v="3"/>
    <s v="050000"/>
    <s v="20180807"/>
    <x v="2"/>
    <d v="2018-07-31T00:00:00"/>
    <n v="4668.76"/>
  </r>
  <r>
    <s v="9200033092"/>
    <s v="YA"/>
    <s v="050000"/>
    <x v="3"/>
    <s v="050000"/>
    <s v="20180807"/>
    <x v="3"/>
    <d v="2018-07-31T00:00:00"/>
    <n v="211.43"/>
  </r>
  <r>
    <s v="9200037999"/>
    <s v="YA"/>
    <s v="050000"/>
    <x v="3"/>
    <s v="050000"/>
    <s v="20180907"/>
    <x v="3"/>
    <d v="2018-08-31T00:00:00"/>
    <n v="211.43"/>
  </r>
  <r>
    <s v="9200037999"/>
    <s v="YA"/>
    <s v="050000"/>
    <x v="3"/>
    <s v="050000"/>
    <s v="20180907"/>
    <x v="2"/>
    <d v="2018-08-31T00:00:00"/>
    <n v="4668.75"/>
  </r>
  <r>
    <s v="9200037999"/>
    <s v="YA"/>
    <s v="050000"/>
    <x v="3"/>
    <s v="050000"/>
    <s v="20180907"/>
    <x v="4"/>
    <d v="2018-08-31T00:00:00"/>
    <n v="-2809.74"/>
  </r>
  <r>
    <s v="9200043134"/>
    <s v="YA"/>
    <s v="050000"/>
    <x v="3"/>
    <s v="050000"/>
    <s v="20181005"/>
    <x v="2"/>
    <d v="2018-09-30T00:00:00"/>
    <n v="4668.78"/>
  </r>
  <r>
    <s v="9200043134"/>
    <s v="YA"/>
    <s v="050000"/>
    <x v="3"/>
    <s v="050000"/>
    <s v="20181005"/>
    <x v="3"/>
    <d v="2018-09-30T00:00:00"/>
    <n v="211.43"/>
  </r>
  <r>
    <s v="9200043134"/>
    <s v="YA"/>
    <s v="050000"/>
    <x v="3"/>
    <s v="050000"/>
    <s v="20181005"/>
    <x v="4"/>
    <d v="2018-09-30T00:00:00"/>
    <n v="-2809.75"/>
  </r>
  <r>
    <s v="9200047992"/>
    <s v="YA"/>
    <s v="050000"/>
    <x v="3"/>
    <s v="050000"/>
    <s v="20181107"/>
    <x v="3"/>
    <d v="2018-10-31T00:00:00"/>
    <n v="211.43"/>
  </r>
  <r>
    <s v="9200047992"/>
    <s v="YA"/>
    <s v="050000"/>
    <x v="3"/>
    <s v="050000"/>
    <s v="20181107"/>
    <x v="2"/>
    <d v="2018-10-31T00:00:00"/>
    <n v="4668.7299999999996"/>
  </r>
  <r>
    <s v="9200047992"/>
    <s v="YA"/>
    <s v="050000"/>
    <x v="3"/>
    <s v="050000"/>
    <s v="20181107"/>
    <x v="4"/>
    <d v="2018-10-31T00:00:00"/>
    <n v="-2809.73"/>
  </r>
  <r>
    <s v="9200052346"/>
    <s v="YA"/>
    <s v="050000"/>
    <x v="3"/>
    <s v="050000"/>
    <s v="20181207"/>
    <x v="3"/>
    <d v="2018-11-30T00:00:00"/>
    <n v="211.43"/>
  </r>
  <r>
    <s v="9200052346"/>
    <s v="YA"/>
    <s v="050000"/>
    <x v="3"/>
    <s v="050000"/>
    <s v="20181207"/>
    <x v="2"/>
    <d v="2018-11-30T00:00:00"/>
    <n v="4668.75"/>
  </r>
  <r>
    <s v="9200052346"/>
    <s v="YA"/>
    <s v="050000"/>
    <x v="3"/>
    <s v="050000"/>
    <s v="20181207"/>
    <x v="4"/>
    <d v="2018-11-30T00:00:00"/>
    <n v="-2809.74"/>
  </r>
  <r>
    <s v="9200056070"/>
    <s v="YA"/>
    <s v="050000"/>
    <x v="3"/>
    <s v="050000"/>
    <s v="20190108"/>
    <x v="2"/>
    <d v="2018-12-31T00:00:00"/>
    <n v="4668.78"/>
  </r>
  <r>
    <s v="9200056070"/>
    <s v="YA"/>
    <s v="050000"/>
    <x v="3"/>
    <s v="050000"/>
    <s v="20190108"/>
    <x v="3"/>
    <d v="2018-12-31T00:00:00"/>
    <n v="211.43"/>
  </r>
  <r>
    <s v="9200056070"/>
    <s v="YA"/>
    <s v="050000"/>
    <x v="3"/>
    <s v="050000"/>
    <s v="20190108"/>
    <x v="4"/>
    <d v="2018-12-31T00:00:00"/>
    <n v="-2809.75"/>
  </r>
  <r>
    <s v="9200056072"/>
    <s v="YA"/>
    <s v="050000"/>
    <x v="3"/>
    <s v="050000"/>
    <s v="20190116"/>
    <x v="3"/>
    <d v="2018-12-31T00:00:00"/>
    <n v="211.43"/>
  </r>
  <r>
    <s v="9200056072"/>
    <s v="YA"/>
    <s v="050000"/>
    <x v="3"/>
    <s v="050000"/>
    <s v="20190116"/>
    <x v="4"/>
    <d v="2018-12-31T00:00:00"/>
    <n v="-2809.75"/>
  </r>
  <r>
    <s v="9200056072"/>
    <s v="YA"/>
    <s v="050000"/>
    <x v="3"/>
    <s v="050000"/>
    <s v="20190116"/>
    <x v="2"/>
    <d v="2018-12-31T00:00:00"/>
    <n v="4668.78"/>
  </r>
  <r>
    <s v="9200056074"/>
    <s v="YA"/>
    <s v="9959-260"/>
    <x v="3"/>
    <s v="9959-260"/>
    <s v="20190116"/>
    <x v="2"/>
    <d v="2018-12-31T00:00:00"/>
    <n v="-4668.78"/>
  </r>
  <r>
    <s v="9200056074"/>
    <s v="YA"/>
    <s v="9959-260"/>
    <x v="3"/>
    <s v="9959-260"/>
    <s v="20190116"/>
    <x v="4"/>
    <d v="2018-12-31T00:00:00"/>
    <n v="2809.75"/>
  </r>
  <r>
    <s v="9200056074"/>
    <s v="YA"/>
    <s v="9959-260"/>
    <x v="3"/>
    <s v="9959-260"/>
    <s v="20190116"/>
    <x v="3"/>
    <d v="2018-12-31T00:00:00"/>
    <n v="-211.43"/>
  </r>
  <r>
    <s v="9200005634"/>
    <s v="YA"/>
    <s v="050000"/>
    <x v="3"/>
    <s v="050000"/>
    <s v="20190207"/>
    <x v="2"/>
    <d v="2019-01-31T00:00:00"/>
    <n v="4668.78"/>
  </r>
  <r>
    <s v="9200005634"/>
    <s v="YA"/>
    <s v="050000"/>
    <x v="3"/>
    <s v="050000"/>
    <s v="20190207"/>
    <x v="3"/>
    <d v="2019-01-31T00:00:00"/>
    <n v="211.43"/>
  </r>
  <r>
    <s v="9200005634"/>
    <s v="YA"/>
    <s v="050000"/>
    <x v="3"/>
    <s v="050000"/>
    <s v="20190207"/>
    <x v="4"/>
    <d v="2019-01-31T00:00:00"/>
    <n v="-2809.75"/>
  </r>
  <r>
    <s v="9200010042"/>
    <s v="YA"/>
    <s v="050000"/>
    <x v="3"/>
    <s v="050000"/>
    <s v="20190307"/>
    <x v="3"/>
    <d v="2019-02-28T00:00:00"/>
    <n v="211.43"/>
  </r>
  <r>
    <s v="9200010042"/>
    <s v="YA"/>
    <s v="050000"/>
    <x v="3"/>
    <s v="050000"/>
    <s v="20190307"/>
    <x v="2"/>
    <d v="2019-02-28T00:00:00"/>
    <n v="4668.7299999999996"/>
  </r>
  <r>
    <s v="9200010042"/>
    <s v="YA"/>
    <s v="050000"/>
    <x v="3"/>
    <s v="050000"/>
    <s v="20190307"/>
    <x v="4"/>
    <d v="2019-02-28T00:00:00"/>
    <n v="-2809.73"/>
  </r>
  <r>
    <s v="9200015074"/>
    <s v="YA"/>
    <s v="050000"/>
    <x v="3"/>
    <s v="050000"/>
    <s v="20190404"/>
    <x v="4"/>
    <d v="2019-03-31T00:00:00"/>
    <n v="-2809.74"/>
  </r>
  <r>
    <s v="9200015074"/>
    <s v="YA"/>
    <s v="050000"/>
    <x v="3"/>
    <s v="050000"/>
    <s v="20190404"/>
    <x v="2"/>
    <d v="2019-03-31T00:00:00"/>
    <n v="4668.75"/>
  </r>
  <r>
    <s v="9200015074"/>
    <s v="YA"/>
    <s v="050000"/>
    <x v="3"/>
    <s v="050000"/>
    <s v="20190404"/>
    <x v="3"/>
    <d v="2019-03-31T00:00:00"/>
    <n v="211.43"/>
  </r>
  <r>
    <s v="9200016562"/>
    <s v="YA"/>
    <s v="050000"/>
    <x v="3"/>
    <s v="050000"/>
    <s v="20190415"/>
    <x v="3"/>
    <d v="2019-03-31T00:00:00"/>
    <n v="211.43"/>
  </r>
  <r>
    <s v="9200016562"/>
    <s v="YA"/>
    <s v="050000"/>
    <x v="3"/>
    <s v="050000"/>
    <s v="20190415"/>
    <x v="4"/>
    <d v="2019-03-31T00:00:00"/>
    <n v="-2809.74"/>
  </r>
  <r>
    <s v="9200016562"/>
    <s v="YA"/>
    <s v="050000"/>
    <x v="3"/>
    <s v="050000"/>
    <s v="20190415"/>
    <x v="2"/>
    <d v="2019-03-31T00:00:00"/>
    <n v="4668.75"/>
  </r>
  <r>
    <s v="9200016564"/>
    <s v="YA"/>
    <s v="9959-260"/>
    <x v="3"/>
    <s v="9959-260"/>
    <s v="20190415"/>
    <x v="4"/>
    <d v="2019-03-31T00:00:00"/>
    <n v="2809.74"/>
  </r>
  <r>
    <s v="9200016564"/>
    <s v="YA"/>
    <s v="9959-260"/>
    <x v="3"/>
    <s v="9959-260"/>
    <s v="20190415"/>
    <x v="2"/>
    <d v="2019-03-31T00:00:00"/>
    <n v="-4668.75"/>
  </r>
  <r>
    <s v="9200016564"/>
    <s v="YA"/>
    <s v="9959-260"/>
    <x v="3"/>
    <s v="9959-260"/>
    <s v="20190415"/>
    <x v="3"/>
    <d v="2019-03-31T00:00:00"/>
    <n v="-211.43"/>
  </r>
  <r>
    <s v="9200021042"/>
    <s v="YA"/>
    <s v="050000"/>
    <x v="3"/>
    <s v="050000"/>
    <s v="20190507"/>
    <x v="3"/>
    <d v="2019-04-30T00:00:00"/>
    <n v="211.43"/>
  </r>
  <r>
    <s v="9200021042"/>
    <s v="YA"/>
    <s v="050000"/>
    <x v="3"/>
    <s v="050000"/>
    <s v="20190507"/>
    <x v="2"/>
    <d v="2019-04-30T00:00:00"/>
    <n v="4668.78"/>
  </r>
  <r>
    <s v="9200021042"/>
    <s v="YA"/>
    <s v="050000"/>
    <x v="3"/>
    <s v="050000"/>
    <s v="20190507"/>
    <x v="4"/>
    <d v="2019-04-30T00:00:00"/>
    <n v="-2809.75"/>
  </r>
  <r>
    <s v="9200028099"/>
    <s v="YA"/>
    <s v="050000"/>
    <x v="3"/>
    <s v="050000"/>
    <s v="20190607"/>
    <x v="2"/>
    <d v="2019-05-31T00:00:00"/>
    <n v="4668.7299999999996"/>
  </r>
  <r>
    <s v="9200028099"/>
    <s v="YA"/>
    <s v="050000"/>
    <x v="3"/>
    <s v="050000"/>
    <s v="20190607"/>
    <x v="4"/>
    <d v="2019-05-31T00:00:00"/>
    <n v="-2809.73"/>
  </r>
  <r>
    <s v="9200028099"/>
    <s v="YA"/>
    <s v="050000"/>
    <x v="3"/>
    <s v="050000"/>
    <s v="20190607"/>
    <x v="3"/>
    <d v="2019-05-31T00:00:00"/>
    <n v="211.43"/>
  </r>
  <r>
    <s v="9200032921"/>
    <s v="YA"/>
    <s v="050000"/>
    <x v="3"/>
    <s v="050000"/>
    <s v="20190705"/>
    <x v="4"/>
    <d v="2019-06-30T00:00:00"/>
    <n v="-2809.75"/>
  </r>
  <r>
    <s v="9200032921"/>
    <s v="YA"/>
    <s v="050000"/>
    <x v="3"/>
    <s v="050000"/>
    <s v="20190705"/>
    <x v="3"/>
    <d v="2019-06-30T00:00:00"/>
    <n v="211.43"/>
  </r>
  <r>
    <s v="9200032921"/>
    <s v="YA"/>
    <s v="050000"/>
    <x v="3"/>
    <s v="050000"/>
    <s v="20190705"/>
    <x v="2"/>
    <d v="2019-06-30T00:00:00"/>
    <n v="4668.78"/>
  </r>
  <r>
    <s v="9200038700"/>
    <s v="YA"/>
    <s v="050000"/>
    <x v="3"/>
    <s v="050000"/>
    <s v="20190807"/>
    <x v="2"/>
    <d v="2019-07-31T00:00:00"/>
    <n v="4668.7299999999996"/>
  </r>
  <r>
    <s v="9200038700"/>
    <s v="YA"/>
    <s v="050000"/>
    <x v="3"/>
    <s v="050000"/>
    <s v="20190807"/>
    <x v="3"/>
    <d v="2019-07-31T00:00:00"/>
    <n v="211.43"/>
  </r>
  <r>
    <s v="9200038700"/>
    <s v="YA"/>
    <s v="050000"/>
    <x v="3"/>
    <s v="050000"/>
    <s v="20190807"/>
    <x v="4"/>
    <d v="2019-07-31T00:00:00"/>
    <n v="-2809.73"/>
  </r>
  <r>
    <s v="9200044168"/>
    <s v="YA"/>
    <s v="050000"/>
    <x v="3"/>
    <s v="050000"/>
    <s v="20190909"/>
    <x v="4"/>
    <d v="2019-08-31T00:00:00"/>
    <n v="-2809.74"/>
  </r>
  <r>
    <s v="9200044168"/>
    <s v="YA"/>
    <s v="050000"/>
    <x v="3"/>
    <s v="050000"/>
    <s v="20190909"/>
    <x v="2"/>
    <d v="2019-08-31T00:00:00"/>
    <n v="4668.76"/>
  </r>
  <r>
    <s v="9200044168"/>
    <s v="YA"/>
    <s v="050000"/>
    <x v="3"/>
    <s v="050000"/>
    <s v="20190909"/>
    <x v="3"/>
    <d v="2019-08-31T00:00:00"/>
    <n v="211.43"/>
  </r>
  <r>
    <s v="9200048480"/>
    <s v="YA"/>
    <s v="050000"/>
    <x v="3"/>
    <s v="050000"/>
    <s v="20191004"/>
    <x v="2"/>
    <d v="2019-09-30T00:00:00"/>
    <n v="4668.78"/>
  </r>
  <r>
    <s v="9200048480"/>
    <s v="YA"/>
    <s v="050000"/>
    <x v="3"/>
    <s v="050000"/>
    <s v="20191004"/>
    <x v="3"/>
    <d v="2019-09-30T00:00:00"/>
    <n v="211.43"/>
  </r>
  <r>
    <s v="9200048480"/>
    <s v="YA"/>
    <s v="050000"/>
    <x v="3"/>
    <s v="050000"/>
    <s v="20191004"/>
    <x v="4"/>
    <d v="2019-09-30T00:00:00"/>
    <n v="-2809.75"/>
  </r>
  <r>
    <s v="9200049360"/>
    <s v="YA"/>
    <s v="050000"/>
    <x v="3"/>
    <s v="050000"/>
    <s v="20191011"/>
    <x v="3"/>
    <d v="2019-09-30T00:00:00"/>
    <n v="211.43"/>
  </r>
  <r>
    <s v="9200049360"/>
    <s v="YA"/>
    <s v="050000"/>
    <x v="3"/>
    <s v="050000"/>
    <s v="20191011"/>
    <x v="4"/>
    <d v="2019-09-30T00:00:00"/>
    <n v="-2809.75"/>
  </r>
  <r>
    <s v="9200049360"/>
    <s v="YA"/>
    <s v="050000"/>
    <x v="3"/>
    <s v="050000"/>
    <s v="20191011"/>
    <x v="2"/>
    <d v="2019-09-30T00:00:00"/>
    <n v="4668.78"/>
  </r>
  <r>
    <s v="9200049362"/>
    <s v="YA"/>
    <s v="9959-260"/>
    <x v="3"/>
    <s v="9959-260"/>
    <s v="20191011"/>
    <x v="4"/>
    <d v="2019-09-30T00:00:00"/>
    <n v="2809.75"/>
  </r>
  <r>
    <s v="9200049362"/>
    <s v="YA"/>
    <s v="9959-260"/>
    <x v="3"/>
    <s v="9959-260"/>
    <s v="20191011"/>
    <x v="2"/>
    <d v="2019-09-30T00:00:00"/>
    <n v="-4668.78"/>
  </r>
  <r>
    <s v="9200049362"/>
    <s v="YA"/>
    <s v="9959-260"/>
    <x v="3"/>
    <s v="9959-260"/>
    <s v="20191011"/>
    <x v="3"/>
    <d v="2019-09-30T00:00:00"/>
    <n v="-211.43"/>
  </r>
  <r>
    <s v="9200053623"/>
    <s v="YA"/>
    <s v="050000"/>
    <x v="3"/>
    <s v="050000"/>
    <s v="20191107"/>
    <x v="3"/>
    <d v="2019-10-31T00:00:00"/>
    <n v="211.43"/>
  </r>
  <r>
    <s v="9200053623"/>
    <s v="YA"/>
    <s v="050000"/>
    <x v="3"/>
    <s v="050000"/>
    <s v="20191107"/>
    <x v="2"/>
    <d v="2019-10-31T00:00:00"/>
    <n v="4668.75"/>
  </r>
  <r>
    <s v="9200053623"/>
    <s v="YA"/>
    <s v="050000"/>
    <x v="3"/>
    <s v="050000"/>
    <s v="20191107"/>
    <x v="4"/>
    <d v="2019-10-31T00:00:00"/>
    <n v="-2809.74"/>
  </r>
  <r>
    <s v="9200057756"/>
    <s v="YA"/>
    <s v="050000"/>
    <x v="3"/>
    <s v="050000"/>
    <s v="20191206"/>
    <x v="4"/>
    <d v="2019-11-30T00:00:00"/>
    <n v="-2809.73"/>
  </r>
  <r>
    <s v="9200057756"/>
    <s v="YA"/>
    <s v="050000"/>
    <x v="3"/>
    <s v="050000"/>
    <s v="20191206"/>
    <x v="3"/>
    <d v="2019-11-30T00:00:00"/>
    <n v="211.43"/>
  </r>
  <r>
    <s v="9200057756"/>
    <s v="YA"/>
    <s v="050000"/>
    <x v="3"/>
    <s v="050000"/>
    <s v="20191206"/>
    <x v="2"/>
    <d v="2019-11-30T00:00:00"/>
    <n v="4668.7299999999996"/>
  </r>
  <r>
    <s v="9200062204"/>
    <s v="YA"/>
    <s v="050000"/>
    <x v="3"/>
    <s v="050000"/>
    <s v="20200108"/>
    <x v="2"/>
    <d v="2019-12-31T00:00:00"/>
    <n v="4668.78"/>
  </r>
  <r>
    <s v="9200062204"/>
    <s v="YA"/>
    <s v="050000"/>
    <x v="3"/>
    <s v="050000"/>
    <s v="20200108"/>
    <x v="3"/>
    <d v="2019-12-31T00:00:00"/>
    <n v="211.43"/>
  </r>
  <r>
    <s v="9200062204"/>
    <s v="YA"/>
    <s v="050000"/>
    <x v="3"/>
    <s v="050000"/>
    <s v="20200108"/>
    <x v="4"/>
    <d v="2019-12-31T00:00:00"/>
    <n v="-2809.75"/>
  </r>
  <r>
    <s v="9200062206"/>
    <s v="YA"/>
    <s v="050000"/>
    <x v="3"/>
    <s v="050000"/>
    <s v="20200116"/>
    <x v="3"/>
    <d v="2019-12-31T00:00:00"/>
    <n v="211.43"/>
  </r>
  <r>
    <s v="9200062206"/>
    <s v="YA"/>
    <s v="050000"/>
    <x v="3"/>
    <s v="050000"/>
    <s v="20200116"/>
    <x v="2"/>
    <d v="2019-12-31T00:00:00"/>
    <n v="4668.78"/>
  </r>
  <r>
    <s v="9200062206"/>
    <s v="YA"/>
    <s v="050000"/>
    <x v="3"/>
    <s v="050000"/>
    <s v="20200116"/>
    <x v="4"/>
    <d v="2019-12-31T00:00:00"/>
    <n v="-2809.75"/>
  </r>
  <r>
    <s v="9200062208"/>
    <s v="YA"/>
    <s v="9959-260"/>
    <x v="3"/>
    <s v="9959-260"/>
    <s v="20200116"/>
    <x v="2"/>
    <d v="2019-12-31T00:00:00"/>
    <n v="-4668.78"/>
  </r>
  <r>
    <s v="9200062208"/>
    <s v="YA"/>
    <s v="9959-260"/>
    <x v="3"/>
    <s v="9959-260"/>
    <s v="20200116"/>
    <x v="4"/>
    <d v="2019-12-31T00:00:00"/>
    <n v="2809.75"/>
  </r>
  <r>
    <s v="9200062208"/>
    <s v="YA"/>
    <s v="9959-260"/>
    <x v="3"/>
    <s v="9959-260"/>
    <s v="20200116"/>
    <x v="3"/>
    <d v="2019-12-31T00:00:00"/>
    <n v="-211.43"/>
  </r>
  <r>
    <m/>
    <m/>
    <m/>
    <x v="4"/>
    <m/>
    <m/>
    <x v="5"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520">
  <r>
    <s v="600016045"/>
    <s v="YO"/>
    <s v="JPMN ACWI 12063"/>
    <x v="0"/>
    <s v=""/>
    <s v="0000196400002USD"/>
    <x v="0"/>
    <d v="2012-09-28T00:00:00"/>
    <n v="1462500"/>
  </r>
  <r>
    <s v="600030982"/>
    <s v="YO"/>
    <s v="JPMN ACWI 14470"/>
    <x v="0"/>
    <s v=""/>
    <s v="0001336600001USD"/>
    <x v="1"/>
    <d v="2014-05-15T00:00:00"/>
    <n v="2537500"/>
  </r>
  <r>
    <s v="9500000000"/>
    <s v="YZ"/>
    <s v="DEC 31 2010"/>
    <x v="0"/>
    <s v="18108 TEC GL CONV YE 2010"/>
    <s v="20101231"/>
    <x v="2"/>
    <d v="2010-12-31T00:00:00"/>
    <n v="1886863.85"/>
  </r>
  <r>
    <s v="9500000000"/>
    <s v="YZ"/>
    <s v="DEC 31 2010"/>
    <x v="0"/>
    <s v="18128 TEC GL CONV YE 2010"/>
    <s v="20101231"/>
    <x v="3"/>
    <d v="2010-12-31T00:00:00"/>
    <n v="3502546.65"/>
  </r>
  <r>
    <s v="9500000000"/>
    <s v="YZ"/>
    <s v="DEC 31 2010"/>
    <x v="0"/>
    <s v="18144 TEC GL CONV YE 2010"/>
    <s v="20101231"/>
    <x v="4"/>
    <d v="2010-12-31T00:00:00"/>
    <n v="968453.72"/>
  </r>
  <r>
    <s v="9500000000"/>
    <s v="YZ"/>
    <s v="DEC 31 2010"/>
    <x v="0"/>
    <s v="18145 TEC GL CONV YE 2010"/>
    <s v="20101231"/>
    <x v="5"/>
    <d v="2010-12-31T00:00:00"/>
    <n v="2477006.4300000002"/>
  </r>
  <r>
    <s v="9500000000"/>
    <s v="YZ"/>
    <s v="DEC 31 2010"/>
    <x v="0"/>
    <s v="18146 TEC GL CONV YE 2010"/>
    <s v="20101231"/>
    <x v="6"/>
    <d v="2010-12-31T00:00:00"/>
    <n v="96260.71"/>
  </r>
  <r>
    <s v="9500000000"/>
    <s v="YZ"/>
    <s v="DEC 31 2010"/>
    <x v="0"/>
    <s v="18147 TEC GL CONV YE 2010"/>
    <s v="20101231"/>
    <x v="7"/>
    <d v="2010-12-31T00:00:00"/>
    <n v="145928.03"/>
  </r>
  <r>
    <s v="9500000000"/>
    <s v="YZ"/>
    <s v="DEC 31 2010"/>
    <x v="0"/>
    <s v="18148 TEC GL CONV YE 2010"/>
    <s v="20101231"/>
    <x v="8"/>
    <d v="2010-12-31T00:00:00"/>
    <n v="511139.31"/>
  </r>
  <r>
    <s v="9500000000"/>
    <s v="YZ"/>
    <s v="DEC 31 2010"/>
    <x v="0"/>
    <s v="18149 TEC GL CONV YE 2010"/>
    <s v="20101231"/>
    <x v="9"/>
    <d v="2010-12-31T00:00:00"/>
    <n v="1388840.99"/>
  </r>
  <r>
    <s v="9500000000"/>
    <s v="YZ"/>
    <s v="DEC 31 2010"/>
    <x v="0"/>
    <s v="18151 TEC GL CONV YE 2010"/>
    <s v="20101231"/>
    <x v="10"/>
    <d v="2010-12-31T00:00:00"/>
    <n v="789633.33"/>
  </r>
  <r>
    <s v="9500000000"/>
    <s v="YZ"/>
    <s v="DEC 31 2010"/>
    <x v="0"/>
    <s v="18153 TEC GL CONV YE 2010"/>
    <s v="20101231"/>
    <x v="11"/>
    <d v="2010-12-31T00:00:00"/>
    <n v="15692.91"/>
  </r>
  <r>
    <s v="9500000000"/>
    <s v="YZ"/>
    <s v="DEC 31 2010"/>
    <x v="0"/>
    <s v="18154 TEC GL CONV YE 2010"/>
    <s v="20101231"/>
    <x v="12"/>
    <d v="2010-12-31T00:00:00"/>
    <n v="1002638.78"/>
  </r>
  <r>
    <s v="9500000000"/>
    <s v="YZ"/>
    <s v="DEC 31 2010"/>
    <x v="0"/>
    <s v="18155 TEC GL CONV YE 2010"/>
    <s v="20101231"/>
    <x v="13"/>
    <d v="2010-12-31T00:00:00"/>
    <n v="958025.74"/>
  </r>
  <r>
    <s v="9500000000"/>
    <s v="YZ"/>
    <s v="DEC 31 2010"/>
    <x v="0"/>
    <s v="18156 TEC GL CONV YE 2010"/>
    <s v="20101231"/>
    <x v="14"/>
    <d v="2010-12-31T00:00:00"/>
    <n v="284948.74"/>
  </r>
  <r>
    <s v="9500000000"/>
    <s v="YZ"/>
    <s v="DEC 31 2010"/>
    <x v="0"/>
    <s v="18157 TEC GL CONV YE 2010"/>
    <s v="20101231"/>
    <x v="15"/>
    <d v="2010-12-31T00:00:00"/>
    <n v="1239314.1200000001"/>
  </r>
  <r>
    <s v="9500000000"/>
    <s v="YZ"/>
    <s v="DEC 31 2010"/>
    <x v="0"/>
    <s v="18160 TEC GL CONV YE 2010"/>
    <s v="20101231"/>
    <x v="16"/>
    <d v="2010-12-31T00:00:00"/>
    <n v="1255298.5900000001"/>
  </r>
  <r>
    <s v="9500000001"/>
    <s v="YZ"/>
    <s v="DEC 31 2010"/>
    <x v="0"/>
    <s v="18108 TEC GL CONV YE 2010"/>
    <s v="20101231"/>
    <x v="2"/>
    <d v="2010-12-31T00:00:00"/>
    <n v="1886863.85"/>
  </r>
  <r>
    <s v="9500000001"/>
    <s v="YZ"/>
    <s v="DEC 31 2010"/>
    <x v="0"/>
    <s v="18128 TEC GL CONV YE 2010"/>
    <s v="20101231"/>
    <x v="3"/>
    <d v="2010-12-31T00:00:00"/>
    <n v="3502546.65"/>
  </r>
  <r>
    <s v="9500000001"/>
    <s v="YZ"/>
    <s v="DEC 31 2010"/>
    <x v="0"/>
    <s v="18144 TEC GL CONV YE 2010"/>
    <s v="20101231"/>
    <x v="4"/>
    <d v="2010-12-31T00:00:00"/>
    <n v="968453.72"/>
  </r>
  <r>
    <s v="9500000001"/>
    <s v="YZ"/>
    <s v="DEC 31 2010"/>
    <x v="0"/>
    <s v="18145 TEC GL CONV YE 2010"/>
    <s v="20101231"/>
    <x v="5"/>
    <d v="2010-12-31T00:00:00"/>
    <n v="2477006.4300000002"/>
  </r>
  <r>
    <s v="9500000001"/>
    <s v="YZ"/>
    <s v="DEC 31 2010"/>
    <x v="0"/>
    <s v="18146 TEC GL CONV YE 2010"/>
    <s v="20101231"/>
    <x v="6"/>
    <d v="2010-12-31T00:00:00"/>
    <n v="96260.71"/>
  </r>
  <r>
    <s v="9500000001"/>
    <s v="YZ"/>
    <s v="DEC 31 2010"/>
    <x v="0"/>
    <s v="18147 TEC GL CONV YE 2010"/>
    <s v="20101231"/>
    <x v="7"/>
    <d v="2010-12-31T00:00:00"/>
    <n v="145928.03"/>
  </r>
  <r>
    <s v="9500000001"/>
    <s v="YZ"/>
    <s v="DEC 31 2010"/>
    <x v="0"/>
    <s v="18148 TEC GL CONV YE 2010"/>
    <s v="20101231"/>
    <x v="8"/>
    <d v="2010-12-31T00:00:00"/>
    <n v="511139.31"/>
  </r>
  <r>
    <s v="9500000001"/>
    <s v="YZ"/>
    <s v="DEC 31 2010"/>
    <x v="0"/>
    <s v="18149 TEC GL CONV YE 2010"/>
    <s v="20101231"/>
    <x v="9"/>
    <d v="2010-12-31T00:00:00"/>
    <n v="1388840.99"/>
  </r>
  <r>
    <s v="9500000001"/>
    <s v="YZ"/>
    <s v="DEC 31 2010"/>
    <x v="0"/>
    <s v="18151 TEC GL CONV YE 2010"/>
    <s v="20101231"/>
    <x v="10"/>
    <d v="2010-12-31T00:00:00"/>
    <n v="789633.33"/>
  </r>
  <r>
    <s v="9500000001"/>
    <s v="YZ"/>
    <s v="DEC 31 2010"/>
    <x v="0"/>
    <s v="18153 TEC GL CONV YE 2010"/>
    <s v="20101231"/>
    <x v="11"/>
    <d v="2010-12-31T00:00:00"/>
    <n v="15692.91"/>
  </r>
  <r>
    <s v="9500000001"/>
    <s v="YZ"/>
    <s v="DEC 31 2010"/>
    <x v="0"/>
    <s v="18154 TEC GL CONV YE 2010"/>
    <s v="20101231"/>
    <x v="12"/>
    <d v="2010-12-31T00:00:00"/>
    <n v="1002638.78"/>
  </r>
  <r>
    <s v="9500000001"/>
    <s v="YZ"/>
    <s v="DEC 31 2010"/>
    <x v="0"/>
    <s v="18155 TEC GL CONV YE 2010"/>
    <s v="20101231"/>
    <x v="13"/>
    <d v="2010-12-31T00:00:00"/>
    <n v="958025.74"/>
  </r>
  <r>
    <s v="9500000001"/>
    <s v="YZ"/>
    <s v="DEC 31 2010"/>
    <x v="0"/>
    <s v="18156 TEC GL CONV YE 2010"/>
    <s v="20101231"/>
    <x v="14"/>
    <d v="2010-12-31T00:00:00"/>
    <n v="284948.74"/>
  </r>
  <r>
    <s v="9500000001"/>
    <s v="YZ"/>
    <s v="DEC 31 2010"/>
    <x v="0"/>
    <s v="18157 TEC GL CONV YE 2010"/>
    <s v="20101231"/>
    <x v="15"/>
    <d v="2010-12-31T00:00:00"/>
    <n v="1239314.1200000001"/>
  </r>
  <r>
    <s v="9500000001"/>
    <s v="YZ"/>
    <s v="DEC 31 2010"/>
    <x v="0"/>
    <s v="18160 TEC GL CONV YE 2010"/>
    <s v="20101231"/>
    <x v="16"/>
    <d v="2010-12-31T00:00:00"/>
    <n v="1255298.5900000001"/>
  </r>
  <r>
    <s v="9500000002"/>
    <s v="YZ"/>
    <s v="DEC 31 2010"/>
    <x v="0"/>
    <s v="18108 TEC GL CONV YE 2010"/>
    <s v="20101231"/>
    <x v="2"/>
    <d v="2010-12-31T00:00:00"/>
    <n v="-1886863.85"/>
  </r>
  <r>
    <s v="9500000002"/>
    <s v="YZ"/>
    <s v="DEC 31 2010"/>
    <x v="0"/>
    <s v="18128 TEC GL CONV YE 2010"/>
    <s v="20101231"/>
    <x v="3"/>
    <d v="2010-12-31T00:00:00"/>
    <n v="-3502546.65"/>
  </r>
  <r>
    <s v="9500000002"/>
    <s v="YZ"/>
    <s v="DEC 31 2010"/>
    <x v="0"/>
    <s v="18144 TEC GL CONV YE 2010"/>
    <s v="20101231"/>
    <x v="4"/>
    <d v="2010-12-31T00:00:00"/>
    <n v="-968453.72"/>
  </r>
  <r>
    <s v="9500000002"/>
    <s v="YZ"/>
    <s v="DEC 31 2010"/>
    <x v="0"/>
    <s v="18145 TEC GL CONV YE 2010"/>
    <s v="20101231"/>
    <x v="5"/>
    <d v="2010-12-31T00:00:00"/>
    <n v="-2477006.4300000002"/>
  </r>
  <r>
    <s v="9500000002"/>
    <s v="YZ"/>
    <s v="DEC 31 2010"/>
    <x v="0"/>
    <s v="18146 TEC GL CONV YE 2010"/>
    <s v="20101231"/>
    <x v="6"/>
    <d v="2010-12-31T00:00:00"/>
    <n v="-96260.71"/>
  </r>
  <r>
    <s v="9500000002"/>
    <s v="YZ"/>
    <s v="DEC 31 2010"/>
    <x v="0"/>
    <s v="18147 TEC GL CONV YE 2010"/>
    <s v="20101231"/>
    <x v="7"/>
    <d v="2010-12-31T00:00:00"/>
    <n v="-145928.03"/>
  </r>
  <r>
    <s v="9500000002"/>
    <s v="YZ"/>
    <s v="DEC 31 2010"/>
    <x v="0"/>
    <s v="18148 TEC GL CONV YE 2010"/>
    <s v="20101231"/>
    <x v="8"/>
    <d v="2010-12-31T00:00:00"/>
    <n v="-511139.31"/>
  </r>
  <r>
    <s v="9500000002"/>
    <s v="YZ"/>
    <s v="DEC 31 2010"/>
    <x v="0"/>
    <s v="18149 TEC GL CONV YE 2010"/>
    <s v="20101231"/>
    <x v="9"/>
    <d v="2010-12-31T00:00:00"/>
    <n v="-1388840.99"/>
  </r>
  <r>
    <s v="9500000002"/>
    <s v="YZ"/>
    <s v="DEC 31 2010"/>
    <x v="0"/>
    <s v="18151 TEC GL CONV YE 2010"/>
    <s v="20101231"/>
    <x v="10"/>
    <d v="2010-12-31T00:00:00"/>
    <n v="-789633.33"/>
  </r>
  <r>
    <s v="9500000002"/>
    <s v="YZ"/>
    <s v="DEC 31 2010"/>
    <x v="0"/>
    <s v="18153 TEC GL CONV YE 2010"/>
    <s v="20101231"/>
    <x v="11"/>
    <d v="2010-12-31T00:00:00"/>
    <n v="-15692.91"/>
  </r>
  <r>
    <s v="9500000002"/>
    <s v="YZ"/>
    <s v="DEC 31 2010"/>
    <x v="0"/>
    <s v="18154 TEC GL CONV YE 2010"/>
    <s v="20101231"/>
    <x v="12"/>
    <d v="2010-12-31T00:00:00"/>
    <n v="-1002638.78"/>
  </r>
  <r>
    <s v="9500000002"/>
    <s v="YZ"/>
    <s v="DEC 31 2010"/>
    <x v="0"/>
    <s v="18155 TEC GL CONV YE 2010"/>
    <s v="20101231"/>
    <x v="13"/>
    <d v="2010-12-31T00:00:00"/>
    <n v="-958025.74"/>
  </r>
  <r>
    <s v="9500000002"/>
    <s v="YZ"/>
    <s v="DEC 31 2010"/>
    <x v="0"/>
    <s v="18156 TEC GL CONV YE 2010"/>
    <s v="20101231"/>
    <x v="14"/>
    <d v="2010-12-31T00:00:00"/>
    <n v="-284948.74"/>
  </r>
  <r>
    <s v="9500000002"/>
    <s v="YZ"/>
    <s v="DEC 31 2010"/>
    <x v="0"/>
    <s v="18157 TEC GL CONV YE 2010"/>
    <s v="20101231"/>
    <x v="15"/>
    <d v="2010-12-31T00:00:00"/>
    <n v="-1239314.1200000001"/>
  </r>
  <r>
    <s v="9500000002"/>
    <s v="YZ"/>
    <s v="DEC 31 2010"/>
    <x v="0"/>
    <s v="18160 TEC GL CONV YE 2010"/>
    <s v="20101231"/>
    <x v="16"/>
    <d v="2010-12-31T00:00:00"/>
    <n v="-1255298.5900000001"/>
  </r>
  <r>
    <s v="9500000006"/>
    <s v="YZ"/>
    <s v="201101"/>
    <x v="0"/>
    <s v="18108 TEC CONVERSION ACCOUNT SUMMARY"/>
    <s v="20120326"/>
    <x v="2"/>
    <d v="2011-01-31T00:00:00"/>
    <n v="-166482.20000000001"/>
  </r>
  <r>
    <s v="9500000006"/>
    <s v="YZ"/>
    <s v="201101"/>
    <x v="0"/>
    <s v="18128 TEC CONVERSION ACCOUNT SUMMARY"/>
    <s v="20120326"/>
    <x v="3"/>
    <d v="2011-01-31T00:00:00"/>
    <n v="-11502.62"/>
  </r>
  <r>
    <s v="9500000006"/>
    <s v="YZ"/>
    <s v="201101"/>
    <x v="0"/>
    <s v="18144 TEC CONVERSION ACCOUNT SUMMARY"/>
    <s v="20120326"/>
    <x v="4"/>
    <d v="2011-01-31T00:00:00"/>
    <n v="-3059.89"/>
  </r>
  <r>
    <s v="9500000006"/>
    <s v="YZ"/>
    <s v="201101"/>
    <x v="0"/>
    <s v="18145 TEC CONVERSION ACCOUNT SUMMARY"/>
    <s v="20120326"/>
    <x v="5"/>
    <d v="2011-01-31T00:00:00"/>
    <n v="-19390.73"/>
  </r>
  <r>
    <s v="9500000006"/>
    <s v="YZ"/>
    <s v="201101"/>
    <x v="0"/>
    <s v="18146 TEC CONVERSION ACCOUNT SUMMARY"/>
    <s v="20120326"/>
    <x v="6"/>
    <d v="2011-01-31T00:00:00"/>
    <n v="-11405.55"/>
  </r>
  <r>
    <s v="9500000006"/>
    <s v="YZ"/>
    <s v="201101"/>
    <x v="0"/>
    <s v="18147 TEC CONVERSION ACCOUNT SUMMARY"/>
    <s v="20120326"/>
    <x v="7"/>
    <d v="2011-01-31T00:00:00"/>
    <n v="-4422.05"/>
  </r>
  <r>
    <s v="9500000006"/>
    <s v="YZ"/>
    <s v="201101"/>
    <x v="0"/>
    <s v="18148 TEC CONVERSION ACCOUNT SUMMARY"/>
    <s v="20120326"/>
    <x v="8"/>
    <d v="2011-01-31T00:00:00"/>
    <n v="-3340.78"/>
  </r>
  <r>
    <s v="9500000006"/>
    <s v="YZ"/>
    <s v="201101"/>
    <x v="0"/>
    <s v="18149 TEC CONVERSION ACCOUNT SUMMARY"/>
    <s v="20120326"/>
    <x v="9"/>
    <d v="2011-01-31T00:00:00"/>
    <n v="-112812.3"/>
  </r>
  <r>
    <s v="9500000006"/>
    <s v="YZ"/>
    <s v="201101"/>
    <x v="0"/>
    <s v="18151 TEC CONVERSION ACCOUNT SUMMARY"/>
    <s v="20120326"/>
    <x v="10"/>
    <d v="2011-01-31T00:00:00"/>
    <n v="-12467.89"/>
  </r>
  <r>
    <s v="9500000006"/>
    <s v="YZ"/>
    <s v="201101"/>
    <x v="0"/>
    <s v="18153 TEC CONVERSION ACCOUNT SUMMARY"/>
    <s v="20120326"/>
    <x v="11"/>
    <d v="2011-01-31T00:00:00"/>
    <n v="-15692.91"/>
  </r>
  <r>
    <s v="9500000006"/>
    <s v="YZ"/>
    <s v="201101"/>
    <x v="0"/>
    <s v="18154 TEC CONVERSION ACCOUNT SUMMARY"/>
    <s v="20120326"/>
    <x v="12"/>
    <d v="2011-01-31T00:00:00"/>
    <n v="-11329.25"/>
  </r>
  <r>
    <s v="9500000006"/>
    <s v="YZ"/>
    <s v="201101"/>
    <x v="0"/>
    <s v="18155 TEC CONVERSION ACCOUNT SUMMARY"/>
    <s v="20120326"/>
    <x v="13"/>
    <d v="2011-01-31T00:00:00"/>
    <n v="-10138.58"/>
  </r>
  <r>
    <s v="9500000006"/>
    <s v="YZ"/>
    <s v="201101"/>
    <x v="0"/>
    <s v="18156 TEC CONVERSION ACCOUNT SUMMARY"/>
    <s v="20120326"/>
    <x v="14"/>
    <d v="2011-01-31T00:00:00"/>
    <n v="-2414.83"/>
  </r>
  <r>
    <s v="9500000006"/>
    <s v="YZ"/>
    <s v="201101"/>
    <x v="0"/>
    <s v="18157 TEC CONVERSION ACCOUNT SUMMARY"/>
    <s v="20120326"/>
    <x v="15"/>
    <d v="2011-01-31T00:00:00"/>
    <n v="-14003.55"/>
  </r>
  <r>
    <s v="9500000006"/>
    <s v="YZ"/>
    <s v="201101"/>
    <x v="0"/>
    <s v="18160 TEC CONVERSION ACCOUNT SUMMARY"/>
    <s v="20120326"/>
    <x v="16"/>
    <d v="2011-01-31T00:00:00"/>
    <n v="-60056.1"/>
  </r>
  <r>
    <s v="9500000010"/>
    <s v="YZ"/>
    <s v="201102"/>
    <x v="0"/>
    <s v="18108 TEC CONVERSION ACCOUNT SUMMARY"/>
    <s v="20120326"/>
    <x v="2"/>
    <d v="2011-02-28T00:00:00"/>
    <n v="-172490.64"/>
  </r>
  <r>
    <s v="9500000010"/>
    <s v="YZ"/>
    <s v="201102"/>
    <x v="0"/>
    <s v="18128 TEC CONVERSION ACCOUNT SUMMARY"/>
    <s v="20120326"/>
    <x v="3"/>
    <d v="2011-02-28T00:00:00"/>
    <n v="-11502.62"/>
  </r>
  <r>
    <s v="9500000010"/>
    <s v="YZ"/>
    <s v="201102"/>
    <x v="0"/>
    <s v="18144 TEC CONVERSION ACCOUNT SUMMARY"/>
    <s v="20120326"/>
    <x v="4"/>
    <d v="2011-02-28T00:00:00"/>
    <n v="-3059.89"/>
  </r>
  <r>
    <s v="9500000010"/>
    <s v="YZ"/>
    <s v="201102"/>
    <x v="0"/>
    <s v="18145 TEC CONVERSION ACCOUNT SUMMARY"/>
    <s v="20120326"/>
    <x v="5"/>
    <d v="2011-02-28T00:00:00"/>
    <n v="-19390.73"/>
  </r>
  <r>
    <s v="9500000010"/>
    <s v="YZ"/>
    <s v="201102"/>
    <x v="0"/>
    <s v="18146 TEC CONVERSION ACCOUNT SUMMARY"/>
    <s v="20120326"/>
    <x v="6"/>
    <d v="2011-02-28T00:00:00"/>
    <n v="589.71"/>
  </r>
  <r>
    <s v="9500000010"/>
    <s v="YZ"/>
    <s v="201102"/>
    <x v="0"/>
    <s v="18147 TEC CONVERSION ACCOUNT SUMMARY"/>
    <s v="20120326"/>
    <x v="7"/>
    <d v="2011-02-28T00:00:00"/>
    <n v="-4422.05"/>
  </r>
  <r>
    <s v="9500000010"/>
    <s v="YZ"/>
    <s v="201102"/>
    <x v="0"/>
    <s v="18148 TEC CONVERSION ACCOUNT SUMMARY"/>
    <s v="20120326"/>
    <x v="8"/>
    <d v="2011-02-28T00:00:00"/>
    <n v="-3340.78"/>
  </r>
  <r>
    <s v="9500000010"/>
    <s v="YZ"/>
    <s v="201102"/>
    <x v="0"/>
    <s v="18149 TEC CONVERSION ACCOUNT SUMMARY"/>
    <s v="20120326"/>
    <x v="9"/>
    <d v="2011-02-28T00:00:00"/>
    <n v="-29867.200000000001"/>
  </r>
  <r>
    <s v="9500000010"/>
    <s v="YZ"/>
    <s v="201102"/>
    <x v="0"/>
    <s v="18151 TEC CONVERSION ACCOUNT SUMMARY"/>
    <s v="20120326"/>
    <x v="10"/>
    <d v="2011-02-28T00:00:00"/>
    <n v="-12467.89"/>
  </r>
  <r>
    <s v="9500000010"/>
    <s v="YZ"/>
    <s v="201102"/>
    <x v="0"/>
    <s v="18154 TEC CONVERSION ACCOUNT SUMMARY"/>
    <s v="20120326"/>
    <x v="12"/>
    <d v="2011-02-28T00:00:00"/>
    <n v="-11329.25"/>
  </r>
  <r>
    <s v="9500000010"/>
    <s v="YZ"/>
    <s v="201102"/>
    <x v="0"/>
    <s v="18155 TEC CONVERSION ACCOUNT SUMMARY"/>
    <s v="20120326"/>
    <x v="13"/>
    <d v="2011-02-28T00:00:00"/>
    <n v="-10138.58"/>
  </r>
  <r>
    <s v="9500000010"/>
    <s v="YZ"/>
    <s v="201102"/>
    <x v="0"/>
    <s v="18156 TEC CONVERSION ACCOUNT SUMMARY"/>
    <s v="20120326"/>
    <x v="14"/>
    <d v="2011-02-28T00:00:00"/>
    <n v="-2414.83"/>
  </r>
  <r>
    <s v="9500000010"/>
    <s v="YZ"/>
    <s v="201102"/>
    <x v="0"/>
    <s v="18157 TEC CONVERSION ACCOUNT SUMMARY"/>
    <s v="20120326"/>
    <x v="15"/>
    <d v="2011-02-28T00:00:00"/>
    <n v="-14003.55"/>
  </r>
  <r>
    <s v="9500000010"/>
    <s v="YZ"/>
    <s v="201102"/>
    <x v="0"/>
    <s v="18160 TEC CONVERSION ACCOUNT SUMMARY"/>
    <s v="20120326"/>
    <x v="16"/>
    <d v="2011-02-28T00:00:00"/>
    <n v="13544.8"/>
  </r>
  <r>
    <s v="9500000015"/>
    <s v="YZ"/>
    <s v="201103"/>
    <x v="0"/>
    <s v="18108 TEC CONVERSION ACCOUNT SUMMARY"/>
    <s v="20120326"/>
    <x v="2"/>
    <d v="2011-03-31T00:00:00"/>
    <n v="-6531.18"/>
  </r>
  <r>
    <s v="9500000015"/>
    <s v="YZ"/>
    <s v="201103"/>
    <x v="0"/>
    <s v="18128 TEC CONVERSION ACCOUNT SUMMARY"/>
    <s v="20120326"/>
    <x v="3"/>
    <d v="2011-03-31T00:00:00"/>
    <n v="-11502.62"/>
  </r>
  <r>
    <s v="9500000015"/>
    <s v="YZ"/>
    <s v="201103"/>
    <x v="0"/>
    <s v="18144 TEC CONVERSION ACCOUNT SUMMARY"/>
    <s v="20120326"/>
    <x v="4"/>
    <d v="2011-03-31T00:00:00"/>
    <n v="-3059.89"/>
  </r>
  <r>
    <s v="9500000015"/>
    <s v="YZ"/>
    <s v="201103"/>
    <x v="0"/>
    <s v="18145 TEC CONVERSION ACCOUNT SUMMARY"/>
    <s v="20120326"/>
    <x v="5"/>
    <d v="2011-03-31T00:00:00"/>
    <n v="-19390.73"/>
  </r>
  <r>
    <s v="9500000015"/>
    <s v="YZ"/>
    <s v="201103"/>
    <x v="0"/>
    <s v="18146 TEC CONVERSION ACCOUNT SUMMARY"/>
    <s v="20120326"/>
    <x v="6"/>
    <d v="2011-03-31T00:00:00"/>
    <n v="-5407.92"/>
  </r>
  <r>
    <s v="9500000015"/>
    <s v="YZ"/>
    <s v="201103"/>
    <x v="0"/>
    <s v="18147 TEC CONVERSION ACCOUNT SUMMARY"/>
    <s v="20120326"/>
    <x v="7"/>
    <d v="2011-03-31T00:00:00"/>
    <n v="-4422.05"/>
  </r>
  <r>
    <s v="9500000015"/>
    <s v="YZ"/>
    <s v="201103"/>
    <x v="0"/>
    <s v="18148 TEC CONVERSION ACCOUNT SUMMARY"/>
    <s v="20120326"/>
    <x v="8"/>
    <d v="2011-03-31T00:00:00"/>
    <n v="-3340.78"/>
  </r>
  <r>
    <s v="9500000015"/>
    <s v="YZ"/>
    <s v="201103"/>
    <x v="0"/>
    <s v="18149 TEC CONVERSION ACCOUNT SUMMARY"/>
    <s v="20120326"/>
    <x v="9"/>
    <d v="2011-03-31T00:00:00"/>
    <n v="-71354.75"/>
  </r>
  <r>
    <s v="9500000015"/>
    <s v="YZ"/>
    <s v="201103"/>
    <x v="0"/>
    <s v="18151 TEC CONVERSION ACCOUNT SUMMARY"/>
    <s v="20120326"/>
    <x v="10"/>
    <d v="2011-03-31T00:00:00"/>
    <n v="-12467.89"/>
  </r>
  <r>
    <s v="9500000015"/>
    <s v="YZ"/>
    <s v="201103"/>
    <x v="0"/>
    <s v="18153 TEC CONVERSION ACCOUNT SUMMARY"/>
    <s v="20120326"/>
    <x v="11"/>
    <d v="2011-03-31T00:00:00"/>
    <n v="52527.94"/>
  </r>
  <r>
    <s v="9500000015"/>
    <s v="YZ"/>
    <s v="201103"/>
    <x v="0"/>
    <s v="18154 TEC CONVERSION ACCOUNT SUMMARY"/>
    <s v="20120326"/>
    <x v="12"/>
    <d v="2011-03-31T00:00:00"/>
    <n v="-11329.25"/>
  </r>
  <r>
    <s v="9500000015"/>
    <s v="YZ"/>
    <s v="201103"/>
    <x v="0"/>
    <s v="18155 TEC CONVERSION ACCOUNT SUMMARY"/>
    <s v="20120326"/>
    <x v="13"/>
    <d v="2011-03-31T00:00:00"/>
    <n v="-10138.58"/>
  </r>
  <r>
    <s v="9500000015"/>
    <s v="YZ"/>
    <s v="201103"/>
    <x v="0"/>
    <s v="18156 TEC CONVERSION ACCOUNT SUMMARY"/>
    <s v="20120326"/>
    <x v="14"/>
    <d v="2011-03-31T00:00:00"/>
    <n v="-2414.83"/>
  </r>
  <r>
    <s v="9500000015"/>
    <s v="YZ"/>
    <s v="201103"/>
    <x v="0"/>
    <s v="18157 TEC CONVERSION ACCOUNT SUMMARY"/>
    <s v="20120326"/>
    <x v="15"/>
    <d v="2011-03-31T00:00:00"/>
    <n v="-14003.55"/>
  </r>
  <r>
    <s v="9500000015"/>
    <s v="YZ"/>
    <s v="201103"/>
    <x v="0"/>
    <s v="18160 TEC CONVERSION ACCOUNT SUMMARY"/>
    <s v="20120326"/>
    <x v="16"/>
    <d v="2011-03-31T00:00:00"/>
    <n v="-73229.14"/>
  </r>
  <r>
    <s v="9500000020"/>
    <s v="YZ"/>
    <s v="201104"/>
    <x v="0"/>
    <s v="18108 TEC CONVERSION ACCOUNT SUMMARY"/>
    <s v="20120326"/>
    <x v="2"/>
    <d v="2011-04-30T00:00:00"/>
    <n v="-6531.18"/>
  </r>
  <r>
    <s v="9500000020"/>
    <s v="YZ"/>
    <s v="201104"/>
    <x v="0"/>
    <s v="18128 TEC CONVERSION ACCOUNT SUMMARY"/>
    <s v="20120326"/>
    <x v="3"/>
    <d v="2011-04-30T00:00:00"/>
    <n v="-11502.62"/>
  </r>
  <r>
    <s v="9500000020"/>
    <s v="YZ"/>
    <s v="201104"/>
    <x v="0"/>
    <s v="18144 TEC CONVERSION ACCOUNT SUMMARY"/>
    <s v="20120326"/>
    <x v="4"/>
    <d v="2011-04-30T00:00:00"/>
    <n v="-3059.89"/>
  </r>
  <r>
    <s v="9500000020"/>
    <s v="YZ"/>
    <s v="201104"/>
    <x v="0"/>
    <s v="18145 TEC CONVERSION ACCOUNT SUMMARY"/>
    <s v="20120326"/>
    <x v="5"/>
    <d v="2011-04-30T00:00:00"/>
    <n v="-19390.73"/>
  </r>
  <r>
    <s v="9500000020"/>
    <s v="YZ"/>
    <s v="201104"/>
    <x v="0"/>
    <s v="18146 TEC CONVERSION ACCOUNT SUMMARY"/>
    <s v="20120326"/>
    <x v="6"/>
    <d v="2011-04-30T00:00:00"/>
    <n v="-5407.92"/>
  </r>
  <r>
    <s v="9500000020"/>
    <s v="YZ"/>
    <s v="201104"/>
    <x v="0"/>
    <s v="18147 TEC CONVERSION ACCOUNT SUMMARY"/>
    <s v="20120326"/>
    <x v="7"/>
    <d v="2011-04-30T00:00:00"/>
    <n v="-4422.05"/>
  </r>
  <r>
    <s v="9500000020"/>
    <s v="YZ"/>
    <s v="201104"/>
    <x v="0"/>
    <s v="18148 TEC CONVERSION ACCOUNT SUMMARY"/>
    <s v="20120326"/>
    <x v="8"/>
    <d v="2011-04-30T00:00:00"/>
    <n v="-3340.78"/>
  </r>
  <r>
    <s v="9500000020"/>
    <s v="YZ"/>
    <s v="201104"/>
    <x v="0"/>
    <s v="18149 TEC CONVERSION ACCOUNT SUMMARY"/>
    <s v="20120326"/>
    <x v="9"/>
    <d v="2011-04-30T00:00:00"/>
    <n v="-71344.75"/>
  </r>
  <r>
    <s v="9500000020"/>
    <s v="YZ"/>
    <s v="201104"/>
    <x v="0"/>
    <s v="18151 TEC CONVERSION ACCOUNT SUMMARY"/>
    <s v="20120326"/>
    <x v="10"/>
    <d v="2011-04-30T00:00:00"/>
    <n v="-12467.89"/>
  </r>
  <r>
    <s v="9500000020"/>
    <s v="YZ"/>
    <s v="201104"/>
    <x v="0"/>
    <s v="18153 TEC CONVERSION ACCOUNT SUMMARY"/>
    <s v="20120326"/>
    <x v="11"/>
    <d v="2011-04-30T00:00:00"/>
    <n v="-52527.94"/>
  </r>
  <r>
    <s v="9500000020"/>
    <s v="YZ"/>
    <s v="201104"/>
    <x v="0"/>
    <s v="18154 TEC CONVERSION ACCOUNT SUMMARY"/>
    <s v="20120326"/>
    <x v="12"/>
    <d v="2011-04-30T00:00:00"/>
    <n v="-11329.25"/>
  </r>
  <r>
    <s v="9500000020"/>
    <s v="YZ"/>
    <s v="201104"/>
    <x v="0"/>
    <s v="18155 TEC CONVERSION ACCOUNT SUMMARY"/>
    <s v="20120326"/>
    <x v="13"/>
    <d v="2011-04-30T00:00:00"/>
    <n v="-10138.58"/>
  </r>
  <r>
    <s v="9500000020"/>
    <s v="YZ"/>
    <s v="201104"/>
    <x v="0"/>
    <s v="18156 TEC CONVERSION ACCOUNT SUMMARY"/>
    <s v="20120326"/>
    <x v="14"/>
    <d v="2011-04-30T00:00:00"/>
    <n v="-2414.83"/>
  </r>
  <r>
    <s v="9500000020"/>
    <s v="YZ"/>
    <s v="201104"/>
    <x v="0"/>
    <s v="18157 TEC CONVERSION ACCOUNT SUMMARY"/>
    <s v="20120326"/>
    <x v="15"/>
    <d v="2011-04-30T00:00:00"/>
    <n v="-14003.55"/>
  </r>
  <r>
    <s v="9500000020"/>
    <s v="YZ"/>
    <s v="201104"/>
    <x v="0"/>
    <s v="18160 TEC CONVERSION ACCOUNT SUMMARY"/>
    <s v="20120326"/>
    <x v="16"/>
    <d v="2011-04-30T00:00:00"/>
    <n v="-32628.07"/>
  </r>
  <r>
    <s v="9500000025"/>
    <s v="YZ"/>
    <s v="201105"/>
    <x v="0"/>
    <s v="18128 TEC CONVERSION ACCOUNT SUMMARY"/>
    <s v="20120326"/>
    <x v="3"/>
    <d v="2011-05-31T00:00:00"/>
    <n v="-11502.62"/>
  </r>
  <r>
    <s v="9500000025"/>
    <s v="YZ"/>
    <s v="201105"/>
    <x v="0"/>
    <s v="18145 TEC CONVERSION ACCOUNT SUMMARY"/>
    <s v="20120326"/>
    <x v="5"/>
    <d v="2011-05-31T00:00:00"/>
    <n v="-19390.73"/>
  </r>
  <r>
    <s v="9500000025"/>
    <s v="YZ"/>
    <s v="201105"/>
    <x v="0"/>
    <s v="18147 TEC CONVERSION ACCOUNT SUMMARY"/>
    <s v="20120326"/>
    <x v="7"/>
    <d v="2011-05-31T00:00:00"/>
    <n v="-4422.05"/>
  </r>
  <r>
    <s v="9500000025"/>
    <s v="YZ"/>
    <s v="201105"/>
    <x v="0"/>
    <s v="18151 TEC CONVERSION ACCOUNT SUMMARY"/>
    <s v="20120326"/>
    <x v="10"/>
    <d v="2011-05-31T00:00:00"/>
    <n v="-12467.89"/>
  </r>
  <r>
    <s v="9500000025"/>
    <s v="YZ"/>
    <s v="201105"/>
    <x v="0"/>
    <s v="18154 TEC CONVERSION ACCOUNT SUMMARY"/>
    <s v="20120326"/>
    <x v="12"/>
    <d v="2011-05-31T00:00:00"/>
    <n v="-11329.25"/>
  </r>
  <r>
    <s v="9500000025"/>
    <s v="YZ"/>
    <s v="201105"/>
    <x v="0"/>
    <s v="18155 TEC CONVERSION ACCOUNT SUMMARY"/>
    <s v="20120326"/>
    <x v="13"/>
    <d v="2011-05-31T00:00:00"/>
    <n v="-10138.58"/>
  </r>
  <r>
    <s v="9500000025"/>
    <s v="YZ"/>
    <s v="201105"/>
    <x v="0"/>
    <s v="18156 TEC CONVERSION ACCOUNT SUMMARY"/>
    <s v="20120326"/>
    <x v="14"/>
    <d v="2011-05-31T00:00:00"/>
    <n v="-2414.83"/>
  </r>
  <r>
    <s v="9500000025"/>
    <s v="YZ"/>
    <s v="201105"/>
    <x v="0"/>
    <s v="18157 TEC CONVERSION ACCOUNT SUMMARY"/>
    <s v="20120326"/>
    <x v="15"/>
    <d v="2011-05-31T00:00:00"/>
    <n v="-14003.55"/>
  </r>
  <r>
    <s v="9500000025"/>
    <s v="YZ"/>
    <s v="201105"/>
    <x v="0"/>
    <s v="18108 TEC CONVERSION ACCOUNT SUMMARY"/>
    <s v="20120326"/>
    <x v="2"/>
    <d v="2011-05-31T00:00:00"/>
    <n v="-6531.18"/>
  </r>
  <r>
    <s v="9500000025"/>
    <s v="YZ"/>
    <s v="201105"/>
    <x v="0"/>
    <s v="18144 TEC CONVERSION ACCOUNT SUMMARY"/>
    <s v="20120326"/>
    <x v="4"/>
    <d v="2011-05-31T00:00:00"/>
    <n v="-3059.89"/>
  </r>
  <r>
    <s v="9500000025"/>
    <s v="YZ"/>
    <s v="201105"/>
    <x v="0"/>
    <s v="18146 TEC CONVERSION ACCOUNT SUMMARY"/>
    <s v="20120326"/>
    <x v="6"/>
    <d v="2011-05-31T00:00:00"/>
    <n v="-5407.92"/>
  </r>
  <r>
    <s v="9500000025"/>
    <s v="YZ"/>
    <s v="201105"/>
    <x v="0"/>
    <s v="18148 TEC CONVERSION ACCOUNT SUMMARY"/>
    <s v="20120326"/>
    <x v="8"/>
    <d v="2011-05-31T00:00:00"/>
    <n v="-3340.78"/>
  </r>
  <r>
    <s v="9500000025"/>
    <s v="YZ"/>
    <s v="201105"/>
    <x v="0"/>
    <s v="18149 TEC CONVERSION ACCOUNT SUMMARY"/>
    <s v="20120326"/>
    <x v="9"/>
    <d v="2011-05-31T00:00:00"/>
    <n v="-71344.75"/>
  </r>
  <r>
    <s v="9500000025"/>
    <s v="YZ"/>
    <s v="201105"/>
    <x v="0"/>
    <s v="18160 TEC CONVERSION ACCOUNT SUMMARY"/>
    <s v="20120326"/>
    <x v="16"/>
    <d v="2011-05-31T00:00:00"/>
    <n v="-40314.06"/>
  </r>
  <r>
    <s v="9500000030"/>
    <s v="YZ"/>
    <s v="201106"/>
    <x v="0"/>
    <s v="18108 TEC CONVERSION ACCOUNT SUMMARY"/>
    <s v="20120326"/>
    <x v="2"/>
    <d v="2011-06-30T00:00:00"/>
    <n v="-6531.18"/>
  </r>
  <r>
    <s v="9500000030"/>
    <s v="YZ"/>
    <s v="201106"/>
    <x v="0"/>
    <s v="18128 TEC CONVERSION ACCOUNT SUMMARY"/>
    <s v="20120326"/>
    <x v="3"/>
    <d v="2011-06-30T00:00:00"/>
    <n v="-11502.62"/>
  </r>
  <r>
    <s v="9500000030"/>
    <s v="YZ"/>
    <s v="201106"/>
    <x v="0"/>
    <s v="18144 TEC CONVERSION ACCOUNT SUMMARY"/>
    <s v="20120326"/>
    <x v="4"/>
    <d v="2011-06-30T00:00:00"/>
    <n v="-3059.89"/>
  </r>
  <r>
    <s v="9500000030"/>
    <s v="YZ"/>
    <s v="201106"/>
    <x v="0"/>
    <s v="18145 TEC CONVERSION ACCOUNT SUMMARY"/>
    <s v="20120326"/>
    <x v="5"/>
    <d v="2011-06-30T00:00:00"/>
    <n v="-19390.73"/>
  </r>
  <r>
    <s v="9500000030"/>
    <s v="YZ"/>
    <s v="201106"/>
    <x v="0"/>
    <s v="18146 TEC CONVERSION ACCOUNT SUMMARY"/>
    <s v="20120326"/>
    <x v="6"/>
    <d v="2011-06-30T00:00:00"/>
    <n v="-5407.92"/>
  </r>
  <r>
    <s v="9500000030"/>
    <s v="YZ"/>
    <s v="201106"/>
    <x v="0"/>
    <s v="18147 TEC CONVERSION ACCOUNT SUMMARY"/>
    <s v="20120326"/>
    <x v="7"/>
    <d v="2011-06-30T00:00:00"/>
    <n v="-4422.05"/>
  </r>
  <r>
    <s v="9500000030"/>
    <s v="YZ"/>
    <s v="201106"/>
    <x v="0"/>
    <s v="18148 TEC CONVERSION ACCOUNT SUMMARY"/>
    <s v="20120326"/>
    <x v="8"/>
    <d v="2011-06-30T00:00:00"/>
    <n v="-3340.78"/>
  </r>
  <r>
    <s v="9500000030"/>
    <s v="YZ"/>
    <s v="201106"/>
    <x v="0"/>
    <s v="18149 TEC CONVERSION ACCOUNT SUMMARY"/>
    <s v="20120326"/>
    <x v="9"/>
    <d v="2011-06-30T00:00:00"/>
    <n v="-71344.75"/>
  </r>
  <r>
    <s v="9500000030"/>
    <s v="YZ"/>
    <s v="201106"/>
    <x v="0"/>
    <s v="18151 TEC CONVERSION ACCOUNT SUMMARY"/>
    <s v="20120326"/>
    <x v="10"/>
    <d v="2011-06-30T00:00:00"/>
    <n v="-12467.89"/>
  </r>
  <r>
    <s v="9500000030"/>
    <s v="YZ"/>
    <s v="201106"/>
    <x v="0"/>
    <s v="18154 TEC CONVERSION ACCOUNT SUMMARY"/>
    <s v="20120326"/>
    <x v="12"/>
    <d v="2011-06-30T00:00:00"/>
    <n v="-11329.25"/>
  </r>
  <r>
    <s v="9500000030"/>
    <s v="YZ"/>
    <s v="201106"/>
    <x v="0"/>
    <s v="18155 TEC CONVERSION ACCOUNT SUMMARY"/>
    <s v="20120326"/>
    <x v="13"/>
    <d v="2011-06-30T00:00:00"/>
    <n v="-10138.58"/>
  </r>
  <r>
    <s v="9500000030"/>
    <s v="YZ"/>
    <s v="201106"/>
    <x v="0"/>
    <s v="18156 TEC CONVERSION ACCOUNT SUMMARY"/>
    <s v="20120326"/>
    <x v="14"/>
    <d v="2011-06-30T00:00:00"/>
    <n v="-2414.83"/>
  </r>
  <r>
    <s v="9500000030"/>
    <s v="YZ"/>
    <s v="201106"/>
    <x v="0"/>
    <s v="18157 TEC CONVERSION ACCOUNT SUMMARY"/>
    <s v="20120326"/>
    <x v="15"/>
    <d v="2011-06-30T00:00:00"/>
    <n v="-14003.55"/>
  </r>
  <r>
    <s v="9500000030"/>
    <s v="YZ"/>
    <s v="201106"/>
    <x v="0"/>
    <s v="18160 TEC CONVERSION ACCOUNT SUMMARY"/>
    <s v="20120326"/>
    <x v="16"/>
    <d v="2011-06-30T00:00:00"/>
    <n v="-58520.36"/>
  </r>
  <r>
    <s v="9500000035"/>
    <s v="YZ"/>
    <s v="201107"/>
    <x v="0"/>
    <s v="18108 TEC CONVERSION ACCOUNT SUMMARY"/>
    <s v="20120326"/>
    <x v="2"/>
    <d v="2011-07-31T00:00:00"/>
    <n v="-6531.18"/>
  </r>
  <r>
    <s v="9500000035"/>
    <s v="YZ"/>
    <s v="201107"/>
    <x v="0"/>
    <s v="18128 TEC CONVERSION ACCOUNT SUMMARY"/>
    <s v="20120326"/>
    <x v="3"/>
    <d v="2011-07-31T00:00:00"/>
    <n v="-11502.62"/>
  </r>
  <r>
    <s v="9500000035"/>
    <s v="YZ"/>
    <s v="201107"/>
    <x v="0"/>
    <s v="18144 TEC CONVERSION ACCOUNT SUMMARY"/>
    <s v="20120326"/>
    <x v="4"/>
    <d v="2011-07-31T00:00:00"/>
    <n v="-3059.89"/>
  </r>
  <r>
    <s v="9500000035"/>
    <s v="YZ"/>
    <s v="201107"/>
    <x v="0"/>
    <s v="18145 TEC CONVERSION ACCOUNT SUMMARY"/>
    <s v="20120326"/>
    <x v="5"/>
    <d v="2011-07-31T00:00:00"/>
    <n v="-19390.73"/>
  </r>
  <r>
    <s v="9500000035"/>
    <s v="YZ"/>
    <s v="201107"/>
    <x v="0"/>
    <s v="18146 TEC CONVERSION ACCOUNT SUMMARY"/>
    <s v="20120326"/>
    <x v="6"/>
    <d v="2011-07-31T00:00:00"/>
    <n v="-5407.92"/>
  </r>
  <r>
    <s v="9500000035"/>
    <s v="YZ"/>
    <s v="201107"/>
    <x v="0"/>
    <s v="18147 TEC CONVERSION ACCOUNT SUMMARY"/>
    <s v="20120326"/>
    <x v="7"/>
    <d v="2011-07-31T00:00:00"/>
    <n v="-4422.05"/>
  </r>
  <r>
    <s v="9500000035"/>
    <s v="YZ"/>
    <s v="201107"/>
    <x v="0"/>
    <s v="18148 TEC CONVERSION ACCOUNT SUMMARY"/>
    <s v="20120326"/>
    <x v="8"/>
    <d v="2011-07-31T00:00:00"/>
    <n v="-3340.78"/>
  </r>
  <r>
    <s v="9500000035"/>
    <s v="YZ"/>
    <s v="201107"/>
    <x v="0"/>
    <s v="18149 TEC CONVERSION ACCOUNT SUMMARY"/>
    <s v="20120326"/>
    <x v="9"/>
    <d v="2011-07-31T00:00:00"/>
    <n v="-71344.75"/>
  </r>
  <r>
    <s v="9500000035"/>
    <s v="YZ"/>
    <s v="201107"/>
    <x v="0"/>
    <s v="18151 TEC CONVERSION ACCOUNT SUMMARY"/>
    <s v="20120326"/>
    <x v="10"/>
    <d v="2011-07-31T00:00:00"/>
    <n v="-12467.89"/>
  </r>
  <r>
    <s v="9500000035"/>
    <s v="YZ"/>
    <s v="201107"/>
    <x v="0"/>
    <s v="18153 TEC CONVERSION ACCOUNT SUMMARY"/>
    <s v="20120326"/>
    <x v="11"/>
    <d v="2011-07-31T00:00:00"/>
    <n v="14478.47"/>
  </r>
  <r>
    <s v="9500000035"/>
    <s v="YZ"/>
    <s v="201107"/>
    <x v="0"/>
    <s v="18154 TEC CONVERSION ACCOUNT SUMMARY"/>
    <s v="20120326"/>
    <x v="12"/>
    <d v="2011-07-31T00:00:00"/>
    <n v="-11329.25"/>
  </r>
  <r>
    <s v="9500000035"/>
    <s v="YZ"/>
    <s v="201107"/>
    <x v="0"/>
    <s v="18155 TEC CONVERSION ACCOUNT SUMMARY"/>
    <s v="20120326"/>
    <x v="13"/>
    <d v="2011-07-31T00:00:00"/>
    <n v="-10138.58"/>
  </r>
  <r>
    <s v="9500000035"/>
    <s v="YZ"/>
    <s v="201107"/>
    <x v="0"/>
    <s v="18156 TEC CONVERSION ACCOUNT SUMMARY"/>
    <s v="20120326"/>
    <x v="14"/>
    <d v="2011-07-31T00:00:00"/>
    <n v="-2414.83"/>
  </r>
  <r>
    <s v="9500000035"/>
    <s v="YZ"/>
    <s v="201107"/>
    <x v="0"/>
    <s v="18157 TEC CONVERSION ACCOUNT SUMMARY"/>
    <s v="20120326"/>
    <x v="15"/>
    <d v="2011-07-31T00:00:00"/>
    <n v="-14003.55"/>
  </r>
  <r>
    <s v="9500000035"/>
    <s v="YZ"/>
    <s v="201107"/>
    <x v="0"/>
    <s v="18160 TEC CONVERSION ACCOUNT SUMMARY"/>
    <s v="20120326"/>
    <x v="16"/>
    <d v="2011-07-31T00:00:00"/>
    <n v="-78650.55"/>
  </r>
  <r>
    <s v="9500000040"/>
    <s v="YZ"/>
    <s v="201108"/>
    <x v="0"/>
    <s v="18108 TEC CONVERSION ACCOUNT SUMMARY"/>
    <s v="20120326"/>
    <x v="2"/>
    <d v="2011-08-31T00:00:00"/>
    <n v="-6531.18"/>
  </r>
  <r>
    <s v="9500000040"/>
    <s v="YZ"/>
    <s v="201108"/>
    <x v="0"/>
    <s v="18147 TEC CONVERSION ACCOUNT SUMMARY"/>
    <s v="20120326"/>
    <x v="7"/>
    <d v="2011-08-31T00:00:00"/>
    <n v="-4422.05"/>
  </r>
  <r>
    <s v="9500000040"/>
    <s v="YZ"/>
    <s v="201108"/>
    <x v="0"/>
    <s v="18151 TEC CONVERSION ACCOUNT SUMMARY"/>
    <s v="20120326"/>
    <x v="10"/>
    <d v="2011-08-31T00:00:00"/>
    <n v="-12467.89"/>
  </r>
  <r>
    <s v="9500000040"/>
    <s v="YZ"/>
    <s v="201108"/>
    <x v="0"/>
    <s v="18153 TEC CONVERSION ACCOUNT SUMMARY"/>
    <s v="20120326"/>
    <x v="11"/>
    <d v="2011-08-31T00:00:00"/>
    <n v="575.82000000000005"/>
  </r>
  <r>
    <s v="9500000040"/>
    <s v="YZ"/>
    <s v="201108"/>
    <x v="0"/>
    <s v="18154 TEC CONVERSION ACCOUNT SUMMARY"/>
    <s v="20120326"/>
    <x v="12"/>
    <d v="2011-08-31T00:00:00"/>
    <n v="-11329.25"/>
  </r>
  <r>
    <s v="9500000040"/>
    <s v="YZ"/>
    <s v="201108"/>
    <x v="0"/>
    <s v="18155 TEC CONVERSION ACCOUNT SUMMARY"/>
    <s v="20120326"/>
    <x v="13"/>
    <d v="2011-08-31T00:00:00"/>
    <n v="-10138.58"/>
  </r>
  <r>
    <s v="9500000040"/>
    <s v="YZ"/>
    <s v="201108"/>
    <x v="0"/>
    <s v="18156 TEC CONVERSION ACCOUNT SUMMARY"/>
    <s v="20120326"/>
    <x v="14"/>
    <d v="2011-08-31T00:00:00"/>
    <n v="-2414.83"/>
  </r>
  <r>
    <s v="9500000040"/>
    <s v="YZ"/>
    <s v="201108"/>
    <x v="0"/>
    <s v="18128 TEC CONVERSION ACCOUNT SUMMARY"/>
    <s v="20120326"/>
    <x v="3"/>
    <d v="2011-08-31T00:00:00"/>
    <n v="-11502.62"/>
  </r>
  <r>
    <s v="9500000040"/>
    <s v="YZ"/>
    <s v="201108"/>
    <x v="0"/>
    <s v="18144 TEC CONVERSION ACCOUNT SUMMARY"/>
    <s v="20120326"/>
    <x v="4"/>
    <d v="2011-08-31T00:00:00"/>
    <n v="-3059.89"/>
  </r>
  <r>
    <s v="9500000040"/>
    <s v="YZ"/>
    <s v="201108"/>
    <x v="0"/>
    <s v="18145 TEC CONVERSION ACCOUNT SUMMARY"/>
    <s v="20120326"/>
    <x v="5"/>
    <d v="2011-08-31T00:00:00"/>
    <n v="-19390.73"/>
  </r>
  <r>
    <s v="9500000040"/>
    <s v="YZ"/>
    <s v="201108"/>
    <x v="0"/>
    <s v="18146 TEC CONVERSION ACCOUNT SUMMARY"/>
    <s v="20120326"/>
    <x v="6"/>
    <d v="2011-08-31T00:00:00"/>
    <n v="-5407.92"/>
  </r>
  <r>
    <s v="9500000040"/>
    <s v="YZ"/>
    <s v="201108"/>
    <x v="0"/>
    <s v="18148 TEC CONVERSION ACCOUNT SUMMARY"/>
    <s v="20120326"/>
    <x v="8"/>
    <d v="2011-08-31T00:00:00"/>
    <n v="-3340.78"/>
  </r>
  <r>
    <s v="9500000040"/>
    <s v="YZ"/>
    <s v="201108"/>
    <x v="0"/>
    <s v="18149 TEC CONVERSION ACCOUNT SUMMARY"/>
    <s v="20120326"/>
    <x v="9"/>
    <d v="2011-08-31T00:00:00"/>
    <n v="-71344.75"/>
  </r>
  <r>
    <s v="9500000040"/>
    <s v="YZ"/>
    <s v="201108"/>
    <x v="0"/>
    <s v="18157 TEC CONVERSION ACCOUNT SUMMARY"/>
    <s v="20120326"/>
    <x v="15"/>
    <d v="2011-08-31T00:00:00"/>
    <n v="-14003.55"/>
  </r>
  <r>
    <s v="9500000040"/>
    <s v="YZ"/>
    <s v="201108"/>
    <x v="0"/>
    <s v="18160 TEC CONVERSION ACCOUNT SUMMARY"/>
    <s v="20120326"/>
    <x v="16"/>
    <d v="2011-08-31T00:00:00"/>
    <n v="-80165"/>
  </r>
  <r>
    <s v="9500000045"/>
    <s v="YZ"/>
    <s v="201109"/>
    <x v="0"/>
    <s v="18108 TEC CONVERSION ACCOUNT SUMMARY"/>
    <s v="20120326"/>
    <x v="2"/>
    <d v="2011-09-30T00:00:00"/>
    <n v="-6531.18"/>
  </r>
  <r>
    <s v="9500000045"/>
    <s v="YZ"/>
    <s v="201109"/>
    <x v="0"/>
    <s v="18147 TEC CONVERSION ACCOUNT SUMMARY"/>
    <s v="20120326"/>
    <x v="7"/>
    <d v="2011-09-30T00:00:00"/>
    <n v="-4422.05"/>
  </r>
  <r>
    <s v="9500000045"/>
    <s v="YZ"/>
    <s v="201109"/>
    <x v="0"/>
    <s v="18151 TEC CONVERSION ACCOUNT SUMMARY"/>
    <s v="20120326"/>
    <x v="10"/>
    <d v="2011-09-30T00:00:00"/>
    <n v="-12467.89"/>
  </r>
  <r>
    <s v="9500000045"/>
    <s v="YZ"/>
    <s v="201109"/>
    <x v="0"/>
    <s v="18154 TEC CONVERSION ACCOUNT SUMMARY"/>
    <s v="20120326"/>
    <x v="12"/>
    <d v="2011-09-30T00:00:00"/>
    <n v="-11329.25"/>
  </r>
  <r>
    <s v="9500000045"/>
    <s v="YZ"/>
    <s v="201109"/>
    <x v="0"/>
    <s v="18155 TEC CONVERSION ACCOUNT SUMMARY"/>
    <s v="20120326"/>
    <x v="13"/>
    <d v="2011-09-30T00:00:00"/>
    <n v="-10138.58"/>
  </r>
  <r>
    <s v="9500000045"/>
    <s v="YZ"/>
    <s v="201109"/>
    <x v="0"/>
    <s v="18156 TEC CONVERSION ACCOUNT SUMMARY"/>
    <s v="20120326"/>
    <x v="14"/>
    <d v="2011-09-30T00:00:00"/>
    <n v="-2414.83"/>
  </r>
  <r>
    <s v="9500000045"/>
    <s v="YZ"/>
    <s v="201109"/>
    <x v="0"/>
    <s v="18160 TEC CONVERSION ACCOUNT SUMMARY"/>
    <s v="20120326"/>
    <x v="16"/>
    <d v="2011-09-30T00:00:00"/>
    <n v="-80541.22"/>
  </r>
  <r>
    <s v="9500000045"/>
    <s v="YZ"/>
    <s v="201109"/>
    <x v="0"/>
    <s v="18128 TEC CONVERSION ACCOUNT SUMMARY"/>
    <s v="20120326"/>
    <x v="3"/>
    <d v="2011-09-30T00:00:00"/>
    <n v="-11502.62"/>
  </r>
  <r>
    <s v="9500000045"/>
    <s v="YZ"/>
    <s v="201109"/>
    <x v="0"/>
    <s v="18144 TEC CONVERSION ACCOUNT SUMMARY"/>
    <s v="20120326"/>
    <x v="4"/>
    <d v="2011-09-30T00:00:00"/>
    <n v="-3059.89"/>
  </r>
  <r>
    <s v="9500000045"/>
    <s v="YZ"/>
    <s v="201109"/>
    <x v="0"/>
    <s v="18145 TEC CONVERSION ACCOUNT SUMMARY"/>
    <s v="20120326"/>
    <x v="5"/>
    <d v="2011-09-30T00:00:00"/>
    <n v="-19390.73"/>
  </r>
  <r>
    <s v="9500000045"/>
    <s v="YZ"/>
    <s v="201109"/>
    <x v="0"/>
    <s v="18146 TEC CONVERSION ACCOUNT SUMMARY"/>
    <s v="20120326"/>
    <x v="6"/>
    <d v="2011-09-30T00:00:00"/>
    <n v="-5407.92"/>
  </r>
  <r>
    <s v="9500000045"/>
    <s v="YZ"/>
    <s v="201109"/>
    <x v="0"/>
    <s v="18148 TEC CONVERSION ACCOUNT SUMMARY"/>
    <s v="20120326"/>
    <x v="8"/>
    <d v="2011-09-30T00:00:00"/>
    <n v="-3340.78"/>
  </r>
  <r>
    <s v="9500000045"/>
    <s v="YZ"/>
    <s v="201109"/>
    <x v="0"/>
    <s v="18149 TEC CONVERSION ACCOUNT SUMMARY"/>
    <s v="20120326"/>
    <x v="9"/>
    <d v="2011-09-30T00:00:00"/>
    <n v="-71344.75"/>
  </r>
  <r>
    <s v="9500000045"/>
    <s v="YZ"/>
    <s v="201109"/>
    <x v="0"/>
    <s v="18153 TEC CONVERSION ACCOUNT SUMMARY"/>
    <s v="20120326"/>
    <x v="11"/>
    <d v="2011-09-30T00:00:00"/>
    <n v="-15054.29"/>
  </r>
  <r>
    <s v="9500000045"/>
    <s v="YZ"/>
    <s v="201109"/>
    <x v="0"/>
    <s v="18157 TEC CONVERSION ACCOUNT SUMMARY"/>
    <s v="20120326"/>
    <x v="15"/>
    <d v="2011-09-30T00:00:00"/>
    <n v="-14003.55"/>
  </r>
  <r>
    <s v="9500000050"/>
    <s v="YZ"/>
    <s v="201110"/>
    <x v="0"/>
    <s v="18108 TEC CONVERSION ACCOUNT SUMMARY"/>
    <s v="20120326"/>
    <x v="2"/>
    <d v="2011-10-31T00:00:00"/>
    <n v="-6531.18"/>
  </r>
  <r>
    <s v="9500000050"/>
    <s v="YZ"/>
    <s v="201110"/>
    <x v="0"/>
    <s v="18128 TEC CONVERSION ACCOUNT SUMMARY"/>
    <s v="20120326"/>
    <x v="3"/>
    <d v="2011-10-31T00:00:00"/>
    <n v="-11502.62"/>
  </r>
  <r>
    <s v="9500000050"/>
    <s v="YZ"/>
    <s v="201110"/>
    <x v="0"/>
    <s v="18145 TEC CONVERSION ACCOUNT SUMMARY"/>
    <s v="20120326"/>
    <x v="5"/>
    <d v="2011-10-31T00:00:00"/>
    <n v="-19390.73"/>
  </r>
  <r>
    <s v="9500000050"/>
    <s v="YZ"/>
    <s v="201110"/>
    <x v="0"/>
    <s v="18147 TEC CONVERSION ACCOUNT SUMMARY"/>
    <s v="20120326"/>
    <x v="7"/>
    <d v="2011-10-31T00:00:00"/>
    <n v="-4422.05"/>
  </r>
  <r>
    <s v="9500000050"/>
    <s v="YZ"/>
    <s v="201110"/>
    <x v="0"/>
    <s v="18151 TEC CONVERSION ACCOUNT SUMMARY"/>
    <s v="20120326"/>
    <x v="10"/>
    <d v="2011-10-31T00:00:00"/>
    <n v="-12467.89"/>
  </r>
  <r>
    <s v="9500000050"/>
    <s v="YZ"/>
    <s v="201110"/>
    <x v="0"/>
    <s v="18154 TEC CONVERSION ACCOUNT SUMMARY"/>
    <s v="20120326"/>
    <x v="12"/>
    <d v="2011-10-31T00:00:00"/>
    <n v="-11329.25"/>
  </r>
  <r>
    <s v="9500000050"/>
    <s v="YZ"/>
    <s v="201110"/>
    <x v="0"/>
    <s v="18155 TEC CONVERSION ACCOUNT SUMMARY"/>
    <s v="20120326"/>
    <x v="13"/>
    <d v="2011-10-31T00:00:00"/>
    <n v="-10138.58"/>
  </r>
  <r>
    <s v="9500000050"/>
    <s v="YZ"/>
    <s v="201110"/>
    <x v="0"/>
    <s v="18156 TEC CONVERSION ACCOUNT SUMMARY"/>
    <s v="20120326"/>
    <x v="14"/>
    <d v="2011-10-31T00:00:00"/>
    <n v="-2414.83"/>
  </r>
  <r>
    <s v="9500000050"/>
    <s v="YZ"/>
    <s v="201110"/>
    <x v="0"/>
    <s v="18157 TEC CONVERSION ACCOUNT SUMMARY"/>
    <s v="20120326"/>
    <x v="15"/>
    <d v="2011-10-31T00:00:00"/>
    <n v="-14003.55"/>
  </r>
  <r>
    <s v="9500000050"/>
    <s v="YZ"/>
    <s v="201110"/>
    <x v="0"/>
    <s v="18160 TEC CONVERSION ACCOUNT SUMMARY"/>
    <s v="20120326"/>
    <x v="16"/>
    <d v="2011-10-31T00:00:00"/>
    <n v="-80541.22"/>
  </r>
  <r>
    <s v="9500000050"/>
    <s v="YZ"/>
    <s v="201110"/>
    <x v="0"/>
    <s v="18144 TEC CONVERSION ACCOUNT SUMMARY"/>
    <s v="20120326"/>
    <x v="4"/>
    <d v="2011-10-31T00:00:00"/>
    <n v="-3059.89"/>
  </r>
  <r>
    <s v="9500000050"/>
    <s v="YZ"/>
    <s v="201110"/>
    <x v="0"/>
    <s v="18146 TEC CONVERSION ACCOUNT SUMMARY"/>
    <s v="20120326"/>
    <x v="6"/>
    <d v="2011-10-31T00:00:00"/>
    <n v="-5407.92"/>
  </r>
  <r>
    <s v="9500000050"/>
    <s v="YZ"/>
    <s v="201110"/>
    <x v="0"/>
    <s v="18148 TEC CONVERSION ACCOUNT SUMMARY"/>
    <s v="20120326"/>
    <x v="8"/>
    <d v="2011-10-31T00:00:00"/>
    <n v="-3340.78"/>
  </r>
  <r>
    <s v="9500000050"/>
    <s v="YZ"/>
    <s v="201110"/>
    <x v="0"/>
    <s v="18149 TEC CONVERSION ACCOUNT SUMMARY"/>
    <s v="20120326"/>
    <x v="9"/>
    <d v="2011-10-31T00:00:00"/>
    <n v="-71344.75"/>
  </r>
  <r>
    <s v="9500000055"/>
    <s v="YZ"/>
    <s v="201111"/>
    <x v="0"/>
    <s v="18108 TEC CONVERSION ACCOUNT SUMMARY"/>
    <s v="20120326"/>
    <x v="2"/>
    <d v="2011-11-30T00:00:00"/>
    <n v="-6531.18"/>
  </r>
  <r>
    <s v="9500000055"/>
    <s v="YZ"/>
    <s v="201111"/>
    <x v="0"/>
    <s v="18128 TEC CONVERSION ACCOUNT SUMMARY"/>
    <s v="20120326"/>
    <x v="3"/>
    <d v="2011-11-30T00:00:00"/>
    <n v="-11502.62"/>
  </r>
  <r>
    <s v="9500000055"/>
    <s v="YZ"/>
    <s v="201111"/>
    <x v="0"/>
    <s v="18144 TEC CONVERSION ACCOUNT SUMMARY"/>
    <s v="20120326"/>
    <x v="4"/>
    <d v="2011-11-30T00:00:00"/>
    <n v="-3059.89"/>
  </r>
  <r>
    <s v="9500000055"/>
    <s v="YZ"/>
    <s v="201111"/>
    <x v="0"/>
    <s v="18145 TEC CONVERSION ACCOUNT SUMMARY"/>
    <s v="20120326"/>
    <x v="5"/>
    <d v="2011-11-30T00:00:00"/>
    <n v="-19390.73"/>
  </r>
  <r>
    <s v="9500000055"/>
    <s v="YZ"/>
    <s v="201111"/>
    <x v="0"/>
    <s v="18146 TEC CONVERSION ACCOUNT SUMMARY"/>
    <s v="20120326"/>
    <x v="6"/>
    <d v="2011-11-30T00:00:00"/>
    <n v="-5407.92"/>
  </r>
  <r>
    <s v="9500000055"/>
    <s v="YZ"/>
    <s v="201111"/>
    <x v="0"/>
    <s v="18147 TEC CONVERSION ACCOUNT SUMMARY"/>
    <s v="20120326"/>
    <x v="7"/>
    <d v="2011-11-30T00:00:00"/>
    <n v="-4422.05"/>
  </r>
  <r>
    <s v="9500000055"/>
    <s v="YZ"/>
    <s v="201111"/>
    <x v="0"/>
    <s v="18148 TEC CONVERSION ACCOUNT SUMMARY"/>
    <s v="20120326"/>
    <x v="8"/>
    <d v="2011-11-30T00:00:00"/>
    <n v="-3340.78"/>
  </r>
  <r>
    <s v="9500000055"/>
    <s v="YZ"/>
    <s v="201111"/>
    <x v="0"/>
    <s v="18149 TEC CONVERSION ACCOUNT SUMMARY"/>
    <s v="20120326"/>
    <x v="9"/>
    <d v="2011-11-30T00:00:00"/>
    <n v="-71344.75"/>
  </r>
  <r>
    <s v="9500000055"/>
    <s v="YZ"/>
    <s v="201111"/>
    <x v="0"/>
    <s v="18151 TEC CONVERSION ACCOUNT SUMMARY"/>
    <s v="20120326"/>
    <x v="10"/>
    <d v="2011-11-30T00:00:00"/>
    <n v="-12467.89"/>
  </r>
  <r>
    <s v="9500000055"/>
    <s v="YZ"/>
    <s v="201111"/>
    <x v="0"/>
    <s v="18154 TEC CONVERSION ACCOUNT SUMMARY"/>
    <s v="20120326"/>
    <x v="12"/>
    <d v="2011-11-30T00:00:00"/>
    <n v="-11329.25"/>
  </r>
  <r>
    <s v="9500000055"/>
    <s v="YZ"/>
    <s v="201111"/>
    <x v="0"/>
    <s v="18155 TEC CONVERSION ACCOUNT SUMMARY"/>
    <s v="20120326"/>
    <x v="13"/>
    <d v="2011-11-30T00:00:00"/>
    <n v="-10138.58"/>
  </r>
  <r>
    <s v="9500000055"/>
    <s v="YZ"/>
    <s v="201111"/>
    <x v="0"/>
    <s v="18156 TEC CONVERSION ACCOUNT SUMMARY"/>
    <s v="20120326"/>
    <x v="14"/>
    <d v="2011-11-30T00:00:00"/>
    <n v="-2414.83"/>
  </r>
  <r>
    <s v="9500000055"/>
    <s v="YZ"/>
    <s v="201111"/>
    <x v="0"/>
    <s v="18157 TEC CONVERSION ACCOUNT SUMMARY"/>
    <s v="20120326"/>
    <x v="15"/>
    <d v="2011-11-30T00:00:00"/>
    <n v="-14003.55"/>
  </r>
  <r>
    <s v="9500000055"/>
    <s v="YZ"/>
    <s v="201111"/>
    <x v="0"/>
    <s v="18160 TEC CONVERSION ACCOUNT SUMMARY"/>
    <s v="20120326"/>
    <x v="16"/>
    <d v="2011-11-30T00:00:00"/>
    <n v="-80541.22"/>
  </r>
  <r>
    <s v="9500000060"/>
    <s v="YZ"/>
    <s v="201112"/>
    <x v="0"/>
    <s v="18108 TEC CONVERSION ACCOUNT SUMMARY"/>
    <s v="20120326"/>
    <x v="2"/>
    <d v="2011-12-31T00:00:00"/>
    <n v="-6531.18"/>
  </r>
  <r>
    <s v="9500000060"/>
    <s v="YZ"/>
    <s v="201112"/>
    <x v="0"/>
    <s v="18128 TEC CONVERSION ACCOUNT SUMMARY"/>
    <s v="20120326"/>
    <x v="3"/>
    <d v="2011-12-31T00:00:00"/>
    <n v="-11502.62"/>
  </r>
  <r>
    <s v="9500000060"/>
    <s v="YZ"/>
    <s v="201112"/>
    <x v="0"/>
    <s v="18144 TEC CONVERSION ACCOUNT SUMMARY"/>
    <s v="20120326"/>
    <x v="4"/>
    <d v="2011-12-31T00:00:00"/>
    <n v="-3059.89"/>
  </r>
  <r>
    <s v="9500000060"/>
    <s v="YZ"/>
    <s v="201112"/>
    <x v="0"/>
    <s v="18145 TEC CONVERSION ACCOUNT SUMMARY"/>
    <s v="20120326"/>
    <x v="5"/>
    <d v="2011-12-31T00:00:00"/>
    <n v="-19390.73"/>
  </r>
  <r>
    <s v="9500000060"/>
    <s v="YZ"/>
    <s v="201112"/>
    <x v="0"/>
    <s v="18146 TEC CONVERSION ACCOUNT SUMMARY"/>
    <s v="20120326"/>
    <x v="6"/>
    <d v="2011-12-31T00:00:00"/>
    <n v="-5407.92"/>
  </r>
  <r>
    <s v="9500000060"/>
    <s v="YZ"/>
    <s v="201112"/>
    <x v="0"/>
    <s v="18147 TEC CONVERSION ACCOUNT SUMMARY"/>
    <s v="20120326"/>
    <x v="7"/>
    <d v="2011-12-31T00:00:00"/>
    <n v="-4422.05"/>
  </r>
  <r>
    <s v="9500000060"/>
    <s v="YZ"/>
    <s v="201112"/>
    <x v="0"/>
    <s v="18148 TEC CONVERSION ACCOUNT SUMMARY"/>
    <s v="20120326"/>
    <x v="8"/>
    <d v="2011-12-31T00:00:00"/>
    <n v="-3340.78"/>
  </r>
  <r>
    <s v="9500000060"/>
    <s v="YZ"/>
    <s v="201112"/>
    <x v="0"/>
    <s v="18149 TEC CONVERSION ACCOUNT SUMMARY"/>
    <s v="20120326"/>
    <x v="9"/>
    <d v="2011-12-31T00:00:00"/>
    <n v="-71344.75"/>
  </r>
  <r>
    <s v="9500000060"/>
    <s v="YZ"/>
    <s v="201112"/>
    <x v="0"/>
    <s v="18151 TEC CONVERSION ACCOUNT SUMMARY"/>
    <s v="20120326"/>
    <x v="10"/>
    <d v="2011-12-31T00:00:00"/>
    <n v="-12467.89"/>
  </r>
  <r>
    <s v="9500000060"/>
    <s v="YZ"/>
    <s v="201112"/>
    <x v="0"/>
    <s v="18154 TEC CONVERSION ACCOUNT SUMMARY"/>
    <s v="20120326"/>
    <x v="12"/>
    <d v="2011-12-31T00:00:00"/>
    <n v="-11329.25"/>
  </r>
  <r>
    <s v="9500000060"/>
    <s v="YZ"/>
    <s v="201112"/>
    <x v="0"/>
    <s v="18155 TEC CONVERSION ACCOUNT SUMMARY"/>
    <s v="20120326"/>
    <x v="13"/>
    <d v="2011-12-31T00:00:00"/>
    <n v="-10138.58"/>
  </r>
  <r>
    <s v="9500000060"/>
    <s v="YZ"/>
    <s v="201112"/>
    <x v="0"/>
    <s v="18156 TEC CONVERSION ACCOUNT SUMMARY"/>
    <s v="20120326"/>
    <x v="14"/>
    <d v="2011-12-31T00:00:00"/>
    <n v="-2414.83"/>
  </r>
  <r>
    <s v="9500000060"/>
    <s v="YZ"/>
    <s v="201112"/>
    <x v="0"/>
    <s v="18157 TEC CONVERSION ACCOUNT SUMMARY"/>
    <s v="20120326"/>
    <x v="15"/>
    <d v="2011-12-31T00:00:00"/>
    <n v="-14003.55"/>
  </r>
  <r>
    <s v="9500000060"/>
    <s v="YZ"/>
    <s v="201112"/>
    <x v="0"/>
    <s v="18160 TEC CONVERSION ACCOUNT SUMMARY"/>
    <s v="20120326"/>
    <x v="16"/>
    <d v="2011-12-31T00:00:00"/>
    <n v="-80541.22"/>
  </r>
  <r>
    <s v="9500000101"/>
    <s v="YZ"/>
    <s v="201201"/>
    <x v="0"/>
    <s v="18108 TEC CONVERSION ACCOUNT SUMMARY"/>
    <s v="20120326"/>
    <x v="2"/>
    <d v="2012-01-31T00:00:00"/>
    <n v="-6531.18"/>
  </r>
  <r>
    <s v="9500000101"/>
    <s v="YZ"/>
    <s v="201201"/>
    <x v="0"/>
    <s v="18128 TEC CONVERSION ACCOUNT SUMMARY"/>
    <s v="20120326"/>
    <x v="3"/>
    <d v="2012-01-31T00:00:00"/>
    <n v="-11502.62"/>
  </r>
  <r>
    <s v="9500000101"/>
    <s v="YZ"/>
    <s v="201201"/>
    <x v="0"/>
    <s v="18144 TEC CONVERSION ACCOUNT SUMMARY"/>
    <s v="20120326"/>
    <x v="4"/>
    <d v="2012-01-31T00:00:00"/>
    <n v="-3059.89"/>
  </r>
  <r>
    <s v="9500000101"/>
    <s v="YZ"/>
    <s v="201201"/>
    <x v="0"/>
    <s v="18145 TEC CONVERSION ACCOUNT SUMMARY"/>
    <s v="20120326"/>
    <x v="5"/>
    <d v="2012-01-31T00:00:00"/>
    <n v="-19390.73"/>
  </r>
  <r>
    <s v="9500000101"/>
    <s v="YZ"/>
    <s v="201201"/>
    <x v="0"/>
    <s v="18146 TEC CONVERSION ACCOUNT SUMMARY"/>
    <s v="20120326"/>
    <x v="6"/>
    <d v="2012-01-31T00:00:00"/>
    <n v="-5407.92"/>
  </r>
  <r>
    <s v="9500000101"/>
    <s v="YZ"/>
    <s v="201201"/>
    <x v="0"/>
    <s v="18147 TEC CONVERSION ACCOUNT SUMMARY"/>
    <s v="20120326"/>
    <x v="7"/>
    <d v="2012-01-31T00:00:00"/>
    <n v="-4422.05"/>
  </r>
  <r>
    <s v="9500000101"/>
    <s v="YZ"/>
    <s v="201201"/>
    <x v="0"/>
    <s v="18148 TEC CONVERSION ACCOUNT SUMMARY"/>
    <s v="20120326"/>
    <x v="8"/>
    <d v="2012-01-31T00:00:00"/>
    <n v="-3340.78"/>
  </r>
  <r>
    <s v="9500000101"/>
    <s v="YZ"/>
    <s v="201201"/>
    <x v="0"/>
    <s v="18149 TEC CONVERSION ACCOUNT SUMMARY"/>
    <s v="20120326"/>
    <x v="9"/>
    <d v="2012-01-31T00:00:00"/>
    <n v="-71344.75"/>
  </r>
  <r>
    <s v="9500000101"/>
    <s v="YZ"/>
    <s v="201201"/>
    <x v="0"/>
    <s v="18151 TEC CONVERSION ACCOUNT SUMMARY"/>
    <s v="20120326"/>
    <x v="10"/>
    <d v="2012-01-31T00:00:00"/>
    <n v="-12467.89"/>
  </r>
  <r>
    <s v="9500000101"/>
    <s v="YZ"/>
    <s v="201201"/>
    <x v="0"/>
    <s v="18154 TEC CONVERSION ACCOUNT SUMMARY"/>
    <s v="20120326"/>
    <x v="12"/>
    <d v="2012-01-31T00:00:00"/>
    <n v="-11329.25"/>
  </r>
  <r>
    <s v="9500000101"/>
    <s v="YZ"/>
    <s v="201201"/>
    <x v="0"/>
    <s v="18155 TEC CONVERSION ACCOUNT SUMMARY"/>
    <s v="20120326"/>
    <x v="13"/>
    <d v="2012-01-31T00:00:00"/>
    <n v="-10138.58"/>
  </r>
  <r>
    <s v="9500000101"/>
    <s v="YZ"/>
    <s v="201201"/>
    <x v="0"/>
    <s v="18156 TEC CONVERSION ACCOUNT SUMMARY"/>
    <s v="20120326"/>
    <x v="14"/>
    <d v="2012-01-31T00:00:00"/>
    <n v="-2414.83"/>
  </r>
  <r>
    <s v="9500000101"/>
    <s v="YZ"/>
    <s v="201201"/>
    <x v="0"/>
    <s v="18157 TEC CONVERSION ACCOUNT SUMMARY"/>
    <s v="20120326"/>
    <x v="15"/>
    <d v="2012-01-31T00:00:00"/>
    <n v="-14003.55"/>
  </r>
  <r>
    <s v="9500000101"/>
    <s v="YZ"/>
    <s v="201201"/>
    <x v="0"/>
    <s v="18160 TEC CONVERSION ACCOUNT SUMMARY"/>
    <s v="20120326"/>
    <x v="16"/>
    <d v="2012-01-31T00:00:00"/>
    <n v="-80541.23"/>
  </r>
  <r>
    <s v="9500000105"/>
    <s v="YZ"/>
    <s v="201202"/>
    <x v="0"/>
    <s v="18108 TEC CONVERSION ACCOUNT SUMMARY"/>
    <s v="20120402"/>
    <x v="2"/>
    <d v="2012-02-29T00:00:00"/>
    <n v="-6531.18"/>
  </r>
  <r>
    <s v="9500000105"/>
    <s v="YZ"/>
    <s v="201202"/>
    <x v="0"/>
    <s v="18128 TEC CONVERSION ACCOUNT SUMMARY"/>
    <s v="20120402"/>
    <x v="3"/>
    <d v="2012-02-29T00:00:00"/>
    <n v="-11502.62"/>
  </r>
  <r>
    <s v="9500000105"/>
    <s v="YZ"/>
    <s v="201202"/>
    <x v="0"/>
    <s v="18144 TEC CONVERSION ACCOUNT SUMMARY"/>
    <s v="20120402"/>
    <x v="4"/>
    <d v="2012-02-29T00:00:00"/>
    <n v="-3059.89"/>
  </r>
  <r>
    <s v="9500000105"/>
    <s v="YZ"/>
    <s v="201202"/>
    <x v="0"/>
    <s v="18145 TEC CONVERSION ACCOUNT SUMMARY"/>
    <s v="20120402"/>
    <x v="5"/>
    <d v="2012-02-29T00:00:00"/>
    <n v="-19390.73"/>
  </r>
  <r>
    <s v="9500000105"/>
    <s v="YZ"/>
    <s v="201202"/>
    <x v="0"/>
    <s v="18146 TEC CONVERSION ACCOUNT SUMMARY"/>
    <s v="20120402"/>
    <x v="6"/>
    <d v="2012-02-29T00:00:00"/>
    <n v="-5407.92"/>
  </r>
  <r>
    <s v="9500000105"/>
    <s v="YZ"/>
    <s v="201202"/>
    <x v="0"/>
    <s v="18147 TEC CONVERSION ACCOUNT SUMMARY"/>
    <s v="20120402"/>
    <x v="7"/>
    <d v="2012-02-29T00:00:00"/>
    <n v="-4422.05"/>
  </r>
  <r>
    <s v="9500000105"/>
    <s v="YZ"/>
    <s v="201202"/>
    <x v="0"/>
    <s v="18148 TEC CONVERSION ACCOUNT SUMMARY"/>
    <s v="20120402"/>
    <x v="8"/>
    <d v="2012-02-29T00:00:00"/>
    <n v="-3340.78"/>
  </r>
  <r>
    <s v="9500000105"/>
    <s v="YZ"/>
    <s v="201202"/>
    <x v="0"/>
    <s v="18149 TEC CONVERSION ACCOUNT SUMMARY"/>
    <s v="20120402"/>
    <x v="9"/>
    <d v="2012-02-29T00:00:00"/>
    <n v="-71344.75"/>
  </r>
  <r>
    <s v="9500000105"/>
    <s v="YZ"/>
    <s v="201202"/>
    <x v="0"/>
    <s v="18151 TEC CONVERSION ACCOUNT SUMMARY"/>
    <s v="20120402"/>
    <x v="10"/>
    <d v="2012-02-29T00:00:00"/>
    <n v="-12467.89"/>
  </r>
  <r>
    <s v="9500000105"/>
    <s v="YZ"/>
    <s v="201202"/>
    <x v="0"/>
    <s v="18154 TEC CONVERSION ACCOUNT SUMMARY"/>
    <s v="20120402"/>
    <x v="12"/>
    <d v="2012-02-29T00:00:00"/>
    <n v="-11329.25"/>
  </r>
  <r>
    <s v="9500000105"/>
    <s v="YZ"/>
    <s v="201202"/>
    <x v="0"/>
    <s v="18155 TEC CONVERSION ACCOUNT SUMMARY"/>
    <s v="20120402"/>
    <x v="13"/>
    <d v="2012-02-29T00:00:00"/>
    <n v="-10138.58"/>
  </r>
  <r>
    <s v="9500000105"/>
    <s v="YZ"/>
    <s v="201202"/>
    <x v="0"/>
    <s v="18156 TEC CONVERSION ACCOUNT SUMMARY"/>
    <s v="20120402"/>
    <x v="14"/>
    <d v="2012-02-29T00:00:00"/>
    <n v="-2414.83"/>
  </r>
  <r>
    <s v="9500000105"/>
    <s v="YZ"/>
    <s v="201202"/>
    <x v="0"/>
    <s v="18157 TEC CONVERSION ACCOUNT SUMMARY"/>
    <s v="20120402"/>
    <x v="15"/>
    <d v="2012-02-29T00:00:00"/>
    <n v="-14003.55"/>
  </r>
  <r>
    <s v="9500000105"/>
    <s v="YZ"/>
    <s v="201202"/>
    <x v="0"/>
    <s v="18160 TEC CONVERSION ACCOUNT SUMMARY"/>
    <s v="20120402"/>
    <x v="16"/>
    <d v="2012-02-29T00:00:00"/>
    <n v="-80541.22"/>
  </r>
  <r>
    <s v="9500000109"/>
    <s v="YZ"/>
    <s v="201203"/>
    <x v="0"/>
    <s v="18108 TEC CONVERSION ACCOUNT SUMMARY"/>
    <s v="20120424"/>
    <x v="2"/>
    <d v="2012-03-31T00:00:00"/>
    <n v="-6531.18"/>
  </r>
  <r>
    <s v="9500000109"/>
    <s v="YZ"/>
    <s v="201203"/>
    <x v="0"/>
    <s v="18147 TEC CONVERSION ACCOUNT SUMMARY"/>
    <s v="20120424"/>
    <x v="7"/>
    <d v="2012-03-31T00:00:00"/>
    <n v="-4422.05"/>
  </r>
  <r>
    <s v="9500000109"/>
    <s v="YZ"/>
    <s v="201203"/>
    <x v="0"/>
    <s v="18151 TEC CONVERSION ACCOUNT SUMMARY"/>
    <s v="20120424"/>
    <x v="10"/>
    <d v="2012-03-31T00:00:00"/>
    <n v="-12467.89"/>
  </r>
  <r>
    <s v="9500000109"/>
    <s v="YZ"/>
    <s v="201203"/>
    <x v="0"/>
    <s v="18153 TEC CONVERSION ACCOUNT SUMMARY"/>
    <s v="20120424"/>
    <x v="11"/>
    <d v="2012-03-31T00:00:00"/>
    <n v="532"/>
  </r>
  <r>
    <s v="9500000109"/>
    <s v="YZ"/>
    <s v="201203"/>
    <x v="0"/>
    <s v="18154 TEC CONVERSION ACCOUNT SUMMARY"/>
    <s v="20120424"/>
    <x v="12"/>
    <d v="2012-03-31T00:00:00"/>
    <n v="-11329.25"/>
  </r>
  <r>
    <s v="9500000109"/>
    <s v="YZ"/>
    <s v="201203"/>
    <x v="0"/>
    <s v="18155 TEC CONVERSION ACCOUNT SUMMARY"/>
    <s v="20120424"/>
    <x v="13"/>
    <d v="2012-03-31T00:00:00"/>
    <n v="-10138.58"/>
  </r>
  <r>
    <s v="9500000109"/>
    <s v="YZ"/>
    <s v="201203"/>
    <x v="0"/>
    <s v="18156 TEC CONVERSION ACCOUNT SUMMARY"/>
    <s v="20120424"/>
    <x v="14"/>
    <d v="2012-03-31T00:00:00"/>
    <n v="-2414.83"/>
  </r>
  <r>
    <s v="9500000109"/>
    <s v="YZ"/>
    <s v="201203"/>
    <x v="0"/>
    <s v="18160 TEC CONVERSION ACCOUNT SUMMARY"/>
    <s v="20120424"/>
    <x v="16"/>
    <d v="2012-03-31T00:00:00"/>
    <n v="-80541.22"/>
  </r>
  <r>
    <s v="9500000109"/>
    <s v="YZ"/>
    <s v="201203"/>
    <x v="0"/>
    <s v="18128 TEC CONVERSION ACCOUNT SUMMARY"/>
    <s v="20120424"/>
    <x v="3"/>
    <d v="2012-03-31T00:00:00"/>
    <n v="-11502.62"/>
  </r>
  <r>
    <s v="9500000109"/>
    <s v="YZ"/>
    <s v="201203"/>
    <x v="0"/>
    <s v="18144 TEC CONVERSION ACCOUNT SUMMARY"/>
    <s v="20120424"/>
    <x v="4"/>
    <d v="2012-03-31T00:00:00"/>
    <n v="-3059.89"/>
  </r>
  <r>
    <s v="9500000109"/>
    <s v="YZ"/>
    <s v="201203"/>
    <x v="0"/>
    <s v="18145 TEC CONVERSION ACCOUNT SUMMARY"/>
    <s v="20120424"/>
    <x v="5"/>
    <d v="2012-03-31T00:00:00"/>
    <n v="-13724.16"/>
  </r>
  <r>
    <s v="9500000109"/>
    <s v="YZ"/>
    <s v="201203"/>
    <x v="0"/>
    <s v="18146 TEC CONVERSION ACCOUNT SUMMARY"/>
    <s v="20120424"/>
    <x v="6"/>
    <d v="2012-03-31T00:00:00"/>
    <n v="-5407.92"/>
  </r>
  <r>
    <s v="9500000109"/>
    <s v="YZ"/>
    <s v="201203"/>
    <x v="0"/>
    <s v="18148 TEC CONVERSION ACCOUNT SUMMARY"/>
    <s v="20120424"/>
    <x v="8"/>
    <d v="2012-03-31T00:00:00"/>
    <n v="-3340.78"/>
  </r>
  <r>
    <s v="9500000109"/>
    <s v="YZ"/>
    <s v="201203"/>
    <x v="0"/>
    <s v="18149 TEC CONVERSION ACCOUNT SUMMARY"/>
    <s v="20120424"/>
    <x v="9"/>
    <d v="2012-03-31T00:00:00"/>
    <n v="-71344.75"/>
  </r>
  <r>
    <s v="9500000109"/>
    <s v="YZ"/>
    <s v="201203"/>
    <x v="0"/>
    <s v="18157 TEC CONVERSION ACCOUNT SUMMARY"/>
    <s v="20120424"/>
    <x v="15"/>
    <d v="2012-03-31T00:00:00"/>
    <n v="-14003.55"/>
  </r>
  <r>
    <s v="9500000114"/>
    <s v="YZ"/>
    <s v="201204"/>
    <x v="0"/>
    <s v="18108 TEC CONVERSION ACCOUNT SUMMARY"/>
    <s v="20120516"/>
    <x v="2"/>
    <d v="2012-04-30T00:00:00"/>
    <n v="-6531.18"/>
  </r>
  <r>
    <s v="9500000114"/>
    <s v="YZ"/>
    <s v="201204"/>
    <x v="0"/>
    <s v="18128 TEC CONVERSION ACCOUNT SUMMARY"/>
    <s v="20120516"/>
    <x v="3"/>
    <d v="2012-04-30T00:00:00"/>
    <n v="-11502.62"/>
  </r>
  <r>
    <s v="9500000114"/>
    <s v="YZ"/>
    <s v="201204"/>
    <x v="0"/>
    <s v="18147 TEC CONVERSION ACCOUNT SUMMARY"/>
    <s v="20120516"/>
    <x v="7"/>
    <d v="2012-04-30T00:00:00"/>
    <n v="-4422.05"/>
  </r>
  <r>
    <s v="9500000114"/>
    <s v="YZ"/>
    <s v="201204"/>
    <x v="0"/>
    <s v="18149 TEC CONVERSION ACCOUNT SUMMARY"/>
    <s v="20120516"/>
    <x v="9"/>
    <d v="2012-04-30T00:00:00"/>
    <n v="-71344.75"/>
  </r>
  <r>
    <s v="9500000114"/>
    <s v="YZ"/>
    <s v="201204"/>
    <x v="0"/>
    <s v="18151 TEC CONVERSION ACCOUNT SUMMARY"/>
    <s v="20120516"/>
    <x v="10"/>
    <d v="2012-04-30T00:00:00"/>
    <n v="-12467.89"/>
  </r>
  <r>
    <s v="9500000114"/>
    <s v="YZ"/>
    <s v="201204"/>
    <x v="0"/>
    <s v="18154 TEC CONVERSION ACCOUNT SUMMARY"/>
    <s v="20120516"/>
    <x v="12"/>
    <d v="2012-04-30T00:00:00"/>
    <n v="-11329.25"/>
  </r>
  <r>
    <s v="9500000114"/>
    <s v="YZ"/>
    <s v="201204"/>
    <x v="0"/>
    <s v="18155 TEC CONVERSION ACCOUNT SUMMARY"/>
    <s v="20120516"/>
    <x v="13"/>
    <d v="2012-04-30T00:00:00"/>
    <n v="-10138.58"/>
  </r>
  <r>
    <s v="9500000114"/>
    <s v="YZ"/>
    <s v="201204"/>
    <x v="0"/>
    <s v="18156 TEC CONVERSION ACCOUNT SUMMARY"/>
    <s v="20120516"/>
    <x v="14"/>
    <d v="2012-04-30T00:00:00"/>
    <n v="-2414.83"/>
  </r>
  <r>
    <s v="9500000114"/>
    <s v="YZ"/>
    <s v="201204"/>
    <x v="0"/>
    <s v="18157 TEC CONVERSION ACCOUNT SUMMARY"/>
    <s v="20120516"/>
    <x v="15"/>
    <d v="2012-04-30T00:00:00"/>
    <n v="-14003.55"/>
  </r>
  <r>
    <s v="9500000114"/>
    <s v="YZ"/>
    <s v="201204"/>
    <x v="0"/>
    <s v="18160 TEC CONVERSION ACCOUNT SUMMARY"/>
    <s v="20120516"/>
    <x v="16"/>
    <d v="2012-04-30T00:00:00"/>
    <n v="-80541.22"/>
  </r>
  <r>
    <s v="9500000114"/>
    <s v="YZ"/>
    <s v="201204"/>
    <x v="0"/>
    <s v="18144 TEC CONVERSION ACCOUNT SUMMARY"/>
    <s v="20120516"/>
    <x v="4"/>
    <d v="2012-04-30T00:00:00"/>
    <n v="-3059.89"/>
  </r>
  <r>
    <s v="9500000114"/>
    <s v="YZ"/>
    <s v="201204"/>
    <x v="0"/>
    <s v="18145 TEC CONVERSION ACCOUNT SUMMARY"/>
    <s v="20120516"/>
    <x v="5"/>
    <d v="2012-04-30T00:00:00"/>
    <n v="-8058.13"/>
  </r>
  <r>
    <s v="9500000114"/>
    <s v="YZ"/>
    <s v="201204"/>
    <x v="0"/>
    <s v="18146 TEC CONVERSION ACCOUNT SUMMARY"/>
    <s v="20120516"/>
    <x v="6"/>
    <d v="2012-04-30T00:00:00"/>
    <n v="-5407.92"/>
  </r>
  <r>
    <s v="9500000114"/>
    <s v="YZ"/>
    <s v="201204"/>
    <x v="0"/>
    <s v="18148 TEC CONVERSION ACCOUNT SUMMARY"/>
    <s v="20120516"/>
    <x v="8"/>
    <d v="2012-04-30T00:00:00"/>
    <n v="-3340.78"/>
  </r>
  <r>
    <s v="9500000131"/>
    <s v="YZ"/>
    <s v="201205"/>
    <x v="0"/>
    <s v="18108 TEC CONVERSION ACCOUNT SUMMARY"/>
    <s v="20120614"/>
    <x v="2"/>
    <d v="2012-05-31T00:00:00"/>
    <n v="-6531.18"/>
  </r>
  <r>
    <s v="9500000131"/>
    <s v="YZ"/>
    <s v="201205"/>
    <x v="0"/>
    <s v="18128 TEC CONVERSION ACCOUNT SUMMARY"/>
    <s v="20120614"/>
    <x v="3"/>
    <d v="2012-05-31T00:00:00"/>
    <n v="-11502.62"/>
  </r>
  <r>
    <s v="9500000131"/>
    <s v="YZ"/>
    <s v="201205"/>
    <x v="0"/>
    <s v="18144 TEC CONVERSION ACCOUNT SUMMARY"/>
    <s v="20120614"/>
    <x v="4"/>
    <d v="2012-05-31T00:00:00"/>
    <n v="-3059.89"/>
  </r>
  <r>
    <s v="9500000131"/>
    <s v="YZ"/>
    <s v="201205"/>
    <x v="0"/>
    <s v="18145 TEC CONVERSION ACCOUNT SUMMARY"/>
    <s v="20120614"/>
    <x v="5"/>
    <d v="2012-05-31T00:00:00"/>
    <n v="-8058.13"/>
  </r>
  <r>
    <s v="9500000131"/>
    <s v="YZ"/>
    <s v="201205"/>
    <x v="0"/>
    <s v="18146 TEC CONVERSION ACCOUNT SUMMARY"/>
    <s v="20120614"/>
    <x v="6"/>
    <d v="2012-05-31T00:00:00"/>
    <n v="-5407.92"/>
  </r>
  <r>
    <s v="9500000131"/>
    <s v="YZ"/>
    <s v="201205"/>
    <x v="0"/>
    <s v="18147 TEC CONVERSION ACCOUNT SUMMARY"/>
    <s v="20120614"/>
    <x v="7"/>
    <d v="2012-05-31T00:00:00"/>
    <n v="-4422.05"/>
  </r>
  <r>
    <s v="9500000131"/>
    <s v="YZ"/>
    <s v="201205"/>
    <x v="0"/>
    <s v="18148 TEC CONVERSION ACCOUNT SUMMARY"/>
    <s v="20120614"/>
    <x v="8"/>
    <d v="2012-05-31T00:00:00"/>
    <n v="-3340.78"/>
  </r>
  <r>
    <s v="9500000131"/>
    <s v="YZ"/>
    <s v="201205"/>
    <x v="0"/>
    <s v="18149 TEC CONVERSION ACCOUNT SUMMARY"/>
    <s v="20120614"/>
    <x v="9"/>
    <d v="2012-05-31T00:00:00"/>
    <n v="-71344.75"/>
  </r>
  <r>
    <s v="9500000131"/>
    <s v="YZ"/>
    <s v="201205"/>
    <x v="0"/>
    <s v="18151 TEC CONVERSION ACCOUNT SUMMARY"/>
    <s v="20120614"/>
    <x v="10"/>
    <d v="2012-05-31T00:00:00"/>
    <n v="-12467.89"/>
  </r>
  <r>
    <s v="9500000131"/>
    <s v="YZ"/>
    <s v="201205"/>
    <x v="0"/>
    <s v="18153 TEC CONVERSION ACCOUNT SUMMARY"/>
    <s v="20120614"/>
    <x v="11"/>
    <d v="2012-05-31T00:00:00"/>
    <n v="34513"/>
  </r>
  <r>
    <s v="9500000131"/>
    <s v="YZ"/>
    <s v="201205"/>
    <x v="0"/>
    <s v="18154 TEC CONVERSION ACCOUNT SUMMARY"/>
    <s v="20120614"/>
    <x v="12"/>
    <d v="2012-05-31T00:00:00"/>
    <n v="-11329.25"/>
  </r>
  <r>
    <s v="9500000131"/>
    <s v="YZ"/>
    <s v="201205"/>
    <x v="0"/>
    <s v="18155 TEC CONVERSION ACCOUNT SUMMARY"/>
    <s v="20120614"/>
    <x v="13"/>
    <d v="2012-05-31T00:00:00"/>
    <n v="-10138.58"/>
  </r>
  <r>
    <s v="9500000131"/>
    <s v="YZ"/>
    <s v="201205"/>
    <x v="0"/>
    <s v="18156 TEC CONVERSION ACCOUNT SUMMARY"/>
    <s v="20120614"/>
    <x v="14"/>
    <d v="2012-05-31T00:00:00"/>
    <n v="-2414.83"/>
  </r>
  <r>
    <s v="9500000131"/>
    <s v="YZ"/>
    <s v="201205"/>
    <x v="0"/>
    <s v="18157 TEC CONVERSION ACCOUNT SUMMARY"/>
    <s v="20120614"/>
    <x v="15"/>
    <d v="2012-05-31T00:00:00"/>
    <n v="-14003.55"/>
  </r>
  <r>
    <s v="9500000131"/>
    <s v="YZ"/>
    <s v="201205"/>
    <x v="0"/>
    <s v="18160 TEC CONVERSION ACCOUNT SUMMARY"/>
    <s v="20120614"/>
    <x v="16"/>
    <d v="2012-05-31T00:00:00"/>
    <n v="-80541.22"/>
  </r>
  <r>
    <s v="9100000225"/>
    <s v="YP"/>
    <s v="111-1518425"/>
    <x v="0"/>
    <s v=""/>
    <s v="20120618"/>
    <x v="17"/>
    <d v="2012-08-27T00:00:00"/>
    <n v="4750"/>
  </r>
  <r>
    <s v="1900001707"/>
    <s v="KR"/>
    <s v="1236107000"/>
    <x v="0"/>
    <s v=""/>
    <s v="20120625"/>
    <x v="17"/>
    <d v="2012-07-26T00:00:00"/>
    <n v="9075"/>
  </r>
  <r>
    <s v="1900003525"/>
    <s v="KR"/>
    <s v="1828877"/>
    <x v="0"/>
    <s v=""/>
    <s v="20120629"/>
    <x v="18"/>
    <d v="2012-08-17T00:00:00"/>
    <n v="532"/>
  </r>
  <r>
    <s v="9100000178"/>
    <s v="YP"/>
    <s v="1828876"/>
    <x v="0"/>
    <s v=""/>
    <s v="20120629"/>
    <x v="17"/>
    <d v="2012-08-14T00:00:00"/>
    <n v="38686.769999999997"/>
  </r>
  <r>
    <s v="1900004036"/>
    <s v="KR"/>
    <s v="1111521311"/>
    <x v="0"/>
    <s v=""/>
    <s v="20120718"/>
    <x v="12"/>
    <d v="2012-08-24T00:00:00"/>
    <n v="5170.1099999999997"/>
  </r>
  <r>
    <s v="1900004036"/>
    <s v="KR"/>
    <s v="1111521311"/>
    <x v="0"/>
    <s v=""/>
    <s v="20120718"/>
    <x v="13"/>
    <d v="2012-08-24T00:00:00"/>
    <n v="4922.1000000000004"/>
  </r>
  <r>
    <s v="1900004036"/>
    <s v="KR"/>
    <s v="1111521311"/>
    <x v="0"/>
    <s v=""/>
    <s v="20120718"/>
    <x v="18"/>
    <d v="2012-08-24T00:00:00"/>
    <n v="1907.79"/>
  </r>
  <r>
    <s v="9500000139"/>
    <s v="YZ"/>
    <s v="201206"/>
    <x v="0"/>
    <s v="18108 TEC CONVERSION ACCOUNT SUMMARY"/>
    <s v="20120722"/>
    <x v="2"/>
    <d v="2012-06-30T00:00:00"/>
    <n v="-6531.18"/>
  </r>
  <r>
    <s v="9500000139"/>
    <s v="YZ"/>
    <s v="201206"/>
    <x v="0"/>
    <s v="18128 TEC CONVERSION ACCOUNT SUMMARY"/>
    <s v="20120722"/>
    <x v="3"/>
    <d v="2012-06-30T00:00:00"/>
    <n v="-11502.62"/>
  </r>
  <r>
    <s v="9500000139"/>
    <s v="YZ"/>
    <s v="201206"/>
    <x v="0"/>
    <s v="18144 TEC CONVERSION ACCOUNT SUMMARY"/>
    <s v="20120722"/>
    <x v="4"/>
    <d v="2012-06-30T00:00:00"/>
    <n v="-3059.89"/>
  </r>
  <r>
    <s v="9500000139"/>
    <s v="YZ"/>
    <s v="201206"/>
    <x v="0"/>
    <s v="18145 TEC CONVERSION ACCOUNT SUMMARY"/>
    <s v="20120722"/>
    <x v="5"/>
    <d v="2012-06-30T00:00:00"/>
    <n v="-8058.13"/>
  </r>
  <r>
    <s v="9500000139"/>
    <s v="YZ"/>
    <s v="201206"/>
    <x v="0"/>
    <s v="18146 TEC CONVERSION ACCOUNT SUMMARY"/>
    <s v="20120722"/>
    <x v="6"/>
    <d v="2012-06-30T00:00:00"/>
    <n v="-4326.07"/>
  </r>
  <r>
    <s v="9500000139"/>
    <s v="YZ"/>
    <s v="201206"/>
    <x v="0"/>
    <s v="18147 TEC CONVERSION ACCOUNT SUMMARY"/>
    <s v="20120722"/>
    <x v="7"/>
    <d v="2012-06-30T00:00:00"/>
    <n v="-4422.05"/>
  </r>
  <r>
    <s v="9500000139"/>
    <s v="YZ"/>
    <s v="201206"/>
    <x v="0"/>
    <s v="18148 TEC CONVERSION ACCOUNT SUMMARY"/>
    <s v="20120722"/>
    <x v="8"/>
    <d v="2012-06-30T00:00:00"/>
    <n v="-3340.78"/>
  </r>
  <r>
    <s v="9500000139"/>
    <s v="YZ"/>
    <s v="201206"/>
    <x v="0"/>
    <s v="18149 TEC CONVERSION ACCOUNT SUMMARY"/>
    <s v="20120722"/>
    <x v="9"/>
    <d v="2012-06-30T00:00:00"/>
    <n v="-71344.75"/>
  </r>
  <r>
    <s v="9500000139"/>
    <s v="YZ"/>
    <s v="201206"/>
    <x v="0"/>
    <s v="18150 TEC CONVERSION ACCOUNT SUMMARY"/>
    <s v="20120722"/>
    <x v="17"/>
    <d v="2012-06-30T00:00:00"/>
    <n v="2400463.4700000002"/>
  </r>
  <r>
    <s v="9500000139"/>
    <s v="YZ"/>
    <s v="201206"/>
    <x v="0"/>
    <s v="18151 TEC CONVERSION ACCOUNT SUMMARY"/>
    <s v="20120722"/>
    <x v="10"/>
    <d v="2012-06-30T00:00:00"/>
    <n v="-12467.89"/>
  </r>
  <r>
    <s v="9500000139"/>
    <s v="YZ"/>
    <s v="201206"/>
    <x v="0"/>
    <s v="18153 TEC CONVERSION ACCOUNT SUMMARY"/>
    <s v="20120722"/>
    <x v="11"/>
    <d v="2012-06-30T00:00:00"/>
    <n v="-35045"/>
  </r>
  <r>
    <s v="9500000139"/>
    <s v="YZ"/>
    <s v="201206"/>
    <x v="0"/>
    <s v="18154 TEC CONVERSION ACCOUNT SUMMARY"/>
    <s v="20120722"/>
    <x v="12"/>
    <d v="2012-06-30T00:00:00"/>
    <n v="-11329.25"/>
  </r>
  <r>
    <s v="9500000139"/>
    <s v="YZ"/>
    <s v="201206"/>
    <x v="0"/>
    <s v="18155 TEC CONVERSION ACCOUNT SUMMARY"/>
    <s v="20120722"/>
    <x v="13"/>
    <d v="2012-06-30T00:00:00"/>
    <n v="-10138.58"/>
  </r>
  <r>
    <s v="9500000139"/>
    <s v="YZ"/>
    <s v="201206"/>
    <x v="0"/>
    <s v="18156 TEC CONVERSION ACCOUNT SUMMARY"/>
    <s v="20120722"/>
    <x v="14"/>
    <d v="2012-06-30T00:00:00"/>
    <n v="-2414.83"/>
  </r>
  <r>
    <s v="9500000139"/>
    <s v="YZ"/>
    <s v="201206"/>
    <x v="0"/>
    <s v="18157 TEC CONVERSION ACCOUNT SUMMARY"/>
    <s v="20120722"/>
    <x v="15"/>
    <d v="2012-06-30T00:00:00"/>
    <n v="-14003.55"/>
  </r>
  <r>
    <s v="9500000139"/>
    <s v="YZ"/>
    <s v="201206"/>
    <x v="0"/>
    <s v="18160 TEC CONVERSION ACCOUNT SUMMARY"/>
    <s v="20120722"/>
    <x v="16"/>
    <d v="2012-06-30T00:00:00"/>
    <n v="-60304.98"/>
  </r>
  <r>
    <s v="9500000147"/>
    <s v="YZ"/>
    <s v="201206"/>
    <x v="0"/>
    <s v="18108 TEC CONVERSION ACCOUNT SUMMARY"/>
    <s v="20120722"/>
    <x v="2"/>
    <d v="2012-06-30T00:00:00"/>
    <n v="6531.18"/>
  </r>
  <r>
    <s v="9500000147"/>
    <s v="YZ"/>
    <s v="201206"/>
    <x v="0"/>
    <s v="18128 TEC CONVERSION ACCOUNT SUMMARY"/>
    <s v="20120722"/>
    <x v="3"/>
    <d v="2012-06-30T00:00:00"/>
    <n v="11502.62"/>
  </r>
  <r>
    <s v="9500000147"/>
    <s v="YZ"/>
    <s v="201206"/>
    <x v="0"/>
    <s v="18144 TEC CONVERSION ACCOUNT SUMMARY"/>
    <s v="20120722"/>
    <x v="4"/>
    <d v="2012-06-30T00:00:00"/>
    <n v="3059.89"/>
  </r>
  <r>
    <s v="9500000147"/>
    <s v="YZ"/>
    <s v="201206"/>
    <x v="0"/>
    <s v="18145 TEC CONVERSION ACCOUNT SUMMARY"/>
    <s v="20120722"/>
    <x v="5"/>
    <d v="2012-06-30T00:00:00"/>
    <n v="8058.13"/>
  </r>
  <r>
    <s v="9500000147"/>
    <s v="YZ"/>
    <s v="201206"/>
    <x v="0"/>
    <s v="18146 TEC CONVERSION ACCOUNT SUMMARY"/>
    <s v="20120722"/>
    <x v="6"/>
    <d v="2012-06-30T00:00:00"/>
    <n v="4326.07"/>
  </r>
  <r>
    <s v="9500000147"/>
    <s v="YZ"/>
    <s v="201206"/>
    <x v="0"/>
    <s v="18147 TEC CONVERSION ACCOUNT SUMMARY"/>
    <s v="20120722"/>
    <x v="7"/>
    <d v="2012-06-30T00:00:00"/>
    <n v="4422.05"/>
  </r>
  <r>
    <s v="9500000147"/>
    <s v="YZ"/>
    <s v="201206"/>
    <x v="0"/>
    <s v="18148 TEC CONVERSION ACCOUNT SUMMARY"/>
    <s v="20120722"/>
    <x v="8"/>
    <d v="2012-06-30T00:00:00"/>
    <n v="3340.78"/>
  </r>
  <r>
    <s v="9500000147"/>
    <s v="YZ"/>
    <s v="201206"/>
    <x v="0"/>
    <s v="18149 TEC CONVERSION ACCOUNT SUMMARY"/>
    <s v="20120722"/>
    <x v="9"/>
    <d v="2012-06-30T00:00:00"/>
    <n v="71344.75"/>
  </r>
  <r>
    <s v="9500000147"/>
    <s v="YZ"/>
    <s v="201206"/>
    <x v="0"/>
    <s v="18150 TEC CONVERSION ACCOUNT SUMMARY"/>
    <s v="20120722"/>
    <x v="17"/>
    <d v="2012-06-30T00:00:00"/>
    <n v="-2400463.4700000002"/>
  </r>
  <r>
    <s v="9500000147"/>
    <s v="YZ"/>
    <s v="201206"/>
    <x v="0"/>
    <s v="18151 TEC CONVERSION ACCOUNT SUMMARY"/>
    <s v="20120722"/>
    <x v="10"/>
    <d v="2012-06-30T00:00:00"/>
    <n v="12467.89"/>
  </r>
  <r>
    <s v="9500000147"/>
    <s v="YZ"/>
    <s v="201206"/>
    <x v="0"/>
    <s v="18153 TEC CONVERSION ACCOUNT SUMMARY"/>
    <s v="20120722"/>
    <x v="11"/>
    <d v="2012-06-30T00:00:00"/>
    <n v="35045"/>
  </r>
  <r>
    <s v="9500000147"/>
    <s v="YZ"/>
    <s v="201206"/>
    <x v="0"/>
    <s v="18154 TEC CONVERSION ACCOUNT SUMMARY"/>
    <s v="20120722"/>
    <x v="12"/>
    <d v="2012-06-30T00:00:00"/>
    <n v="11329.25"/>
  </r>
  <r>
    <s v="9500000147"/>
    <s v="YZ"/>
    <s v="201206"/>
    <x v="0"/>
    <s v="18155 TEC CONVERSION ACCOUNT SUMMARY"/>
    <s v="20120722"/>
    <x v="13"/>
    <d v="2012-06-30T00:00:00"/>
    <n v="10138.58"/>
  </r>
  <r>
    <s v="9500000147"/>
    <s v="YZ"/>
    <s v="201206"/>
    <x v="0"/>
    <s v="18156 TEC CONVERSION ACCOUNT SUMMARY"/>
    <s v="20120722"/>
    <x v="14"/>
    <d v="2012-06-30T00:00:00"/>
    <n v="2414.83"/>
  </r>
  <r>
    <s v="9500000147"/>
    <s v="YZ"/>
    <s v="201206"/>
    <x v="0"/>
    <s v="18157 TEC CONVERSION ACCOUNT SUMMARY"/>
    <s v="20120722"/>
    <x v="15"/>
    <d v="2012-06-30T00:00:00"/>
    <n v="14003.55"/>
  </r>
  <r>
    <s v="9500000147"/>
    <s v="YZ"/>
    <s v="201206"/>
    <x v="0"/>
    <s v="18160 TEC CONVERSION ACCOUNT SUMMARY"/>
    <s v="20120722"/>
    <x v="16"/>
    <d v="2012-06-30T00:00:00"/>
    <n v="60304.98"/>
  </r>
  <r>
    <s v="9500000155"/>
    <s v="YZ"/>
    <s v="201206"/>
    <x v="0"/>
    <s v="18108 TEC CONVERSION ACCOUNT SUMMARY"/>
    <s v="20120722"/>
    <x v="2"/>
    <d v="2012-06-30T00:00:00"/>
    <n v="-6531.18"/>
  </r>
  <r>
    <s v="9500000155"/>
    <s v="YZ"/>
    <s v="201206"/>
    <x v="0"/>
    <s v="18147 TEC CONVERSION ACCOUNT SUMMARY"/>
    <s v="20120722"/>
    <x v="7"/>
    <d v="2012-06-30T00:00:00"/>
    <n v="-4422.05"/>
  </r>
  <r>
    <s v="9500000155"/>
    <s v="YZ"/>
    <s v="201206"/>
    <x v="0"/>
    <s v="18150 TEC CONVERSION ACCOUNT SUMMARY"/>
    <s v="20120722"/>
    <x v="17"/>
    <d v="2012-06-30T00:00:00"/>
    <n v="2400463.4700000002"/>
  </r>
  <r>
    <s v="9500000155"/>
    <s v="YZ"/>
    <s v="201206"/>
    <x v="0"/>
    <s v="18151 TEC CONVERSION ACCOUNT SUMMARY"/>
    <s v="20120722"/>
    <x v="10"/>
    <d v="2012-06-30T00:00:00"/>
    <n v="-12467.89"/>
  </r>
  <r>
    <s v="9500000155"/>
    <s v="YZ"/>
    <s v="201206"/>
    <x v="0"/>
    <s v="18154 TEC CONVERSION ACCOUNT SUMMARY"/>
    <s v="20120722"/>
    <x v="12"/>
    <d v="2012-06-30T00:00:00"/>
    <n v="-11329.25"/>
  </r>
  <r>
    <s v="9500000155"/>
    <s v="YZ"/>
    <s v="201206"/>
    <x v="0"/>
    <s v="18155 TEC CONVERSION ACCOUNT SUMMARY"/>
    <s v="20120722"/>
    <x v="13"/>
    <d v="2012-06-30T00:00:00"/>
    <n v="-10138.58"/>
  </r>
  <r>
    <s v="9500000155"/>
    <s v="YZ"/>
    <s v="201206"/>
    <x v="0"/>
    <s v="18156 TEC CONVERSION ACCOUNT SUMMARY"/>
    <s v="20120722"/>
    <x v="14"/>
    <d v="2012-06-30T00:00:00"/>
    <n v="-2414.83"/>
  </r>
  <r>
    <s v="9500000155"/>
    <s v="YZ"/>
    <s v="201206"/>
    <x v="0"/>
    <s v="18160 TEC CONVERSION ACCOUNT SUMMARY"/>
    <s v="20120722"/>
    <x v="16"/>
    <d v="2012-06-30T00:00:00"/>
    <n v="-60304.98"/>
  </r>
  <r>
    <s v="9500000155"/>
    <s v="YZ"/>
    <s v="201206"/>
    <x v="0"/>
    <s v="18128 TEC CONVERSION ACCOUNT SUMMARY"/>
    <s v="20120722"/>
    <x v="3"/>
    <d v="2012-06-30T00:00:00"/>
    <n v="-11502.62"/>
  </r>
  <r>
    <s v="9500000155"/>
    <s v="YZ"/>
    <s v="201206"/>
    <x v="0"/>
    <s v="18144 TEC CONVERSION ACCOUNT SUMMARY"/>
    <s v="20120722"/>
    <x v="4"/>
    <d v="2012-06-30T00:00:00"/>
    <n v="-3059.89"/>
  </r>
  <r>
    <s v="9500000155"/>
    <s v="YZ"/>
    <s v="201206"/>
    <x v="0"/>
    <s v="18145 TEC CONVERSION ACCOUNT SUMMARY"/>
    <s v="20120722"/>
    <x v="5"/>
    <d v="2012-06-30T00:00:00"/>
    <n v="-8058.13"/>
  </r>
  <r>
    <s v="9500000155"/>
    <s v="YZ"/>
    <s v="201206"/>
    <x v="0"/>
    <s v="18146 TEC CONVERSION ACCOUNT SUMMARY"/>
    <s v="20120722"/>
    <x v="6"/>
    <d v="2012-06-30T00:00:00"/>
    <n v="-4326.07"/>
  </r>
  <r>
    <s v="9500000155"/>
    <s v="YZ"/>
    <s v="201206"/>
    <x v="0"/>
    <s v="18148 TEC CONVERSION ACCOUNT SUMMARY"/>
    <s v="20120722"/>
    <x v="8"/>
    <d v="2012-06-30T00:00:00"/>
    <n v="-3340.78"/>
  </r>
  <r>
    <s v="9500000155"/>
    <s v="YZ"/>
    <s v="201206"/>
    <x v="0"/>
    <s v="18149 TEC CONVERSION ACCOUNT SUMMARY"/>
    <s v="20120722"/>
    <x v="9"/>
    <d v="2012-06-30T00:00:00"/>
    <n v="-71344.75"/>
  </r>
  <r>
    <s v="9500000155"/>
    <s v="YZ"/>
    <s v="201206"/>
    <x v="0"/>
    <s v="18153 TEC CONVERSION ACCOUNT SUMMARY"/>
    <s v="20120722"/>
    <x v="11"/>
    <d v="2012-06-30T00:00:00"/>
    <n v="-35045"/>
  </r>
  <r>
    <s v="9500000155"/>
    <s v="YZ"/>
    <s v="201206"/>
    <x v="0"/>
    <s v="18157 TEC CONVERSION ACCOUNT SUMMARY"/>
    <s v="20120722"/>
    <x v="15"/>
    <d v="2012-06-30T00:00:00"/>
    <n v="-14003.55"/>
  </r>
  <r>
    <s v="9100000353"/>
    <s v="YP"/>
    <s v="0712 SERVICES"/>
    <x v="0"/>
    <s v=""/>
    <s v="20120723"/>
    <x v="17"/>
    <d v="2012-09-17T00:00:00"/>
    <n v="93750"/>
  </r>
  <r>
    <s v="100000701"/>
    <s v="SA"/>
    <s v="40505"/>
    <x v="0"/>
    <s v="$75M 2030 Variable Rate Bonds"/>
    <s v="20120730"/>
    <x v="2"/>
    <d v="2012-07-30T00:00:00"/>
    <n v="-6400.96"/>
  </r>
  <r>
    <s v="100000701"/>
    <s v="SA"/>
    <s v="40505"/>
    <x v="0"/>
    <s v="$75M 2030 Variable Rate Bonds"/>
    <s v="20120730"/>
    <x v="2"/>
    <d v="2012-07-30T00:00:00"/>
    <n v="-130.22"/>
  </r>
  <r>
    <s v="100000701"/>
    <s v="SA"/>
    <s v="40505"/>
    <x v="0"/>
    <s v="$250M 2036 6.55% Notes"/>
    <s v="20120730"/>
    <x v="3"/>
    <d v="2012-07-30T00:00:00"/>
    <n v="-6872.38"/>
  </r>
  <r>
    <s v="100000701"/>
    <s v="SA"/>
    <s v="40505"/>
    <x v="0"/>
    <s v="$250M 2036 6.55% Notes"/>
    <s v="20120730"/>
    <x v="3"/>
    <d v="2012-07-30T00:00:00"/>
    <n v="-4630.24"/>
  </r>
  <r>
    <s v="100000701"/>
    <s v="SA"/>
    <s v="40505"/>
    <x v="0"/>
    <s v="$190M 2037 6.15% Notes"/>
    <s v="20120730"/>
    <x v="4"/>
    <d v="2012-07-30T00:00:00"/>
    <n v="-3059.89"/>
  </r>
  <r>
    <s v="100000701"/>
    <s v="SA"/>
    <s v="40505"/>
    <x v="0"/>
    <s v="$85.95M 2034 5.0% Refunding Bonds"/>
    <s v="20120730"/>
    <x v="5"/>
    <d v="2012-07-30T00:00:00"/>
    <n v="-8058.13"/>
  </r>
  <r>
    <s v="100000701"/>
    <s v="SA"/>
    <s v="40505"/>
    <x v="0"/>
    <s v="$60.685M 2013 5.10% Refunding Bonds"/>
    <s v="20120730"/>
    <x v="7"/>
    <d v="2012-07-30T00:00:00"/>
    <n v="-4422.05"/>
  </r>
  <r>
    <s v="100000701"/>
    <s v="SA"/>
    <s v="40505"/>
    <x v="0"/>
    <s v="$86.4M 2023 5.50% Refunding Bonds"/>
    <s v="20120730"/>
    <x v="8"/>
    <d v="2012-07-30T00:00:00"/>
    <n v="-3340.78"/>
  </r>
  <r>
    <s v="100000701"/>
    <s v="SA"/>
    <s v="40505"/>
    <x v="0"/>
    <s v="$330M 2012 6.375% Notes"/>
    <s v="20120730"/>
    <x v="9"/>
    <d v="2012-07-30T00:00:00"/>
    <n v="-71344.75"/>
  </r>
  <r>
    <s v="100000701"/>
    <s v="SA"/>
    <s v="40505"/>
    <x v="0"/>
    <s v="$250M 2042 4.1% Notes"/>
    <s v="20120730"/>
    <x v="17"/>
    <d v="2012-07-30T00:00:00"/>
    <n v="-6728.55"/>
  </r>
  <r>
    <s v="100000701"/>
    <s v="SA"/>
    <s v="40505"/>
    <x v="0"/>
    <s v="$250M 2014-2016 6.25% Notes"/>
    <s v="20120730"/>
    <x v="10"/>
    <d v="2012-07-30T00:00:00"/>
    <n v="-12467.89"/>
  </r>
  <r>
    <s v="100000701"/>
    <s v="SA"/>
    <s v="40505"/>
    <x v="0"/>
    <s v="$54.2M 2018 5.65% Refunding Bonds"/>
    <s v="20120730"/>
    <x v="12"/>
    <d v="2012-07-30T00:00:00"/>
    <n v="-7696.08"/>
  </r>
  <r>
    <s v="100000701"/>
    <s v="SA"/>
    <s v="40505"/>
    <x v="0"/>
    <s v="$54.2M 2018 5.65% Refunding Bonds"/>
    <s v="20120730"/>
    <x v="12"/>
    <d v="2012-07-30T00:00:00"/>
    <n v="-3633.17"/>
  </r>
  <r>
    <s v="100000701"/>
    <s v="SA"/>
    <s v="40505"/>
    <x v="0"/>
    <s v="$51.6M 2025 5.15% Refunding Bonds"/>
    <s v="20120730"/>
    <x v="13"/>
    <d v="2012-07-30T00:00:00"/>
    <n v="-4399.9399999999996"/>
  </r>
  <r>
    <s v="100000701"/>
    <s v="SA"/>
    <s v="40505"/>
    <x v="0"/>
    <s v="$51.6M 2025 5.15% Refunding Bonds"/>
    <s v="20120730"/>
    <x v="13"/>
    <d v="2012-07-30T00:00:00"/>
    <n v="-5738.64"/>
  </r>
  <r>
    <s v="100000701"/>
    <s v="SA"/>
    <s v="40505"/>
    <x v="0"/>
    <s v="$20M 2020 Bond Purch in Lieu Redemption"/>
    <s v="20120730"/>
    <x v="14"/>
    <d v="2012-07-30T00:00:00"/>
    <n v="-2351.71"/>
  </r>
  <r>
    <s v="100000701"/>
    <s v="SA"/>
    <s v="40505"/>
    <x v="0"/>
    <s v="$20M 2020 Bond Purch in Lieu Redemption"/>
    <s v="20120730"/>
    <x v="14"/>
    <d v="2012-07-30T00:00:00"/>
    <n v="-63.12"/>
  </r>
  <r>
    <s v="100000701"/>
    <s v="SA"/>
    <s v="40505"/>
    <x v="0"/>
    <s v="$200M 2018 6.1% Notes"/>
    <s v="20120730"/>
    <x v="15"/>
    <d v="2012-07-30T00:00:00"/>
    <n v="-6308.36"/>
  </r>
  <r>
    <s v="100000701"/>
    <s v="SA"/>
    <s v="40505"/>
    <x v="0"/>
    <s v="$200M 2018 6.1% Notes"/>
    <s v="20120730"/>
    <x v="15"/>
    <d v="2012-07-30T00:00:00"/>
    <n v="-7695.19"/>
  </r>
  <r>
    <s v="100000701"/>
    <s v="SA"/>
    <s v="40505"/>
    <x v="0"/>
    <s v="$231.73M 2012 6.875% Notes"/>
    <s v="20120730"/>
    <x v="16"/>
    <d v="2012-07-30T00:00:00"/>
    <n v="-40069.410000000003"/>
  </r>
  <r>
    <s v="9100000179"/>
    <s v="YP"/>
    <s v="1837682"/>
    <x v="0"/>
    <s v=""/>
    <s v="20120731"/>
    <x v="17"/>
    <d v="2012-08-14T00:00:00"/>
    <n v="1717.92"/>
  </r>
  <r>
    <s v="9100000223"/>
    <s v="YP"/>
    <s v="1837836"/>
    <x v="0"/>
    <s v=""/>
    <s v="20120731"/>
    <x v="17"/>
    <d v="2012-08-24T00:00:00"/>
    <n v="7453.34"/>
  </r>
  <r>
    <s v="9100000402"/>
    <s v="YP"/>
    <s v="1837854"/>
    <x v="0"/>
    <s v=""/>
    <s v="20120731"/>
    <x v="17"/>
    <d v="2012-09-28T00:00:00"/>
    <n v="237.5"/>
  </r>
  <r>
    <s v="9100000775"/>
    <s v="YP"/>
    <s v="1842630"/>
    <x v="0"/>
    <s v=""/>
    <s v="20120829"/>
    <x v="17"/>
    <d v="2012-12-27T00:00:00"/>
    <n v="1760.32"/>
  </r>
  <r>
    <s v="100018917"/>
    <s v="SA"/>
    <s v="40540"/>
    <x v="0"/>
    <s v="RECURRING ENTRY ENDS 10/30; FV50 NEEDED 11/30"/>
    <s v="20120831"/>
    <x v="2"/>
    <d v="2012-08-31T00:00:00"/>
    <n v="-6400.96"/>
  </r>
  <r>
    <s v="100018918"/>
    <s v="SA"/>
    <s v="40547 PD0013"/>
    <x v="0"/>
    <s v="RECURRING ENTRY ENDS 10/30; FV50 NEEDED 11/30"/>
    <s v="20120831"/>
    <x v="2"/>
    <d v="2012-08-31T00:00:00"/>
    <n v="-130.22"/>
  </r>
  <r>
    <s v="100018919"/>
    <s v="SA"/>
    <s v="40540 PD0015"/>
    <x v="0"/>
    <s v="RECURRING ENTRY ENDS 04/36; FV50 NEEDED 05/36"/>
    <s v="20120831"/>
    <x v="3"/>
    <d v="2012-08-31T00:00:00"/>
    <n v="-6872.38"/>
  </r>
  <r>
    <s v="100018920"/>
    <s v="SA"/>
    <s v="40548 PD0015"/>
    <x v="0"/>
    <s v="RECURRING ENTRY ENDS 04/36; FV50 NEEDED 05/36"/>
    <s v="20120831"/>
    <x v="3"/>
    <d v="2012-08-31T00:00:00"/>
    <n v="-4630.24"/>
  </r>
  <r>
    <s v="100018921"/>
    <s v="SA"/>
    <s v="40540 PD0020"/>
    <x v="0"/>
    <s v="RECURRING ENTRY ENDS 04/37; FV50 NEEDED 05/37"/>
    <s v="20120831"/>
    <x v="4"/>
    <d v="2012-08-31T00:00:00"/>
    <n v="-3059.89"/>
  </r>
  <r>
    <s v="100018922"/>
    <s v="SA"/>
    <s v="40540 PD0014"/>
    <x v="0"/>
    <s v="RECURRING ENTRY ENDS 10/34; FV50 NEEDED 11/34"/>
    <s v="20120831"/>
    <x v="5"/>
    <d v="2012-08-31T00:00:00"/>
    <n v="-8058.13"/>
  </r>
  <r>
    <s v="100018923"/>
    <s v="SA"/>
    <s v="40540 PD0008"/>
    <x v="0"/>
    <s v="RECURRING ENTRY ENDS 08/13; FV50 NEEDED 09/13"/>
    <s v="20120831"/>
    <x v="7"/>
    <d v="2012-08-31T00:00:00"/>
    <n v="-4422.05"/>
  </r>
  <r>
    <s v="100018924"/>
    <s v="SA"/>
    <s v="40540 PD0011"/>
    <x v="0"/>
    <s v="RECURRING ENTRY ENDS 08/23; FV50 NEEDED 09/23"/>
    <s v="20120831"/>
    <x v="8"/>
    <d v="2012-08-31T00:00:00"/>
    <n v="-3340.78"/>
  </r>
  <r>
    <s v="100018925"/>
    <s v="SA"/>
    <s v="40540 PD0009"/>
    <x v="0"/>
    <s v="RECURRING ENTRY ENDS 03/16; FV50 NEEDED 04/16"/>
    <s v="20120831"/>
    <x v="10"/>
    <d v="2012-08-31T00:00:00"/>
    <n v="-12467.89"/>
  </r>
  <r>
    <s v="100018926"/>
    <s v="SA"/>
    <s v="40540 PD0010"/>
    <x v="0"/>
    <s v="RECURRING ENTRY ENDS 04/18; FV50 NEEDED 05/18"/>
    <s v="20120831"/>
    <x v="12"/>
    <d v="2012-08-31T00:00:00"/>
    <n v="-7696.08"/>
  </r>
  <r>
    <s v="100018927"/>
    <s v="SA"/>
    <s v="40547 PD0010"/>
    <x v="0"/>
    <s v="RECURRING ENTRY ENDS 04/18; FV50 NEEDED 05/18"/>
    <s v="20120831"/>
    <x v="12"/>
    <d v="2012-08-31T00:00:00"/>
    <n v="-3633.17"/>
  </r>
  <r>
    <s v="100018928"/>
    <s v="SA"/>
    <s v="40540 PD0012"/>
    <x v="0"/>
    <s v="RECURRING ENTRY ENDS 07/25; FV50 NEEDED 08/25"/>
    <s v="20120831"/>
    <x v="13"/>
    <d v="2012-08-31T00:00:00"/>
    <n v="-4399.9399999999996"/>
  </r>
  <r>
    <s v="100018929"/>
    <s v="SA"/>
    <s v="40547 PD0012"/>
    <x v="0"/>
    <s v="RECURRING ENTRY ENDS 07/13; FV50 NEEDED 08/13"/>
    <s v="20120831"/>
    <x v="13"/>
    <d v="2012-08-31T00:00:00"/>
    <n v="-5738.64"/>
  </r>
  <r>
    <s v="100018930"/>
    <s v="SA"/>
    <s v="40540 PD0023"/>
    <x v="0"/>
    <s v="RECURRING ENTRY ENDS 09/20; FV50 NEEDED 10/20"/>
    <s v="20120831"/>
    <x v="14"/>
    <d v="2012-08-31T00:00:00"/>
    <n v="-2351.71"/>
  </r>
  <r>
    <s v="100018931"/>
    <s v="SA"/>
    <s v="40547 PD0023"/>
    <x v="0"/>
    <s v="RECURRING ENTRY ENDS 09/20; FV50 NEEDED 10/20"/>
    <s v="20120831"/>
    <x v="14"/>
    <d v="2012-08-31T00:00:00"/>
    <n v="-63.12"/>
  </r>
  <r>
    <s v="100018932"/>
    <s v="SA"/>
    <s v="40540 PD0018"/>
    <x v="0"/>
    <s v="RECURRING ENTRY ENDS 04/18; FV50 NEEDED 05/18"/>
    <s v="20120831"/>
    <x v="15"/>
    <d v="2012-08-31T00:00:00"/>
    <n v="-6308.36"/>
  </r>
  <r>
    <s v="100018933"/>
    <s v="SA"/>
    <s v="40549 PD0018"/>
    <x v="0"/>
    <s v="RECURRING ENTRY ENDS 04/18; FV50 NEEDED 05/18"/>
    <s v="20120831"/>
    <x v="15"/>
    <d v="2012-08-31T00:00:00"/>
    <n v="-7695.19"/>
  </r>
  <r>
    <s v="100019344"/>
    <s v="SA"/>
    <s v="40505"/>
    <x v="0"/>
    <s v="Final Amortization"/>
    <s v="20120904"/>
    <x v="9"/>
    <d v="2012-08-31T00:00:00"/>
    <n v="-33290.74"/>
  </r>
  <r>
    <s v="100019344"/>
    <s v="SA"/>
    <s v="40505"/>
    <x v="0"/>
    <s v="Final Amortization"/>
    <s v="20120904"/>
    <x v="16"/>
    <d v="2012-08-31T00:00:00"/>
    <n v="-20034.75"/>
  </r>
  <r>
    <s v="100019344"/>
    <s v="SA"/>
    <s v="40505"/>
    <x v="0"/>
    <s v="$250M 2042 4.1% Notes"/>
    <s v="20120904"/>
    <x v="17"/>
    <d v="2012-08-31T00:00:00"/>
    <n v="-7145.93"/>
  </r>
  <r>
    <s v="100019483"/>
    <s v="SA"/>
    <s v="89800-5"/>
    <x v="0"/>
    <s v="Reclass Trustee Fee"/>
    <s v="20120905"/>
    <x v="12"/>
    <d v="2012-08-31T00:00:00"/>
    <n v="-5170.1099999999997"/>
  </r>
  <r>
    <s v="100019483"/>
    <s v="SA"/>
    <s v="89800-5"/>
    <x v="0"/>
    <s v="Reclass Trustee Fee"/>
    <s v="20120905"/>
    <x v="13"/>
    <d v="2012-08-31T00:00:00"/>
    <n v="-4922.1000000000004"/>
  </r>
  <r>
    <s v="100019483"/>
    <s v="SA"/>
    <s v="89800-5"/>
    <x v="0"/>
    <s v="Reclass Trustee Fee"/>
    <s v="20120905"/>
    <x v="18"/>
    <d v="2012-08-31T00:00:00"/>
    <n v="-1907.79"/>
  </r>
  <r>
    <s v="9100000773"/>
    <s v="YP"/>
    <s v="1850609"/>
    <x v="0"/>
    <s v=""/>
    <s v="20120917"/>
    <x v="17"/>
    <d v="2012-12-27T00:00:00"/>
    <n v="1402.62"/>
  </r>
  <r>
    <s v="9100000405"/>
    <s v="YP"/>
    <s v="SEC FILING 0912"/>
    <x v="0"/>
    <s v=""/>
    <s v="20120919"/>
    <x v="0"/>
    <d v="2012-09-19T00:00:00"/>
    <n v="25785"/>
  </r>
  <r>
    <s v="9100000442"/>
    <s v="YP"/>
    <s v="7119012101"/>
    <x v="0"/>
    <s v=""/>
    <s v="20120920"/>
    <x v="0"/>
    <d v="2012-10-03T00:00:00"/>
    <n v="78750"/>
  </r>
  <r>
    <s v="9100000462"/>
    <s v="YP"/>
    <s v="10307093"/>
    <x v="0"/>
    <s v=""/>
    <s v="20120927"/>
    <x v="0"/>
    <d v="2012-10-08T00:00:00"/>
    <n v="79875"/>
  </r>
  <r>
    <s v="100026823"/>
    <s v="SA"/>
    <s v="40505"/>
    <x v="0"/>
    <s v="$250M 2042 4.1% Notes"/>
    <s v="20120930"/>
    <x v="17"/>
    <d v="2012-09-30T00:00:00"/>
    <n v="-7897.98"/>
  </r>
  <r>
    <s v="100027478"/>
    <s v="SA"/>
    <s v="40540"/>
    <x v="0"/>
    <s v="RECURRING ENTRY ENDS 10/30; FV50 NEEDED 11/30"/>
    <s v="20120930"/>
    <x v="2"/>
    <d v="2012-09-30T00:00:00"/>
    <n v="-6400.96"/>
  </r>
  <r>
    <s v="100027479"/>
    <s v="SA"/>
    <s v="40547 PD0013"/>
    <x v="0"/>
    <s v="RECURRING ENTRY ENDS 10/30; FV50 NEEDED 11/30"/>
    <s v="20120930"/>
    <x v="2"/>
    <d v="2012-09-30T00:00:00"/>
    <n v="-130.22"/>
  </r>
  <r>
    <s v="100027480"/>
    <s v="SA"/>
    <s v="40540 PD0015"/>
    <x v="0"/>
    <s v="RECURRING ENTRY ENDS 04/36; FV50 NEEDED 05/36"/>
    <s v="20120930"/>
    <x v="3"/>
    <d v="2012-09-30T00:00:00"/>
    <n v="-6872.38"/>
  </r>
  <r>
    <s v="100027481"/>
    <s v="SA"/>
    <s v="40548 PD0015"/>
    <x v="0"/>
    <s v="RECURRING ENTRY ENDS 04/36; FV50 NEEDED 05/36"/>
    <s v="20120930"/>
    <x v="3"/>
    <d v="2012-09-30T00:00:00"/>
    <n v="-4630.24"/>
  </r>
  <r>
    <s v="100027482"/>
    <s v="SA"/>
    <s v="40540 PD0020"/>
    <x v="0"/>
    <s v="RECURRING ENTRY ENDS 04/37; FV50 NEEDED 05/37"/>
    <s v="20120930"/>
    <x v="4"/>
    <d v="2012-09-30T00:00:00"/>
    <n v="-3059.89"/>
  </r>
  <r>
    <s v="100027483"/>
    <s v="SA"/>
    <s v="40540 PD0014"/>
    <x v="0"/>
    <s v="RECURRING ENTRY ENDS 10/34; FV50 NEEDED 11/34"/>
    <s v="20120930"/>
    <x v="5"/>
    <d v="2012-09-30T00:00:00"/>
    <n v="-8058.13"/>
  </r>
  <r>
    <s v="100027484"/>
    <s v="SA"/>
    <s v="40540 PD0008"/>
    <x v="0"/>
    <s v="RECURRING ENTRY ENDS 08/13; FV50 NEEDED 09/13"/>
    <s v="20120930"/>
    <x v="7"/>
    <d v="2012-09-30T00:00:00"/>
    <n v="-4422.05"/>
  </r>
  <r>
    <s v="100027485"/>
    <s v="SA"/>
    <s v="40540 PD0011"/>
    <x v="0"/>
    <s v="RECURRING ENTRY ENDS 08/23; FV50 NEEDED 09/23"/>
    <s v="20120930"/>
    <x v="8"/>
    <d v="2012-09-30T00:00:00"/>
    <n v="-3340.78"/>
  </r>
  <r>
    <s v="100027486"/>
    <s v="SA"/>
    <s v="40540 PD0009"/>
    <x v="0"/>
    <s v="RECURRING ENTRY ENDS 03/16; FV50 NEEDED 04/16"/>
    <s v="20120930"/>
    <x v="10"/>
    <d v="2012-09-30T00:00:00"/>
    <n v="-12467.89"/>
  </r>
  <r>
    <s v="100027487"/>
    <s v="SA"/>
    <s v="40540 PD0010"/>
    <x v="0"/>
    <s v="RECURRING ENTRY ENDS 04/18; FV50 NEEDED 05/18"/>
    <s v="20120930"/>
    <x v="12"/>
    <d v="2012-09-30T00:00:00"/>
    <n v="-7696.08"/>
  </r>
  <r>
    <s v="100027488"/>
    <s v="SA"/>
    <s v="40547 PD0010"/>
    <x v="0"/>
    <s v="RECURRING ENTRY ENDS 04/18; FV50 NEEDED 05/18"/>
    <s v="20120930"/>
    <x v="12"/>
    <d v="2012-09-30T00:00:00"/>
    <n v="-3633.17"/>
  </r>
  <r>
    <s v="100027489"/>
    <s v="SA"/>
    <s v="40540 PD0012"/>
    <x v="0"/>
    <s v="RECURRING ENTRY ENDS 07/25; FV50 NEEDED 08/25"/>
    <s v="20120930"/>
    <x v="13"/>
    <d v="2012-09-30T00:00:00"/>
    <n v="-4399.9399999999996"/>
  </r>
  <r>
    <s v="100027490"/>
    <s v="SA"/>
    <s v="40547 PD0012"/>
    <x v="0"/>
    <s v="RECURRING ENTRY ENDS 07/13; FV50 NEEDED 08/13"/>
    <s v="20120930"/>
    <x v="13"/>
    <d v="2012-09-30T00:00:00"/>
    <n v="-5738.64"/>
  </r>
  <r>
    <s v="100027491"/>
    <s v="SA"/>
    <s v="40540 PD0023"/>
    <x v="0"/>
    <s v="RECURRING ENTRY ENDS 09/20; FV50 NEEDED 10/20"/>
    <s v="20120930"/>
    <x v="14"/>
    <d v="2012-09-30T00:00:00"/>
    <n v="-2351.71"/>
  </r>
  <r>
    <s v="100027492"/>
    <s v="SA"/>
    <s v="40547 PD0023"/>
    <x v="0"/>
    <s v="RECURRING ENTRY ENDS 09/20; FV50 NEEDED 10/20"/>
    <s v="20120930"/>
    <x v="14"/>
    <d v="2012-09-30T00:00:00"/>
    <n v="-63.12"/>
  </r>
  <r>
    <s v="100027493"/>
    <s v="SA"/>
    <s v="40540 PD0018"/>
    <x v="0"/>
    <s v="RECURRING ENTRY ENDS 04/18; FV50 NEEDED 05/18"/>
    <s v="20120930"/>
    <x v="15"/>
    <d v="2012-09-30T00:00:00"/>
    <n v="-6308.36"/>
  </r>
  <r>
    <s v="100027494"/>
    <s v="SA"/>
    <s v="40549 PD0018"/>
    <x v="0"/>
    <s v="RECURRING ENTRY ENDS 04/18; FV50 NEEDED 05/18"/>
    <s v="20120930"/>
    <x v="15"/>
    <d v="2012-09-30T00:00:00"/>
    <n v="-7695.19"/>
  </r>
  <r>
    <s v="100036835"/>
    <s v="SA"/>
    <s v="40505"/>
    <x v="0"/>
    <s v="Current Month Amortization"/>
    <s v="20121001"/>
    <x v="17"/>
    <d v="2012-10-31T00:00:00"/>
    <n v="-7114.74"/>
  </r>
  <r>
    <s v="100036835"/>
    <s v="SA"/>
    <s v="40505"/>
    <x v="0"/>
    <s v="Current Month Amortization"/>
    <s v="20121001"/>
    <x v="0"/>
    <d v="2012-10-31T00:00:00"/>
    <n v="-14163.99"/>
  </r>
  <r>
    <s v="100036835"/>
    <s v="SA"/>
    <s v="40505"/>
    <x v="0"/>
    <s v="189 Reclass"/>
    <s v="20121001"/>
    <x v="7"/>
    <d v="2012-10-31T00:00:00"/>
    <n v="-53064.98"/>
  </r>
  <r>
    <s v="100036835"/>
    <s v="SA"/>
    <s v="40505"/>
    <x v="0"/>
    <s v="189 Reclass"/>
    <s v="20121001"/>
    <x v="8"/>
    <d v="2012-10-31T00:00:00"/>
    <n v="-440982.93"/>
  </r>
  <r>
    <s v="9100000526"/>
    <s v="YP"/>
    <s v="2521657910"/>
    <x v="0"/>
    <s v=""/>
    <s v="20121001"/>
    <x v="0"/>
    <d v="2012-10-24T00:00:00"/>
    <n v="5130"/>
  </r>
  <r>
    <s v="9100000456"/>
    <s v="YP"/>
    <s v="374965"/>
    <x v="0"/>
    <s v=""/>
    <s v="20121002"/>
    <x v="0"/>
    <d v="2012-10-05T00:00:00"/>
    <n v="6795"/>
  </r>
  <r>
    <s v="9100000507"/>
    <s v="YP"/>
    <s v="1855262"/>
    <x v="0"/>
    <s v=""/>
    <s v="20121005"/>
    <x v="0"/>
    <d v="2012-10-19T00:00:00"/>
    <n v="36175.050000000003"/>
  </r>
  <r>
    <s v="9100000506"/>
    <s v="YP"/>
    <s v="761211"/>
    <x v="0"/>
    <s v=""/>
    <s v="20121012"/>
    <x v="0"/>
    <d v="2012-10-19T00:00:00"/>
    <n v="4189.5"/>
  </r>
  <r>
    <s v="9100000793"/>
    <s v="YP"/>
    <s v="1032259114-9"/>
    <x v="0"/>
    <s v=""/>
    <s v="20121022"/>
    <x v="0"/>
    <d v="2012-12-05T00:00:00"/>
    <n v="58500"/>
  </r>
  <r>
    <s v="100036781"/>
    <s v="SA"/>
    <s v="40540"/>
    <x v="0"/>
    <s v="RECURRING ENTRY ENDS 10/30; FV50 NEEDED 11/30"/>
    <s v="20121031"/>
    <x v="2"/>
    <d v="2012-10-31T00:00:00"/>
    <n v="-6400.96"/>
  </r>
  <r>
    <s v="100036782"/>
    <s v="SA"/>
    <s v="40547 PD0013"/>
    <x v="0"/>
    <s v="RECURRING ENTRY ENDS 10/30; FV50 NEEDED 11/30"/>
    <s v="20121031"/>
    <x v="2"/>
    <d v="2012-10-31T00:00:00"/>
    <n v="-130.22"/>
  </r>
  <r>
    <s v="100036783"/>
    <s v="SA"/>
    <s v="40540 PD0015"/>
    <x v="0"/>
    <s v="RECURRING ENTRY ENDS 04/36; FV50 NEEDED 05/36"/>
    <s v="20121031"/>
    <x v="3"/>
    <d v="2012-10-31T00:00:00"/>
    <n v="-6872.38"/>
  </r>
  <r>
    <s v="100036784"/>
    <s v="SA"/>
    <s v="40548 PD0015"/>
    <x v="0"/>
    <s v="RECURRING ENTRY ENDS 04/36; FV50 NEEDED 05/36"/>
    <s v="20121031"/>
    <x v="3"/>
    <d v="2012-10-31T00:00:00"/>
    <n v="-4630.24"/>
  </r>
  <r>
    <s v="100036785"/>
    <s v="SA"/>
    <s v="40540 PD0020"/>
    <x v="0"/>
    <s v="RECURRING ENTRY ENDS 04/37; FV50 NEEDED 05/37"/>
    <s v="20121031"/>
    <x v="4"/>
    <d v="2012-10-31T00:00:00"/>
    <n v="-3059.89"/>
  </r>
  <r>
    <s v="100036786"/>
    <s v="SA"/>
    <s v="40540 PD0014"/>
    <x v="0"/>
    <s v="RECURRING ENTRY ENDS 10/34; FV50 NEEDED 11/34"/>
    <s v="20121031"/>
    <x v="5"/>
    <d v="2012-10-31T00:00:00"/>
    <n v="-8058.13"/>
  </r>
  <r>
    <s v="100036787"/>
    <s v="SA"/>
    <s v="40540 PD0008"/>
    <x v="0"/>
    <s v="RECURRING ENTRY ENDS 08/13; FV50 NEEDED 09/13"/>
    <s v="20121031"/>
    <x v="7"/>
    <d v="2012-10-31T00:00:00"/>
    <n v="-4422.05"/>
  </r>
  <r>
    <s v="100036788"/>
    <s v="SA"/>
    <s v="40540 PD0011"/>
    <x v="0"/>
    <s v="RECURRING ENTRY ENDS 08/23; FV50 NEEDED 09/23"/>
    <s v="20121031"/>
    <x v="8"/>
    <d v="2012-10-31T00:00:00"/>
    <n v="-3340.78"/>
  </r>
  <r>
    <s v="100036789"/>
    <s v="SA"/>
    <s v="40540 PD0009"/>
    <x v="0"/>
    <s v="RECURRING ENTRY ENDS 03/16; FV50 NEEDED 04/16"/>
    <s v="20121031"/>
    <x v="10"/>
    <d v="2012-10-31T00:00:00"/>
    <n v="-12467.89"/>
  </r>
  <r>
    <s v="100036790"/>
    <s v="SA"/>
    <s v="40540 PD0010"/>
    <x v="0"/>
    <s v="RECURRING ENTRY ENDS 04/18; FV50 NEEDED 05/18"/>
    <s v="20121031"/>
    <x v="12"/>
    <d v="2012-10-31T00:00:00"/>
    <n v="-7696.08"/>
  </r>
  <r>
    <s v="100036791"/>
    <s v="SA"/>
    <s v="40547 PD0010"/>
    <x v="0"/>
    <s v="RECURRING ENTRY ENDS 04/18; FV50 NEEDED 05/18"/>
    <s v="20121031"/>
    <x v="12"/>
    <d v="2012-10-31T00:00:00"/>
    <n v="-3633.17"/>
  </r>
  <r>
    <s v="100036792"/>
    <s v="SA"/>
    <s v="40540 PD0012"/>
    <x v="0"/>
    <s v="RECURRING ENTRY ENDS 07/25; FV50 NEEDED 08/25"/>
    <s v="20121031"/>
    <x v="13"/>
    <d v="2012-10-31T00:00:00"/>
    <n v="-4399.9399999999996"/>
  </r>
  <r>
    <s v="100036793"/>
    <s v="SA"/>
    <s v="40547 PD0012"/>
    <x v="0"/>
    <s v="RECURRING ENTRY ENDS 07/13; FV50 NEEDED 08/13"/>
    <s v="20121031"/>
    <x v="13"/>
    <d v="2012-10-31T00:00:00"/>
    <n v="-5738.64"/>
  </r>
  <r>
    <s v="100036794"/>
    <s v="SA"/>
    <s v="40540 PD0023"/>
    <x v="0"/>
    <s v="RECURRING ENTRY ENDS 09/20; FV50 NEEDED 10/20"/>
    <s v="20121031"/>
    <x v="14"/>
    <d v="2012-10-31T00:00:00"/>
    <n v="-2351.71"/>
  </r>
  <r>
    <s v="100036795"/>
    <s v="SA"/>
    <s v="40547 PD0023"/>
    <x v="0"/>
    <s v="RECURRING ENTRY ENDS 09/20; FV50 NEEDED 10/20"/>
    <s v="20121031"/>
    <x v="14"/>
    <d v="2012-10-31T00:00:00"/>
    <n v="-63.12"/>
  </r>
  <r>
    <s v="100036796"/>
    <s v="SA"/>
    <s v="40540 PD0018"/>
    <x v="0"/>
    <s v="RECURRING ENTRY ENDS 04/18; FV50 NEEDED 05/18"/>
    <s v="20121031"/>
    <x v="15"/>
    <d v="2012-10-31T00:00:00"/>
    <n v="-6308.36"/>
  </r>
  <r>
    <s v="100036797"/>
    <s v="SA"/>
    <s v="40549 PD0018"/>
    <x v="0"/>
    <s v="RECURRING ENTRY ENDS 04/18; FV50 NEEDED 05/18"/>
    <s v="20121031"/>
    <x v="15"/>
    <d v="2012-10-31T00:00:00"/>
    <n v="-7695.19"/>
  </r>
  <r>
    <s v="100036836"/>
    <s v="AB"/>
    <s v="40540 PD0008"/>
    <x v="0"/>
    <s v="RECURRING ENTRY ENDS 08/13; FV50 NEEDED 09/13"/>
    <s v="20121031"/>
    <x v="7"/>
    <d v="2012-10-31T00:00:00"/>
    <n v="4422.05"/>
  </r>
  <r>
    <s v="100036837"/>
    <s v="AB"/>
    <s v="40540 PD0011"/>
    <x v="0"/>
    <s v="RECURRING ENTRY ENDS 08/23; FV50 NEEDED 09/23"/>
    <s v="20121031"/>
    <x v="8"/>
    <d v="2012-10-31T00:00:00"/>
    <n v="3340.78"/>
  </r>
  <r>
    <s v="9100000589"/>
    <s v="YP"/>
    <s v="89800-18"/>
    <x v="0"/>
    <s v="Voucher Reclass"/>
    <s v="20121031"/>
    <x v="0"/>
    <d v="2012-10-31T00:00:00"/>
    <n v="478.8"/>
  </r>
  <r>
    <s v="9100000589"/>
    <s v="YP"/>
    <s v="89800-18"/>
    <x v="0"/>
    <s v="Voucher Reclass"/>
    <s v="20121031"/>
    <x v="17"/>
    <d v="2012-10-31T00:00:00"/>
    <n v="-1512.5"/>
  </r>
  <r>
    <s v="9100000589"/>
    <s v="YP"/>
    <s v="89800-18"/>
    <x v="0"/>
    <s v="Voucher Reclass"/>
    <s v="20121031"/>
    <x v="18"/>
    <d v="2012-10-31T00:00:00"/>
    <n v="-532"/>
  </r>
  <r>
    <s v="100044296"/>
    <s v="SA"/>
    <s v="40505"/>
    <x v="0"/>
    <s v=""/>
    <s v="20121101"/>
    <x v="17"/>
    <d v="2012-11-30T00:00:00"/>
    <n v="-7114.74"/>
  </r>
  <r>
    <s v="100044296"/>
    <s v="SA"/>
    <s v="40505"/>
    <x v="0"/>
    <s v=""/>
    <s v="20121101"/>
    <x v="0"/>
    <d v="2012-11-30T00:00:00"/>
    <n v="-14163.99"/>
  </r>
  <r>
    <s v="9100000585"/>
    <s v="YP"/>
    <s v="89800-18"/>
    <x v="0"/>
    <s v=""/>
    <s v="20121106"/>
    <x v="18"/>
    <d v="2012-10-31T00:00:00"/>
    <n v="-532"/>
  </r>
  <r>
    <s v="9100000585"/>
    <s v="YP"/>
    <s v="89800-18"/>
    <x v="0"/>
    <s v=""/>
    <s v="20121106"/>
    <x v="17"/>
    <d v="2012-10-31T00:00:00"/>
    <n v="-1512.5"/>
  </r>
  <r>
    <s v="9100000588"/>
    <s v="YP"/>
    <s v="89800-18"/>
    <x v="0"/>
    <s v=""/>
    <s v="20121106"/>
    <x v="18"/>
    <d v="2012-10-31T00:00:00"/>
    <n v="532"/>
  </r>
  <r>
    <s v="9100000588"/>
    <s v="YP"/>
    <s v="89800-18"/>
    <x v="0"/>
    <s v=""/>
    <s v="20121106"/>
    <x v="17"/>
    <d v="2012-10-31T00:00:00"/>
    <n v="1512.5"/>
  </r>
  <r>
    <s v="9100000772"/>
    <s v="YP"/>
    <s v="1868362"/>
    <x v="0"/>
    <s v=""/>
    <s v="20121119"/>
    <x v="0"/>
    <d v="2012-12-27T00:00:00"/>
    <n v="271.89"/>
  </r>
  <r>
    <s v="100044318"/>
    <s v="SA"/>
    <s v="40540"/>
    <x v="0"/>
    <s v="RECURRING ENTRY ENDS 10/30; FV50 NEEDED 11/30"/>
    <s v="20121130"/>
    <x v="2"/>
    <d v="2012-11-30T00:00:00"/>
    <n v="-6400.96"/>
  </r>
  <r>
    <s v="100044319"/>
    <s v="SA"/>
    <s v="40547 PD0013"/>
    <x v="0"/>
    <s v="RECURRING ENTRY ENDS 10/30; FV50 NEEDED 11/30"/>
    <s v="20121130"/>
    <x v="2"/>
    <d v="2012-11-30T00:00:00"/>
    <n v="-130.22"/>
  </r>
  <r>
    <s v="100044320"/>
    <s v="SA"/>
    <s v="40540 PD0015"/>
    <x v="0"/>
    <s v="RECURRING ENTRY ENDS 04/36; FV50 NEEDED 05/36"/>
    <s v="20121130"/>
    <x v="3"/>
    <d v="2012-11-30T00:00:00"/>
    <n v="-6872.38"/>
  </r>
  <r>
    <s v="100044321"/>
    <s v="SA"/>
    <s v="40548 PD0015"/>
    <x v="0"/>
    <s v="RECURRING ENTRY ENDS 04/36; FV50 NEEDED 05/36"/>
    <s v="20121130"/>
    <x v="3"/>
    <d v="2012-11-30T00:00:00"/>
    <n v="-4630.24"/>
  </r>
  <r>
    <s v="100044322"/>
    <s v="SA"/>
    <s v="40540 PD0020"/>
    <x v="0"/>
    <s v="RECURRING ENTRY ENDS 04/37; FV50 NEEDED 05/37"/>
    <s v="20121130"/>
    <x v="4"/>
    <d v="2012-11-30T00:00:00"/>
    <n v="-3059.89"/>
  </r>
  <r>
    <s v="100044323"/>
    <s v="SA"/>
    <s v="40540 PD0014"/>
    <x v="0"/>
    <s v="RECURRING ENTRY ENDS 10/34; FV50 NEEDED 11/34"/>
    <s v="20121130"/>
    <x v="5"/>
    <d v="2012-11-30T00:00:00"/>
    <n v="-8058.13"/>
  </r>
  <r>
    <s v="100044324"/>
    <s v="SA"/>
    <s v="40540 PD0009"/>
    <x v="0"/>
    <s v="RECURRING ENTRY ENDS 03/16; FV50 NEEDED 04/16"/>
    <s v="20121130"/>
    <x v="10"/>
    <d v="2012-11-30T00:00:00"/>
    <n v="-12467.89"/>
  </r>
  <r>
    <s v="100044325"/>
    <s v="SA"/>
    <s v="40540 PD0010"/>
    <x v="0"/>
    <s v="RECURRING ENTRY ENDS 04/18; FV50 NEEDED 05/18"/>
    <s v="20121130"/>
    <x v="12"/>
    <d v="2012-11-30T00:00:00"/>
    <n v="-7696.08"/>
  </r>
  <r>
    <s v="100044326"/>
    <s v="SA"/>
    <s v="40547 PD0010"/>
    <x v="0"/>
    <s v="RECURRING ENTRY ENDS 04/18; FV50 NEEDED 05/18"/>
    <s v="20121130"/>
    <x v="12"/>
    <d v="2012-11-30T00:00:00"/>
    <n v="-3633.17"/>
  </r>
  <r>
    <s v="100044327"/>
    <s v="SA"/>
    <s v="40540 PD0012"/>
    <x v="0"/>
    <s v="RECURRING ENTRY ENDS 07/25; FV50 NEEDED 08/25"/>
    <s v="20121130"/>
    <x v="13"/>
    <d v="2012-11-30T00:00:00"/>
    <n v="-4399.9399999999996"/>
  </r>
  <r>
    <s v="100044328"/>
    <s v="SA"/>
    <s v="40547 PD0012"/>
    <x v="0"/>
    <s v="RECURRING ENTRY ENDS 07/13; FV50 NEEDED 08/13"/>
    <s v="20121130"/>
    <x v="13"/>
    <d v="2012-11-30T00:00:00"/>
    <n v="-5738.64"/>
  </r>
  <r>
    <s v="100044329"/>
    <s v="SA"/>
    <s v="40540 PD0023"/>
    <x v="0"/>
    <s v="RECURRING ENTRY ENDS 09/20; FV50 NEEDED 10/20"/>
    <s v="20121130"/>
    <x v="14"/>
    <d v="2012-11-30T00:00:00"/>
    <n v="-2351.71"/>
  </r>
  <r>
    <s v="100044330"/>
    <s v="SA"/>
    <s v="40547 PD0023"/>
    <x v="0"/>
    <s v="RECURRING ENTRY ENDS 09/20; FV50 NEEDED 10/20"/>
    <s v="20121130"/>
    <x v="14"/>
    <d v="2012-11-30T00:00:00"/>
    <n v="-63.12"/>
  </r>
  <r>
    <s v="100044331"/>
    <s v="SA"/>
    <s v="40540 PD0018"/>
    <x v="0"/>
    <s v="RECURRING ENTRY ENDS 04/18; FV50 NEEDED 05/18"/>
    <s v="20121130"/>
    <x v="15"/>
    <d v="2012-11-30T00:00:00"/>
    <n v="-6308.36"/>
  </r>
  <r>
    <s v="100044332"/>
    <s v="SA"/>
    <s v="40549 PD0018"/>
    <x v="0"/>
    <s v="RECURRING ENTRY ENDS 04/18; FV50 NEEDED 05/18"/>
    <s v="20121130"/>
    <x v="15"/>
    <d v="2012-11-30T00:00:00"/>
    <n v="-7695.19"/>
  </r>
  <r>
    <s v="100051583"/>
    <s v="SA"/>
    <s v="40505"/>
    <x v="0"/>
    <s v=""/>
    <s v="20121201"/>
    <x v="17"/>
    <d v="2012-12-31T00:00:00"/>
    <n v="-7176.27"/>
  </r>
  <r>
    <s v="100051583"/>
    <s v="SA"/>
    <s v="40505"/>
    <x v="0"/>
    <s v=""/>
    <s v="20121201"/>
    <x v="0"/>
    <d v="2012-12-31T00:00:00"/>
    <n v="-15678.03"/>
  </r>
  <r>
    <s v="9100000774"/>
    <s v="YP"/>
    <s v="1871860"/>
    <x v="0"/>
    <s v=""/>
    <s v="20121206"/>
    <x v="0"/>
    <d v="2012-12-27T00:00:00"/>
    <n v="1789.94"/>
  </r>
  <r>
    <s v="100051631"/>
    <s v="SA"/>
    <s v="40540"/>
    <x v="0"/>
    <s v="RECURRING ENTRY ENDS 10/30; FV50 NEEDED 11/30"/>
    <s v="20121231"/>
    <x v="2"/>
    <d v="2012-12-31T00:00:00"/>
    <n v="-6400.96"/>
  </r>
  <r>
    <s v="100051632"/>
    <s v="SA"/>
    <s v="40547 PD0013"/>
    <x v="0"/>
    <s v="RECURRING ENTRY ENDS 10/30; FV50 NEEDED 11/30"/>
    <s v="20121231"/>
    <x v="2"/>
    <d v="2012-12-31T00:00:00"/>
    <n v="-130.22"/>
  </r>
  <r>
    <s v="100051633"/>
    <s v="SA"/>
    <s v="40540 PD0015"/>
    <x v="0"/>
    <s v="RECURRING ENTRY ENDS 04/36; FV50 NEEDED 05/36"/>
    <s v="20121231"/>
    <x v="3"/>
    <d v="2012-12-31T00:00:00"/>
    <n v="-6872.38"/>
  </r>
  <r>
    <s v="100051634"/>
    <s v="SA"/>
    <s v="40548 PD0015"/>
    <x v="0"/>
    <s v="RECURRING ENTRY ENDS 04/36; FV50 NEEDED 05/36"/>
    <s v="20121231"/>
    <x v="3"/>
    <d v="2012-12-31T00:00:00"/>
    <n v="-4630.24"/>
  </r>
  <r>
    <s v="100051635"/>
    <s v="SA"/>
    <s v="40540 PD0020"/>
    <x v="0"/>
    <s v="RECURRING ENTRY ENDS 04/37; FV50 NEEDED 05/37"/>
    <s v="20121231"/>
    <x v="4"/>
    <d v="2012-12-31T00:00:00"/>
    <n v="-3059.89"/>
  </r>
  <r>
    <s v="100051636"/>
    <s v="SA"/>
    <s v="40540 PD0014"/>
    <x v="0"/>
    <s v="RECURRING ENTRY ENDS 10/34; FV50 NEEDED 11/34"/>
    <s v="20121231"/>
    <x v="5"/>
    <d v="2012-12-31T00:00:00"/>
    <n v="-8058.13"/>
  </r>
  <r>
    <s v="100051637"/>
    <s v="SA"/>
    <s v="40540 PD0009"/>
    <x v="0"/>
    <s v="RECURRING ENTRY ENDS 03/16; FV50 NEEDED 04/16"/>
    <s v="20121231"/>
    <x v="10"/>
    <d v="2012-12-31T00:00:00"/>
    <n v="-12467.89"/>
  </r>
  <r>
    <s v="100051638"/>
    <s v="SA"/>
    <s v="40540 PD0010"/>
    <x v="0"/>
    <s v="RECURRING ENTRY ENDS 04/18; FV50 NEEDED 05/18"/>
    <s v="20121231"/>
    <x v="12"/>
    <d v="2012-12-31T00:00:00"/>
    <n v="-7696.08"/>
  </r>
  <r>
    <s v="100051639"/>
    <s v="SA"/>
    <s v="40547 PD0010"/>
    <x v="0"/>
    <s v="RECURRING ENTRY ENDS 04/18; FV50 NEEDED 05/18"/>
    <s v="20121231"/>
    <x v="12"/>
    <d v="2012-12-31T00:00:00"/>
    <n v="-3633.17"/>
  </r>
  <r>
    <s v="100051640"/>
    <s v="SA"/>
    <s v="40540 PD0012"/>
    <x v="0"/>
    <s v="RECURRING ENTRY ENDS 07/25; FV50 NEEDED 08/25"/>
    <s v="20121231"/>
    <x v="13"/>
    <d v="2012-12-31T00:00:00"/>
    <n v="-4399.9399999999996"/>
  </r>
  <r>
    <s v="100051641"/>
    <s v="SA"/>
    <s v="40547 PD0012"/>
    <x v="0"/>
    <s v="RECURRING ENTRY ENDS 07/13; FV50 NEEDED 08/13"/>
    <s v="20121231"/>
    <x v="13"/>
    <d v="2012-12-31T00:00:00"/>
    <n v="-5738.64"/>
  </r>
  <r>
    <s v="100051642"/>
    <s v="SA"/>
    <s v="40540 PD0023"/>
    <x v="0"/>
    <s v="RECURRING ENTRY ENDS 09/20; FV50 NEEDED 10/20"/>
    <s v="20121231"/>
    <x v="14"/>
    <d v="2012-12-31T00:00:00"/>
    <n v="-2351.71"/>
  </r>
  <r>
    <s v="100051643"/>
    <s v="SA"/>
    <s v="40547 PD0023"/>
    <x v="0"/>
    <s v="RECURRING ENTRY ENDS 09/20; FV50 NEEDED 10/20"/>
    <s v="20121231"/>
    <x v="14"/>
    <d v="2012-12-31T00:00:00"/>
    <n v="-63.12"/>
  </r>
  <r>
    <s v="100051644"/>
    <s v="SA"/>
    <s v="40540 PD0018"/>
    <x v="0"/>
    <s v="RECURRING ENTRY ENDS 04/18; FV50 NEEDED 05/18"/>
    <s v="20121231"/>
    <x v="15"/>
    <d v="2012-12-31T00:00:00"/>
    <n v="-6308.36"/>
  </r>
  <r>
    <s v="100051645"/>
    <s v="SA"/>
    <s v="40549 PD0018"/>
    <x v="0"/>
    <s v="RECURRING ENTRY ENDS 04/18; FV50 NEEDED 05/18"/>
    <s v="20121231"/>
    <x v="15"/>
    <d v="2012-12-31T00:00:00"/>
    <n v="-7695.19"/>
  </r>
  <r>
    <s v="100007998"/>
    <s v="SA"/>
    <s v="40505"/>
    <x v="0"/>
    <s v=""/>
    <s v="20130101"/>
    <x v="17"/>
    <d v="2013-01-31T00:00:00"/>
    <n v="-7123.53"/>
  </r>
  <r>
    <s v="100007998"/>
    <s v="SA"/>
    <s v="40505"/>
    <x v="0"/>
    <s v=""/>
    <s v="20130101"/>
    <x v="0"/>
    <d v="2013-01-31T00:00:00"/>
    <n v="-14668.67"/>
  </r>
  <r>
    <s v="100008021"/>
    <s v="SA"/>
    <s v="40540"/>
    <x v="0"/>
    <s v="RECURRING ENTRY ENDS 10/30; FV50 NEEDED 11/30"/>
    <s v="20130131"/>
    <x v="2"/>
    <d v="2013-01-31T00:00:00"/>
    <n v="-6400.96"/>
  </r>
  <r>
    <s v="100008022"/>
    <s v="SA"/>
    <s v="40547 PD0013"/>
    <x v="0"/>
    <s v="RECURRING ENTRY ENDS 10/30; FV50 NEEDED 11/30"/>
    <s v="20130131"/>
    <x v="2"/>
    <d v="2013-01-31T00:00:00"/>
    <n v="-130.22"/>
  </r>
  <r>
    <s v="100008023"/>
    <s v="SA"/>
    <s v="40540 PD0015"/>
    <x v="0"/>
    <s v="RECURRING ENTRY ENDS 04/36; FV50 NEEDED 05/36"/>
    <s v="20130131"/>
    <x v="3"/>
    <d v="2013-01-31T00:00:00"/>
    <n v="-6872.38"/>
  </r>
  <r>
    <s v="100008024"/>
    <s v="SA"/>
    <s v="40548 PD0015"/>
    <x v="0"/>
    <s v="RECURRING ENTRY ENDS 04/36; FV50 NEEDED 05/36"/>
    <s v="20130131"/>
    <x v="3"/>
    <d v="2013-01-31T00:00:00"/>
    <n v="-4630.24"/>
  </r>
  <r>
    <s v="100008025"/>
    <s v="SA"/>
    <s v="40540 PD0020"/>
    <x v="0"/>
    <s v="RECURRING ENTRY ENDS 04/37; FV50 NEEDED 05/37"/>
    <s v="20130131"/>
    <x v="4"/>
    <d v="2013-01-31T00:00:00"/>
    <n v="-3059.89"/>
  </r>
  <r>
    <s v="100008026"/>
    <s v="SA"/>
    <s v="40540 PD0014"/>
    <x v="0"/>
    <s v="RECURRING ENTRY ENDS 10/34; FV50 NEEDED 11/34"/>
    <s v="20130131"/>
    <x v="5"/>
    <d v="2013-01-31T00:00:00"/>
    <n v="-8058.13"/>
  </r>
  <r>
    <s v="100008027"/>
    <s v="SA"/>
    <s v="40540 PD0009"/>
    <x v="0"/>
    <s v="RECURRING ENTRY ENDS 03/16; FV50 NEEDED 04/16"/>
    <s v="20130131"/>
    <x v="10"/>
    <d v="2013-01-31T00:00:00"/>
    <n v="-12467.89"/>
  </r>
  <r>
    <s v="100008028"/>
    <s v="SA"/>
    <s v="40540 PD0010"/>
    <x v="0"/>
    <s v="RECURRING ENTRY ENDS 04/18; FV50 NEEDED 05/18"/>
    <s v="20130131"/>
    <x v="12"/>
    <d v="2013-01-31T00:00:00"/>
    <n v="-7696.08"/>
  </r>
  <r>
    <s v="100008029"/>
    <s v="SA"/>
    <s v="40547 PD0010"/>
    <x v="0"/>
    <s v="RECURRING ENTRY ENDS 04/18; FV50 NEEDED 05/18"/>
    <s v="20130131"/>
    <x v="12"/>
    <d v="2013-01-31T00:00:00"/>
    <n v="-3633.17"/>
  </r>
  <r>
    <s v="100008030"/>
    <s v="SA"/>
    <s v="40540 PD0012"/>
    <x v="0"/>
    <s v="RECURRING ENTRY ENDS 07/25; FV50 NEEDED 08/25"/>
    <s v="20130131"/>
    <x v="13"/>
    <d v="2013-01-31T00:00:00"/>
    <n v="-4399.9399999999996"/>
  </r>
  <r>
    <s v="100008031"/>
    <s v="SA"/>
    <s v="40547 PD0012"/>
    <x v="0"/>
    <s v="RECURRING ENTRY ENDS 07/13; FV50 NEEDED 08/13"/>
    <s v="20130131"/>
    <x v="13"/>
    <d v="2013-01-31T00:00:00"/>
    <n v="-5738.64"/>
  </r>
  <r>
    <s v="100008032"/>
    <s v="SA"/>
    <s v="40540 PD0023"/>
    <x v="0"/>
    <s v="RECURRING ENTRY ENDS 09/20; FV50 NEEDED 10/20"/>
    <s v="20130131"/>
    <x v="14"/>
    <d v="2013-01-31T00:00:00"/>
    <n v="-2351.71"/>
  </r>
  <r>
    <s v="100008033"/>
    <s v="SA"/>
    <s v="40547 PD0023"/>
    <x v="0"/>
    <s v="RECURRING ENTRY ENDS 09/20; FV50 NEEDED 10/20"/>
    <s v="20130131"/>
    <x v="14"/>
    <d v="2013-01-31T00:00:00"/>
    <n v="-63.12"/>
  </r>
  <r>
    <s v="100008034"/>
    <s v="SA"/>
    <s v="40540 PD0018"/>
    <x v="0"/>
    <s v="RECURRING ENTRY ENDS 04/18; FV50 NEEDED 05/18"/>
    <s v="20130131"/>
    <x v="15"/>
    <d v="2013-01-31T00:00:00"/>
    <n v="-6308.36"/>
  </r>
  <r>
    <s v="100008035"/>
    <s v="SA"/>
    <s v="40549 PD0018"/>
    <x v="0"/>
    <s v="RECURRING ENTRY ENDS 04/18; FV50 NEEDED 05/18"/>
    <s v="20130131"/>
    <x v="15"/>
    <d v="2013-01-31T00:00:00"/>
    <n v="-7695.19"/>
  </r>
  <r>
    <s v="100010203"/>
    <s v="SA"/>
    <s v="89800-13"/>
    <x v="0"/>
    <s v=""/>
    <s v="20130201"/>
    <x v="13"/>
    <d v="2013-02-28T00:00:00"/>
    <n v="0.19"/>
  </r>
  <r>
    <s v="100010203"/>
    <s v="SA"/>
    <s v="89800-13"/>
    <x v="0"/>
    <s v=""/>
    <s v="20130201"/>
    <x v="16"/>
    <d v="2013-02-28T00:00:00"/>
    <n v="0.02"/>
  </r>
  <r>
    <s v="100010203"/>
    <s v="SA"/>
    <s v="89800-13"/>
    <x v="0"/>
    <s v=""/>
    <s v="20130201"/>
    <x v="17"/>
    <d v="2013-02-28T00:00:00"/>
    <n v="-0.94"/>
  </r>
  <r>
    <s v="100010203"/>
    <s v="SA"/>
    <s v="89800-13"/>
    <x v="0"/>
    <s v=""/>
    <s v="20130201"/>
    <x v="0"/>
    <d v="2013-02-28T00:00:00"/>
    <n v="-0.12"/>
  </r>
  <r>
    <s v="100010203"/>
    <s v="SA"/>
    <s v="89800-13"/>
    <x v="0"/>
    <s v=""/>
    <s v="20130201"/>
    <x v="17"/>
    <d v="2013-02-28T00:00:00"/>
    <n v="0.02"/>
  </r>
  <r>
    <s v="100010104"/>
    <s v="SA"/>
    <s v="40540"/>
    <x v="0"/>
    <s v="RECURRING ENTRY ENDS 10/30; FV50 NEEDED 11/30"/>
    <s v="20130228"/>
    <x v="2"/>
    <d v="2013-02-28T00:00:00"/>
    <n v="-6400.96"/>
  </r>
  <r>
    <s v="100010105"/>
    <s v="SA"/>
    <s v="40547 PD0013"/>
    <x v="0"/>
    <s v="RECURRING ENTRY ENDS 10/30; FV50 NEEDED 11/30"/>
    <s v="20130228"/>
    <x v="2"/>
    <d v="2013-02-28T00:00:00"/>
    <n v="-130.22"/>
  </r>
  <r>
    <s v="100010106"/>
    <s v="SA"/>
    <s v="40540 PD0015"/>
    <x v="0"/>
    <s v="RECURRING ENTRY ENDS 04/36; FV50 NEEDED 05/36"/>
    <s v="20130228"/>
    <x v="3"/>
    <d v="2013-02-28T00:00:00"/>
    <n v="-6872.38"/>
  </r>
  <r>
    <s v="100010107"/>
    <s v="SA"/>
    <s v="40548 PD0015"/>
    <x v="0"/>
    <s v="RECURRING ENTRY ENDS 04/36; FV50 NEEDED 05/36"/>
    <s v="20130228"/>
    <x v="3"/>
    <d v="2013-02-28T00:00:00"/>
    <n v="-4630.24"/>
  </r>
  <r>
    <s v="100010108"/>
    <s v="SA"/>
    <s v="40540 PD0020"/>
    <x v="0"/>
    <s v="RECURRING ENTRY ENDS 04/37; FV50 NEEDED 05/37"/>
    <s v="20130228"/>
    <x v="4"/>
    <d v="2013-02-28T00:00:00"/>
    <n v="-3059.89"/>
  </r>
  <r>
    <s v="100010109"/>
    <s v="SA"/>
    <s v="40540 PD0014"/>
    <x v="0"/>
    <s v="RECURRING ENTRY ENDS 10/34; FV50 NEEDED 11/34"/>
    <s v="20130228"/>
    <x v="5"/>
    <d v="2013-02-28T00:00:00"/>
    <n v="-8058.13"/>
  </r>
  <r>
    <s v="100010110"/>
    <s v="SA"/>
    <s v="40540 PD0009"/>
    <x v="0"/>
    <s v="RECURRING ENTRY ENDS 03/16; FV50 NEEDED 04/16"/>
    <s v="20130228"/>
    <x v="10"/>
    <d v="2013-02-28T00:00:00"/>
    <n v="-12467.89"/>
  </r>
  <r>
    <s v="100010111"/>
    <s v="SA"/>
    <s v="40540 PD0010"/>
    <x v="0"/>
    <s v="RECURRING ENTRY ENDS 04/18; FV50 NEEDED 05/18"/>
    <s v="20130228"/>
    <x v="12"/>
    <d v="2013-02-28T00:00:00"/>
    <n v="-7696.08"/>
  </r>
  <r>
    <s v="100010112"/>
    <s v="SA"/>
    <s v="40547 PD0010"/>
    <x v="0"/>
    <s v="RECURRING ENTRY ENDS 04/18; FV50 NEEDED 05/18"/>
    <s v="20130228"/>
    <x v="12"/>
    <d v="2013-02-28T00:00:00"/>
    <n v="-3633.17"/>
  </r>
  <r>
    <s v="100010113"/>
    <s v="SA"/>
    <s v="40540 PD0012"/>
    <x v="0"/>
    <s v="RECURRING ENTRY ENDS 07/25; FV50 NEEDED 08/25"/>
    <s v="20130228"/>
    <x v="13"/>
    <d v="2013-02-28T00:00:00"/>
    <n v="-4399.9399999999996"/>
  </r>
  <r>
    <s v="100010114"/>
    <s v="SA"/>
    <s v="40547 PD0012"/>
    <x v="0"/>
    <s v="RECURRING ENTRY ENDS 07/13; FV50 NEEDED 08/13"/>
    <s v="20130228"/>
    <x v="13"/>
    <d v="2013-02-28T00:00:00"/>
    <n v="-5738.64"/>
  </r>
  <r>
    <s v="100010115"/>
    <s v="SA"/>
    <s v="40540 PD0023"/>
    <x v="0"/>
    <s v="RECURRING ENTRY ENDS 09/20; FV50 NEEDED 10/20"/>
    <s v="20130228"/>
    <x v="14"/>
    <d v="2013-02-28T00:00:00"/>
    <n v="-2351.71"/>
  </r>
  <r>
    <s v="100010116"/>
    <s v="SA"/>
    <s v="40547 PD0023"/>
    <x v="0"/>
    <s v="RECURRING ENTRY ENDS 09/20; FV50 NEEDED 10/20"/>
    <s v="20130228"/>
    <x v="14"/>
    <d v="2013-02-28T00:00:00"/>
    <n v="-63.12"/>
  </r>
  <r>
    <s v="100010117"/>
    <s v="SA"/>
    <s v="40540 PD0018"/>
    <x v="0"/>
    <s v="RECURRING ENTRY ENDS 04/18; FV50 NEEDED 05/18"/>
    <s v="20130228"/>
    <x v="15"/>
    <d v="2013-02-28T00:00:00"/>
    <n v="-6308.36"/>
  </r>
  <r>
    <s v="100010118"/>
    <s v="SA"/>
    <s v="40549 PD0018"/>
    <x v="0"/>
    <s v="RECURRING ENTRY ENDS 04/18; FV50 NEEDED 05/18"/>
    <s v="20130228"/>
    <x v="15"/>
    <d v="2013-02-28T00:00:00"/>
    <n v="-7695.19"/>
  </r>
  <r>
    <s v="100010186"/>
    <s v="SA"/>
    <s v="40540 PD0025"/>
    <x v="0"/>
    <s v="$250M Bonds Due 2042"/>
    <s v="20130228"/>
    <x v="17"/>
    <d v="2013-02-28T00:00:00"/>
    <n v="-7123.53"/>
  </r>
  <r>
    <s v="100010187"/>
    <s v="SA"/>
    <s v="40540 PD0026"/>
    <x v="0"/>
    <s v="$225M Bonds Due 2022"/>
    <s v="20130228"/>
    <x v="0"/>
    <d v="2013-02-28T00:00:00"/>
    <n v="-14668.67"/>
  </r>
  <r>
    <s v="100022128"/>
    <s v="SA"/>
    <s v="40540"/>
    <x v="0"/>
    <s v="RECURRING ENTRY ENDS 10/30; FV50 NEEDED 11/30"/>
    <s v="20130331"/>
    <x v="2"/>
    <d v="2013-03-31T00:00:00"/>
    <n v="-6400.96"/>
  </r>
  <r>
    <s v="100022129"/>
    <s v="SA"/>
    <s v="40547 PD0013"/>
    <x v="0"/>
    <s v="RECURRING ENTRY ENDS 10/30; FV50 NEEDED 11/30"/>
    <s v="20130331"/>
    <x v="2"/>
    <d v="2013-03-31T00:00:00"/>
    <n v="-130.22"/>
  </r>
  <r>
    <s v="100022130"/>
    <s v="SA"/>
    <s v="40540 PD0015"/>
    <x v="0"/>
    <s v="RECURRING ENTRY ENDS 04/36; FV50 NEEDED 05/36"/>
    <s v="20130331"/>
    <x v="3"/>
    <d v="2013-03-31T00:00:00"/>
    <n v="-6872.38"/>
  </r>
  <r>
    <s v="100022131"/>
    <s v="SA"/>
    <s v="40548 PD0015"/>
    <x v="0"/>
    <s v="RECURRING ENTRY ENDS 04/36; FV50 NEEDED 05/36"/>
    <s v="20130331"/>
    <x v="3"/>
    <d v="2013-03-31T00:00:00"/>
    <n v="-4630.24"/>
  </r>
  <r>
    <s v="100022132"/>
    <s v="SA"/>
    <s v="40540 PD0020"/>
    <x v="0"/>
    <s v="RECURRING ENTRY ENDS 04/37; FV50 NEEDED 05/37"/>
    <s v="20130331"/>
    <x v="4"/>
    <d v="2013-03-31T00:00:00"/>
    <n v="-3059.89"/>
  </r>
  <r>
    <s v="100022133"/>
    <s v="SA"/>
    <s v="40540 PD0014"/>
    <x v="0"/>
    <s v="RECURRING ENTRY ENDS 10/34; FV50 NEEDED 11/34"/>
    <s v="20130331"/>
    <x v="5"/>
    <d v="2013-03-31T00:00:00"/>
    <n v="-8058.13"/>
  </r>
  <r>
    <s v="100022134"/>
    <s v="SA"/>
    <s v="40540 PD0009"/>
    <x v="0"/>
    <s v="RECURRING ENTRY ENDS 03/16; FV50 NEEDED 04/16"/>
    <s v="20130331"/>
    <x v="10"/>
    <d v="2013-03-31T00:00:00"/>
    <n v="-12467.89"/>
  </r>
  <r>
    <s v="100022135"/>
    <s v="SA"/>
    <s v="40540 PD0010"/>
    <x v="0"/>
    <s v="RECURRING ENTRY ENDS 04/18; FV50 NEEDED 05/18"/>
    <s v="20130331"/>
    <x v="12"/>
    <d v="2013-03-31T00:00:00"/>
    <n v="-7696.08"/>
  </r>
  <r>
    <s v="100022136"/>
    <s v="SA"/>
    <s v="40547 PD0010"/>
    <x v="0"/>
    <s v="RECURRING ENTRY ENDS 04/18; FV50 NEEDED 05/18"/>
    <s v="20130331"/>
    <x v="12"/>
    <d v="2013-03-31T00:00:00"/>
    <n v="-3633.17"/>
  </r>
  <r>
    <s v="100022137"/>
    <s v="SA"/>
    <s v="40540 PD0012"/>
    <x v="0"/>
    <s v="RECURRING ENTRY ENDS 07/25; FV50 NEEDED 08/25"/>
    <s v="20130331"/>
    <x v="13"/>
    <d v="2013-03-31T00:00:00"/>
    <n v="-4399.9399999999996"/>
  </r>
  <r>
    <s v="100022138"/>
    <s v="SA"/>
    <s v="40547 PD0012"/>
    <x v="0"/>
    <s v="RECURRING ENTRY ENDS 07/13; FV50 NEEDED 08/13"/>
    <s v="20130331"/>
    <x v="13"/>
    <d v="2013-03-31T00:00:00"/>
    <n v="-5738.64"/>
  </r>
  <r>
    <s v="100022139"/>
    <s v="SA"/>
    <s v="40540 PD0023"/>
    <x v="0"/>
    <s v="RECURRING ENTRY ENDS 09/20; FV50 NEEDED 10/20"/>
    <s v="20130331"/>
    <x v="14"/>
    <d v="2013-03-31T00:00:00"/>
    <n v="-2351.71"/>
  </r>
  <r>
    <s v="100022140"/>
    <s v="SA"/>
    <s v="40547 PD0023"/>
    <x v="0"/>
    <s v="RECURRING ENTRY ENDS 09/20; FV50 NEEDED 10/20"/>
    <s v="20130331"/>
    <x v="14"/>
    <d v="2013-03-31T00:00:00"/>
    <n v="-63.12"/>
  </r>
  <r>
    <s v="100022141"/>
    <s v="SA"/>
    <s v="40540 PD0018"/>
    <x v="0"/>
    <s v="RECURRING ENTRY ENDS 04/18; FV50 NEEDED 05/18"/>
    <s v="20130331"/>
    <x v="15"/>
    <d v="2013-03-31T00:00:00"/>
    <n v="-6308.36"/>
  </r>
  <r>
    <s v="100022142"/>
    <s v="SA"/>
    <s v="40549 PD0018"/>
    <x v="0"/>
    <s v="RECURRING ENTRY ENDS 04/18; FV50 NEEDED 05/18"/>
    <s v="20130331"/>
    <x v="15"/>
    <d v="2013-03-31T00:00:00"/>
    <n v="-7695.19"/>
  </r>
  <r>
    <s v="100022186"/>
    <s v="SA"/>
    <s v="40540 PD0025"/>
    <x v="0"/>
    <s v="$250M Bonds Due 2042"/>
    <s v="20130331"/>
    <x v="17"/>
    <d v="2013-03-31T00:00:00"/>
    <n v="-7123.53"/>
  </r>
  <r>
    <s v="100022187"/>
    <s v="SA"/>
    <s v="40540 PD0026"/>
    <x v="0"/>
    <s v="$225M Bonds Due 2022"/>
    <s v="20130331"/>
    <x v="0"/>
    <d v="2013-03-31T00:00:00"/>
    <n v="-14668.67"/>
  </r>
  <r>
    <s v="100030381"/>
    <s v="SA"/>
    <s v="89850-2"/>
    <x v="0"/>
    <s v=""/>
    <s v="20130401"/>
    <x v="17"/>
    <d v="2013-04-30T00:00:00"/>
    <n v="0.01"/>
  </r>
  <r>
    <s v="100030973"/>
    <s v="SA"/>
    <s v="40540"/>
    <x v="0"/>
    <s v="RECURRING ENTRY ENDS 10/30; FV50 NEEDED 11/30"/>
    <s v="20130430"/>
    <x v="2"/>
    <d v="2013-04-30T00:00:00"/>
    <n v="-6400.96"/>
  </r>
  <r>
    <s v="100030974"/>
    <s v="SA"/>
    <s v="40547 PD0013"/>
    <x v="0"/>
    <s v="RECURRING ENTRY ENDS 10/30; FV50 NEEDED 11/30"/>
    <s v="20130430"/>
    <x v="2"/>
    <d v="2013-04-30T00:00:00"/>
    <n v="-130.22"/>
  </r>
  <r>
    <s v="100030975"/>
    <s v="SA"/>
    <s v="40540 PD0015"/>
    <x v="0"/>
    <s v="RECURRING ENTRY ENDS 04/36; FV50 NEEDED 05/36"/>
    <s v="20130430"/>
    <x v="3"/>
    <d v="2013-04-30T00:00:00"/>
    <n v="-6872.38"/>
  </r>
  <r>
    <s v="100030976"/>
    <s v="SA"/>
    <s v="40548 PD0015"/>
    <x v="0"/>
    <s v="RECURRING ENTRY ENDS 04/36; FV50 NEEDED 05/36"/>
    <s v="20130430"/>
    <x v="3"/>
    <d v="2013-04-30T00:00:00"/>
    <n v="-4630.24"/>
  </r>
  <r>
    <s v="100030977"/>
    <s v="SA"/>
    <s v="40540 PD0020"/>
    <x v="0"/>
    <s v="RECURRING ENTRY ENDS 04/37; FV50 NEEDED 05/37"/>
    <s v="20130430"/>
    <x v="4"/>
    <d v="2013-04-30T00:00:00"/>
    <n v="-3059.89"/>
  </r>
  <r>
    <s v="100030978"/>
    <s v="SA"/>
    <s v="40540 PD0014"/>
    <x v="0"/>
    <s v="RECURRING ENTRY ENDS 10/34; FV50 NEEDED 11/34"/>
    <s v="20130430"/>
    <x v="5"/>
    <d v="2013-04-30T00:00:00"/>
    <n v="-8058.13"/>
  </r>
  <r>
    <s v="100030979"/>
    <s v="SA"/>
    <s v="40540 PD0009"/>
    <x v="0"/>
    <s v="RECURRING ENTRY ENDS 03/16; FV50 NEEDED 04/16"/>
    <s v="20130430"/>
    <x v="10"/>
    <d v="2013-04-30T00:00:00"/>
    <n v="-12467.89"/>
  </r>
  <r>
    <s v="100030980"/>
    <s v="SA"/>
    <s v="40540 PD0010"/>
    <x v="0"/>
    <s v="RECURRING ENTRY ENDS 04/18; FV50 NEEDED 05/18"/>
    <s v="20130430"/>
    <x v="12"/>
    <d v="2013-04-30T00:00:00"/>
    <n v="-7696.08"/>
  </r>
  <r>
    <s v="100030981"/>
    <s v="SA"/>
    <s v="40547 PD0010"/>
    <x v="0"/>
    <s v="RECURRING ENTRY ENDS 04/18; FV50 NEEDED 05/18"/>
    <s v="20130430"/>
    <x v="12"/>
    <d v="2013-04-30T00:00:00"/>
    <n v="-3633.17"/>
  </r>
  <r>
    <s v="100030982"/>
    <s v="SA"/>
    <s v="40540 PD0012"/>
    <x v="0"/>
    <s v="RECURRING ENTRY ENDS 07/25; FV50 NEEDED 08/25"/>
    <s v="20130430"/>
    <x v="13"/>
    <d v="2013-04-30T00:00:00"/>
    <n v="-4399.9399999999996"/>
  </r>
  <r>
    <s v="100030983"/>
    <s v="SA"/>
    <s v="40547 PD0012"/>
    <x v="0"/>
    <s v="RECURRING ENTRY ENDS 07/13; FV50 NEEDED 08/13"/>
    <s v="20130430"/>
    <x v="13"/>
    <d v="2013-04-30T00:00:00"/>
    <n v="-5738.64"/>
  </r>
  <r>
    <s v="100030984"/>
    <s v="SA"/>
    <s v="40540 PD0023"/>
    <x v="0"/>
    <s v="RECURRING ENTRY ENDS 09/20; FV50 NEEDED 10/20"/>
    <s v="20130430"/>
    <x v="14"/>
    <d v="2013-04-30T00:00:00"/>
    <n v="-2351.71"/>
  </r>
  <r>
    <s v="100030985"/>
    <s v="SA"/>
    <s v="40547 PD0023"/>
    <x v="0"/>
    <s v="RECURRING ENTRY ENDS 09/20; FV50 NEEDED 10/20"/>
    <s v="20130430"/>
    <x v="14"/>
    <d v="2013-04-30T00:00:00"/>
    <n v="-63.12"/>
  </r>
  <r>
    <s v="100030986"/>
    <s v="SA"/>
    <s v="40540 PD0018"/>
    <x v="0"/>
    <s v="RECURRING ENTRY ENDS 04/18; FV50 NEEDED 05/18"/>
    <s v="20130430"/>
    <x v="15"/>
    <d v="2013-04-30T00:00:00"/>
    <n v="-6308.36"/>
  </r>
  <r>
    <s v="100030987"/>
    <s v="SA"/>
    <s v="40549 PD0018"/>
    <x v="0"/>
    <s v="RECURRING ENTRY ENDS 04/18; FV50 NEEDED 05/18"/>
    <s v="20130430"/>
    <x v="15"/>
    <d v="2013-04-30T00:00:00"/>
    <n v="-7695.19"/>
  </r>
  <r>
    <s v="100031031"/>
    <s v="SA"/>
    <s v="40540 PD0025"/>
    <x v="0"/>
    <s v="$250M Bonds Due 2042"/>
    <s v="20130430"/>
    <x v="17"/>
    <d v="2013-04-30T00:00:00"/>
    <n v="-7123.53"/>
  </r>
  <r>
    <s v="100031032"/>
    <s v="SA"/>
    <s v="40540 PD0026"/>
    <x v="0"/>
    <s v="$225M Bonds Due 2022"/>
    <s v="20130430"/>
    <x v="0"/>
    <d v="2013-04-30T00:00:00"/>
    <n v="-14668.67"/>
  </r>
  <r>
    <s v="100039230"/>
    <s v="SA"/>
    <s v="40540"/>
    <x v="0"/>
    <s v="RECURRING ENTRY ENDS 10/30; FV50 NEEDED 11/30"/>
    <s v="20130531"/>
    <x v="2"/>
    <d v="2013-05-31T00:00:00"/>
    <n v="-6400.96"/>
  </r>
  <r>
    <s v="100039231"/>
    <s v="SA"/>
    <s v="40547 PD0013"/>
    <x v="0"/>
    <s v="RECURRING ENTRY ENDS 10/30; FV50 NEEDED 11/30"/>
    <s v="20130531"/>
    <x v="2"/>
    <d v="2013-05-31T00:00:00"/>
    <n v="-130.22"/>
  </r>
  <r>
    <s v="100039232"/>
    <s v="SA"/>
    <s v="40540 PD0015"/>
    <x v="0"/>
    <s v="RECURRING ENTRY ENDS 04/36; FV50 NEEDED 05/36"/>
    <s v="20130531"/>
    <x v="3"/>
    <d v="2013-05-31T00:00:00"/>
    <n v="-6872.38"/>
  </r>
  <r>
    <s v="100039233"/>
    <s v="SA"/>
    <s v="40548 PD0015"/>
    <x v="0"/>
    <s v="RECURRING ENTRY ENDS 04/36; FV50 NEEDED 05/36"/>
    <s v="20130531"/>
    <x v="3"/>
    <d v="2013-05-31T00:00:00"/>
    <n v="-4630.24"/>
  </r>
  <r>
    <s v="100039234"/>
    <s v="SA"/>
    <s v="40540 PD0020"/>
    <x v="0"/>
    <s v="RECURRING ENTRY ENDS 04/37; FV50 NEEDED 05/37"/>
    <s v="20130531"/>
    <x v="4"/>
    <d v="2013-05-31T00:00:00"/>
    <n v="-3059.89"/>
  </r>
  <r>
    <s v="100039235"/>
    <s v="SA"/>
    <s v="40540 PD0014"/>
    <x v="0"/>
    <s v="RECURRING ENTRY ENDS 10/34; FV50 NEEDED 11/34"/>
    <s v="20130531"/>
    <x v="5"/>
    <d v="2013-05-31T00:00:00"/>
    <n v="-8058.13"/>
  </r>
  <r>
    <s v="100039236"/>
    <s v="SA"/>
    <s v="40540 PD0009"/>
    <x v="0"/>
    <s v="RECURRING ENTRY ENDS 03/16; FV50 NEEDED 04/16"/>
    <s v="20130531"/>
    <x v="10"/>
    <d v="2013-05-31T00:00:00"/>
    <n v="-12467.89"/>
  </r>
  <r>
    <s v="100039237"/>
    <s v="SA"/>
    <s v="40540 PD0010"/>
    <x v="0"/>
    <s v="RECURRING ENTRY ENDS 04/18; FV50 NEEDED 05/18"/>
    <s v="20130531"/>
    <x v="12"/>
    <d v="2013-05-31T00:00:00"/>
    <n v="-7696.08"/>
  </r>
  <r>
    <s v="100039238"/>
    <s v="SA"/>
    <s v="40547 PD0010"/>
    <x v="0"/>
    <s v="RECURRING ENTRY ENDS 04/18; FV50 NEEDED 05/18"/>
    <s v="20130531"/>
    <x v="12"/>
    <d v="2013-05-31T00:00:00"/>
    <n v="-3633.17"/>
  </r>
  <r>
    <s v="100039239"/>
    <s v="SA"/>
    <s v="40540 PD0012"/>
    <x v="0"/>
    <s v="RECURRING ENTRY ENDS 07/25; FV50 NEEDED 08/25"/>
    <s v="20130531"/>
    <x v="13"/>
    <d v="2013-05-31T00:00:00"/>
    <n v="-4399.9399999999996"/>
  </r>
  <r>
    <s v="100039240"/>
    <s v="SA"/>
    <s v="40547 PD0012"/>
    <x v="0"/>
    <s v="RECURRING ENTRY ENDS 07/13; FV50 NEEDED 08/13"/>
    <s v="20130531"/>
    <x v="13"/>
    <d v="2013-05-31T00:00:00"/>
    <n v="-5738.64"/>
  </r>
  <r>
    <s v="100039241"/>
    <s v="SA"/>
    <s v="40540 PD0023"/>
    <x v="0"/>
    <s v="RECURRING ENTRY ENDS 09/20; FV50 NEEDED 10/20"/>
    <s v="20130531"/>
    <x v="14"/>
    <d v="2013-05-31T00:00:00"/>
    <n v="-2351.71"/>
  </r>
  <r>
    <s v="100039242"/>
    <s v="SA"/>
    <s v="40547 PD0023"/>
    <x v="0"/>
    <s v="RECURRING ENTRY ENDS 09/20; FV50 NEEDED 10/20"/>
    <s v="20130531"/>
    <x v="14"/>
    <d v="2013-05-31T00:00:00"/>
    <n v="-63.12"/>
  </r>
  <r>
    <s v="100039243"/>
    <s v="SA"/>
    <s v="40540 PD0018"/>
    <x v="0"/>
    <s v="RECURRING ENTRY ENDS 04/18; FV50 NEEDED 05/18"/>
    <s v="20130531"/>
    <x v="15"/>
    <d v="2013-05-31T00:00:00"/>
    <n v="-6308.36"/>
  </r>
  <r>
    <s v="100039244"/>
    <s v="SA"/>
    <s v="40549 PD0018"/>
    <x v="0"/>
    <s v="RECURRING ENTRY ENDS 04/18; FV50 NEEDED 05/18"/>
    <s v="20130531"/>
    <x v="15"/>
    <d v="2013-05-31T00:00:00"/>
    <n v="-7695.19"/>
  </r>
  <r>
    <s v="100039286"/>
    <s v="SA"/>
    <s v="40540 PD0025"/>
    <x v="0"/>
    <s v="$250M Bonds Due 2042"/>
    <s v="20130531"/>
    <x v="17"/>
    <d v="2013-05-31T00:00:00"/>
    <n v="-7123.53"/>
  </r>
  <r>
    <s v="100039287"/>
    <s v="SA"/>
    <s v="40540 PD0026"/>
    <x v="0"/>
    <s v="$225M Bonds Due 2022"/>
    <s v="20130531"/>
    <x v="0"/>
    <d v="2013-05-31T00:00:00"/>
    <n v="-14668.67"/>
  </r>
  <r>
    <s v="100048002"/>
    <s v="SA"/>
    <s v="89800-15"/>
    <x v="0"/>
    <s v="$225M Bonds Due 2022"/>
    <s v="20130601"/>
    <x v="0"/>
    <d v="2013-06-30T00:00:00"/>
    <n v="0.01"/>
  </r>
  <r>
    <s v="9100000772"/>
    <s v="YP"/>
    <s v="111-1557728"/>
    <x v="0"/>
    <s v=""/>
    <s v="20130626"/>
    <x v="17"/>
    <d v="2013-07-16T00:00:00"/>
    <n v="3092.33"/>
  </r>
  <r>
    <s v="100047580"/>
    <s v="SA"/>
    <s v="40540"/>
    <x v="0"/>
    <s v="RECURRING ENTRY ENDS 10/30; FV50 NEEDED 11/30"/>
    <s v="20130630"/>
    <x v="2"/>
    <d v="2013-06-30T00:00:00"/>
    <n v="-6400.96"/>
  </r>
  <r>
    <s v="100047581"/>
    <s v="SA"/>
    <s v="40547 PD0013"/>
    <x v="0"/>
    <s v="RECURRING ENTRY ENDS 10/30; FV50 NEEDED 11/30"/>
    <s v="20130630"/>
    <x v="2"/>
    <d v="2013-06-30T00:00:00"/>
    <n v="-130.22"/>
  </r>
  <r>
    <s v="100047582"/>
    <s v="SA"/>
    <s v="40540 PD0015"/>
    <x v="0"/>
    <s v="RECURRING ENTRY ENDS 04/36; FV50 NEEDED 05/36"/>
    <s v="20130630"/>
    <x v="3"/>
    <d v="2013-06-30T00:00:00"/>
    <n v="-6872.38"/>
  </r>
  <r>
    <s v="100047583"/>
    <s v="SA"/>
    <s v="40548 PD0015"/>
    <x v="0"/>
    <s v="RECURRING ENTRY ENDS 04/36; FV50 NEEDED 05/36"/>
    <s v="20130630"/>
    <x v="3"/>
    <d v="2013-06-30T00:00:00"/>
    <n v="-4630.24"/>
  </r>
  <r>
    <s v="100047584"/>
    <s v="SA"/>
    <s v="40540 PD0020"/>
    <x v="0"/>
    <s v="RECURRING ENTRY ENDS 04/37; FV50 NEEDED 05/37"/>
    <s v="20130630"/>
    <x v="4"/>
    <d v="2013-06-30T00:00:00"/>
    <n v="-3059.89"/>
  </r>
  <r>
    <s v="100047585"/>
    <s v="SA"/>
    <s v="40540 PD0014"/>
    <x v="0"/>
    <s v="RECURRING ENTRY ENDS 10/34; FV50 NEEDED 11/34"/>
    <s v="20130630"/>
    <x v="5"/>
    <d v="2013-06-30T00:00:00"/>
    <n v="-8058.13"/>
  </r>
  <r>
    <s v="100047586"/>
    <s v="SA"/>
    <s v="40540 PD0009"/>
    <x v="0"/>
    <s v="RECURRING ENTRY ENDS 03/16; FV50 NEEDED 04/16"/>
    <s v="20130630"/>
    <x v="10"/>
    <d v="2013-06-30T00:00:00"/>
    <n v="-12467.89"/>
  </r>
  <r>
    <s v="100047587"/>
    <s v="SA"/>
    <s v="40540 PD0010"/>
    <x v="0"/>
    <s v="RECURRING ENTRY ENDS 04/18; FV50 NEEDED 05/18"/>
    <s v="20130630"/>
    <x v="12"/>
    <d v="2013-06-30T00:00:00"/>
    <n v="-7696.08"/>
  </r>
  <r>
    <s v="100047588"/>
    <s v="SA"/>
    <s v="40547 PD0010"/>
    <x v="0"/>
    <s v="RECURRING ENTRY ENDS 04/18; FV50 NEEDED 05/18"/>
    <s v="20130630"/>
    <x v="12"/>
    <d v="2013-06-30T00:00:00"/>
    <n v="-3633.17"/>
  </r>
  <r>
    <s v="100047589"/>
    <s v="SA"/>
    <s v="40540 PD0012"/>
    <x v="0"/>
    <s v="RECURRING ENTRY ENDS 07/25; FV50 NEEDED 08/25"/>
    <s v="20130630"/>
    <x v="13"/>
    <d v="2013-06-30T00:00:00"/>
    <n v="-4399.9399999999996"/>
  </r>
  <r>
    <s v="100047590"/>
    <s v="SA"/>
    <s v="40547 PD0012"/>
    <x v="0"/>
    <s v="RECURRING ENTRY ENDS 07/13; FV50 NEEDED 08/13"/>
    <s v="20130630"/>
    <x v="13"/>
    <d v="2013-06-30T00:00:00"/>
    <n v="-5738.64"/>
  </r>
  <r>
    <s v="100047591"/>
    <s v="SA"/>
    <s v="40540 PD0023"/>
    <x v="0"/>
    <s v="RECURRING ENTRY ENDS 09/20; FV50 NEEDED 10/20"/>
    <s v="20130630"/>
    <x v="14"/>
    <d v="2013-06-30T00:00:00"/>
    <n v="-2351.71"/>
  </r>
  <r>
    <s v="100047592"/>
    <s v="SA"/>
    <s v="40547 PD0023"/>
    <x v="0"/>
    <s v="RECURRING ENTRY ENDS 09/20; FV50 NEEDED 10/20"/>
    <s v="20130630"/>
    <x v="14"/>
    <d v="2013-06-30T00:00:00"/>
    <n v="-63.12"/>
  </r>
  <r>
    <s v="100047593"/>
    <s v="SA"/>
    <s v="40540 PD0018"/>
    <x v="0"/>
    <s v="RECURRING ENTRY ENDS 04/18; FV50 NEEDED 05/18"/>
    <s v="20130630"/>
    <x v="15"/>
    <d v="2013-06-30T00:00:00"/>
    <n v="-6308.36"/>
  </r>
  <r>
    <s v="100047594"/>
    <s v="SA"/>
    <s v="40549 PD0018"/>
    <x v="0"/>
    <s v="RECURRING ENTRY ENDS 04/18; FV50 NEEDED 05/18"/>
    <s v="20130630"/>
    <x v="15"/>
    <d v="2013-06-30T00:00:00"/>
    <n v="-7695.19"/>
  </r>
  <r>
    <s v="100047632"/>
    <s v="SA"/>
    <s v="40540 PD0025"/>
    <x v="0"/>
    <s v="$250M Bonds Due 2042"/>
    <s v="20130630"/>
    <x v="17"/>
    <d v="2013-06-30T00:00:00"/>
    <n v="-7123.53"/>
  </r>
  <r>
    <s v="100047633"/>
    <s v="SA"/>
    <s v="40540 PD0026"/>
    <x v="0"/>
    <s v="$225M Bonds Due 2022"/>
    <s v="20130630"/>
    <x v="0"/>
    <d v="2013-06-30T00:00:00"/>
    <n v="-14668.67"/>
  </r>
  <r>
    <s v="100057385"/>
    <s v="SA"/>
    <s v="40505"/>
    <x v="0"/>
    <s v="Reclass Trustee Fees"/>
    <s v="20130701"/>
    <x v="12"/>
    <d v="2013-07-31T00:00:00"/>
    <n v="-4000"/>
  </r>
  <r>
    <s v="100057385"/>
    <s v="SA"/>
    <s v="40505"/>
    <x v="0"/>
    <s v="Reclass Trustee Fees"/>
    <s v="20130701"/>
    <x v="13"/>
    <d v="2013-07-31T00:00:00"/>
    <n v="-4000"/>
  </r>
  <r>
    <s v="100057385"/>
    <s v="SA"/>
    <s v="40505"/>
    <x v="0"/>
    <s v="Reclass Trustee Fees"/>
    <s v="20130701"/>
    <x v="18"/>
    <d v="2013-07-31T00:00:00"/>
    <n v="-4000"/>
  </r>
  <r>
    <s v="100057385"/>
    <s v="SA"/>
    <s v="40505"/>
    <x v="0"/>
    <s v="Reclass Trustee Fees"/>
    <s v="20130701"/>
    <x v="17"/>
    <d v="2013-07-31T00:00:00"/>
    <n v="-3092.33"/>
  </r>
  <r>
    <s v="1900011449"/>
    <s v="KR"/>
    <s v="111-1562883"/>
    <x v="0"/>
    <s v=""/>
    <s v="20130715"/>
    <x v="12"/>
    <d v="2013-07-24T00:00:00"/>
    <n v="4000"/>
  </r>
  <r>
    <s v="1900011449"/>
    <s v="KR"/>
    <s v="111-1562883"/>
    <x v="0"/>
    <s v=""/>
    <s v="20130715"/>
    <x v="13"/>
    <d v="2013-07-24T00:00:00"/>
    <n v="4000"/>
  </r>
  <r>
    <s v="1900011449"/>
    <s v="KR"/>
    <s v="111-1562883"/>
    <x v="0"/>
    <s v=""/>
    <s v="20130715"/>
    <x v="18"/>
    <d v="2013-07-24T00:00:00"/>
    <n v="4000"/>
  </r>
  <r>
    <s v="100056912"/>
    <s v="SA"/>
    <s v="40540 PD0025"/>
    <x v="0"/>
    <s v="$250M Bonds Due 2042"/>
    <s v="20130731"/>
    <x v="17"/>
    <d v="2013-07-31T00:00:00"/>
    <n v="-7123.53"/>
  </r>
  <r>
    <s v="100056913"/>
    <s v="SA"/>
    <s v="40540 PD0026"/>
    <x v="0"/>
    <s v="$225M Bonds Due 2022"/>
    <s v="20130731"/>
    <x v="0"/>
    <d v="2013-07-31T00:00:00"/>
    <n v="-14668.67"/>
  </r>
  <r>
    <s v="100056957"/>
    <s v="SA"/>
    <s v="40540"/>
    <x v="0"/>
    <s v="RECURRING ENTRY ENDS 10/30; FV50 NEEDED 11/30"/>
    <s v="20130731"/>
    <x v="2"/>
    <d v="2013-07-31T00:00:00"/>
    <n v="-6400.96"/>
  </r>
  <r>
    <s v="100056958"/>
    <s v="SA"/>
    <s v="40547 PD0013"/>
    <x v="0"/>
    <s v="RECURRING ENTRY ENDS 10/30; FV50 NEEDED 11/30"/>
    <s v="20130731"/>
    <x v="2"/>
    <d v="2013-07-31T00:00:00"/>
    <n v="-130.22"/>
  </r>
  <r>
    <s v="100056959"/>
    <s v="SA"/>
    <s v="40540 PD0015"/>
    <x v="0"/>
    <s v="RECURRING ENTRY ENDS 04/36; FV50 NEEDED 05/36"/>
    <s v="20130731"/>
    <x v="3"/>
    <d v="2013-07-31T00:00:00"/>
    <n v="-6872.38"/>
  </r>
  <r>
    <s v="100056960"/>
    <s v="SA"/>
    <s v="40548 PD0015"/>
    <x v="0"/>
    <s v="RECURRING ENTRY ENDS 04/36; FV50 NEEDED 05/36"/>
    <s v="20130731"/>
    <x v="3"/>
    <d v="2013-07-31T00:00:00"/>
    <n v="-4630.24"/>
  </r>
  <r>
    <s v="100056961"/>
    <s v="SA"/>
    <s v="40540 PD0020"/>
    <x v="0"/>
    <s v="RECURRING ENTRY ENDS 04/37; FV50 NEEDED 05/37"/>
    <s v="20130731"/>
    <x v="4"/>
    <d v="2013-07-31T00:00:00"/>
    <n v="-3059.89"/>
  </r>
  <r>
    <s v="100056962"/>
    <s v="SA"/>
    <s v="40540 PD0014"/>
    <x v="0"/>
    <s v="RECURRING ENTRY ENDS 10/34; FV50 NEEDED 11/34"/>
    <s v="20130731"/>
    <x v="5"/>
    <d v="2013-07-31T00:00:00"/>
    <n v="-8058.13"/>
  </r>
  <r>
    <s v="100056963"/>
    <s v="SA"/>
    <s v="40540 PD0009"/>
    <x v="0"/>
    <s v="RECURRING ENTRY ENDS 03/16; FV50 NEEDED 04/16"/>
    <s v="20130731"/>
    <x v="10"/>
    <d v="2013-07-31T00:00:00"/>
    <n v="-12467.89"/>
  </r>
  <r>
    <s v="100056964"/>
    <s v="SA"/>
    <s v="40540 PD0010"/>
    <x v="0"/>
    <s v="RECURRING ENTRY ENDS 04/18; FV50 NEEDED 05/18"/>
    <s v="20130731"/>
    <x v="12"/>
    <d v="2013-07-31T00:00:00"/>
    <n v="-7696.08"/>
  </r>
  <r>
    <s v="100056965"/>
    <s v="SA"/>
    <s v="40547 PD0010"/>
    <x v="0"/>
    <s v="RECURRING ENTRY ENDS 04/18; FV50 NEEDED 05/18"/>
    <s v="20130731"/>
    <x v="12"/>
    <d v="2013-07-31T00:00:00"/>
    <n v="-3633.17"/>
  </r>
  <r>
    <s v="100056966"/>
    <s v="SA"/>
    <s v="40540 PD0012"/>
    <x v="0"/>
    <s v="RECURRING ENTRY ENDS 07/25; FV50 NEEDED 08/25"/>
    <s v="20130731"/>
    <x v="13"/>
    <d v="2013-07-31T00:00:00"/>
    <n v="-4399.9399999999996"/>
  </r>
  <r>
    <s v="100056967"/>
    <s v="SA"/>
    <s v="40540 PD0023"/>
    <x v="0"/>
    <s v="RECURRING ENTRY ENDS 09/20; FV50 NEEDED 10/20"/>
    <s v="20130731"/>
    <x v="14"/>
    <d v="2013-07-31T00:00:00"/>
    <n v="-2351.71"/>
  </r>
  <r>
    <s v="100056968"/>
    <s v="SA"/>
    <s v="40547 PD0023"/>
    <x v="0"/>
    <s v="RECURRING ENTRY ENDS 09/20; FV50 NEEDED 10/20"/>
    <s v="20130731"/>
    <x v="14"/>
    <d v="2013-07-31T00:00:00"/>
    <n v="-63.12"/>
  </r>
  <r>
    <s v="100056969"/>
    <s v="SA"/>
    <s v="40540 PD0018"/>
    <x v="0"/>
    <s v="RECURRING ENTRY ENDS 04/18; FV50 NEEDED 05/18"/>
    <s v="20130731"/>
    <x v="15"/>
    <d v="2013-07-31T00:00:00"/>
    <n v="-6308.36"/>
  </r>
  <r>
    <s v="100056970"/>
    <s v="SA"/>
    <s v="40549 PD0018"/>
    <x v="0"/>
    <s v="RECURRING ENTRY ENDS 04/18; FV50 NEEDED 05/18"/>
    <s v="20130731"/>
    <x v="15"/>
    <d v="2013-07-31T00:00:00"/>
    <n v="-7695.19"/>
  </r>
  <r>
    <s v="100057388"/>
    <s v="SA"/>
    <s v="40547 PD0012"/>
    <x v="0"/>
    <s v="RECURRING ENTRY ENDS 07/13; FV50 NEEDED 08/13"/>
    <s v="20130731"/>
    <x v="13"/>
    <d v="2013-07-31T00:00:00"/>
    <n v="-5738.64"/>
  </r>
  <r>
    <s v="100067580"/>
    <s v="SA"/>
    <s v="40540"/>
    <x v="0"/>
    <s v="RECURRING ENTRY ENDS 10/30; FV50 NEEDED 11/30"/>
    <s v="20130831"/>
    <x v="2"/>
    <d v="2013-08-31T00:00:00"/>
    <n v="-6400.96"/>
  </r>
  <r>
    <s v="100067581"/>
    <s v="SA"/>
    <s v="40547 PD0013"/>
    <x v="0"/>
    <s v="RECURRING ENTRY ENDS 10/30; FV50 NEEDED 11/30"/>
    <s v="20130831"/>
    <x v="2"/>
    <d v="2013-08-31T00:00:00"/>
    <n v="-130.22"/>
  </r>
  <r>
    <s v="100067582"/>
    <s v="SA"/>
    <s v="40540 PD0015"/>
    <x v="0"/>
    <s v="RECURRING ENTRY ENDS 04/36; FV50 NEEDED 05/36"/>
    <s v="20130831"/>
    <x v="3"/>
    <d v="2013-08-31T00:00:00"/>
    <n v="-6872.38"/>
  </r>
  <r>
    <s v="100067583"/>
    <s v="SA"/>
    <s v="40548 PD0015"/>
    <x v="0"/>
    <s v="RECURRING ENTRY ENDS 04/36; FV50 NEEDED 05/36"/>
    <s v="20130831"/>
    <x v="3"/>
    <d v="2013-08-31T00:00:00"/>
    <n v="-4630.24"/>
  </r>
  <r>
    <s v="100067584"/>
    <s v="SA"/>
    <s v="40540 PD0020"/>
    <x v="0"/>
    <s v="RECURRING ENTRY ENDS 04/37; FV50 NEEDED 05/37"/>
    <s v="20130831"/>
    <x v="4"/>
    <d v="2013-08-31T00:00:00"/>
    <n v="-3059.89"/>
  </r>
  <r>
    <s v="100067585"/>
    <s v="SA"/>
    <s v="40540 PD0014"/>
    <x v="0"/>
    <s v="RECURRING ENTRY ENDS 10/34; FV50 NEEDED 11/34"/>
    <s v="20130831"/>
    <x v="5"/>
    <d v="2013-08-31T00:00:00"/>
    <n v="-8058.13"/>
  </r>
  <r>
    <s v="100067586"/>
    <s v="SA"/>
    <s v="40540 PD0009"/>
    <x v="0"/>
    <s v="RECURRING ENTRY ENDS 03/16; FV50 NEEDED 04/16"/>
    <s v="20130831"/>
    <x v="10"/>
    <d v="2013-08-31T00:00:00"/>
    <n v="-12467.89"/>
  </r>
  <r>
    <s v="100067587"/>
    <s v="SA"/>
    <s v="40540 PD0010"/>
    <x v="0"/>
    <s v="RECURRING ENTRY ENDS 04/18; FV50 NEEDED 05/18"/>
    <s v="20130831"/>
    <x v="12"/>
    <d v="2013-08-31T00:00:00"/>
    <n v="-7696.08"/>
  </r>
  <r>
    <s v="100067588"/>
    <s v="SA"/>
    <s v="40547 PD0010"/>
    <x v="0"/>
    <s v="RECURRING ENTRY ENDS 04/18; FV50 NEEDED 05/18"/>
    <s v="20130831"/>
    <x v="12"/>
    <d v="2013-08-31T00:00:00"/>
    <n v="-3633.17"/>
  </r>
  <r>
    <s v="100067589"/>
    <s v="SA"/>
    <s v="40540 PD0012"/>
    <x v="0"/>
    <s v="RECURRING ENTRY ENDS 07/25; FV50 NEEDED 08/25"/>
    <s v="20130831"/>
    <x v="13"/>
    <d v="2013-08-31T00:00:00"/>
    <n v="-4399.9399999999996"/>
  </r>
  <r>
    <s v="100067590"/>
    <s v="SA"/>
    <s v="40540 PD0023"/>
    <x v="0"/>
    <s v="RECURRING ENTRY ENDS 09/20; FV50 NEEDED 10/20"/>
    <s v="20130831"/>
    <x v="14"/>
    <d v="2013-08-31T00:00:00"/>
    <n v="-2351.71"/>
  </r>
  <r>
    <s v="100067591"/>
    <s v="SA"/>
    <s v="40547 PD0023"/>
    <x v="0"/>
    <s v="RECURRING ENTRY ENDS 09/20; FV50 NEEDED 10/20"/>
    <s v="20130831"/>
    <x v="14"/>
    <d v="2013-08-31T00:00:00"/>
    <n v="-63.12"/>
  </r>
  <r>
    <s v="100067592"/>
    <s v="SA"/>
    <s v="40540 PD0018"/>
    <x v="0"/>
    <s v="RECURRING ENTRY ENDS 04/18; FV50 NEEDED 05/18"/>
    <s v="20130831"/>
    <x v="15"/>
    <d v="2013-08-31T00:00:00"/>
    <n v="-6308.36"/>
  </r>
  <r>
    <s v="100067593"/>
    <s v="SA"/>
    <s v="40549 PD0018"/>
    <x v="0"/>
    <s v="RECURRING ENTRY ENDS 04/18; FV50 NEEDED 05/18"/>
    <s v="20130831"/>
    <x v="15"/>
    <d v="2013-08-31T00:00:00"/>
    <n v="-7695.19"/>
  </r>
  <r>
    <s v="100067600"/>
    <s v="SA"/>
    <s v="40547 PD0012"/>
    <x v="0"/>
    <s v="FINAL MONTH AMORTIZATION"/>
    <s v="20130831"/>
    <x v="13"/>
    <d v="2013-08-31T00:00:00"/>
    <n v="-5738.84"/>
  </r>
  <r>
    <s v="100067630"/>
    <s v="SA"/>
    <s v="40540 PD0025"/>
    <x v="0"/>
    <s v="$250M Bonds Due 2042"/>
    <s v="20130831"/>
    <x v="17"/>
    <d v="2013-08-31T00:00:00"/>
    <n v="-7123.53"/>
  </r>
  <r>
    <s v="100067631"/>
    <s v="SA"/>
    <s v="40540 PD0026"/>
    <x v="0"/>
    <s v="$225M Bonds Due 2022"/>
    <s v="20130831"/>
    <x v="0"/>
    <d v="2013-08-31T00:00:00"/>
    <n v="-14668.67"/>
  </r>
  <r>
    <s v="9100001045"/>
    <s v="YP"/>
    <s v="2521730012"/>
    <x v="0"/>
    <s v=""/>
    <s v="20130905"/>
    <x v="0"/>
    <d v="2013-09-25T00:00:00"/>
    <n v="3330"/>
  </r>
  <r>
    <s v="100074500"/>
    <s v="SA"/>
    <s v="40540"/>
    <x v="0"/>
    <s v="RECURRING ENTRY ENDS 10/30; FV50 NEEDED 11/30"/>
    <s v="20130930"/>
    <x v="2"/>
    <d v="2013-09-30T00:00:00"/>
    <n v="-6400.96"/>
  </r>
  <r>
    <s v="100074501"/>
    <s v="SA"/>
    <s v="40547 PD0013"/>
    <x v="0"/>
    <s v="RECURRING ENTRY ENDS 10/30; FV50 NEEDED 11/30"/>
    <s v="20130930"/>
    <x v="2"/>
    <d v="2013-09-30T00:00:00"/>
    <n v="-130.22"/>
  </r>
  <r>
    <s v="100074502"/>
    <s v="SA"/>
    <s v="40540 PD0015"/>
    <x v="0"/>
    <s v="RECURRING ENTRY ENDS 04/36; FV50 NEEDED 05/36"/>
    <s v="20130930"/>
    <x v="3"/>
    <d v="2013-09-30T00:00:00"/>
    <n v="-6872.38"/>
  </r>
  <r>
    <s v="100074503"/>
    <s v="SA"/>
    <s v="40548 PD0015"/>
    <x v="0"/>
    <s v="RECURRING ENTRY ENDS 04/36; FV50 NEEDED 05/36"/>
    <s v="20130930"/>
    <x v="3"/>
    <d v="2013-09-30T00:00:00"/>
    <n v="-4630.24"/>
  </r>
  <r>
    <s v="100074504"/>
    <s v="SA"/>
    <s v="40540 PD0020"/>
    <x v="0"/>
    <s v="RECURRING ENTRY ENDS 04/37; FV50 NEEDED 05/37"/>
    <s v="20130930"/>
    <x v="4"/>
    <d v="2013-09-30T00:00:00"/>
    <n v="-3059.89"/>
  </r>
  <r>
    <s v="100074505"/>
    <s v="SA"/>
    <s v="40540 PD0014"/>
    <x v="0"/>
    <s v="RECURRING ENTRY ENDS 10/34; FV50 NEEDED 11/34"/>
    <s v="20130930"/>
    <x v="5"/>
    <d v="2013-09-30T00:00:00"/>
    <n v="-8058.13"/>
  </r>
  <r>
    <s v="100074506"/>
    <s v="SA"/>
    <s v="40540 PD0009"/>
    <x v="0"/>
    <s v="RECURRING ENTRY ENDS 03/16; FV50 NEEDED 04/16"/>
    <s v="20130930"/>
    <x v="10"/>
    <d v="2013-09-30T00:00:00"/>
    <n v="-12467.89"/>
  </r>
  <r>
    <s v="100074507"/>
    <s v="SA"/>
    <s v="40540 PD0010"/>
    <x v="0"/>
    <s v="RECURRING ENTRY ENDS 04/18; FV50 NEEDED 05/18"/>
    <s v="20130930"/>
    <x v="12"/>
    <d v="2013-09-30T00:00:00"/>
    <n v="-7696.08"/>
  </r>
  <r>
    <s v="100074508"/>
    <s v="SA"/>
    <s v="40547 PD0010"/>
    <x v="0"/>
    <s v="RECURRING ENTRY ENDS 04/18; FV50 NEEDED 05/18"/>
    <s v="20130930"/>
    <x v="12"/>
    <d v="2013-09-30T00:00:00"/>
    <n v="-3633.17"/>
  </r>
  <r>
    <s v="100074509"/>
    <s v="SA"/>
    <s v="40540 PD0012"/>
    <x v="0"/>
    <s v="RECURRING ENTRY ENDS 07/25; FV50 NEEDED 08/25"/>
    <s v="20130930"/>
    <x v="13"/>
    <d v="2013-09-30T00:00:00"/>
    <n v="-4399.9399999999996"/>
  </r>
  <r>
    <s v="100074510"/>
    <s v="SA"/>
    <s v="40540 PD0023"/>
    <x v="0"/>
    <s v="RECURRING ENTRY ENDS 09/20; FV50 NEEDED 10/20"/>
    <s v="20130930"/>
    <x v="14"/>
    <d v="2013-09-30T00:00:00"/>
    <n v="-2351.71"/>
  </r>
  <r>
    <s v="100074511"/>
    <s v="SA"/>
    <s v="40547 PD0023"/>
    <x v="0"/>
    <s v="RECURRING ENTRY ENDS 09/20; FV50 NEEDED 10/20"/>
    <s v="20130930"/>
    <x v="14"/>
    <d v="2013-09-30T00:00:00"/>
    <n v="-63.12"/>
  </r>
  <r>
    <s v="100074512"/>
    <s v="SA"/>
    <s v="40540 PD0018"/>
    <x v="0"/>
    <s v="RECURRING ENTRY ENDS 04/18; FV50 NEEDED 05/18"/>
    <s v="20130930"/>
    <x v="15"/>
    <d v="2013-09-30T00:00:00"/>
    <n v="-6308.36"/>
  </r>
  <r>
    <s v="100074513"/>
    <s v="SA"/>
    <s v="40549 PD0018"/>
    <x v="0"/>
    <s v="RECURRING ENTRY ENDS 04/18; FV50 NEEDED 05/18"/>
    <s v="20130930"/>
    <x v="15"/>
    <d v="2013-09-30T00:00:00"/>
    <n v="-7695.19"/>
  </r>
  <r>
    <s v="100074547"/>
    <s v="SA"/>
    <s v="40540 PD0025"/>
    <x v="0"/>
    <s v="$250M Bonds Due 2042"/>
    <s v="20130930"/>
    <x v="17"/>
    <d v="2013-09-30T00:00:00"/>
    <n v="-7123.53"/>
  </r>
  <r>
    <s v="100074548"/>
    <s v="SA"/>
    <s v="40540 PD0026"/>
    <x v="0"/>
    <s v="$225M Bonds Due 2022"/>
    <s v="20130930"/>
    <x v="0"/>
    <d v="2013-09-30T00:00:00"/>
    <n v="-14668.67"/>
  </r>
  <r>
    <s v="100075329"/>
    <s v="SA"/>
    <s v="89800-24"/>
    <x v="0"/>
    <s v=""/>
    <s v="20131002"/>
    <x v="17"/>
    <d v="2013-09-30T00:00:00"/>
    <n v="0.01"/>
  </r>
  <r>
    <s v="100075329"/>
    <s v="SA"/>
    <s v="89800-24"/>
    <x v="0"/>
    <s v=""/>
    <s v="20131002"/>
    <x v="0"/>
    <d v="2013-09-30T00:00:00"/>
    <n v="0.01"/>
  </r>
  <r>
    <s v="100084178"/>
    <s v="SA"/>
    <s v="40540"/>
    <x v="0"/>
    <s v="RECURRING ENTRY ENDS 10/30; FV50 NEEDED 11/30"/>
    <s v="20131031"/>
    <x v="2"/>
    <d v="2013-10-31T00:00:00"/>
    <n v="-6400.96"/>
  </r>
  <r>
    <s v="100084179"/>
    <s v="SA"/>
    <s v="40547 PD0013"/>
    <x v="0"/>
    <s v="RECURRING ENTRY ENDS 10/30; FV50 NEEDED 11/30"/>
    <s v="20131031"/>
    <x v="2"/>
    <d v="2013-10-31T00:00:00"/>
    <n v="-130.22"/>
  </r>
  <r>
    <s v="100084180"/>
    <s v="SA"/>
    <s v="40540 PD0015"/>
    <x v="0"/>
    <s v="RECURRING ENTRY ENDS 04/36; FV50 NEEDED 05/36"/>
    <s v="20131031"/>
    <x v="3"/>
    <d v="2013-10-31T00:00:00"/>
    <n v="-6872.38"/>
  </r>
  <r>
    <s v="100084181"/>
    <s v="SA"/>
    <s v="40548 PD0015"/>
    <x v="0"/>
    <s v="RECURRING ENTRY ENDS 04/36; FV50 NEEDED 05/36"/>
    <s v="20131031"/>
    <x v="3"/>
    <d v="2013-10-31T00:00:00"/>
    <n v="-4630.24"/>
  </r>
  <r>
    <s v="100084182"/>
    <s v="SA"/>
    <s v="40540 PD0020"/>
    <x v="0"/>
    <s v="RECURRING ENTRY ENDS 04/37; FV50 NEEDED 05/37"/>
    <s v="20131031"/>
    <x v="4"/>
    <d v="2013-10-31T00:00:00"/>
    <n v="-3059.89"/>
  </r>
  <r>
    <s v="100084183"/>
    <s v="SA"/>
    <s v="40540 PD0014"/>
    <x v="0"/>
    <s v="RECURRING ENTRY ENDS 10/34; FV50 NEEDED 11/34"/>
    <s v="20131031"/>
    <x v="5"/>
    <d v="2013-10-31T00:00:00"/>
    <n v="-8058.13"/>
  </r>
  <r>
    <s v="100084184"/>
    <s v="SA"/>
    <s v="40540 PD0009"/>
    <x v="0"/>
    <s v="RECURRING ENTRY ENDS 03/16; FV50 NEEDED 04/16"/>
    <s v="20131031"/>
    <x v="10"/>
    <d v="2013-10-31T00:00:00"/>
    <n v="-12467.89"/>
  </r>
  <r>
    <s v="100084185"/>
    <s v="SA"/>
    <s v="40540 PD0010"/>
    <x v="0"/>
    <s v="RECURRING ENTRY ENDS 04/18; FV50 NEEDED 05/18"/>
    <s v="20131031"/>
    <x v="12"/>
    <d v="2013-10-31T00:00:00"/>
    <n v="-7696.08"/>
  </r>
  <r>
    <s v="100084186"/>
    <s v="SA"/>
    <s v="40547 PD0010"/>
    <x v="0"/>
    <s v="RECURRING ENTRY ENDS 04/18; FV50 NEEDED 05/18"/>
    <s v="20131031"/>
    <x v="12"/>
    <d v="2013-10-31T00:00:00"/>
    <n v="-3633.17"/>
  </r>
  <r>
    <s v="100084187"/>
    <s v="SA"/>
    <s v="40540 PD0012"/>
    <x v="0"/>
    <s v="RECURRING ENTRY ENDS 07/25; FV50 NEEDED 08/25"/>
    <s v="20131031"/>
    <x v="13"/>
    <d v="2013-10-31T00:00:00"/>
    <n v="-4399.9399999999996"/>
  </r>
  <r>
    <s v="100084188"/>
    <s v="SA"/>
    <s v="40540 PD0023"/>
    <x v="0"/>
    <s v="RECURRING ENTRY ENDS 09/20; FV50 NEEDED 10/20"/>
    <s v="20131031"/>
    <x v="14"/>
    <d v="2013-10-31T00:00:00"/>
    <n v="-2351.71"/>
  </r>
  <r>
    <s v="100084189"/>
    <s v="SA"/>
    <s v="40547 PD0023"/>
    <x v="0"/>
    <s v="RECURRING ENTRY ENDS 09/20; FV50 NEEDED 10/20"/>
    <s v="20131031"/>
    <x v="14"/>
    <d v="2013-10-31T00:00:00"/>
    <n v="-63.12"/>
  </r>
  <r>
    <s v="100084190"/>
    <s v="SA"/>
    <s v="40540 PD0018"/>
    <x v="0"/>
    <s v="RECURRING ENTRY ENDS 04/18; FV50 NEEDED 05/18"/>
    <s v="20131031"/>
    <x v="15"/>
    <d v="2013-10-31T00:00:00"/>
    <n v="-6308.36"/>
  </r>
  <r>
    <s v="100084191"/>
    <s v="SA"/>
    <s v="40549 PD0018"/>
    <x v="0"/>
    <s v="RECURRING ENTRY ENDS 04/18; FV50 NEEDED 05/18"/>
    <s v="20131031"/>
    <x v="15"/>
    <d v="2013-10-31T00:00:00"/>
    <n v="-7695.19"/>
  </r>
  <r>
    <s v="100084224"/>
    <s v="SA"/>
    <s v="40540 PD0025"/>
    <x v="0"/>
    <s v="$250M Bonds Due 2042"/>
    <s v="20131031"/>
    <x v="17"/>
    <d v="2013-10-31T00:00:00"/>
    <n v="-7123.53"/>
  </r>
  <r>
    <s v="100084225"/>
    <s v="SA"/>
    <s v="40540 PD0026"/>
    <x v="0"/>
    <s v="$225M Bonds Due 2022"/>
    <s v="20131031"/>
    <x v="0"/>
    <d v="2013-10-31T00:00:00"/>
    <n v="-14668.67"/>
  </r>
  <r>
    <s v="100084272"/>
    <s v="SA"/>
    <s v="40505"/>
    <x v="0"/>
    <s v=""/>
    <s v="20131105"/>
    <x v="0"/>
    <d v="2013-10-31T00:00:00"/>
    <n v="-3330"/>
  </r>
  <r>
    <s v="100090835"/>
    <s v="SA"/>
    <s v="40540"/>
    <x v="0"/>
    <s v="RECURRING ENTRY ENDS 10/30; FV50 NEEDED 11/30"/>
    <s v="20131130"/>
    <x v="2"/>
    <d v="2013-11-30T00:00:00"/>
    <n v="-6400.96"/>
  </r>
  <r>
    <s v="100090836"/>
    <s v="SA"/>
    <s v="40547 PD0013"/>
    <x v="0"/>
    <s v="RECURRING ENTRY ENDS 10/30; FV50 NEEDED 11/30"/>
    <s v="20131130"/>
    <x v="2"/>
    <d v="2013-11-30T00:00:00"/>
    <n v="-130.22"/>
  </r>
  <r>
    <s v="100090837"/>
    <s v="SA"/>
    <s v="40540 PD0015"/>
    <x v="0"/>
    <s v="RECURRING ENTRY ENDS 04/36; FV50 NEEDED 05/36"/>
    <s v="20131130"/>
    <x v="3"/>
    <d v="2013-11-30T00:00:00"/>
    <n v="-6872.38"/>
  </r>
  <r>
    <s v="100090838"/>
    <s v="SA"/>
    <s v="40548 PD0015"/>
    <x v="0"/>
    <s v="RECURRING ENTRY ENDS 04/36; FV50 NEEDED 05/36"/>
    <s v="20131130"/>
    <x v="3"/>
    <d v="2013-11-30T00:00:00"/>
    <n v="-4630.24"/>
  </r>
  <r>
    <s v="100090839"/>
    <s v="SA"/>
    <s v="40540 PD0020"/>
    <x v="0"/>
    <s v="RECURRING ENTRY ENDS 04/37; FV50 NEEDED 05/37"/>
    <s v="20131130"/>
    <x v="4"/>
    <d v="2013-11-30T00:00:00"/>
    <n v="-3059.89"/>
  </r>
  <r>
    <s v="100090840"/>
    <s v="SA"/>
    <s v="40540 PD0014"/>
    <x v="0"/>
    <s v="RECURRING ENTRY ENDS 10/34; FV50 NEEDED 11/34"/>
    <s v="20131130"/>
    <x v="5"/>
    <d v="2013-11-30T00:00:00"/>
    <n v="-8058.13"/>
  </r>
  <r>
    <s v="100090841"/>
    <s v="SA"/>
    <s v="40540 PD0009"/>
    <x v="0"/>
    <s v="RECURRING ENTRY ENDS 03/16; FV50 NEEDED 04/16"/>
    <s v="20131130"/>
    <x v="10"/>
    <d v="2013-11-30T00:00:00"/>
    <n v="-12467.89"/>
  </r>
  <r>
    <s v="100090842"/>
    <s v="SA"/>
    <s v="40540 PD0010"/>
    <x v="0"/>
    <s v="RECURRING ENTRY ENDS 04/18; FV50 NEEDED 05/18"/>
    <s v="20131130"/>
    <x v="12"/>
    <d v="2013-11-30T00:00:00"/>
    <n v="-7696.08"/>
  </r>
  <r>
    <s v="100090843"/>
    <s v="SA"/>
    <s v="40547 PD0010"/>
    <x v="0"/>
    <s v="RECURRING ENTRY ENDS 04/18; FV50 NEEDED 05/18"/>
    <s v="20131130"/>
    <x v="12"/>
    <d v="2013-11-30T00:00:00"/>
    <n v="-3633.17"/>
  </r>
  <r>
    <s v="100090844"/>
    <s v="SA"/>
    <s v="40540 PD0012"/>
    <x v="0"/>
    <s v="RECURRING ENTRY ENDS 07/25; FV50 NEEDED 08/25"/>
    <s v="20131130"/>
    <x v="13"/>
    <d v="2013-11-30T00:00:00"/>
    <n v="-4399.9399999999996"/>
  </r>
  <r>
    <s v="100090845"/>
    <s v="SA"/>
    <s v="40540 PD0023"/>
    <x v="0"/>
    <s v="RECURRING ENTRY ENDS 09/20; FV50 NEEDED 10/20"/>
    <s v="20131130"/>
    <x v="14"/>
    <d v="2013-11-30T00:00:00"/>
    <n v="-2351.71"/>
  </r>
  <r>
    <s v="100090846"/>
    <s v="SA"/>
    <s v="40547 PD0023"/>
    <x v="0"/>
    <s v="RECURRING ENTRY ENDS 09/20; FV50 NEEDED 10/20"/>
    <s v="20131130"/>
    <x v="14"/>
    <d v="2013-11-30T00:00:00"/>
    <n v="-63.12"/>
  </r>
  <r>
    <s v="100090847"/>
    <s v="SA"/>
    <s v="40540 PD0018"/>
    <x v="0"/>
    <s v="RECURRING ENTRY ENDS 04/18; FV50 NEEDED 05/18"/>
    <s v="20131130"/>
    <x v="15"/>
    <d v="2013-11-30T00:00:00"/>
    <n v="-6308.36"/>
  </r>
  <r>
    <s v="100090848"/>
    <s v="SA"/>
    <s v="40549 PD0018"/>
    <x v="0"/>
    <s v="RECURRING ENTRY ENDS 04/18; FV50 NEEDED 05/18"/>
    <s v="20131130"/>
    <x v="15"/>
    <d v="2013-11-30T00:00:00"/>
    <n v="-7695.19"/>
  </r>
  <r>
    <s v="100090878"/>
    <s v="SA"/>
    <s v="40540 PD0025"/>
    <x v="0"/>
    <s v="$250M Bonds Due 2042"/>
    <s v="20131130"/>
    <x v="17"/>
    <d v="2013-11-30T00:00:00"/>
    <n v="-7123.53"/>
  </r>
  <r>
    <s v="100090879"/>
    <s v="SA"/>
    <s v="40540 PD0026"/>
    <x v="0"/>
    <s v="$225M Bonds Due 2022"/>
    <s v="20131130"/>
    <x v="0"/>
    <d v="2013-11-30T00:00:00"/>
    <n v="-14668.67"/>
  </r>
  <r>
    <s v="100099892"/>
    <s v="SA"/>
    <s v="40540"/>
    <x v="0"/>
    <s v="RECURRING ENTRY ENDS 10/30; FV50 NEEDED 11/30"/>
    <s v="20131231"/>
    <x v="2"/>
    <d v="2013-12-31T00:00:00"/>
    <n v="-6400.96"/>
  </r>
  <r>
    <s v="100099893"/>
    <s v="SA"/>
    <s v="40547 PD0013"/>
    <x v="0"/>
    <s v="RECURRING ENTRY ENDS 10/30; FV50 NEEDED 11/30"/>
    <s v="20131231"/>
    <x v="2"/>
    <d v="2013-12-31T00:00:00"/>
    <n v="-130.22"/>
  </r>
  <r>
    <s v="100099894"/>
    <s v="SA"/>
    <s v="40540 PD0015"/>
    <x v="0"/>
    <s v="RECURRING ENTRY ENDS 04/36; FV50 NEEDED 05/36"/>
    <s v="20131231"/>
    <x v="3"/>
    <d v="2013-12-31T00:00:00"/>
    <n v="-6872.38"/>
  </r>
  <r>
    <s v="100099895"/>
    <s v="SA"/>
    <s v="40548 PD0015"/>
    <x v="0"/>
    <s v="RECURRING ENTRY ENDS 04/36; FV50 NEEDED 05/36"/>
    <s v="20131231"/>
    <x v="3"/>
    <d v="2013-12-31T00:00:00"/>
    <n v="-4630.24"/>
  </r>
  <r>
    <s v="100099896"/>
    <s v="SA"/>
    <s v="40540 PD0020"/>
    <x v="0"/>
    <s v="RECURRING ENTRY ENDS 04/37; FV50 NEEDED 05/37"/>
    <s v="20131231"/>
    <x v="4"/>
    <d v="2013-12-31T00:00:00"/>
    <n v="-3059.89"/>
  </r>
  <r>
    <s v="100099897"/>
    <s v="SA"/>
    <s v="40540 PD0014"/>
    <x v="0"/>
    <s v="RECURRING ENTRY ENDS 10/34; FV50 NEEDED 11/34"/>
    <s v="20131231"/>
    <x v="5"/>
    <d v="2013-12-31T00:00:00"/>
    <n v="-8058.13"/>
  </r>
  <r>
    <s v="100099898"/>
    <s v="SA"/>
    <s v="40540 PD0009"/>
    <x v="0"/>
    <s v="RECURRING ENTRY ENDS 03/16; FV50 NEEDED 04/16"/>
    <s v="20131231"/>
    <x v="10"/>
    <d v="2013-12-31T00:00:00"/>
    <n v="-12467.89"/>
  </r>
  <r>
    <s v="100099899"/>
    <s v="SA"/>
    <s v="40540 PD0010"/>
    <x v="0"/>
    <s v="RECURRING ENTRY ENDS 04/18; FV50 NEEDED 05/18"/>
    <s v="20131231"/>
    <x v="12"/>
    <d v="2013-12-31T00:00:00"/>
    <n v="-7696.08"/>
  </r>
  <r>
    <s v="100099900"/>
    <s v="SA"/>
    <s v="40547 PD0010"/>
    <x v="0"/>
    <s v="RECURRING ENTRY ENDS 04/18; FV50 NEEDED 05/18"/>
    <s v="20131231"/>
    <x v="12"/>
    <d v="2013-12-31T00:00:00"/>
    <n v="-3633.17"/>
  </r>
  <r>
    <s v="100099901"/>
    <s v="SA"/>
    <s v="40540 PD0012"/>
    <x v="0"/>
    <s v="RECURRING ENTRY ENDS 07/25; FV50 NEEDED 08/25"/>
    <s v="20131231"/>
    <x v="13"/>
    <d v="2013-12-31T00:00:00"/>
    <n v="-4399.9399999999996"/>
  </r>
  <r>
    <s v="100099902"/>
    <s v="SA"/>
    <s v="40540 PD0023"/>
    <x v="0"/>
    <s v="RECURRING ENTRY ENDS 09/20; FV50 NEEDED 10/20"/>
    <s v="20131231"/>
    <x v="14"/>
    <d v="2013-12-31T00:00:00"/>
    <n v="-2351.71"/>
  </r>
  <r>
    <s v="100099903"/>
    <s v="SA"/>
    <s v="40547 PD0023"/>
    <x v="0"/>
    <s v="RECURRING ENTRY ENDS 09/20; FV50 NEEDED 10/20"/>
    <s v="20131231"/>
    <x v="14"/>
    <d v="2013-12-31T00:00:00"/>
    <n v="-63.12"/>
  </r>
  <r>
    <s v="100099904"/>
    <s v="SA"/>
    <s v="40540 PD0018"/>
    <x v="0"/>
    <s v="RECURRING ENTRY ENDS 04/18; FV50 NEEDED 05/18"/>
    <s v="20131231"/>
    <x v="15"/>
    <d v="2013-12-31T00:00:00"/>
    <n v="-6308.36"/>
  </r>
  <r>
    <s v="100099905"/>
    <s v="SA"/>
    <s v="40549 PD0018"/>
    <x v="0"/>
    <s v="RECURRING ENTRY ENDS 04/18; FV50 NEEDED 05/18"/>
    <s v="20131231"/>
    <x v="15"/>
    <d v="2013-12-31T00:00:00"/>
    <n v="-7695.19"/>
  </r>
  <r>
    <s v="100099933"/>
    <s v="SA"/>
    <s v="40540 PD0025"/>
    <x v="0"/>
    <s v="$250M Bonds Due 2042"/>
    <s v="20131231"/>
    <x v="17"/>
    <d v="2013-12-31T00:00:00"/>
    <n v="-7123.53"/>
  </r>
  <r>
    <s v="100099934"/>
    <s v="SA"/>
    <s v="40540 PD0026"/>
    <x v="0"/>
    <s v="$225M Bonds Due 2022"/>
    <s v="20131231"/>
    <x v="0"/>
    <d v="2013-12-31T00:00:00"/>
    <n v="-14668.67"/>
  </r>
  <r>
    <s v="100099998"/>
    <s v="SA"/>
    <s v="89800-19"/>
    <x v="0"/>
    <s v=""/>
    <s v="20140103"/>
    <x v="17"/>
    <d v="2013-12-31T00:00:00"/>
    <n v="0.01"/>
  </r>
  <r>
    <s v="100099998"/>
    <s v="SA"/>
    <s v="89800-19"/>
    <x v="0"/>
    <s v=""/>
    <s v="20140103"/>
    <x v="0"/>
    <d v="2013-12-31T00:00:00"/>
    <n v="0.01"/>
  </r>
  <r>
    <s v="100008570"/>
    <s v="SA"/>
    <s v="40540"/>
    <x v="0"/>
    <s v="RECURRING ENTRY ENDS 10/30; FV50 NEEDED 11/30"/>
    <s v="20140131"/>
    <x v="2"/>
    <d v="2014-01-31T00:00:00"/>
    <n v="-6400.96"/>
  </r>
  <r>
    <s v="100008571"/>
    <s v="SA"/>
    <s v="40547 PD0013"/>
    <x v="0"/>
    <s v="RECURRING ENTRY ENDS 10/30; FV50 NEEDED 11/30"/>
    <s v="20140131"/>
    <x v="2"/>
    <d v="2014-01-31T00:00:00"/>
    <n v="-130.22"/>
  </r>
  <r>
    <s v="100008572"/>
    <s v="SA"/>
    <s v="40540 PD0015"/>
    <x v="0"/>
    <s v="RECURRING ENTRY ENDS 04/36; FV50 NEEDED 05/36"/>
    <s v="20140131"/>
    <x v="3"/>
    <d v="2014-01-31T00:00:00"/>
    <n v="-6872.38"/>
  </r>
  <r>
    <s v="100008573"/>
    <s v="SA"/>
    <s v="40548 PD0015"/>
    <x v="0"/>
    <s v="RECURRING ENTRY ENDS 04/36; FV50 NEEDED 05/36"/>
    <s v="20140131"/>
    <x v="3"/>
    <d v="2014-01-31T00:00:00"/>
    <n v="-4630.24"/>
  </r>
  <r>
    <s v="100008574"/>
    <s v="SA"/>
    <s v="40540 PD0020"/>
    <x v="0"/>
    <s v="RECURRING ENTRY ENDS 04/37; FV50 NEEDED 05/37"/>
    <s v="20140131"/>
    <x v="4"/>
    <d v="2014-01-31T00:00:00"/>
    <n v="-3059.89"/>
  </r>
  <r>
    <s v="100008575"/>
    <s v="SA"/>
    <s v="40540 PD0014"/>
    <x v="0"/>
    <s v="RECURRING ENTRY ENDS 10/34; FV50 NEEDED 11/34"/>
    <s v="20140131"/>
    <x v="5"/>
    <d v="2014-01-31T00:00:00"/>
    <n v="-8058.13"/>
  </r>
  <r>
    <s v="100008576"/>
    <s v="SA"/>
    <s v="40540 PD0009"/>
    <x v="0"/>
    <s v="RECURRING ENTRY ENDS 03/16; FV50 NEEDED 04/16"/>
    <s v="20140131"/>
    <x v="10"/>
    <d v="2014-01-31T00:00:00"/>
    <n v="-12467.89"/>
  </r>
  <r>
    <s v="100008577"/>
    <s v="SA"/>
    <s v="40540 PD0010"/>
    <x v="0"/>
    <s v="RECURRING ENTRY ENDS 04/18; FV50 NEEDED 05/18"/>
    <s v="20140131"/>
    <x v="12"/>
    <d v="2014-01-31T00:00:00"/>
    <n v="-7696.08"/>
  </r>
  <r>
    <s v="100008578"/>
    <s v="SA"/>
    <s v="40547 PD0010"/>
    <x v="0"/>
    <s v="RECURRING ENTRY ENDS 04/18; FV50 NEEDED 05/18"/>
    <s v="20140131"/>
    <x v="12"/>
    <d v="2014-01-31T00:00:00"/>
    <n v="-3633.17"/>
  </r>
  <r>
    <s v="100008579"/>
    <s v="SA"/>
    <s v="40540 PD0012"/>
    <x v="0"/>
    <s v="RECURRING ENTRY ENDS 07/25; FV50 NEEDED 08/25"/>
    <s v="20140131"/>
    <x v="13"/>
    <d v="2014-01-31T00:00:00"/>
    <n v="-4399.9399999999996"/>
  </r>
  <r>
    <s v="100008580"/>
    <s v="SA"/>
    <s v="40540 PD0023"/>
    <x v="0"/>
    <s v="RECURRING ENTRY ENDS 09/20; FV50 NEEDED 10/20"/>
    <s v="20140131"/>
    <x v="14"/>
    <d v="2014-01-31T00:00:00"/>
    <n v="-2351.71"/>
  </r>
  <r>
    <s v="100008581"/>
    <s v="SA"/>
    <s v="40547 PD0023"/>
    <x v="0"/>
    <s v="RECURRING ENTRY ENDS 09/20; FV50 NEEDED 10/20"/>
    <s v="20140131"/>
    <x v="14"/>
    <d v="2014-01-31T00:00:00"/>
    <n v="-63.12"/>
  </r>
  <r>
    <s v="100008582"/>
    <s v="SA"/>
    <s v="40540 PD0018"/>
    <x v="0"/>
    <s v="RECURRING ENTRY ENDS 04/18; FV50 NEEDED 05/18"/>
    <s v="20140131"/>
    <x v="15"/>
    <d v="2014-01-31T00:00:00"/>
    <n v="-6308.36"/>
  </r>
  <r>
    <s v="100008583"/>
    <s v="SA"/>
    <s v="40549 PD0018"/>
    <x v="0"/>
    <s v="RECURRING ENTRY ENDS 04/18; FV50 NEEDED 05/18"/>
    <s v="20140131"/>
    <x v="15"/>
    <d v="2014-01-31T00:00:00"/>
    <n v="-7695.19"/>
  </r>
  <r>
    <s v="100008607"/>
    <s v="SA"/>
    <s v="40540 PD0025"/>
    <x v="0"/>
    <s v="$250M Bonds Due 2042"/>
    <s v="20140131"/>
    <x v="17"/>
    <d v="2014-01-31T00:00:00"/>
    <n v="-7123.53"/>
  </r>
  <r>
    <s v="100008608"/>
    <s v="SA"/>
    <s v="40540 PD0026"/>
    <x v="0"/>
    <s v="$225M Bonds Due 2022"/>
    <s v="20140131"/>
    <x v="0"/>
    <d v="2014-01-31T00:00:00"/>
    <n v="-14668.67"/>
  </r>
  <r>
    <s v="100016108"/>
    <s v="SA"/>
    <s v="40540"/>
    <x v="0"/>
    <s v="RECURRING ENTRY ENDS 10/30; FV50 NEEDED 11/30"/>
    <s v="20140228"/>
    <x v="2"/>
    <d v="2014-02-28T00:00:00"/>
    <n v="-6400.96"/>
  </r>
  <r>
    <s v="100016109"/>
    <s v="SA"/>
    <s v="40547 PD0013"/>
    <x v="0"/>
    <s v="RECURRING ENTRY ENDS 10/30; FV50 NEEDED 11/30"/>
    <s v="20140228"/>
    <x v="2"/>
    <d v="2014-02-28T00:00:00"/>
    <n v="-130.22"/>
  </r>
  <r>
    <s v="100016110"/>
    <s v="SA"/>
    <s v="40540 PD0015"/>
    <x v="0"/>
    <s v="RECURRING ENTRY ENDS 04/36; FV50 NEEDED 05/36"/>
    <s v="20140228"/>
    <x v="3"/>
    <d v="2014-02-28T00:00:00"/>
    <n v="-6872.38"/>
  </r>
  <r>
    <s v="100016111"/>
    <s v="SA"/>
    <s v="40548 PD0015"/>
    <x v="0"/>
    <s v="RECURRING ENTRY ENDS 04/36; FV50 NEEDED 05/36"/>
    <s v="20140228"/>
    <x v="3"/>
    <d v="2014-02-28T00:00:00"/>
    <n v="-4630.24"/>
  </r>
  <r>
    <s v="100016112"/>
    <s v="SA"/>
    <s v="40540 PD0020"/>
    <x v="0"/>
    <s v="RECURRING ENTRY ENDS 04/37; FV50 NEEDED 05/37"/>
    <s v="20140228"/>
    <x v="4"/>
    <d v="2014-02-28T00:00:00"/>
    <n v="-3059.89"/>
  </r>
  <r>
    <s v="100016113"/>
    <s v="SA"/>
    <s v="40540 PD0014"/>
    <x v="0"/>
    <s v="RECURRING ENTRY ENDS 10/34; FV50 NEEDED 11/34"/>
    <s v="20140228"/>
    <x v="5"/>
    <d v="2014-02-28T00:00:00"/>
    <n v="-8058.13"/>
  </r>
  <r>
    <s v="100016114"/>
    <s v="SA"/>
    <s v="40540 PD0009"/>
    <x v="0"/>
    <s v="RECURRING ENTRY ENDS 03/16; FV50 NEEDED 04/16"/>
    <s v="20140228"/>
    <x v="10"/>
    <d v="2014-02-28T00:00:00"/>
    <n v="-12467.89"/>
  </r>
  <r>
    <s v="100016115"/>
    <s v="SA"/>
    <s v="40540 PD0010"/>
    <x v="0"/>
    <s v="RECURRING ENTRY ENDS 04/18; FV50 NEEDED 05/18"/>
    <s v="20140228"/>
    <x v="12"/>
    <d v="2014-02-28T00:00:00"/>
    <n v="-7696.08"/>
  </r>
  <r>
    <s v="100016116"/>
    <s v="SA"/>
    <s v="40547 PD0010"/>
    <x v="0"/>
    <s v="RECURRING ENTRY ENDS 04/18; FV50 NEEDED 05/18"/>
    <s v="20140228"/>
    <x v="12"/>
    <d v="2014-02-28T00:00:00"/>
    <n v="-3633.17"/>
  </r>
  <r>
    <s v="100016117"/>
    <s v="SA"/>
    <s v="40540 PD0012"/>
    <x v="0"/>
    <s v="RECURRING ENTRY ENDS 07/25; FV50 NEEDED 08/25"/>
    <s v="20140228"/>
    <x v="13"/>
    <d v="2014-02-28T00:00:00"/>
    <n v="-4399.9399999999996"/>
  </r>
  <r>
    <s v="100016118"/>
    <s v="SA"/>
    <s v="40540 PD0023"/>
    <x v="0"/>
    <s v="RECURRING ENTRY ENDS 09/20; FV50 NEEDED 10/20"/>
    <s v="20140228"/>
    <x v="14"/>
    <d v="2014-02-28T00:00:00"/>
    <n v="-2351.71"/>
  </r>
  <r>
    <s v="100016119"/>
    <s v="SA"/>
    <s v="40547 PD0023"/>
    <x v="0"/>
    <s v="RECURRING ENTRY ENDS 09/20; FV50 NEEDED 10/20"/>
    <s v="20140228"/>
    <x v="14"/>
    <d v="2014-02-28T00:00:00"/>
    <n v="-63.12"/>
  </r>
  <r>
    <s v="100016120"/>
    <s v="SA"/>
    <s v="40540 PD0018"/>
    <x v="0"/>
    <s v="RECURRING ENTRY ENDS 04/18; FV50 NEEDED 05/18"/>
    <s v="20140228"/>
    <x v="15"/>
    <d v="2014-02-28T00:00:00"/>
    <n v="-6308.36"/>
  </r>
  <r>
    <s v="100016121"/>
    <s v="SA"/>
    <s v="40549 PD0018"/>
    <x v="0"/>
    <s v="RECURRING ENTRY ENDS 04/18; FV50 NEEDED 05/18"/>
    <s v="20140228"/>
    <x v="15"/>
    <d v="2014-02-28T00:00:00"/>
    <n v="-7695.19"/>
  </r>
  <r>
    <s v="100016144"/>
    <s v="SA"/>
    <s v="40540 PD0025"/>
    <x v="0"/>
    <s v="$250M Bonds Due 2042"/>
    <s v="20140228"/>
    <x v="17"/>
    <d v="2014-02-28T00:00:00"/>
    <n v="-7123.53"/>
  </r>
  <r>
    <s v="100016145"/>
    <s v="SA"/>
    <s v="40540 PD0026"/>
    <x v="0"/>
    <s v="$225M Bonds Due 2022"/>
    <s v="20140228"/>
    <x v="0"/>
    <d v="2014-02-28T00:00:00"/>
    <n v="-14668.67"/>
  </r>
  <r>
    <s v="100023475"/>
    <s v="SA"/>
    <s v="40540"/>
    <x v="0"/>
    <s v="RECURRING ENTRY ENDS 10/30; FV50 NEEDED 11/30"/>
    <s v="20140331"/>
    <x v="2"/>
    <d v="2014-03-31T00:00:00"/>
    <n v="-6400.96"/>
  </r>
  <r>
    <s v="100023476"/>
    <s v="SA"/>
    <s v="40547 PD0013"/>
    <x v="0"/>
    <s v="RECURRING ENTRY ENDS 10/30; FV50 NEEDED 11/30"/>
    <s v="20140331"/>
    <x v="2"/>
    <d v="2014-03-31T00:00:00"/>
    <n v="-130.22"/>
  </r>
  <r>
    <s v="100023477"/>
    <s v="SA"/>
    <s v="40540 PD0015"/>
    <x v="0"/>
    <s v="RECURRING ENTRY ENDS 04/36; FV50 NEEDED 05/36"/>
    <s v="20140331"/>
    <x v="3"/>
    <d v="2014-03-31T00:00:00"/>
    <n v="-6872.38"/>
  </r>
  <r>
    <s v="100023478"/>
    <s v="SA"/>
    <s v="40548 PD0015"/>
    <x v="0"/>
    <s v="RECURRING ENTRY ENDS 04/36; FV50 NEEDED 05/36"/>
    <s v="20140331"/>
    <x v="3"/>
    <d v="2014-03-31T00:00:00"/>
    <n v="-4630.24"/>
  </r>
  <r>
    <s v="100023479"/>
    <s v="SA"/>
    <s v="40540 PD0020"/>
    <x v="0"/>
    <s v="RECURRING ENTRY ENDS 04/37; FV50 NEEDED 05/37"/>
    <s v="20140331"/>
    <x v="4"/>
    <d v="2014-03-31T00:00:00"/>
    <n v="-3059.89"/>
  </r>
  <r>
    <s v="100023480"/>
    <s v="SA"/>
    <s v="40540 PD0014"/>
    <x v="0"/>
    <s v="RECURRING ENTRY ENDS 10/34; FV50 NEEDED 11/34"/>
    <s v="20140331"/>
    <x v="5"/>
    <d v="2014-03-31T00:00:00"/>
    <n v="-8058.13"/>
  </r>
  <r>
    <s v="100023481"/>
    <s v="SA"/>
    <s v="40540 PD0009"/>
    <x v="0"/>
    <s v="RECURRING ENTRY ENDS 03/16; FV50 NEEDED 04/16"/>
    <s v="20140331"/>
    <x v="10"/>
    <d v="2014-03-31T00:00:00"/>
    <n v="-12467.89"/>
  </r>
  <r>
    <s v="100023482"/>
    <s v="SA"/>
    <s v="40540 PD0010"/>
    <x v="0"/>
    <s v="RECURRING ENTRY ENDS 04/18; FV50 NEEDED 05/18"/>
    <s v="20140331"/>
    <x v="12"/>
    <d v="2014-03-31T00:00:00"/>
    <n v="-7696.08"/>
  </r>
  <r>
    <s v="100023483"/>
    <s v="SA"/>
    <s v="40547 PD0010"/>
    <x v="0"/>
    <s v="RECURRING ENTRY ENDS 04/18; FV50 NEEDED 05/18"/>
    <s v="20140331"/>
    <x v="12"/>
    <d v="2014-03-31T00:00:00"/>
    <n v="-3633.17"/>
  </r>
  <r>
    <s v="100023484"/>
    <s v="SA"/>
    <s v="40540 PD0012"/>
    <x v="0"/>
    <s v="RECURRING ENTRY ENDS 07/25; FV50 NEEDED 08/25"/>
    <s v="20140331"/>
    <x v="13"/>
    <d v="2014-03-31T00:00:00"/>
    <n v="-4399.9399999999996"/>
  </r>
  <r>
    <s v="100023485"/>
    <s v="SA"/>
    <s v="40540 PD0023"/>
    <x v="0"/>
    <s v="RECURRING ENTRY ENDS 09/20; FV50 NEEDED 10/20"/>
    <s v="20140331"/>
    <x v="14"/>
    <d v="2014-03-31T00:00:00"/>
    <n v="-2351.71"/>
  </r>
  <r>
    <s v="100023486"/>
    <s v="SA"/>
    <s v="40547 PD0023"/>
    <x v="0"/>
    <s v="RECURRING ENTRY ENDS 09/20; FV50 NEEDED 10/20"/>
    <s v="20140331"/>
    <x v="14"/>
    <d v="2014-03-31T00:00:00"/>
    <n v="-63.12"/>
  </r>
  <r>
    <s v="100023487"/>
    <s v="SA"/>
    <s v="40540 PD0018"/>
    <x v="0"/>
    <s v="RECURRING ENTRY ENDS 04/18; FV50 NEEDED 05/18"/>
    <s v="20140331"/>
    <x v="15"/>
    <d v="2014-03-31T00:00:00"/>
    <n v="-6308.36"/>
  </r>
  <r>
    <s v="100023488"/>
    <s v="SA"/>
    <s v="40549 PD0018"/>
    <x v="0"/>
    <s v="RECURRING ENTRY ENDS 04/18; FV50 NEEDED 05/18"/>
    <s v="20140331"/>
    <x v="15"/>
    <d v="2014-03-31T00:00:00"/>
    <n v="-7695.19"/>
  </r>
  <r>
    <s v="100023511"/>
    <s v="SA"/>
    <s v="40540 PD0025"/>
    <x v="0"/>
    <s v="$250M Bonds Due 2042"/>
    <s v="20140331"/>
    <x v="17"/>
    <d v="2014-03-31T00:00:00"/>
    <n v="-7123.53"/>
  </r>
  <r>
    <s v="100023512"/>
    <s v="SA"/>
    <s v="40540 PD0026"/>
    <x v="0"/>
    <s v="$225M Bonds Due 2022"/>
    <s v="20140331"/>
    <x v="0"/>
    <d v="2014-03-31T00:00:00"/>
    <n v="-14668.67"/>
  </r>
  <r>
    <s v="100024155"/>
    <s v="SA"/>
    <s v="89800-14"/>
    <x v="0"/>
    <s v=""/>
    <s v="20140403"/>
    <x v="0"/>
    <d v="2014-03-31T00:00:00"/>
    <n v="0.01"/>
  </r>
  <r>
    <s v="100032801"/>
    <s v="SA"/>
    <s v="40540"/>
    <x v="0"/>
    <s v="RECURRING ENTRY ENDS 10/30; FV50 NEEDED 11/30"/>
    <s v="20140430"/>
    <x v="2"/>
    <d v="2014-04-30T00:00:00"/>
    <n v="-6400.96"/>
  </r>
  <r>
    <s v="100032802"/>
    <s v="SA"/>
    <s v="40547 PD0013"/>
    <x v="0"/>
    <s v="RECURRING ENTRY ENDS 10/30; FV50 NEEDED 11/30"/>
    <s v="20140430"/>
    <x v="2"/>
    <d v="2014-04-30T00:00:00"/>
    <n v="-130.22"/>
  </r>
  <r>
    <s v="100032803"/>
    <s v="SA"/>
    <s v="40540 PD0015"/>
    <x v="0"/>
    <s v="RECURRING ENTRY ENDS 04/36; FV50 NEEDED 05/36"/>
    <s v="20140430"/>
    <x v="3"/>
    <d v="2014-04-30T00:00:00"/>
    <n v="-6872.38"/>
  </r>
  <r>
    <s v="100032804"/>
    <s v="SA"/>
    <s v="40548 PD0015"/>
    <x v="0"/>
    <s v="RECURRING ENTRY ENDS 04/36; FV50 NEEDED 05/36"/>
    <s v="20140430"/>
    <x v="3"/>
    <d v="2014-04-30T00:00:00"/>
    <n v="-4630.24"/>
  </r>
  <r>
    <s v="100032805"/>
    <s v="SA"/>
    <s v="40540 PD0020"/>
    <x v="0"/>
    <s v="RECURRING ENTRY ENDS 04/37; FV50 NEEDED 05/37"/>
    <s v="20140430"/>
    <x v="4"/>
    <d v="2014-04-30T00:00:00"/>
    <n v="-3059.89"/>
  </r>
  <r>
    <s v="100032806"/>
    <s v="SA"/>
    <s v="40540 PD0014"/>
    <x v="0"/>
    <s v="RECURRING ENTRY ENDS 10/34; FV50 NEEDED 11/34"/>
    <s v="20140430"/>
    <x v="5"/>
    <d v="2014-04-30T00:00:00"/>
    <n v="-8058.13"/>
  </r>
  <r>
    <s v="100032807"/>
    <s v="SA"/>
    <s v="40540 PD0009"/>
    <x v="0"/>
    <s v="RECURRING ENTRY ENDS 03/16; FV50 NEEDED 04/16"/>
    <s v="20140430"/>
    <x v="10"/>
    <d v="2014-04-30T00:00:00"/>
    <n v="-12467.89"/>
  </r>
  <r>
    <s v="100032808"/>
    <s v="SA"/>
    <s v="40540 PD0010"/>
    <x v="0"/>
    <s v="RECURRING ENTRY ENDS 04/18; FV50 NEEDED 05/18"/>
    <s v="20140430"/>
    <x v="12"/>
    <d v="2014-04-30T00:00:00"/>
    <n v="-7696.08"/>
  </r>
  <r>
    <s v="100032809"/>
    <s v="SA"/>
    <s v="40547 PD0010"/>
    <x v="0"/>
    <s v="RECURRING ENTRY ENDS 04/18; FV50 NEEDED 05/18"/>
    <s v="20140430"/>
    <x v="12"/>
    <d v="2014-04-30T00:00:00"/>
    <n v="-3633.17"/>
  </r>
  <r>
    <s v="100032810"/>
    <s v="SA"/>
    <s v="40540 PD0012"/>
    <x v="0"/>
    <s v="RECURRING ENTRY ENDS 07/25; FV50 NEEDED 08/25"/>
    <s v="20140430"/>
    <x v="13"/>
    <d v="2014-04-30T00:00:00"/>
    <n v="-4399.9399999999996"/>
  </r>
  <r>
    <s v="100032811"/>
    <s v="SA"/>
    <s v="40540 PD0023"/>
    <x v="0"/>
    <s v="RECURRING ENTRY ENDS 09/20; FV50 NEEDED 10/20"/>
    <s v="20140430"/>
    <x v="14"/>
    <d v="2014-04-30T00:00:00"/>
    <n v="-2351.71"/>
  </r>
  <r>
    <s v="100032812"/>
    <s v="SA"/>
    <s v="40547 PD0023"/>
    <x v="0"/>
    <s v="RECURRING ENTRY ENDS 09/20; FV50 NEEDED 10/20"/>
    <s v="20140430"/>
    <x v="14"/>
    <d v="2014-04-30T00:00:00"/>
    <n v="-63.12"/>
  </r>
  <r>
    <s v="100032813"/>
    <s v="SA"/>
    <s v="40540 PD0018"/>
    <x v="0"/>
    <s v="RECURRING ENTRY ENDS 04/18; FV50 NEEDED 05/18"/>
    <s v="20140430"/>
    <x v="15"/>
    <d v="2014-04-30T00:00:00"/>
    <n v="-6308.36"/>
  </r>
  <r>
    <s v="100032814"/>
    <s v="SA"/>
    <s v="40549 PD0018"/>
    <x v="0"/>
    <s v="RECURRING ENTRY ENDS 04/18; FV50 NEEDED 05/18"/>
    <s v="20140430"/>
    <x v="15"/>
    <d v="2014-04-30T00:00:00"/>
    <n v="-7695.19"/>
  </r>
  <r>
    <s v="100032836"/>
    <s v="SA"/>
    <s v="40540 PD0025"/>
    <x v="0"/>
    <s v="$250M Bonds Due 2042"/>
    <s v="20140430"/>
    <x v="17"/>
    <d v="2014-04-30T00:00:00"/>
    <n v="-7123.53"/>
  </r>
  <r>
    <s v="100032837"/>
    <s v="SA"/>
    <s v="40540 PD0026"/>
    <x v="0"/>
    <s v="$225M Bonds Due 2022"/>
    <s v="20140430"/>
    <x v="0"/>
    <d v="2014-04-30T00:00:00"/>
    <n v="-14668.67"/>
  </r>
  <r>
    <s v="9100000636"/>
    <s v="YP"/>
    <s v="SEC FILING 0514"/>
    <x v="0"/>
    <s v=""/>
    <s v="20140512"/>
    <x v="1"/>
    <d v="2014-05-12T00:00:00"/>
    <n v="37352"/>
  </r>
  <r>
    <s v="9100000633"/>
    <s v="YP"/>
    <s v="7119021927"/>
    <x v="0"/>
    <s v=""/>
    <s v="20140513"/>
    <x v="1"/>
    <d v="2014-05-22T00:00:00"/>
    <n v="108750"/>
  </r>
  <r>
    <s v="9100000688"/>
    <s v="YP"/>
    <s v="1998245"/>
    <x v="0"/>
    <s v=""/>
    <s v="20140513"/>
    <x v="1"/>
    <d v="2014-06-02T00:00:00"/>
    <n v="5790.09"/>
  </r>
  <r>
    <s v="9100000698"/>
    <s v="YP"/>
    <s v="10327230230"/>
    <x v="0"/>
    <s v=""/>
    <s v="20140519"/>
    <x v="1"/>
    <d v="2014-06-03T00:00:00"/>
    <n v="62833.33"/>
  </r>
  <r>
    <s v="9100000632"/>
    <s v="YP"/>
    <s v="389753"/>
    <x v="0"/>
    <s v=""/>
    <s v="20140520"/>
    <x v="1"/>
    <d v="2014-05-22T00:00:00"/>
    <n v="4867.17"/>
  </r>
  <r>
    <s v="9100000634"/>
    <s v="YP"/>
    <s v="NOTES DUES 2044"/>
    <x v="0"/>
    <s v=""/>
    <s v="20140520"/>
    <x v="1"/>
    <d v="2014-05-23T00:00:00"/>
    <n v="2368.33"/>
  </r>
  <r>
    <s v="9100000896"/>
    <s v="YP"/>
    <s v="1272352100"/>
    <x v="0"/>
    <s v=""/>
    <s v="20140530"/>
    <x v="1"/>
    <d v="2014-07-14T00:00:00"/>
    <n v="18970.830000000002"/>
  </r>
  <r>
    <s v="100041405"/>
    <s v="SA"/>
    <s v="40540"/>
    <x v="0"/>
    <s v="RECURRING ENTRY ENDS 10/30; FV50 NEEDED 11/30"/>
    <s v="20140531"/>
    <x v="2"/>
    <d v="2014-05-31T00:00:00"/>
    <n v="-6400.96"/>
  </r>
  <r>
    <s v="100041406"/>
    <s v="SA"/>
    <s v="40547 PD0013"/>
    <x v="0"/>
    <s v="RECURRING ENTRY ENDS 10/30; FV50 NEEDED 11/30"/>
    <s v="20140531"/>
    <x v="2"/>
    <d v="2014-05-31T00:00:00"/>
    <n v="-130.22"/>
  </r>
  <r>
    <s v="100041407"/>
    <s v="SA"/>
    <s v="40540 PD0015"/>
    <x v="0"/>
    <s v="RECURRING ENTRY ENDS 04/36; FV50 NEEDED 05/36"/>
    <s v="20140531"/>
    <x v="3"/>
    <d v="2014-05-31T00:00:00"/>
    <n v="-6872.38"/>
  </r>
  <r>
    <s v="100041408"/>
    <s v="SA"/>
    <s v="40548 PD0015"/>
    <x v="0"/>
    <s v="RECURRING ENTRY ENDS 04/36; FV50 NEEDED 05/36"/>
    <s v="20140531"/>
    <x v="3"/>
    <d v="2014-05-31T00:00:00"/>
    <n v="-4630.24"/>
  </r>
  <r>
    <s v="100041409"/>
    <s v="SA"/>
    <s v="40540 PD0020"/>
    <x v="0"/>
    <s v="RECURRING ENTRY ENDS 04/37; FV50 NEEDED 05/37"/>
    <s v="20140531"/>
    <x v="4"/>
    <d v="2014-05-31T00:00:00"/>
    <n v="-3059.89"/>
  </r>
  <r>
    <s v="100041410"/>
    <s v="SA"/>
    <s v="40540 PD0014"/>
    <x v="0"/>
    <s v="RECURRING ENTRY ENDS 10/34; FV50 NEEDED 11/34"/>
    <s v="20140531"/>
    <x v="5"/>
    <d v="2014-05-31T00:00:00"/>
    <n v="-8058.13"/>
  </r>
  <r>
    <s v="100041411"/>
    <s v="SA"/>
    <s v="40540 PD0009"/>
    <x v="0"/>
    <s v="RECURRING ENTRY ENDS 03/16; FV50 NEEDED 04/16"/>
    <s v="20140531"/>
    <x v="10"/>
    <d v="2014-05-31T00:00:00"/>
    <n v="-12467.89"/>
  </r>
  <r>
    <s v="100041412"/>
    <s v="SA"/>
    <s v="40540 PD0010"/>
    <x v="0"/>
    <s v="RECURRING ENTRY ENDS 04/18; FV50 NEEDED 05/18"/>
    <s v="20140531"/>
    <x v="12"/>
    <d v="2014-05-31T00:00:00"/>
    <n v="-7696.08"/>
  </r>
  <r>
    <s v="100041413"/>
    <s v="SA"/>
    <s v="40547 PD0010"/>
    <x v="0"/>
    <s v="RECURRING ENTRY ENDS 04/18; FV50 NEEDED 05/18"/>
    <s v="20140531"/>
    <x v="12"/>
    <d v="2014-05-31T00:00:00"/>
    <n v="-3633.17"/>
  </r>
  <r>
    <s v="100041414"/>
    <s v="SA"/>
    <s v="40540 PD0012"/>
    <x v="0"/>
    <s v="RECURRING ENTRY ENDS 07/25; FV50 NEEDED 08/25"/>
    <s v="20140531"/>
    <x v="13"/>
    <d v="2014-05-31T00:00:00"/>
    <n v="-4399.9399999999996"/>
  </r>
  <r>
    <s v="100041415"/>
    <s v="SA"/>
    <s v="40540 PD0023"/>
    <x v="0"/>
    <s v="RECURRING ENTRY ENDS 09/20; FV50 NEEDED 10/20"/>
    <s v="20140531"/>
    <x v="14"/>
    <d v="2014-05-31T00:00:00"/>
    <n v="-2351.71"/>
  </r>
  <r>
    <s v="100041416"/>
    <s v="SA"/>
    <s v="40547 PD0023"/>
    <x v="0"/>
    <s v="RECURRING ENTRY ENDS 09/20; FV50 NEEDED 10/20"/>
    <s v="20140531"/>
    <x v="14"/>
    <d v="2014-05-31T00:00:00"/>
    <n v="-63.12"/>
  </r>
  <r>
    <s v="100041417"/>
    <s v="SA"/>
    <s v="40540 PD0018"/>
    <x v="0"/>
    <s v="RECURRING ENTRY ENDS 04/18; FV50 NEEDED 05/18"/>
    <s v="20140531"/>
    <x v="15"/>
    <d v="2014-05-31T00:00:00"/>
    <n v="-6308.36"/>
  </r>
  <r>
    <s v="100041418"/>
    <s v="SA"/>
    <s v="40549 PD0018"/>
    <x v="0"/>
    <s v="RECURRING ENTRY ENDS 04/18; FV50 NEEDED 05/18"/>
    <s v="20140531"/>
    <x v="15"/>
    <d v="2014-05-31T00:00:00"/>
    <n v="-7695.19"/>
  </r>
  <r>
    <s v="100041440"/>
    <s v="SA"/>
    <s v="40540 PD0025"/>
    <x v="0"/>
    <s v="$250M Bonds Due 2042"/>
    <s v="20140531"/>
    <x v="17"/>
    <d v="2014-05-31T00:00:00"/>
    <n v="-7123.53"/>
  </r>
  <r>
    <s v="100041441"/>
    <s v="SA"/>
    <s v="40540 PD0026"/>
    <x v="0"/>
    <s v="$225M Bonds Due 2022"/>
    <s v="20140531"/>
    <x v="0"/>
    <d v="2014-05-31T00:00:00"/>
    <n v="-14668.67"/>
  </r>
  <r>
    <s v="100041496"/>
    <s v="SA"/>
    <s v="89800-28"/>
    <x v="0"/>
    <s v=""/>
    <s v="20140604"/>
    <x v="1"/>
    <d v="2014-05-31T00:00:00"/>
    <n v="-7474.75"/>
  </r>
  <r>
    <s v="9100000924"/>
    <s v="YP"/>
    <s v="2008595"/>
    <x v="0"/>
    <s v=""/>
    <s v="20140624"/>
    <x v="1"/>
    <d v="2014-07-18T00:00:00"/>
    <n v="55235.55"/>
  </r>
  <r>
    <s v="100048842"/>
    <s v="SA"/>
    <s v="40540"/>
    <x v="0"/>
    <s v="RECURRING ENTRY ENDS 10/30; FV50 NEEDED 11/30"/>
    <s v="20140630"/>
    <x v="2"/>
    <d v="2014-06-30T00:00:00"/>
    <n v="-6400.96"/>
  </r>
  <r>
    <s v="100048843"/>
    <s v="SA"/>
    <s v="40547 PD0013"/>
    <x v="0"/>
    <s v="RECURRING ENTRY ENDS 10/30; FV50 NEEDED 11/30"/>
    <s v="20140630"/>
    <x v="2"/>
    <d v="2014-06-30T00:00:00"/>
    <n v="-130.22"/>
  </r>
  <r>
    <s v="100048844"/>
    <s v="SA"/>
    <s v="40540 PD0015"/>
    <x v="0"/>
    <s v="RECURRING ENTRY ENDS 04/36; FV50 NEEDED 05/36"/>
    <s v="20140630"/>
    <x v="3"/>
    <d v="2014-06-30T00:00:00"/>
    <n v="-6872.38"/>
  </r>
  <r>
    <s v="100048845"/>
    <s v="SA"/>
    <s v="40548 PD0015"/>
    <x v="0"/>
    <s v="RECURRING ENTRY ENDS 04/36; FV50 NEEDED 05/36"/>
    <s v="20140630"/>
    <x v="3"/>
    <d v="2014-06-30T00:00:00"/>
    <n v="-4630.24"/>
  </r>
  <r>
    <s v="100048846"/>
    <s v="SA"/>
    <s v="40540 PD0020"/>
    <x v="0"/>
    <s v="RECURRING ENTRY ENDS 04/37; FV50 NEEDED 05/37"/>
    <s v="20140630"/>
    <x v="4"/>
    <d v="2014-06-30T00:00:00"/>
    <n v="-3059.89"/>
  </r>
  <r>
    <s v="100048847"/>
    <s v="SA"/>
    <s v="40540 PD0014"/>
    <x v="0"/>
    <s v="RECURRING ENTRY ENDS 10/34; FV50 NEEDED 11/34"/>
    <s v="20140630"/>
    <x v="5"/>
    <d v="2014-06-30T00:00:00"/>
    <n v="-8058.13"/>
  </r>
  <r>
    <s v="100048848"/>
    <s v="SA"/>
    <s v="40540 PD0009"/>
    <x v="0"/>
    <s v="RECURRING ENTRY ENDS 03/16; FV50 NEEDED 04/16"/>
    <s v="20140630"/>
    <x v="10"/>
    <d v="2014-06-30T00:00:00"/>
    <n v="-12467.89"/>
  </r>
  <r>
    <s v="100048849"/>
    <s v="SA"/>
    <s v="40540 PD0010"/>
    <x v="0"/>
    <s v="RECURRING ENTRY ENDS 04/18; FV50 NEEDED 05/18"/>
    <s v="20140630"/>
    <x v="12"/>
    <d v="2014-06-30T00:00:00"/>
    <n v="-7696.08"/>
  </r>
  <r>
    <s v="100048850"/>
    <s v="SA"/>
    <s v="40547 PD0010"/>
    <x v="0"/>
    <s v="RECURRING ENTRY ENDS 04/18; FV50 NEEDED 05/18"/>
    <s v="20140630"/>
    <x v="12"/>
    <d v="2014-06-30T00:00:00"/>
    <n v="-3633.17"/>
  </r>
  <r>
    <s v="100048851"/>
    <s v="SA"/>
    <s v="40540 PD0012"/>
    <x v="0"/>
    <s v="RECURRING ENTRY ENDS 07/25; FV50 NEEDED 08/25"/>
    <s v="20140630"/>
    <x v="13"/>
    <d v="2014-06-30T00:00:00"/>
    <n v="-4399.9399999999996"/>
  </r>
  <r>
    <s v="100048852"/>
    <s v="SA"/>
    <s v="40540 PD0023"/>
    <x v="0"/>
    <s v="RECURRING ENTRY ENDS 09/20; FV50 NEEDED 10/20"/>
    <s v="20140630"/>
    <x v="14"/>
    <d v="2014-06-30T00:00:00"/>
    <n v="-2351.71"/>
  </r>
  <r>
    <s v="100048853"/>
    <s v="SA"/>
    <s v="40547 PD0023"/>
    <x v="0"/>
    <s v="RECURRING ENTRY ENDS 09/20; FV50 NEEDED 10/20"/>
    <s v="20140630"/>
    <x v="14"/>
    <d v="2014-06-30T00:00:00"/>
    <n v="-63.12"/>
  </r>
  <r>
    <s v="100048854"/>
    <s v="SA"/>
    <s v="40540 PD0018"/>
    <x v="0"/>
    <s v="RECURRING ENTRY ENDS 04/18; FV50 NEEDED 05/18"/>
    <s v="20140630"/>
    <x v="15"/>
    <d v="2014-06-30T00:00:00"/>
    <n v="-6308.36"/>
  </r>
  <r>
    <s v="100048855"/>
    <s v="SA"/>
    <s v="40549 PD0018"/>
    <x v="0"/>
    <s v="RECURRING ENTRY ENDS 04/18; FV50 NEEDED 05/18"/>
    <s v="20140630"/>
    <x v="15"/>
    <d v="2014-06-30T00:00:00"/>
    <n v="-7695.19"/>
  </r>
  <r>
    <s v="100048877"/>
    <s v="SA"/>
    <s v="40540 PD0025"/>
    <x v="0"/>
    <s v="$250M Bonds Due 2042"/>
    <s v="20140630"/>
    <x v="17"/>
    <d v="2014-06-30T00:00:00"/>
    <n v="-7123.53"/>
  </r>
  <r>
    <s v="100048878"/>
    <s v="SA"/>
    <s v="40540 PD0026"/>
    <x v="0"/>
    <s v="$225M Bonds Due 2022"/>
    <s v="20140630"/>
    <x v="0"/>
    <d v="2014-06-30T00:00:00"/>
    <n v="-14668.67"/>
  </r>
  <r>
    <s v="100048834"/>
    <s v="SA"/>
    <s v="40505"/>
    <x v="0"/>
    <s v=""/>
    <s v="20140701"/>
    <x v="1"/>
    <d v="2014-06-30T00:00:00"/>
    <n v="-7855.79"/>
  </r>
  <r>
    <s v="100048834"/>
    <s v="SA"/>
    <s v="40505"/>
    <x v="0"/>
    <s v=""/>
    <s v="20140701"/>
    <x v="1"/>
    <d v="2014-06-30T00:00:00"/>
    <n v="0.2"/>
  </r>
  <r>
    <s v="100049332"/>
    <s v="SA"/>
    <s v="89850-2"/>
    <x v="0"/>
    <s v=""/>
    <s v="20140702"/>
    <x v="0"/>
    <d v="2014-06-30T00:00:00"/>
    <n v="0.01"/>
  </r>
  <r>
    <s v="100049332"/>
    <s v="SA"/>
    <s v="89850-2"/>
    <x v="0"/>
    <s v=""/>
    <s v="20140702"/>
    <x v="17"/>
    <d v="2014-06-30T00:00:00"/>
    <n v="0.01"/>
  </r>
  <r>
    <s v="9100001123"/>
    <s v="YP"/>
    <s v="US14015343"/>
    <x v="0"/>
    <s v=""/>
    <s v="20140729"/>
    <x v="1"/>
    <d v="2014-09-03T00:00:00"/>
    <n v="143550"/>
  </r>
  <r>
    <s v="100058330"/>
    <s v="SA"/>
    <s v="40540"/>
    <x v="0"/>
    <s v="RECURRING ENTRY ENDS 10/30; FV50 NEEDED 11/30"/>
    <s v="20140731"/>
    <x v="2"/>
    <d v="2014-07-31T00:00:00"/>
    <n v="-6400.96"/>
  </r>
  <r>
    <s v="100058331"/>
    <s v="SA"/>
    <s v="40547 PD0013"/>
    <x v="0"/>
    <s v="RECURRING ENTRY ENDS 10/30; FV50 NEEDED 11/30"/>
    <s v="20140731"/>
    <x v="2"/>
    <d v="2014-07-31T00:00:00"/>
    <n v="-130.22"/>
  </r>
  <r>
    <s v="100058332"/>
    <s v="SA"/>
    <s v="40540 PD0015"/>
    <x v="0"/>
    <s v="RECURRING ENTRY ENDS 04/36; FV50 NEEDED 05/36"/>
    <s v="20140731"/>
    <x v="3"/>
    <d v="2014-07-31T00:00:00"/>
    <n v="-6872.38"/>
  </r>
  <r>
    <s v="100058333"/>
    <s v="SA"/>
    <s v="40548 PD0015"/>
    <x v="0"/>
    <s v="RECURRING ENTRY ENDS 04/36; FV50 NEEDED 05/36"/>
    <s v="20140731"/>
    <x v="3"/>
    <d v="2014-07-31T00:00:00"/>
    <n v="-4630.24"/>
  </r>
  <r>
    <s v="100058334"/>
    <s v="SA"/>
    <s v="40540 PD0020"/>
    <x v="0"/>
    <s v="RECURRING ENTRY ENDS 04/37; FV50 NEEDED 05/37"/>
    <s v="20140731"/>
    <x v="4"/>
    <d v="2014-07-31T00:00:00"/>
    <n v="-3059.89"/>
  </r>
  <r>
    <s v="100058335"/>
    <s v="SA"/>
    <s v="40540 PD0014"/>
    <x v="0"/>
    <s v="RECURRING ENTRY ENDS 10/34; FV50 NEEDED 11/34"/>
    <s v="20140731"/>
    <x v="5"/>
    <d v="2014-07-31T00:00:00"/>
    <n v="-8058.13"/>
  </r>
  <r>
    <s v="100058336"/>
    <s v="SA"/>
    <s v="40540 PD0009"/>
    <x v="0"/>
    <s v="RECURRING ENTRY ENDS 03/16; FV50 NEEDED 04/16"/>
    <s v="20140731"/>
    <x v="10"/>
    <d v="2014-07-31T00:00:00"/>
    <n v="-12467.89"/>
  </r>
  <r>
    <s v="100058337"/>
    <s v="SA"/>
    <s v="40540 PD0010"/>
    <x v="0"/>
    <s v="RECURRING ENTRY ENDS 04/18; FV50 NEEDED 05/18"/>
    <s v="20140731"/>
    <x v="12"/>
    <d v="2014-07-31T00:00:00"/>
    <n v="-7696.08"/>
  </r>
  <r>
    <s v="100058338"/>
    <s v="SA"/>
    <s v="40547 PD0010"/>
    <x v="0"/>
    <s v="RECURRING ENTRY ENDS 04/18; FV50 NEEDED 05/18"/>
    <s v="20140731"/>
    <x v="12"/>
    <d v="2014-07-31T00:00:00"/>
    <n v="-3633.17"/>
  </r>
  <r>
    <s v="100058339"/>
    <s v="SA"/>
    <s v="40540 PD0012"/>
    <x v="0"/>
    <s v="RECURRING ENTRY ENDS 07/25; FV50 NEEDED 08/25"/>
    <s v="20140731"/>
    <x v="13"/>
    <d v="2014-07-31T00:00:00"/>
    <n v="-4399.9399999999996"/>
  </r>
  <r>
    <s v="100058340"/>
    <s v="SA"/>
    <s v="40540 PD0023"/>
    <x v="0"/>
    <s v="RECURRING ENTRY ENDS 09/20; FV50 NEEDED 10/20"/>
    <s v="20140731"/>
    <x v="14"/>
    <d v="2014-07-31T00:00:00"/>
    <n v="-2351.71"/>
  </r>
  <r>
    <s v="100058341"/>
    <s v="SA"/>
    <s v="40547 PD0023"/>
    <x v="0"/>
    <s v="RECURRING ENTRY ENDS 09/20; FV50 NEEDED 10/20"/>
    <s v="20140731"/>
    <x v="14"/>
    <d v="2014-07-31T00:00:00"/>
    <n v="-63.12"/>
  </r>
  <r>
    <s v="100058342"/>
    <s v="SA"/>
    <s v="40540 PD0018"/>
    <x v="0"/>
    <s v="RECURRING ENTRY ENDS 04/18; FV50 NEEDED 05/18"/>
    <s v="20140731"/>
    <x v="15"/>
    <d v="2014-07-31T00:00:00"/>
    <n v="-6308.36"/>
  </r>
  <r>
    <s v="100058343"/>
    <s v="SA"/>
    <s v="40549 PD0018"/>
    <x v="0"/>
    <s v="RECURRING ENTRY ENDS 04/18; FV50 NEEDED 05/18"/>
    <s v="20140731"/>
    <x v="15"/>
    <d v="2014-07-31T00:00:00"/>
    <n v="-7695.19"/>
  </r>
  <r>
    <s v="100058365"/>
    <s v="SA"/>
    <s v="40540 PD0025"/>
    <x v="0"/>
    <s v="RECURRING ENTRY ENDS 04/42,FV50 NEEDED 05/42"/>
    <s v="20140731"/>
    <x v="17"/>
    <d v="2014-07-31T00:00:00"/>
    <n v="-7123.53"/>
  </r>
  <r>
    <s v="100058366"/>
    <s v="SA"/>
    <s v="40540 PD0026"/>
    <x v="0"/>
    <s v="$225M Bonds Due 2022"/>
    <s v="20140731"/>
    <x v="0"/>
    <d v="2014-07-31T00:00:00"/>
    <n v="-14668.67"/>
  </r>
  <r>
    <s v="100058417"/>
    <s v="SA"/>
    <s v="40505"/>
    <x v="0"/>
    <s v=""/>
    <s v="20140731"/>
    <x v="1"/>
    <d v="2014-07-31T00:00:00"/>
    <n v="-8283.56"/>
  </r>
  <r>
    <s v="9100001091"/>
    <s v="YP"/>
    <s v="1111613501"/>
    <x v="0"/>
    <s v=""/>
    <s v="20140811"/>
    <x v="1"/>
    <d v="2014-08-28T00:00:00"/>
    <n v="5800"/>
  </r>
  <r>
    <s v="100068389"/>
    <s v="SA"/>
    <s v="40540"/>
    <x v="0"/>
    <s v="RECURRING ENTRY ENDS 10/30; FV50 NEEDED 11/30"/>
    <s v="20140831"/>
    <x v="2"/>
    <d v="2014-08-31T00:00:00"/>
    <n v="-6400.96"/>
  </r>
  <r>
    <s v="100068390"/>
    <s v="SA"/>
    <s v="40547 PD0013"/>
    <x v="0"/>
    <s v="RECURRING ENTRY ENDS 10/30; FV50 NEEDED 11/30"/>
    <s v="20140831"/>
    <x v="2"/>
    <d v="2014-08-31T00:00:00"/>
    <n v="-130.22"/>
  </r>
  <r>
    <s v="100068391"/>
    <s v="SA"/>
    <s v="40540 PD0015"/>
    <x v="0"/>
    <s v="RECURRING ENTRY ENDS 04/36; FV50 NEEDED 05/36"/>
    <s v="20140831"/>
    <x v="3"/>
    <d v="2014-08-31T00:00:00"/>
    <n v="-6872.38"/>
  </r>
  <r>
    <s v="100068392"/>
    <s v="SA"/>
    <s v="40548 PD0015"/>
    <x v="0"/>
    <s v="RECURRING ENTRY ENDS 04/36; FV50 NEEDED 05/36"/>
    <s v="20140831"/>
    <x v="3"/>
    <d v="2014-08-31T00:00:00"/>
    <n v="-4630.24"/>
  </r>
  <r>
    <s v="100068393"/>
    <s v="SA"/>
    <s v="40540 PD0020"/>
    <x v="0"/>
    <s v="RECURRING ENTRY ENDS 04/37; FV50 NEEDED 05/37"/>
    <s v="20140831"/>
    <x v="4"/>
    <d v="2014-08-31T00:00:00"/>
    <n v="-3059.89"/>
  </r>
  <r>
    <s v="100068394"/>
    <s v="SA"/>
    <s v="40540 PD0014"/>
    <x v="0"/>
    <s v="RECURRING ENTRY ENDS 10/34; FV50 NEEDED 11/34"/>
    <s v="20140831"/>
    <x v="5"/>
    <d v="2014-08-31T00:00:00"/>
    <n v="-8058.13"/>
  </r>
  <r>
    <s v="100068395"/>
    <s v="SA"/>
    <s v="40540 PD0009"/>
    <x v="0"/>
    <s v="RECURRING ENTRY ENDS 03/16; FV50 NEEDED 04/16"/>
    <s v="20140831"/>
    <x v="10"/>
    <d v="2014-08-31T00:00:00"/>
    <n v="-12467.89"/>
  </r>
  <r>
    <s v="100068396"/>
    <s v="SA"/>
    <s v="40540 PD0010"/>
    <x v="0"/>
    <s v="RECURRING ENTRY ENDS 04/18; FV50 NEEDED 05/18"/>
    <s v="20140831"/>
    <x v="12"/>
    <d v="2014-08-31T00:00:00"/>
    <n v="-7696.08"/>
  </r>
  <r>
    <s v="100068397"/>
    <s v="SA"/>
    <s v="40547 PD0010"/>
    <x v="0"/>
    <s v="RECURRING ENTRY ENDS 04/18; FV50 NEEDED 05/18"/>
    <s v="20140831"/>
    <x v="12"/>
    <d v="2014-08-31T00:00:00"/>
    <n v="-3633.17"/>
  </r>
  <r>
    <s v="100068398"/>
    <s v="SA"/>
    <s v="40540 PD0012"/>
    <x v="0"/>
    <s v="RECURRING ENTRY ENDS 07/25; FV50 NEEDED 08/25"/>
    <s v="20140831"/>
    <x v="13"/>
    <d v="2014-08-31T00:00:00"/>
    <n v="-4399.9399999999996"/>
  </r>
  <r>
    <s v="100068399"/>
    <s v="SA"/>
    <s v="40540 PD0023"/>
    <x v="0"/>
    <s v="RECURRING ENTRY ENDS 09/20; FV50 NEEDED 10/20"/>
    <s v="20140831"/>
    <x v="14"/>
    <d v="2014-08-31T00:00:00"/>
    <n v="-2351.71"/>
  </r>
  <r>
    <s v="100068400"/>
    <s v="SA"/>
    <s v="40547 PD0023"/>
    <x v="0"/>
    <s v="RECURRING ENTRY ENDS 09/20; FV50 NEEDED 10/20"/>
    <s v="20140831"/>
    <x v="14"/>
    <d v="2014-08-31T00:00:00"/>
    <n v="-63.12"/>
  </r>
  <r>
    <s v="100068401"/>
    <s v="SA"/>
    <s v="40540 PD0018"/>
    <x v="0"/>
    <s v="RECURRING ENTRY ENDS 04/18; FV50 NEEDED 05/18"/>
    <s v="20140831"/>
    <x v="15"/>
    <d v="2014-08-31T00:00:00"/>
    <n v="-6308.36"/>
  </r>
  <r>
    <s v="100068402"/>
    <s v="SA"/>
    <s v="40549 PD0018"/>
    <x v="0"/>
    <s v="RECURRING ENTRY ENDS 04/18; FV50 NEEDED 05/18"/>
    <s v="20140831"/>
    <x v="15"/>
    <d v="2014-08-31T00:00:00"/>
    <n v="-7695.19"/>
  </r>
  <r>
    <s v="100068424"/>
    <s v="SA"/>
    <s v="40540 PD0025"/>
    <x v="0"/>
    <s v="RECURRING ENTRY ENDS 04/42,FV50 NEEDED 05/42"/>
    <s v="20140831"/>
    <x v="17"/>
    <d v="2014-08-31T00:00:00"/>
    <n v="-7123.53"/>
  </r>
  <r>
    <s v="100068425"/>
    <s v="SA"/>
    <s v="40540 PD0026"/>
    <x v="0"/>
    <s v="$225M Bonds Due 2022"/>
    <s v="20140831"/>
    <x v="0"/>
    <d v="2014-08-31T00:00:00"/>
    <n v="-14668.67"/>
  </r>
  <r>
    <s v="9100001219"/>
    <s v="YP"/>
    <s v="252-1811172"/>
    <x v="0"/>
    <s v=""/>
    <s v="20140901"/>
    <x v="0"/>
    <d v="2014-09-24T00:00:00"/>
    <n v="3600"/>
  </r>
  <r>
    <s v="100067343"/>
    <s v="SA"/>
    <s v="40505"/>
    <x v="0"/>
    <s v=""/>
    <s v="20140903"/>
    <x v="1"/>
    <d v="2014-08-31T00:00:00"/>
    <n v="-7935.74"/>
  </r>
  <r>
    <s v="9100001212"/>
    <s v="YP"/>
    <s v="10353675"/>
    <x v="0"/>
    <s v=""/>
    <s v="20140903"/>
    <x v="1"/>
    <d v="2014-09-23T00:00:00"/>
    <n v="147900"/>
  </r>
  <r>
    <s v="100076029"/>
    <s v="SA"/>
    <s v="40540"/>
    <x v="0"/>
    <s v="RECURRING ENTRY ENDS 10/30; FV50 NEEDED 11/30"/>
    <s v="20140930"/>
    <x v="2"/>
    <d v="2014-09-30T00:00:00"/>
    <n v="-6400.96"/>
  </r>
  <r>
    <s v="100076030"/>
    <s v="SA"/>
    <s v="40547 PD0013"/>
    <x v="0"/>
    <s v="RECURRING ENTRY ENDS 10/30; FV50 NEEDED 11/30"/>
    <s v="20140930"/>
    <x v="2"/>
    <d v="2014-09-30T00:00:00"/>
    <n v="-130.22"/>
  </r>
  <r>
    <s v="100076031"/>
    <s v="SA"/>
    <s v="40540 PD0015"/>
    <x v="0"/>
    <s v="RECURRING ENTRY ENDS 04/36; FV50 NEEDED 05/36"/>
    <s v="20140930"/>
    <x v="3"/>
    <d v="2014-09-30T00:00:00"/>
    <n v="-6872.38"/>
  </r>
  <r>
    <s v="100076032"/>
    <s v="SA"/>
    <s v="40548 PD0015"/>
    <x v="0"/>
    <s v="RECURRING ENTRY ENDS 04/36; FV50 NEEDED 05/36"/>
    <s v="20140930"/>
    <x v="3"/>
    <d v="2014-09-30T00:00:00"/>
    <n v="-4630.24"/>
  </r>
  <r>
    <s v="100076033"/>
    <s v="SA"/>
    <s v="40540 PD0020"/>
    <x v="0"/>
    <s v="RECURRING ENTRY ENDS 04/37; FV50 NEEDED 05/37"/>
    <s v="20140930"/>
    <x v="4"/>
    <d v="2014-09-30T00:00:00"/>
    <n v="-3059.89"/>
  </r>
  <r>
    <s v="100076034"/>
    <s v="SA"/>
    <s v="40540 PD0014"/>
    <x v="0"/>
    <s v="RECURRING ENTRY ENDS 10/34; FV50 NEEDED 11/34"/>
    <s v="20140930"/>
    <x v="5"/>
    <d v="2014-09-30T00:00:00"/>
    <n v="-8058.13"/>
  </r>
  <r>
    <s v="100076035"/>
    <s v="SA"/>
    <s v="40540 PD0009"/>
    <x v="0"/>
    <s v="RECURRING ENTRY ENDS 03/16; FV50 NEEDED 04/16"/>
    <s v="20140930"/>
    <x v="10"/>
    <d v="2014-09-30T00:00:00"/>
    <n v="-12467.89"/>
  </r>
  <r>
    <s v="100076036"/>
    <s v="SA"/>
    <s v="40540 PD0010"/>
    <x v="0"/>
    <s v="RECURRING ENTRY ENDS 04/18; FV50 NEEDED 05/18"/>
    <s v="20140930"/>
    <x v="12"/>
    <d v="2014-09-30T00:00:00"/>
    <n v="-7696.08"/>
  </r>
  <r>
    <s v="100076037"/>
    <s v="SA"/>
    <s v="40547 PD0010"/>
    <x v="0"/>
    <s v="RECURRING ENTRY ENDS 04/18; FV50 NEEDED 05/18"/>
    <s v="20140930"/>
    <x v="12"/>
    <d v="2014-09-30T00:00:00"/>
    <n v="-3633.17"/>
  </r>
  <r>
    <s v="100076038"/>
    <s v="SA"/>
    <s v="40540 PD0012"/>
    <x v="0"/>
    <s v="RECURRING ENTRY ENDS 07/25; FV50 NEEDED 08/25"/>
    <s v="20140930"/>
    <x v="13"/>
    <d v="2014-09-30T00:00:00"/>
    <n v="-4399.9399999999996"/>
  </r>
  <r>
    <s v="100076039"/>
    <s v="SA"/>
    <s v="40540 PD0023"/>
    <x v="0"/>
    <s v="RECURRING ENTRY ENDS 09/20; FV50 NEEDED 10/20"/>
    <s v="20140930"/>
    <x v="14"/>
    <d v="2014-09-30T00:00:00"/>
    <n v="-2351.71"/>
  </r>
  <r>
    <s v="100076040"/>
    <s v="SA"/>
    <s v="40547 PD0023"/>
    <x v="0"/>
    <s v="RECURRING ENTRY ENDS 09/20; FV50 NEEDED 10/20"/>
    <s v="20140930"/>
    <x v="14"/>
    <d v="2014-09-30T00:00:00"/>
    <n v="-63.12"/>
  </r>
  <r>
    <s v="100076041"/>
    <s v="SA"/>
    <s v="40540 PD0018"/>
    <x v="0"/>
    <s v="RECURRING ENTRY ENDS 04/18; FV50 NEEDED 05/18"/>
    <s v="20140930"/>
    <x v="15"/>
    <d v="2014-09-30T00:00:00"/>
    <n v="-6308.36"/>
  </r>
  <r>
    <s v="100076042"/>
    <s v="SA"/>
    <s v="40549 PD0018"/>
    <x v="0"/>
    <s v="RECURRING ENTRY ENDS 04/18; FV50 NEEDED 05/18"/>
    <s v="20140930"/>
    <x v="15"/>
    <d v="2014-09-30T00:00:00"/>
    <n v="-7695.19"/>
  </r>
  <r>
    <s v="100076063"/>
    <s v="SA"/>
    <s v="40540 PD0025"/>
    <x v="0"/>
    <s v="RECURRING ENTRY ENDS 04/42,FV50 NEEDED 05/42"/>
    <s v="20140930"/>
    <x v="17"/>
    <d v="2014-09-30T00:00:00"/>
    <n v="-7123.53"/>
  </r>
  <r>
    <s v="100076064"/>
    <s v="SA"/>
    <s v="40540 PD0026"/>
    <x v="0"/>
    <s v="$225M Bonds Due 2022"/>
    <s v="20140930"/>
    <x v="0"/>
    <d v="2014-09-30T00:00:00"/>
    <n v="-14668.67"/>
  </r>
  <r>
    <s v="100076125"/>
    <s v="SA"/>
    <s v="40505"/>
    <x v="0"/>
    <s v=""/>
    <s v="20141002"/>
    <x v="1"/>
    <d v="2014-09-30T00:00:00"/>
    <n v="-11935.31"/>
  </r>
  <r>
    <s v="100076129"/>
    <s v="SA"/>
    <s v="89800-14"/>
    <x v="0"/>
    <s v="Trustee Fee Exp"/>
    <s v="20141002"/>
    <x v="0"/>
    <d v="2014-09-30T00:00:00"/>
    <n v="-3600"/>
  </r>
  <r>
    <s v="9100001410"/>
    <s v="YP"/>
    <s v="878111"/>
    <x v="0"/>
    <s v=""/>
    <s v="20141006"/>
    <x v="1"/>
    <d v="2014-10-21T00:00:00"/>
    <n v="4833.33"/>
  </r>
  <r>
    <s v="100085975"/>
    <s v="SA"/>
    <s v="40540"/>
    <x v="0"/>
    <s v="RECURRING ENTRY ENDS 10/30; FV50 NEEDED 11/30"/>
    <s v="20141031"/>
    <x v="2"/>
    <d v="2014-10-31T00:00:00"/>
    <n v="-6400.96"/>
  </r>
  <r>
    <s v="100085976"/>
    <s v="SA"/>
    <s v="40547 PD0013"/>
    <x v="0"/>
    <s v="RECURRING ENTRY ENDS 10/30; FV50 NEEDED 11/30"/>
    <s v="20141031"/>
    <x v="2"/>
    <d v="2014-10-31T00:00:00"/>
    <n v="-130.22"/>
  </r>
  <r>
    <s v="100085977"/>
    <s v="SA"/>
    <s v="40540 PD0015"/>
    <x v="0"/>
    <s v="RECURRING ENTRY ENDS 04/36; FV50 NEEDED 05/36"/>
    <s v="20141031"/>
    <x v="3"/>
    <d v="2014-10-31T00:00:00"/>
    <n v="-6872.38"/>
  </r>
  <r>
    <s v="100085978"/>
    <s v="SA"/>
    <s v="40548 PD0015"/>
    <x v="0"/>
    <s v="RECURRING ENTRY ENDS 04/36; FV50 NEEDED 05/36"/>
    <s v="20141031"/>
    <x v="3"/>
    <d v="2014-10-31T00:00:00"/>
    <n v="-4630.24"/>
  </r>
  <r>
    <s v="100085979"/>
    <s v="SA"/>
    <s v="40540 PD0020"/>
    <x v="0"/>
    <s v="RECURRING ENTRY ENDS 04/37; FV50 NEEDED 05/37"/>
    <s v="20141031"/>
    <x v="4"/>
    <d v="2014-10-31T00:00:00"/>
    <n v="-3059.89"/>
  </r>
  <r>
    <s v="100085980"/>
    <s v="SA"/>
    <s v="40540 PD0014"/>
    <x v="0"/>
    <s v="RECURRING ENTRY ENDS 10/34; FV50 NEEDED 11/34"/>
    <s v="20141031"/>
    <x v="5"/>
    <d v="2014-10-31T00:00:00"/>
    <n v="-8058.13"/>
  </r>
  <r>
    <s v="100085981"/>
    <s v="SA"/>
    <s v="40540 PD0009"/>
    <x v="0"/>
    <s v="RECURRING ENTRY ENDS 03/16; FV50 NEEDED 04/16"/>
    <s v="20141031"/>
    <x v="10"/>
    <d v="2014-10-31T00:00:00"/>
    <n v="-12467.89"/>
  </r>
  <r>
    <s v="100085982"/>
    <s v="SA"/>
    <s v="40540 PD0010"/>
    <x v="0"/>
    <s v="RECURRING ENTRY ENDS 04/18; FV50 NEEDED 05/18"/>
    <s v="20141031"/>
    <x v="12"/>
    <d v="2014-10-31T00:00:00"/>
    <n v="-7696.08"/>
  </r>
  <r>
    <s v="100085983"/>
    <s v="SA"/>
    <s v="40547 PD0010"/>
    <x v="0"/>
    <s v="RECURRING ENTRY ENDS 04/18; FV50 NEEDED 05/18"/>
    <s v="20141031"/>
    <x v="12"/>
    <d v="2014-10-31T00:00:00"/>
    <n v="-3633.17"/>
  </r>
  <r>
    <s v="100085984"/>
    <s v="SA"/>
    <s v="40540 PD0012"/>
    <x v="0"/>
    <s v="RECURRING ENTRY ENDS 07/25; FV50 NEEDED 08/25"/>
    <s v="20141031"/>
    <x v="13"/>
    <d v="2014-10-31T00:00:00"/>
    <n v="-4399.9399999999996"/>
  </r>
  <r>
    <s v="100085985"/>
    <s v="SA"/>
    <s v="40540 PD0023"/>
    <x v="0"/>
    <s v="RECURRING ENTRY ENDS 09/20; FV50 NEEDED 10/20"/>
    <s v="20141031"/>
    <x v="14"/>
    <d v="2014-10-31T00:00:00"/>
    <n v="-2351.71"/>
  </r>
  <r>
    <s v="100085986"/>
    <s v="SA"/>
    <s v="40547 PD0023"/>
    <x v="0"/>
    <s v="RECURRING ENTRY ENDS 09/20; FV50 NEEDED 10/20"/>
    <s v="20141031"/>
    <x v="14"/>
    <d v="2014-10-31T00:00:00"/>
    <n v="-63.12"/>
  </r>
  <r>
    <s v="100085987"/>
    <s v="SA"/>
    <s v="40540 PD0018"/>
    <x v="0"/>
    <s v="RECURRING ENTRY ENDS 04/18; FV50 NEEDED 05/18"/>
    <s v="20141031"/>
    <x v="15"/>
    <d v="2014-10-31T00:00:00"/>
    <n v="-6308.36"/>
  </r>
  <r>
    <s v="100085988"/>
    <s v="SA"/>
    <s v="40549 PD0018"/>
    <x v="0"/>
    <s v="RECURRING ENTRY ENDS 04/18; FV50 NEEDED 05/18"/>
    <s v="20141031"/>
    <x v="15"/>
    <d v="2014-10-31T00:00:00"/>
    <n v="-7695.19"/>
  </r>
  <r>
    <s v="100086008"/>
    <s v="SA"/>
    <s v="40540 PD0025"/>
    <x v="0"/>
    <s v="RECURRING ENTRY ENDS 04/42,FV50 NEEDED 05/42"/>
    <s v="20141031"/>
    <x v="17"/>
    <d v="2014-10-31T00:00:00"/>
    <n v="-7123.53"/>
  </r>
  <r>
    <s v="100086009"/>
    <s v="SA"/>
    <s v="40540 PD0026"/>
    <x v="0"/>
    <s v="$225M Bonds Due 2022"/>
    <s v="20141031"/>
    <x v="0"/>
    <d v="2014-10-31T00:00:00"/>
    <n v="-14668.67"/>
  </r>
  <r>
    <s v="100086373"/>
    <s v="SA"/>
    <s v="40505"/>
    <x v="0"/>
    <s v=""/>
    <s v="20141105"/>
    <x v="1"/>
    <d v="2014-10-31T00:00:00"/>
    <n v="-8777.57"/>
  </r>
  <r>
    <s v="100093429"/>
    <s v="SA"/>
    <s v="40540"/>
    <x v="0"/>
    <s v="RECURRING ENTRY ENDS 10/30; FV50 NEEDED 11/30"/>
    <s v="20141130"/>
    <x v="2"/>
    <d v="2014-11-30T00:00:00"/>
    <n v="-6400.96"/>
  </r>
  <r>
    <s v="100093430"/>
    <s v="SA"/>
    <s v="40547 PD0013"/>
    <x v="0"/>
    <s v="RECURRING ENTRY ENDS 10/30; FV50 NEEDED 11/30"/>
    <s v="20141130"/>
    <x v="2"/>
    <d v="2014-11-30T00:00:00"/>
    <n v="-130.22"/>
  </r>
  <r>
    <s v="100093431"/>
    <s v="SA"/>
    <s v="40540 PD0015"/>
    <x v="0"/>
    <s v="RECURRING ENTRY ENDS 04/36; FV50 NEEDED 05/36"/>
    <s v="20141130"/>
    <x v="3"/>
    <d v="2014-11-30T00:00:00"/>
    <n v="-6872.38"/>
  </r>
  <r>
    <s v="100093432"/>
    <s v="SA"/>
    <s v="40548 PD0015"/>
    <x v="0"/>
    <s v="RECURRING ENTRY ENDS 04/36; FV50 NEEDED 05/36"/>
    <s v="20141130"/>
    <x v="3"/>
    <d v="2014-11-30T00:00:00"/>
    <n v="-4630.24"/>
  </r>
  <r>
    <s v="100093433"/>
    <s v="SA"/>
    <s v="40540 PD0020"/>
    <x v="0"/>
    <s v="RECURRING ENTRY ENDS 04/37; FV50 NEEDED 05/37"/>
    <s v="20141130"/>
    <x v="4"/>
    <d v="2014-11-30T00:00:00"/>
    <n v="-3059.89"/>
  </r>
  <r>
    <s v="100093434"/>
    <s v="SA"/>
    <s v="40540 PD0014"/>
    <x v="0"/>
    <s v="RECURRING ENTRY ENDS 10/34; FV50 NEEDED 11/34"/>
    <s v="20141130"/>
    <x v="5"/>
    <d v="2014-11-30T00:00:00"/>
    <n v="-8058.13"/>
  </r>
  <r>
    <s v="100093435"/>
    <s v="SA"/>
    <s v="40540 PD0009"/>
    <x v="0"/>
    <s v="RECURRING ENTRY ENDS 03/16; FV50 NEEDED 04/16"/>
    <s v="20141130"/>
    <x v="10"/>
    <d v="2014-11-30T00:00:00"/>
    <n v="-12467.89"/>
  </r>
  <r>
    <s v="100093436"/>
    <s v="SA"/>
    <s v="40540 PD0010"/>
    <x v="0"/>
    <s v="RECURRING ENTRY ENDS 04/18; FV50 NEEDED 05/18"/>
    <s v="20141130"/>
    <x v="12"/>
    <d v="2014-11-30T00:00:00"/>
    <n v="-7696.08"/>
  </r>
  <r>
    <s v="100093437"/>
    <s v="SA"/>
    <s v="40547 PD0010"/>
    <x v="0"/>
    <s v="RECURRING ENTRY ENDS 04/18; FV50 NEEDED 05/18"/>
    <s v="20141130"/>
    <x v="12"/>
    <d v="2014-11-30T00:00:00"/>
    <n v="-3633.17"/>
  </r>
  <r>
    <s v="100093438"/>
    <s v="SA"/>
    <s v="40540 PD0012"/>
    <x v="0"/>
    <s v="RECURRING ENTRY ENDS 07/25; FV50 NEEDED 08/25"/>
    <s v="20141130"/>
    <x v="13"/>
    <d v="2014-11-30T00:00:00"/>
    <n v="-4399.9399999999996"/>
  </r>
  <r>
    <s v="100093439"/>
    <s v="SA"/>
    <s v="40540 PD0023"/>
    <x v="0"/>
    <s v="RECURRING ENTRY ENDS 09/20; FV50 NEEDED 10/20"/>
    <s v="20141130"/>
    <x v="14"/>
    <d v="2014-11-30T00:00:00"/>
    <n v="-2351.71"/>
  </r>
  <r>
    <s v="100093440"/>
    <s v="SA"/>
    <s v="40547 PD0023"/>
    <x v="0"/>
    <s v="RECURRING ENTRY ENDS 09/20; FV50 NEEDED 10/20"/>
    <s v="20141130"/>
    <x v="14"/>
    <d v="2014-11-30T00:00:00"/>
    <n v="-63.12"/>
  </r>
  <r>
    <s v="100093441"/>
    <s v="SA"/>
    <s v="40540 PD0018"/>
    <x v="0"/>
    <s v="RECURRING ENTRY ENDS 04/18; FV50 NEEDED 05/18"/>
    <s v="20141130"/>
    <x v="15"/>
    <d v="2014-11-30T00:00:00"/>
    <n v="-6308.36"/>
  </r>
  <r>
    <s v="100093442"/>
    <s v="SA"/>
    <s v="40549 PD0018"/>
    <x v="0"/>
    <s v="RECURRING ENTRY ENDS 04/18; FV50 NEEDED 05/18"/>
    <s v="20141130"/>
    <x v="15"/>
    <d v="2014-11-30T00:00:00"/>
    <n v="-7695.19"/>
  </r>
  <r>
    <s v="100093462"/>
    <s v="SA"/>
    <s v="40540 PD0025"/>
    <x v="0"/>
    <s v="RECURRING ENTRY ENDS 04/42,FV50 NEEDED 05/42"/>
    <s v="20141130"/>
    <x v="17"/>
    <d v="2014-11-30T00:00:00"/>
    <n v="-7123.53"/>
  </r>
  <r>
    <s v="100093463"/>
    <s v="SA"/>
    <s v="40540 PD0026"/>
    <x v="0"/>
    <s v="$225M Bonds Due 2022"/>
    <s v="20141130"/>
    <x v="0"/>
    <d v="2014-11-30T00:00:00"/>
    <n v="-14668.67"/>
  </r>
  <r>
    <s v="100093522"/>
    <s v="SA"/>
    <s v="40540_PD0027"/>
    <x v="0"/>
    <s v="RECURRING ENTRY ENDS 03/44; FV50 NEEDED 04/44"/>
    <s v="20141130"/>
    <x v="1"/>
    <d v="2014-11-30T00:00:00"/>
    <n v="-8710.42"/>
  </r>
  <r>
    <s v="100102784"/>
    <s v="SA"/>
    <s v="40540"/>
    <x v="0"/>
    <s v="RECURRING ENTRY ENDS 10/30; FV50 NEEDED 11/30"/>
    <s v="20141231"/>
    <x v="2"/>
    <d v="2014-12-31T00:00:00"/>
    <n v="-6400.96"/>
  </r>
  <r>
    <s v="100102785"/>
    <s v="SA"/>
    <s v="40547 PD0013"/>
    <x v="0"/>
    <s v="RECURRING ENTRY ENDS 10/30; FV50 NEEDED 11/30"/>
    <s v="20141231"/>
    <x v="2"/>
    <d v="2014-12-31T00:00:00"/>
    <n v="-130.22"/>
  </r>
  <r>
    <s v="100102786"/>
    <s v="SA"/>
    <s v="40540 PD0015"/>
    <x v="0"/>
    <s v="RECURRING ENTRY ENDS 04/36; FV50 NEEDED 05/36"/>
    <s v="20141231"/>
    <x v="3"/>
    <d v="2014-12-31T00:00:00"/>
    <n v="-6872.38"/>
  </r>
  <r>
    <s v="100102787"/>
    <s v="SA"/>
    <s v="40548 PD0015"/>
    <x v="0"/>
    <s v="RECURRING ENTRY ENDS 04/36; FV50 NEEDED 05/36"/>
    <s v="20141231"/>
    <x v="3"/>
    <d v="2014-12-31T00:00:00"/>
    <n v="-4630.24"/>
  </r>
  <r>
    <s v="100102788"/>
    <s v="SA"/>
    <s v="40540 PD0020"/>
    <x v="0"/>
    <s v="RECURRING ENTRY ENDS 04/37; FV50 NEEDED 05/37"/>
    <s v="20141231"/>
    <x v="4"/>
    <d v="2014-12-31T00:00:00"/>
    <n v="-3059.89"/>
  </r>
  <r>
    <s v="100102789"/>
    <s v="SA"/>
    <s v="40540 PD0014"/>
    <x v="0"/>
    <s v="RECURRING ENTRY ENDS 10/34; FV50 NEEDED 11/34"/>
    <s v="20141231"/>
    <x v="5"/>
    <d v="2014-12-31T00:00:00"/>
    <n v="-8058.13"/>
  </r>
  <r>
    <s v="100102790"/>
    <s v="SA"/>
    <s v="40540 PD0009"/>
    <x v="0"/>
    <s v="RECURRING ENTRY ENDS 03/16; FV50 NEEDED 04/16"/>
    <s v="20141231"/>
    <x v="10"/>
    <d v="2014-12-31T00:00:00"/>
    <n v="-12467.89"/>
  </r>
  <r>
    <s v="100102791"/>
    <s v="SA"/>
    <s v="40540 PD0010"/>
    <x v="0"/>
    <s v="RECURRING ENTRY ENDS 04/18; FV50 NEEDED 05/18"/>
    <s v="20141231"/>
    <x v="12"/>
    <d v="2014-12-31T00:00:00"/>
    <n v="-7696.08"/>
  </r>
  <r>
    <s v="100102792"/>
    <s v="SA"/>
    <s v="40547 PD0010"/>
    <x v="0"/>
    <s v="RECURRING ENTRY ENDS 04/18; FV50 NEEDED 05/18"/>
    <s v="20141231"/>
    <x v="12"/>
    <d v="2014-12-31T00:00:00"/>
    <n v="-3633.17"/>
  </r>
  <r>
    <s v="100102793"/>
    <s v="SA"/>
    <s v="40540 PD0012"/>
    <x v="0"/>
    <s v="RECURRING ENTRY ENDS 07/25; FV50 NEEDED 08/25"/>
    <s v="20141231"/>
    <x v="13"/>
    <d v="2014-12-31T00:00:00"/>
    <n v="-4399.9399999999996"/>
  </r>
  <r>
    <s v="100102794"/>
    <s v="SA"/>
    <s v="40540 PD0023"/>
    <x v="0"/>
    <s v="RECURRING ENTRY ENDS 09/20; FV50 NEEDED 10/20"/>
    <s v="20141231"/>
    <x v="14"/>
    <d v="2014-12-31T00:00:00"/>
    <n v="-2351.71"/>
  </r>
  <r>
    <s v="100102795"/>
    <s v="SA"/>
    <s v="40547 PD0023"/>
    <x v="0"/>
    <s v="RECURRING ENTRY ENDS 09/20; FV50 NEEDED 10/20"/>
    <s v="20141231"/>
    <x v="14"/>
    <d v="2014-12-31T00:00:00"/>
    <n v="-63.12"/>
  </r>
  <r>
    <s v="100102796"/>
    <s v="SA"/>
    <s v="40540 PD0018"/>
    <x v="0"/>
    <s v="RECURRING ENTRY ENDS 04/18; FV50 NEEDED 05/18"/>
    <s v="20141231"/>
    <x v="15"/>
    <d v="2014-12-31T00:00:00"/>
    <n v="-6308.36"/>
  </r>
  <r>
    <s v="100102797"/>
    <s v="SA"/>
    <s v="40549 PD0018"/>
    <x v="0"/>
    <s v="RECURRING ENTRY ENDS 04/18; FV50 NEEDED 05/18"/>
    <s v="20141231"/>
    <x v="15"/>
    <d v="2014-12-31T00:00:00"/>
    <n v="-7695.19"/>
  </r>
  <r>
    <s v="100102817"/>
    <s v="SA"/>
    <s v="40540 PD0025"/>
    <x v="0"/>
    <s v="RECURRING ENTRY ENDS 04/42,FV50 NEEDED 05/42"/>
    <s v="20141231"/>
    <x v="17"/>
    <d v="2014-12-31T00:00:00"/>
    <n v="-7123.53"/>
  </r>
  <r>
    <s v="100102818"/>
    <s v="SA"/>
    <s v="40540 PD0026"/>
    <x v="0"/>
    <s v="$225M Bonds Due 2022"/>
    <s v="20141231"/>
    <x v="0"/>
    <d v="2014-12-31T00:00:00"/>
    <n v="-14668.67"/>
  </r>
  <r>
    <s v="100102871"/>
    <s v="SA"/>
    <s v="40540_PD0027"/>
    <x v="0"/>
    <s v="RECURRING ENTRY ENDS 03/44; FV50 NEEDED 04/44"/>
    <s v="20141231"/>
    <x v="1"/>
    <d v="2014-12-31T00:00:00"/>
    <n v="-8710.42"/>
  </r>
  <r>
    <s v="100007788"/>
    <s v="SA"/>
    <s v="40540"/>
    <x v="0"/>
    <s v="RECURRING ENTRY ENDS 10/30; FV50 NEEDED 11/30"/>
    <s v="20150131"/>
    <x v="2"/>
    <d v="2015-01-31T00:00:00"/>
    <n v="-6400.96"/>
  </r>
  <r>
    <s v="100007789"/>
    <s v="SA"/>
    <s v="40547 PD0013"/>
    <x v="0"/>
    <s v="RECURRING ENTRY ENDS 10/30; FV50 NEEDED 11/30"/>
    <s v="20150131"/>
    <x v="2"/>
    <d v="2015-01-31T00:00:00"/>
    <n v="-130.22"/>
  </r>
  <r>
    <s v="100007790"/>
    <s v="SA"/>
    <s v="40540 PD0015"/>
    <x v="0"/>
    <s v="RECURRING ENTRY ENDS 04/36; FV50 NEEDED 05/36"/>
    <s v="20150131"/>
    <x v="3"/>
    <d v="2015-01-31T00:00:00"/>
    <n v="-6872.38"/>
  </r>
  <r>
    <s v="100007791"/>
    <s v="SA"/>
    <s v="40548 PD0015"/>
    <x v="0"/>
    <s v="RECURRING ENTRY ENDS 04/36; FV50 NEEDED 05/36"/>
    <s v="20150131"/>
    <x v="3"/>
    <d v="2015-01-31T00:00:00"/>
    <n v="-4630.24"/>
  </r>
  <r>
    <s v="100007792"/>
    <s v="SA"/>
    <s v="40540 PD0020"/>
    <x v="0"/>
    <s v="RECURRING ENTRY ENDS 04/37; FV50 NEEDED 05/37"/>
    <s v="20150131"/>
    <x v="4"/>
    <d v="2015-01-31T00:00:00"/>
    <n v="-3059.89"/>
  </r>
  <r>
    <s v="100007793"/>
    <s v="SA"/>
    <s v="40540 PD0014"/>
    <x v="0"/>
    <s v="RECURRING ENTRY ENDS 10/34; FV50 NEEDED 11/34"/>
    <s v="20150131"/>
    <x v="5"/>
    <d v="2015-01-31T00:00:00"/>
    <n v="-8058.13"/>
  </r>
  <r>
    <s v="100007794"/>
    <s v="SA"/>
    <s v="40540 PD0009"/>
    <x v="0"/>
    <s v="RECURRING ENTRY ENDS 03/16; FV50 NEEDED 04/16"/>
    <s v="20150131"/>
    <x v="10"/>
    <d v="2015-01-31T00:00:00"/>
    <n v="-12467.89"/>
  </r>
  <r>
    <s v="100007795"/>
    <s v="SA"/>
    <s v="40540 PD0010"/>
    <x v="0"/>
    <s v="RECURRING ENTRY ENDS 04/18; FV50 NEEDED 05/18"/>
    <s v="20150131"/>
    <x v="12"/>
    <d v="2015-01-31T00:00:00"/>
    <n v="-7696.08"/>
  </r>
  <r>
    <s v="100007796"/>
    <s v="SA"/>
    <s v="40547 PD0010"/>
    <x v="0"/>
    <s v="RECURRING ENTRY ENDS 04/18; FV50 NEEDED 05/18"/>
    <s v="20150131"/>
    <x v="12"/>
    <d v="2015-01-31T00:00:00"/>
    <n v="-3633.17"/>
  </r>
  <r>
    <s v="100007797"/>
    <s v="SA"/>
    <s v="40540 PD0012"/>
    <x v="0"/>
    <s v="RECURRING ENTRY ENDS 07/25; FV50 NEEDED 08/25"/>
    <s v="20150131"/>
    <x v="13"/>
    <d v="2015-01-31T00:00:00"/>
    <n v="-4399.9399999999996"/>
  </r>
  <r>
    <s v="100007798"/>
    <s v="SA"/>
    <s v="40540 PD0023"/>
    <x v="0"/>
    <s v="RECURRING ENTRY ENDS 09/20; FV50 NEEDED 10/20"/>
    <s v="20150131"/>
    <x v="14"/>
    <d v="2015-01-31T00:00:00"/>
    <n v="-2351.71"/>
  </r>
  <r>
    <s v="100007799"/>
    <s v="SA"/>
    <s v="40547 PD0023"/>
    <x v="0"/>
    <s v="RECURRING ENTRY ENDS 09/20; FV50 NEEDED 10/20"/>
    <s v="20150131"/>
    <x v="14"/>
    <d v="2015-01-31T00:00:00"/>
    <n v="-63.12"/>
  </r>
  <r>
    <s v="100007800"/>
    <s v="SA"/>
    <s v="40540 PD0018"/>
    <x v="0"/>
    <s v="RECURRING ENTRY ENDS 04/18; FV50 NEEDED 05/18"/>
    <s v="20150131"/>
    <x v="15"/>
    <d v="2015-01-31T00:00:00"/>
    <n v="-6308.36"/>
  </r>
  <r>
    <s v="100007801"/>
    <s v="SA"/>
    <s v="40549 PD0018"/>
    <x v="0"/>
    <s v="RECURRING ENTRY ENDS 04/18; FV50 NEEDED 05/18"/>
    <s v="20150131"/>
    <x v="15"/>
    <d v="2015-01-31T00:00:00"/>
    <n v="-7695.19"/>
  </r>
  <r>
    <s v="100007821"/>
    <s v="SA"/>
    <s v="40540 PD0025"/>
    <x v="0"/>
    <s v="RECURRING ENTRY ENDS 04/42,FV50 NEEDED 05/42"/>
    <s v="20150131"/>
    <x v="17"/>
    <d v="2015-01-31T00:00:00"/>
    <n v="-7123.53"/>
  </r>
  <r>
    <s v="100007822"/>
    <s v="SA"/>
    <s v="40540 PD0026"/>
    <x v="0"/>
    <s v="$225M Bonds Due 2022"/>
    <s v="20150131"/>
    <x v="0"/>
    <d v="2015-01-31T00:00:00"/>
    <n v="-14668.67"/>
  </r>
  <r>
    <s v="100007867"/>
    <s v="SA"/>
    <s v="40540_PD0027"/>
    <x v="0"/>
    <s v="RECURRING ENTRY ENDS 03/44; FV50 NEEDED 04/44"/>
    <s v="20150131"/>
    <x v="1"/>
    <d v="2015-01-31T00:00:00"/>
    <n v="-8710.42"/>
  </r>
  <r>
    <s v="100015681"/>
    <s v="SA"/>
    <s v="40540"/>
    <x v="0"/>
    <s v="RECURRING ENTRY ENDS 10/30; FV50 NEEDED 11/30"/>
    <s v="20150228"/>
    <x v="2"/>
    <d v="2015-02-28T00:00:00"/>
    <n v="-6400.96"/>
  </r>
  <r>
    <s v="100015682"/>
    <s v="SA"/>
    <s v="40547 PD0013"/>
    <x v="0"/>
    <s v="RECURRING ENTRY ENDS 10/30; FV50 NEEDED 11/30"/>
    <s v="20150228"/>
    <x v="2"/>
    <d v="2015-02-28T00:00:00"/>
    <n v="-130.22"/>
  </r>
  <r>
    <s v="100015683"/>
    <s v="SA"/>
    <s v="40540 PD0015"/>
    <x v="0"/>
    <s v="RECURRING ENTRY ENDS 04/36; FV50 NEEDED 05/36"/>
    <s v="20150228"/>
    <x v="3"/>
    <d v="2015-02-28T00:00:00"/>
    <n v="-6872.38"/>
  </r>
  <r>
    <s v="100015684"/>
    <s v="SA"/>
    <s v="40548 PD0015"/>
    <x v="0"/>
    <s v="RECURRING ENTRY ENDS 04/36; FV50 NEEDED 05/36"/>
    <s v="20150228"/>
    <x v="3"/>
    <d v="2015-02-28T00:00:00"/>
    <n v="-4630.24"/>
  </r>
  <r>
    <s v="100015685"/>
    <s v="SA"/>
    <s v="40540 PD0020"/>
    <x v="0"/>
    <s v="RECURRING ENTRY ENDS 04/37; FV50 NEEDED 05/37"/>
    <s v="20150228"/>
    <x v="4"/>
    <d v="2015-02-28T00:00:00"/>
    <n v="-3059.89"/>
  </r>
  <r>
    <s v="100015686"/>
    <s v="SA"/>
    <s v="40540 PD0014"/>
    <x v="0"/>
    <s v="RECURRING ENTRY ENDS 10/34; FV50 NEEDED 11/34"/>
    <s v="20150228"/>
    <x v="5"/>
    <d v="2015-02-28T00:00:00"/>
    <n v="-8058.13"/>
  </r>
  <r>
    <s v="100015687"/>
    <s v="SA"/>
    <s v="40540 PD0009"/>
    <x v="0"/>
    <s v="RECURRING ENTRY ENDS 03/16; FV50 NEEDED 04/16"/>
    <s v="20150228"/>
    <x v="10"/>
    <d v="2015-02-28T00:00:00"/>
    <n v="-12467.89"/>
  </r>
  <r>
    <s v="100015688"/>
    <s v="SA"/>
    <s v="40540 PD0010"/>
    <x v="0"/>
    <s v="RECURRING ENTRY ENDS 04/18; FV50 NEEDED 05/18"/>
    <s v="20150228"/>
    <x v="12"/>
    <d v="2015-02-28T00:00:00"/>
    <n v="-7696.08"/>
  </r>
  <r>
    <s v="100015689"/>
    <s v="SA"/>
    <s v="40547 PD0010"/>
    <x v="0"/>
    <s v="RECURRING ENTRY ENDS 04/18; FV50 NEEDED 05/18"/>
    <s v="20150228"/>
    <x v="12"/>
    <d v="2015-02-28T00:00:00"/>
    <n v="-3633.17"/>
  </r>
  <r>
    <s v="100015690"/>
    <s v="SA"/>
    <s v="40540 PD0012"/>
    <x v="0"/>
    <s v="RECURRING ENTRY ENDS 07/25; FV50 NEEDED 08/25"/>
    <s v="20150228"/>
    <x v="13"/>
    <d v="2015-02-28T00:00:00"/>
    <n v="-4399.9399999999996"/>
  </r>
  <r>
    <s v="100015691"/>
    <s v="SA"/>
    <s v="40540 PD0023"/>
    <x v="0"/>
    <s v="RECURRING ENTRY ENDS 09/20; FV50 NEEDED 10/20"/>
    <s v="20150228"/>
    <x v="14"/>
    <d v="2015-02-28T00:00:00"/>
    <n v="-2351.71"/>
  </r>
  <r>
    <s v="100015692"/>
    <s v="SA"/>
    <s v="40547 PD0023"/>
    <x v="0"/>
    <s v="RECURRING ENTRY ENDS 09/20; FV50 NEEDED 10/20"/>
    <s v="20150228"/>
    <x v="14"/>
    <d v="2015-02-28T00:00:00"/>
    <n v="-63.12"/>
  </r>
  <r>
    <s v="100015693"/>
    <s v="SA"/>
    <s v="40540 PD0018"/>
    <x v="0"/>
    <s v="RECURRING ENTRY ENDS 04/18; FV50 NEEDED 05/18"/>
    <s v="20150228"/>
    <x v="15"/>
    <d v="2015-02-28T00:00:00"/>
    <n v="-6308.36"/>
  </r>
  <r>
    <s v="100015694"/>
    <s v="SA"/>
    <s v="40549 PD0018"/>
    <x v="0"/>
    <s v="RECURRING ENTRY ENDS 04/18; FV50 NEEDED 05/18"/>
    <s v="20150228"/>
    <x v="15"/>
    <d v="2015-02-28T00:00:00"/>
    <n v="-7695.19"/>
  </r>
  <r>
    <s v="100015714"/>
    <s v="SA"/>
    <s v="40540 PD0025"/>
    <x v="0"/>
    <s v="RECURRING ENTRY ENDS 04/42,FV50 NEEDED 05/42"/>
    <s v="20150228"/>
    <x v="17"/>
    <d v="2015-02-28T00:00:00"/>
    <n v="-7123.53"/>
  </r>
  <r>
    <s v="100015715"/>
    <s v="SA"/>
    <s v="40540 PD0026"/>
    <x v="0"/>
    <s v="$225M Bonds Due 2022"/>
    <s v="20150228"/>
    <x v="0"/>
    <d v="2015-02-28T00:00:00"/>
    <n v="-14668.67"/>
  </r>
  <r>
    <s v="100015760"/>
    <s v="SA"/>
    <s v="40540_PD0027"/>
    <x v="0"/>
    <s v="RECURRING ENTRY ENDS 03/44; FV50 NEEDED 04/44"/>
    <s v="20150228"/>
    <x v="1"/>
    <d v="2015-02-28T00:00:00"/>
    <n v="-8710.42"/>
  </r>
  <r>
    <s v="100024463"/>
    <s v="SA"/>
    <s v="40540"/>
    <x v="0"/>
    <s v="RECURRING ENTRY ENDS 10/30; FV50 NEEDED 11/30"/>
    <s v="20150331"/>
    <x v="2"/>
    <d v="2015-03-31T00:00:00"/>
    <n v="-6400.96"/>
  </r>
  <r>
    <s v="100024464"/>
    <s v="SA"/>
    <s v="40547 PD0013"/>
    <x v="0"/>
    <s v="RECURRING ENTRY ENDS 10/30; FV50 NEEDED 11/30"/>
    <s v="20150331"/>
    <x v="2"/>
    <d v="2015-03-31T00:00:00"/>
    <n v="-130.22"/>
  </r>
  <r>
    <s v="100024465"/>
    <s v="SA"/>
    <s v="40540 PD0015"/>
    <x v="0"/>
    <s v="RECURRING ENTRY ENDS 04/36; FV50 NEEDED 05/36"/>
    <s v="20150331"/>
    <x v="3"/>
    <d v="2015-03-31T00:00:00"/>
    <n v="-6872.38"/>
  </r>
  <r>
    <s v="100024466"/>
    <s v="SA"/>
    <s v="40548 PD0015"/>
    <x v="0"/>
    <s v="RECURRING ENTRY ENDS 04/36; FV50 NEEDED 05/36"/>
    <s v="20150331"/>
    <x v="3"/>
    <d v="2015-03-31T00:00:00"/>
    <n v="-4630.24"/>
  </r>
  <r>
    <s v="100024467"/>
    <s v="SA"/>
    <s v="40540 PD0020"/>
    <x v="0"/>
    <s v="RECURRING ENTRY ENDS 04/37; FV50 NEEDED 05/37"/>
    <s v="20150331"/>
    <x v="4"/>
    <d v="2015-03-31T00:00:00"/>
    <n v="-3059.89"/>
  </r>
  <r>
    <s v="100024468"/>
    <s v="SA"/>
    <s v="40540 PD0014"/>
    <x v="0"/>
    <s v="RECURRING ENTRY ENDS 10/34; FV50 NEEDED 11/34"/>
    <s v="20150331"/>
    <x v="5"/>
    <d v="2015-03-31T00:00:00"/>
    <n v="-8058.13"/>
  </r>
  <r>
    <s v="100024469"/>
    <s v="SA"/>
    <s v="40540 PD0009"/>
    <x v="0"/>
    <s v="RECURRING ENTRY ENDS 03/16; FV50 NEEDED 04/16"/>
    <s v="20150331"/>
    <x v="10"/>
    <d v="2015-03-31T00:00:00"/>
    <n v="-12467.89"/>
  </r>
  <r>
    <s v="100024470"/>
    <s v="SA"/>
    <s v="40540 PD0010"/>
    <x v="0"/>
    <s v="RECURRING ENTRY ENDS 04/18; FV50 NEEDED 05/18"/>
    <s v="20150331"/>
    <x v="12"/>
    <d v="2015-03-31T00:00:00"/>
    <n v="-7696.08"/>
  </r>
  <r>
    <s v="100024471"/>
    <s v="SA"/>
    <s v="40547 PD0010"/>
    <x v="0"/>
    <s v="RECURRING ENTRY ENDS 04/18; FV50 NEEDED 05/18"/>
    <s v="20150331"/>
    <x v="12"/>
    <d v="2015-03-31T00:00:00"/>
    <n v="-3633.17"/>
  </r>
  <r>
    <s v="100024472"/>
    <s v="SA"/>
    <s v="40540 PD0012"/>
    <x v="0"/>
    <s v="RECURRING ENTRY ENDS 07/25; FV50 NEEDED 08/25"/>
    <s v="20150331"/>
    <x v="13"/>
    <d v="2015-03-31T00:00:00"/>
    <n v="-4399.9399999999996"/>
  </r>
  <r>
    <s v="100024473"/>
    <s v="SA"/>
    <s v="40540 PD0023"/>
    <x v="0"/>
    <s v="RECURRING ENTRY ENDS 09/20; FV50 NEEDED 10/20"/>
    <s v="20150331"/>
    <x v="14"/>
    <d v="2015-03-31T00:00:00"/>
    <n v="-2351.71"/>
  </r>
  <r>
    <s v="100024474"/>
    <s v="SA"/>
    <s v="40547 PD0023"/>
    <x v="0"/>
    <s v="RECURRING ENTRY ENDS 09/20; FV50 NEEDED 10/20"/>
    <s v="20150331"/>
    <x v="14"/>
    <d v="2015-03-31T00:00:00"/>
    <n v="-63.12"/>
  </r>
  <r>
    <s v="100024475"/>
    <s v="SA"/>
    <s v="40540 PD0018"/>
    <x v="0"/>
    <s v="RECURRING ENTRY ENDS 04/18; FV50 NEEDED 05/18"/>
    <s v="20150331"/>
    <x v="15"/>
    <d v="2015-03-31T00:00:00"/>
    <n v="-6308.36"/>
  </r>
  <r>
    <s v="100024476"/>
    <s v="SA"/>
    <s v="40549 PD0018"/>
    <x v="0"/>
    <s v="RECURRING ENTRY ENDS 04/18; FV50 NEEDED 05/18"/>
    <s v="20150331"/>
    <x v="15"/>
    <d v="2015-03-31T00:00:00"/>
    <n v="-7695.19"/>
  </r>
  <r>
    <s v="100024496"/>
    <s v="SA"/>
    <s v="40540 PD0025"/>
    <x v="0"/>
    <s v="RECURRING ENTRY ENDS 04/42,FV50 NEEDED 05/42"/>
    <s v="20150331"/>
    <x v="17"/>
    <d v="2015-03-31T00:00:00"/>
    <n v="-7123.53"/>
  </r>
  <r>
    <s v="100024497"/>
    <s v="SA"/>
    <s v="40540 PD0026"/>
    <x v="0"/>
    <s v="$225M Bonds Due 2022"/>
    <s v="20150331"/>
    <x v="0"/>
    <d v="2015-03-31T00:00:00"/>
    <n v="-14668.67"/>
  </r>
  <r>
    <s v="100024541"/>
    <s v="SA"/>
    <s v="40540_PD0027"/>
    <x v="0"/>
    <s v="RECURRING ENTRY ENDS 03/44; FV50 NEEDED 04/44"/>
    <s v="20150331"/>
    <x v="1"/>
    <d v="2015-03-31T00:00:00"/>
    <n v="-8710.42"/>
  </r>
  <r>
    <s v="100033400"/>
    <s v="SA"/>
    <s v="40540"/>
    <x v="0"/>
    <s v="RECURRING ENTRY ENDS 10/30; FV50 NEEDED 11/30"/>
    <s v="20150430"/>
    <x v="2"/>
    <d v="2015-04-30T00:00:00"/>
    <n v="-6400.96"/>
  </r>
  <r>
    <s v="100033401"/>
    <s v="SA"/>
    <s v="40547 PD0013"/>
    <x v="0"/>
    <s v="RECURRING ENTRY ENDS 10/30; FV50 NEEDED 11/30"/>
    <s v="20150430"/>
    <x v="2"/>
    <d v="2015-04-30T00:00:00"/>
    <n v="-130.22"/>
  </r>
  <r>
    <s v="100033402"/>
    <s v="SA"/>
    <s v="40540 PD0015"/>
    <x v="0"/>
    <s v="RECURRING ENTRY ENDS 04/36; FV50 NEEDED 05/36"/>
    <s v="20150430"/>
    <x v="3"/>
    <d v="2015-04-30T00:00:00"/>
    <n v="-6872.38"/>
  </r>
  <r>
    <s v="100033403"/>
    <s v="SA"/>
    <s v="40548 PD0015"/>
    <x v="0"/>
    <s v="RECURRING ENTRY ENDS 04/36; FV50 NEEDED 05/36"/>
    <s v="20150430"/>
    <x v="3"/>
    <d v="2015-04-30T00:00:00"/>
    <n v="-4630.24"/>
  </r>
  <r>
    <s v="100033404"/>
    <s v="SA"/>
    <s v="40540 PD0020"/>
    <x v="0"/>
    <s v="RECURRING ENTRY ENDS 04/37; FV50 NEEDED 05/37"/>
    <s v="20150430"/>
    <x v="4"/>
    <d v="2015-04-30T00:00:00"/>
    <n v="-3059.89"/>
  </r>
  <r>
    <s v="100033405"/>
    <s v="SA"/>
    <s v="40540 PD0014"/>
    <x v="0"/>
    <s v="RECURRING ENTRY ENDS 10/34; FV50 NEEDED 11/34"/>
    <s v="20150430"/>
    <x v="5"/>
    <d v="2015-04-30T00:00:00"/>
    <n v="-8058.13"/>
  </r>
  <r>
    <s v="100033406"/>
    <s v="SA"/>
    <s v="40540 PD0009"/>
    <x v="0"/>
    <s v="RECURRING ENTRY ENDS 03/16; FV50 NEEDED 04/16"/>
    <s v="20150430"/>
    <x v="10"/>
    <d v="2015-04-30T00:00:00"/>
    <n v="-12467.89"/>
  </r>
  <r>
    <s v="100033407"/>
    <s v="SA"/>
    <s v="40540 PD0010"/>
    <x v="0"/>
    <s v="RECURRING ENTRY ENDS 04/18; FV50 NEEDED 05/18"/>
    <s v="20150430"/>
    <x v="12"/>
    <d v="2015-04-30T00:00:00"/>
    <n v="-7696.08"/>
  </r>
  <r>
    <s v="100033408"/>
    <s v="SA"/>
    <s v="40547 PD0010"/>
    <x v="0"/>
    <s v="RECURRING ENTRY ENDS 04/18; FV50 NEEDED 05/18"/>
    <s v="20150430"/>
    <x v="12"/>
    <d v="2015-04-30T00:00:00"/>
    <n v="-3633.17"/>
  </r>
  <r>
    <s v="100033409"/>
    <s v="SA"/>
    <s v="40540 PD0012"/>
    <x v="0"/>
    <s v="RECURRING ENTRY ENDS 07/25; FV50 NEEDED 08/25"/>
    <s v="20150430"/>
    <x v="13"/>
    <d v="2015-04-30T00:00:00"/>
    <n v="-4399.9399999999996"/>
  </r>
  <r>
    <s v="100033410"/>
    <s v="SA"/>
    <s v="40540 PD0023"/>
    <x v="0"/>
    <s v="RECURRING ENTRY ENDS 09/20; FV50 NEEDED 10/20"/>
    <s v="20150430"/>
    <x v="14"/>
    <d v="2015-04-30T00:00:00"/>
    <n v="-2351.71"/>
  </r>
  <r>
    <s v="100033411"/>
    <s v="SA"/>
    <s v="40547 PD0023"/>
    <x v="0"/>
    <s v="RECURRING ENTRY ENDS 09/20; FV50 NEEDED 10/20"/>
    <s v="20150430"/>
    <x v="14"/>
    <d v="2015-04-30T00:00:00"/>
    <n v="-63.12"/>
  </r>
  <r>
    <s v="100033412"/>
    <s v="SA"/>
    <s v="40540 PD0018"/>
    <x v="0"/>
    <s v="RECURRING ENTRY ENDS 04/18; FV50 NEEDED 05/18"/>
    <s v="20150430"/>
    <x v="15"/>
    <d v="2015-04-30T00:00:00"/>
    <n v="-6308.36"/>
  </r>
  <r>
    <s v="100033413"/>
    <s v="SA"/>
    <s v="40549 PD0018"/>
    <x v="0"/>
    <s v="RECURRING ENTRY ENDS 04/18; FV50 NEEDED 05/18"/>
    <s v="20150430"/>
    <x v="15"/>
    <d v="2015-04-30T00:00:00"/>
    <n v="-7695.19"/>
  </r>
  <r>
    <s v="100033433"/>
    <s v="SA"/>
    <s v="40540 PD0025"/>
    <x v="0"/>
    <s v="RECURRING ENTRY ENDS 04/42,FV50 NEEDED 05/42"/>
    <s v="20150430"/>
    <x v="17"/>
    <d v="2015-04-30T00:00:00"/>
    <n v="-7123.53"/>
  </r>
  <r>
    <s v="100033434"/>
    <s v="SA"/>
    <s v="40540 PD0026"/>
    <x v="0"/>
    <s v="$225M Bonds Due 2022"/>
    <s v="20150430"/>
    <x v="0"/>
    <d v="2015-04-30T00:00:00"/>
    <n v="-14668.67"/>
  </r>
  <r>
    <s v="100033477"/>
    <s v="SA"/>
    <s v="40540_PD0027"/>
    <x v="0"/>
    <s v="RECURRING ENTRY ENDS 03/44; FV50 NEEDED 04/44"/>
    <s v="20150430"/>
    <x v="1"/>
    <d v="2015-04-30T00:00:00"/>
    <n v="-8710.42"/>
  </r>
  <r>
    <s v="9100000871"/>
    <s v="YP"/>
    <s v="SEC FILING FEE"/>
    <x v="0"/>
    <s v=""/>
    <s v="20150518"/>
    <x v="19"/>
    <d v="2015-05-18T00:00:00"/>
    <n v="26676.29"/>
  </r>
  <r>
    <s v="9100000877"/>
    <s v="YP"/>
    <s v="396564"/>
    <x v="0"/>
    <s v=""/>
    <s v="20150521"/>
    <x v="19"/>
    <d v="2015-05-29T00:00:00"/>
    <n v="5060"/>
  </r>
  <r>
    <s v="9100000907"/>
    <s v="YP"/>
    <s v="1033033278-3"/>
    <x v="0"/>
    <s v=""/>
    <s v="20150521"/>
    <x v="19"/>
    <d v="2015-06-02T00:00:00"/>
    <n v="68429.600000000006"/>
  </r>
  <r>
    <s v="9100001168"/>
    <s v="YP"/>
    <s v="1292789900"/>
    <x v="0"/>
    <s v=""/>
    <s v="20150521"/>
    <x v="19"/>
    <d v="2015-07-10T00:00:00"/>
    <n v="839.96"/>
  </r>
  <r>
    <s v="9100000878"/>
    <s v="YP"/>
    <s v="10370654"/>
    <x v="0"/>
    <s v=""/>
    <s v="20150522"/>
    <x v="19"/>
    <d v="2015-05-29T00:00:00"/>
    <n v="127305"/>
  </r>
  <r>
    <s v="9100000952"/>
    <s v="YP"/>
    <s v="7119028084"/>
    <x v="0"/>
    <s v=""/>
    <s v="20150522"/>
    <x v="19"/>
    <d v="2015-06-04T00:00:00"/>
    <n v="86250"/>
  </r>
  <r>
    <s v="9100000872"/>
    <s v="YP"/>
    <s v="NOTE DUE 2045"/>
    <x v="0"/>
    <s v=""/>
    <s v="20150527"/>
    <x v="19"/>
    <d v="2015-05-29T00:00:00"/>
    <n v="2254"/>
  </r>
  <r>
    <s v="9100001167"/>
    <s v="YP"/>
    <s v="1292272200"/>
    <x v="0"/>
    <s v=""/>
    <s v="20150529"/>
    <x v="19"/>
    <d v="2015-07-10T00:00:00"/>
    <n v="11812.8"/>
  </r>
  <r>
    <s v="100041648"/>
    <s v="SA"/>
    <s v="40540"/>
    <x v="0"/>
    <s v="RECURRING ENTRY ENDS 10/30; FV50 NEEDED 11/30"/>
    <s v="20150531"/>
    <x v="2"/>
    <d v="2015-05-31T00:00:00"/>
    <n v="-6400.96"/>
  </r>
  <r>
    <s v="100041649"/>
    <s v="SA"/>
    <s v="40547 PD0013"/>
    <x v="0"/>
    <s v="RECURRING ENTRY ENDS 10/30; FV50 NEEDED 11/30"/>
    <s v="20150531"/>
    <x v="2"/>
    <d v="2015-05-31T00:00:00"/>
    <n v="-130.22"/>
  </r>
  <r>
    <s v="100041650"/>
    <s v="SA"/>
    <s v="40540 PD0015"/>
    <x v="0"/>
    <s v="RECURRING ENTRY ENDS 04/36; FV50 NEEDED 05/36"/>
    <s v="20150531"/>
    <x v="3"/>
    <d v="2015-05-31T00:00:00"/>
    <n v="-6872.38"/>
  </r>
  <r>
    <s v="100041651"/>
    <s v="SA"/>
    <s v="40548 PD0015"/>
    <x v="0"/>
    <s v="RECURRING ENTRY ENDS 04/36; FV50 NEEDED 05/36"/>
    <s v="20150531"/>
    <x v="3"/>
    <d v="2015-05-31T00:00:00"/>
    <n v="-4630.24"/>
  </r>
  <r>
    <s v="100041652"/>
    <s v="SA"/>
    <s v="40540 PD0020"/>
    <x v="0"/>
    <s v="RECURRING ENTRY ENDS 04/37; FV50 NEEDED 05/37"/>
    <s v="20150531"/>
    <x v="4"/>
    <d v="2015-05-31T00:00:00"/>
    <n v="-3059.89"/>
  </r>
  <r>
    <s v="100041653"/>
    <s v="SA"/>
    <s v="40540 PD0014"/>
    <x v="0"/>
    <s v="RECURRING ENTRY ENDS 10/34; FV50 NEEDED 11/34"/>
    <s v="20150531"/>
    <x v="5"/>
    <d v="2015-05-31T00:00:00"/>
    <n v="-8058.13"/>
  </r>
  <r>
    <s v="100041654"/>
    <s v="SA"/>
    <s v="40540 PD0009"/>
    <x v="0"/>
    <s v="RECURRING ENTRY ENDS 03/16; FV50 NEEDED 04/16"/>
    <s v="20150531"/>
    <x v="10"/>
    <d v="2015-05-31T00:00:00"/>
    <n v="-12467.89"/>
  </r>
  <r>
    <s v="100041655"/>
    <s v="SA"/>
    <s v="40540 PD0010"/>
    <x v="0"/>
    <s v="RECURRING ENTRY ENDS 04/18; FV50 NEEDED 05/18"/>
    <s v="20150531"/>
    <x v="12"/>
    <d v="2015-05-31T00:00:00"/>
    <n v="-7696.08"/>
  </r>
  <r>
    <s v="100041656"/>
    <s v="SA"/>
    <s v="40547 PD0010"/>
    <x v="0"/>
    <s v="RECURRING ENTRY ENDS 04/18; FV50 NEEDED 05/18"/>
    <s v="20150531"/>
    <x v="12"/>
    <d v="2015-05-31T00:00:00"/>
    <n v="-3633.17"/>
  </r>
  <r>
    <s v="100041657"/>
    <s v="SA"/>
    <s v="40540 PD0012"/>
    <x v="0"/>
    <s v="RECURRING ENTRY ENDS 07/25; FV50 NEEDED 08/25"/>
    <s v="20150531"/>
    <x v="13"/>
    <d v="2015-05-31T00:00:00"/>
    <n v="-4399.9399999999996"/>
  </r>
  <r>
    <s v="100041658"/>
    <s v="SA"/>
    <s v="40540 PD0023"/>
    <x v="0"/>
    <s v="RECURRING ENTRY ENDS 09/20; FV50 NEEDED 10/20"/>
    <s v="20150531"/>
    <x v="14"/>
    <d v="2015-05-31T00:00:00"/>
    <n v="-2351.71"/>
  </r>
  <r>
    <s v="100041659"/>
    <s v="SA"/>
    <s v="40547 PD0023"/>
    <x v="0"/>
    <s v="RECURRING ENTRY ENDS 09/20; FV50 NEEDED 10/20"/>
    <s v="20150531"/>
    <x v="14"/>
    <d v="2015-05-31T00:00:00"/>
    <n v="-63.12"/>
  </r>
  <r>
    <s v="100041660"/>
    <s v="SA"/>
    <s v="40540 PD0018"/>
    <x v="0"/>
    <s v="RECURRING ENTRY ENDS 04/18; FV50 NEEDED 05/18"/>
    <s v="20150531"/>
    <x v="15"/>
    <d v="2015-05-31T00:00:00"/>
    <n v="-6308.36"/>
  </r>
  <r>
    <s v="100041661"/>
    <s v="SA"/>
    <s v="40549 PD0018"/>
    <x v="0"/>
    <s v="RECURRING ENTRY ENDS 04/18; FV50 NEEDED 05/18"/>
    <s v="20150531"/>
    <x v="15"/>
    <d v="2015-05-31T00:00:00"/>
    <n v="-7695.19"/>
  </r>
  <r>
    <s v="100041681"/>
    <s v="SA"/>
    <s v="40540 PD0025"/>
    <x v="0"/>
    <s v="RECURRING ENTRY ENDS 04/42,FV50 NEEDED 05/42"/>
    <s v="20150531"/>
    <x v="17"/>
    <d v="2015-05-31T00:00:00"/>
    <n v="-7123.53"/>
  </r>
  <r>
    <s v="100041682"/>
    <s v="SA"/>
    <s v="40540 PD0026"/>
    <x v="0"/>
    <s v="$225M Bonds Due 2022"/>
    <s v="20150531"/>
    <x v="0"/>
    <d v="2015-05-31T00:00:00"/>
    <n v="-14668.67"/>
  </r>
  <r>
    <s v="100041724"/>
    <s v="SA"/>
    <s v="40540_PD0027"/>
    <x v="0"/>
    <s v="RECURRING ENTRY ENDS 03/44; FV50 NEEDED 04/44"/>
    <s v="20150531"/>
    <x v="1"/>
    <d v="2015-05-31T00:00:00"/>
    <n v="-8710.42"/>
  </r>
  <r>
    <s v="9100000905"/>
    <s v="YP"/>
    <s v="89801-8"/>
    <x v="0"/>
    <s v=""/>
    <s v="20150602"/>
    <x v="19"/>
    <d v="2015-05-31T00:00:00"/>
    <n v="2012500"/>
  </r>
  <r>
    <s v="9100001062"/>
    <s v="YP"/>
    <s v="2068839"/>
    <x v="0"/>
    <s v=""/>
    <s v="20150603"/>
    <x v="19"/>
    <d v="2015-06-29T00:00:00"/>
    <n v="67439.149999999994"/>
  </r>
  <r>
    <s v="9100001020"/>
    <s v="YP"/>
    <s v="111-1654607"/>
    <x v="0"/>
    <s v=""/>
    <s v="20150608"/>
    <x v="19"/>
    <d v="2015-06-18T00:00:00"/>
    <n v="5520"/>
  </r>
  <r>
    <s v="100047082"/>
    <s v="SA"/>
    <s v="40540"/>
    <x v="0"/>
    <s v="RECURRING ENTRY ENDS 10/30; FV50 NEEDED 11/30"/>
    <s v="20150630"/>
    <x v="2"/>
    <d v="2015-06-30T00:00:00"/>
    <n v="-6400.96"/>
  </r>
  <r>
    <s v="100047083"/>
    <s v="SA"/>
    <s v="40547 PD0013"/>
    <x v="0"/>
    <s v="RECURRING ENTRY ENDS 10/30; FV50 NEEDED 11/30"/>
    <s v="20150630"/>
    <x v="2"/>
    <d v="2015-06-30T00:00:00"/>
    <n v="-130.22"/>
  </r>
  <r>
    <s v="100047084"/>
    <s v="SA"/>
    <s v="40540 PD0015"/>
    <x v="0"/>
    <s v="RECURRING ENTRY ENDS 04/36; FV50 NEEDED 05/36"/>
    <s v="20150630"/>
    <x v="3"/>
    <d v="2015-06-30T00:00:00"/>
    <n v="-6872.38"/>
  </r>
  <r>
    <s v="100047085"/>
    <s v="SA"/>
    <s v="40548 PD0015"/>
    <x v="0"/>
    <s v="RECURRING ENTRY ENDS 04/36; FV50 NEEDED 05/36"/>
    <s v="20150630"/>
    <x v="3"/>
    <d v="2015-06-30T00:00:00"/>
    <n v="-4630.24"/>
  </r>
  <r>
    <s v="100047086"/>
    <s v="SA"/>
    <s v="40540 PD0020"/>
    <x v="0"/>
    <s v="RECURRING ENTRY ENDS 04/37; FV50 NEEDED 05/37"/>
    <s v="20150630"/>
    <x v="4"/>
    <d v="2015-06-30T00:00:00"/>
    <n v="-3059.89"/>
  </r>
  <r>
    <s v="100047087"/>
    <s v="SA"/>
    <s v="40540 PD0014"/>
    <x v="0"/>
    <s v="RECURRING ENTRY ENDS 10/34; FV50 NEEDED 11/34"/>
    <s v="20150630"/>
    <x v="5"/>
    <d v="2015-06-30T00:00:00"/>
    <n v="-8058.13"/>
  </r>
  <r>
    <s v="100047088"/>
    <s v="SA"/>
    <s v="40540 PD0009"/>
    <x v="0"/>
    <s v="RECURRING ENTRY ENDS 03/16; FV50 NEEDED 04/16"/>
    <s v="20150630"/>
    <x v="10"/>
    <d v="2015-06-30T00:00:00"/>
    <n v="-12467.89"/>
  </r>
  <r>
    <s v="100047089"/>
    <s v="SA"/>
    <s v="40540 PD0010"/>
    <x v="0"/>
    <s v="RECURRING ENTRY ENDS 04/18; FV50 NEEDED 05/18"/>
    <s v="20150630"/>
    <x v="12"/>
    <d v="2015-06-30T00:00:00"/>
    <n v="-7696.08"/>
  </r>
  <r>
    <s v="100047090"/>
    <s v="SA"/>
    <s v="40547 PD0010"/>
    <x v="0"/>
    <s v="RECURRING ENTRY ENDS 04/18; FV50 NEEDED 05/18"/>
    <s v="20150630"/>
    <x v="12"/>
    <d v="2015-06-30T00:00:00"/>
    <n v="-3633.17"/>
  </r>
  <r>
    <s v="100047091"/>
    <s v="SA"/>
    <s v="40540 PD0012"/>
    <x v="0"/>
    <s v="RECURRING ENTRY ENDS 07/25; FV50 NEEDED 08/25"/>
    <s v="20150630"/>
    <x v="13"/>
    <d v="2015-06-30T00:00:00"/>
    <n v="-4399.9399999999996"/>
  </r>
  <r>
    <s v="100047092"/>
    <s v="SA"/>
    <s v="40540 PD0023"/>
    <x v="0"/>
    <s v="RECURRING ENTRY ENDS 09/20; FV50 NEEDED 10/20"/>
    <s v="20150630"/>
    <x v="14"/>
    <d v="2015-06-30T00:00:00"/>
    <n v="-2351.71"/>
  </r>
  <r>
    <s v="100047093"/>
    <s v="SA"/>
    <s v="40547 PD0023"/>
    <x v="0"/>
    <s v="RECURRING ENTRY ENDS 09/20; FV50 NEEDED 10/20"/>
    <s v="20150630"/>
    <x v="14"/>
    <d v="2015-06-30T00:00:00"/>
    <n v="-63.12"/>
  </r>
  <r>
    <s v="100047094"/>
    <s v="SA"/>
    <s v="40540 PD0018"/>
    <x v="0"/>
    <s v="RECURRING ENTRY ENDS 04/18; FV50 NEEDED 05/18"/>
    <s v="20150630"/>
    <x v="15"/>
    <d v="2015-06-30T00:00:00"/>
    <n v="-6308.36"/>
  </r>
  <r>
    <s v="100047095"/>
    <s v="SA"/>
    <s v="40549 PD0018"/>
    <x v="0"/>
    <s v="RECURRING ENTRY ENDS 04/18; FV50 NEEDED 05/18"/>
    <s v="20150630"/>
    <x v="15"/>
    <d v="2015-06-30T00:00:00"/>
    <n v="-7695.19"/>
  </r>
  <r>
    <s v="100047115"/>
    <s v="SA"/>
    <s v="40540 PD0025"/>
    <x v="0"/>
    <s v="RECURRING ENTRY ENDS 04/42,FV50 NEEDED 05/42"/>
    <s v="20150630"/>
    <x v="17"/>
    <d v="2015-06-30T00:00:00"/>
    <n v="-7123.53"/>
  </r>
  <r>
    <s v="100047116"/>
    <s v="SA"/>
    <s v="40540 PD0026"/>
    <x v="0"/>
    <s v="$225M Bonds Due 2022"/>
    <s v="20150630"/>
    <x v="0"/>
    <d v="2015-06-30T00:00:00"/>
    <n v="-14668.67"/>
  </r>
  <r>
    <s v="100047157"/>
    <s v="SA"/>
    <s v="40540_PD0027"/>
    <x v="0"/>
    <s v="RECURRING ENTRY ENDS 03/44; FV50 NEEDED 04/44"/>
    <s v="20150630"/>
    <x v="1"/>
    <d v="2015-06-30T00:00:00"/>
    <n v="-8710.42"/>
  </r>
  <r>
    <s v="9100001127"/>
    <s v="YP"/>
    <s v="89801-5"/>
    <x v="0"/>
    <s v="$230M Bond due 2045"/>
    <s v="20150702"/>
    <x v="19"/>
    <d v="2015-06-30T00:00:00"/>
    <n v="-6670.65"/>
  </r>
  <r>
    <s v="9100001281"/>
    <s v="YP"/>
    <s v="2073431"/>
    <x v="0"/>
    <s v=""/>
    <s v="20150708"/>
    <x v="19"/>
    <d v="2015-07-29T00:00:00"/>
    <n v="1024.6500000000001"/>
  </r>
  <r>
    <s v="9100001524"/>
    <s v="YP"/>
    <s v="M1941527-000"/>
    <x v="0"/>
    <s v=""/>
    <s v="20150715"/>
    <x v="19"/>
    <d v="2015-09-04T00:00:00"/>
    <n v="115000"/>
  </r>
  <r>
    <s v="100061992"/>
    <s v="SA"/>
    <s v="40540"/>
    <x v="0"/>
    <s v="RECURRING ENTRY ENDS 10/30; FV50 NEEDED 11/30"/>
    <s v="20150731"/>
    <x v="2"/>
    <d v="2015-07-31T00:00:00"/>
    <n v="-6400.96"/>
  </r>
  <r>
    <s v="100061993"/>
    <s v="SA"/>
    <s v="40547 PD0013"/>
    <x v="0"/>
    <s v="RECURRING ENTRY ENDS 10/30; FV50 NEEDED 11/30"/>
    <s v="20150731"/>
    <x v="2"/>
    <d v="2015-07-31T00:00:00"/>
    <n v="-130.22"/>
  </r>
  <r>
    <s v="100061994"/>
    <s v="SA"/>
    <s v="40540 PD0015"/>
    <x v="0"/>
    <s v="RECURRING ENTRY ENDS 04/36; FV50 NEEDED 05/36"/>
    <s v="20150731"/>
    <x v="3"/>
    <d v="2015-07-31T00:00:00"/>
    <n v="-6872.38"/>
  </r>
  <r>
    <s v="100061995"/>
    <s v="SA"/>
    <s v="40548 PD0015"/>
    <x v="0"/>
    <s v="RECURRING ENTRY ENDS 04/36; FV50 NEEDED 05/36"/>
    <s v="20150731"/>
    <x v="3"/>
    <d v="2015-07-31T00:00:00"/>
    <n v="-4630.24"/>
  </r>
  <r>
    <s v="100061996"/>
    <s v="SA"/>
    <s v="40540 PD0020"/>
    <x v="0"/>
    <s v="RECURRING ENTRY ENDS 04/37; FV50 NEEDED 05/37"/>
    <s v="20150731"/>
    <x v="4"/>
    <d v="2015-07-31T00:00:00"/>
    <n v="-3059.89"/>
  </r>
  <r>
    <s v="100061997"/>
    <s v="SA"/>
    <s v="40540 PD0014"/>
    <x v="0"/>
    <s v="RECURRING ENTRY ENDS 10/34; FV50 NEEDED 11/34"/>
    <s v="20150731"/>
    <x v="5"/>
    <d v="2015-07-31T00:00:00"/>
    <n v="-8058.13"/>
  </r>
  <r>
    <s v="100061998"/>
    <s v="SA"/>
    <s v="40540 PD0009"/>
    <x v="0"/>
    <s v="RECURRING ENTRY ENDS 03/16; FV50 NEEDED 04/16"/>
    <s v="20150731"/>
    <x v="10"/>
    <d v="2015-07-31T00:00:00"/>
    <n v="-12467.89"/>
  </r>
  <r>
    <s v="100061999"/>
    <s v="SA"/>
    <s v="40540 PD0010"/>
    <x v="0"/>
    <s v="RECURRING ENTRY ENDS 04/18; FV50 NEEDED 05/18"/>
    <s v="20150731"/>
    <x v="12"/>
    <d v="2015-07-31T00:00:00"/>
    <n v="-7696.08"/>
  </r>
  <r>
    <s v="100062000"/>
    <s v="SA"/>
    <s v="40547 PD0010"/>
    <x v="0"/>
    <s v="RECURRING ENTRY ENDS 04/18; FV50 NEEDED 05/18"/>
    <s v="20150731"/>
    <x v="12"/>
    <d v="2015-07-31T00:00:00"/>
    <n v="-3633.17"/>
  </r>
  <r>
    <s v="100062001"/>
    <s v="SA"/>
    <s v="40540 PD0012"/>
    <x v="0"/>
    <s v="RECURRING ENTRY ENDS 07/25; FV50 NEEDED 08/25"/>
    <s v="20150731"/>
    <x v="13"/>
    <d v="2015-07-31T00:00:00"/>
    <n v="-4399.9399999999996"/>
  </r>
  <r>
    <s v="100062002"/>
    <s v="SA"/>
    <s v="40540 PD0023"/>
    <x v="0"/>
    <s v="RECURRING ENTRY ENDS 09/20; FV50 NEEDED 10/20"/>
    <s v="20150731"/>
    <x v="14"/>
    <d v="2015-07-31T00:00:00"/>
    <n v="-2351.71"/>
  </r>
  <r>
    <s v="100062003"/>
    <s v="SA"/>
    <s v="40547 PD0023"/>
    <x v="0"/>
    <s v="RECURRING ENTRY ENDS 09/20; FV50 NEEDED 10/20"/>
    <s v="20150731"/>
    <x v="14"/>
    <d v="2015-07-31T00:00:00"/>
    <n v="-63.12"/>
  </r>
  <r>
    <s v="100062004"/>
    <s v="SA"/>
    <s v="40540 PD0018"/>
    <x v="0"/>
    <s v="RECURRING ENTRY ENDS 04/18; FV50 NEEDED 05/18"/>
    <s v="20150731"/>
    <x v="15"/>
    <d v="2015-07-31T00:00:00"/>
    <n v="-6308.36"/>
  </r>
  <r>
    <s v="100062005"/>
    <s v="SA"/>
    <s v="40549 PD0018"/>
    <x v="0"/>
    <s v="RECURRING ENTRY ENDS 04/18; FV50 NEEDED 05/18"/>
    <s v="20150731"/>
    <x v="15"/>
    <d v="2015-07-31T00:00:00"/>
    <n v="-7695.19"/>
  </r>
  <r>
    <s v="100062025"/>
    <s v="SA"/>
    <s v="40540 PD0025"/>
    <x v="0"/>
    <s v="RECURRING ENTRY ENDS 04/42,FV50 NEEDED 05/42"/>
    <s v="20150731"/>
    <x v="17"/>
    <d v="2015-07-31T00:00:00"/>
    <n v="-7123.53"/>
  </r>
  <r>
    <s v="100062026"/>
    <s v="SA"/>
    <s v="40540 PD0026"/>
    <x v="0"/>
    <s v="$225M Bonds Due 2022"/>
    <s v="20150731"/>
    <x v="0"/>
    <d v="2015-07-31T00:00:00"/>
    <n v="-14668.67"/>
  </r>
  <r>
    <s v="100062057"/>
    <s v="SA"/>
    <s v="40540_PD0027"/>
    <x v="0"/>
    <s v="RECURRING ENTRY ENDS 03/44; FV50 NEEDED 04/44"/>
    <s v="20150731"/>
    <x v="1"/>
    <d v="2015-07-31T00:00:00"/>
    <n v="-8710.42"/>
  </r>
  <r>
    <s v="9100001329"/>
    <s v="YP"/>
    <s v="89801-1"/>
    <x v="0"/>
    <s v="$230M Bond due 2045"/>
    <s v="20150804"/>
    <x v="19"/>
    <d v="2015-07-31T00:00:00"/>
    <n v="-6746.63"/>
  </r>
  <r>
    <s v="100070942"/>
    <s v="SA"/>
    <s v="40540"/>
    <x v="0"/>
    <s v="RECURRING ENTRY ENDS 10/30; FV50 NEEDED 11/30"/>
    <s v="20150831"/>
    <x v="2"/>
    <d v="2015-08-31T00:00:00"/>
    <n v="-6400.96"/>
  </r>
  <r>
    <s v="100070943"/>
    <s v="SA"/>
    <s v="40547 PD0013"/>
    <x v="0"/>
    <s v="RECURRING ENTRY ENDS 10/30; FV50 NEEDED 11/30"/>
    <s v="20150831"/>
    <x v="2"/>
    <d v="2015-08-31T00:00:00"/>
    <n v="-130.22"/>
  </r>
  <r>
    <s v="100070944"/>
    <s v="SA"/>
    <s v="40540 PD0015"/>
    <x v="0"/>
    <s v="RECURRING ENTRY ENDS 04/36; FV50 NEEDED 05/36"/>
    <s v="20150831"/>
    <x v="3"/>
    <d v="2015-08-31T00:00:00"/>
    <n v="-6872.38"/>
  </r>
  <r>
    <s v="100070945"/>
    <s v="SA"/>
    <s v="40548 PD0015"/>
    <x v="0"/>
    <s v="RECURRING ENTRY ENDS 04/36; FV50 NEEDED 05/36"/>
    <s v="20150831"/>
    <x v="3"/>
    <d v="2015-08-31T00:00:00"/>
    <n v="-4630.24"/>
  </r>
  <r>
    <s v="100070946"/>
    <s v="SA"/>
    <s v="40540 PD0020"/>
    <x v="0"/>
    <s v="RECURRING ENTRY ENDS 04/37; FV50 NEEDED 05/37"/>
    <s v="20150831"/>
    <x v="4"/>
    <d v="2015-08-31T00:00:00"/>
    <n v="-3059.89"/>
  </r>
  <r>
    <s v="100070947"/>
    <s v="SA"/>
    <s v="40540 PD0014"/>
    <x v="0"/>
    <s v="RECURRING ENTRY ENDS 10/34; FV50 NEEDED 11/34"/>
    <s v="20150831"/>
    <x v="5"/>
    <d v="2015-08-31T00:00:00"/>
    <n v="-8058.13"/>
  </r>
  <r>
    <s v="100070948"/>
    <s v="SA"/>
    <s v="40540 PD0009"/>
    <x v="0"/>
    <s v="RECURRING ENTRY ENDS 03/16; FV50 NEEDED 04/16"/>
    <s v="20150831"/>
    <x v="10"/>
    <d v="2015-08-31T00:00:00"/>
    <n v="-12467.89"/>
  </r>
  <r>
    <s v="100070949"/>
    <s v="SA"/>
    <s v="40540 PD0010"/>
    <x v="0"/>
    <s v="RECURRING ENTRY ENDS 04/18; FV50 NEEDED 05/18"/>
    <s v="20150831"/>
    <x v="12"/>
    <d v="2015-08-31T00:00:00"/>
    <n v="-7696.08"/>
  </r>
  <r>
    <s v="100070950"/>
    <s v="SA"/>
    <s v="40547 PD0010"/>
    <x v="0"/>
    <s v="RECURRING ENTRY ENDS 04/18; FV50 NEEDED 05/18"/>
    <s v="20150831"/>
    <x v="12"/>
    <d v="2015-08-31T00:00:00"/>
    <n v="-3633.17"/>
  </r>
  <r>
    <s v="100070951"/>
    <s v="SA"/>
    <s v="40540 PD0012"/>
    <x v="0"/>
    <s v="RECURRING ENTRY ENDS 07/25; FV50 NEEDED 08/25"/>
    <s v="20150831"/>
    <x v="13"/>
    <d v="2015-08-31T00:00:00"/>
    <n v="-4399.9399999999996"/>
  </r>
  <r>
    <s v="100070952"/>
    <s v="SA"/>
    <s v="40540 PD0023"/>
    <x v="0"/>
    <s v="RECURRING ENTRY ENDS 09/20; FV50 NEEDED 10/20"/>
    <s v="20150831"/>
    <x v="14"/>
    <d v="2015-08-31T00:00:00"/>
    <n v="-2351.71"/>
  </r>
  <r>
    <s v="100070953"/>
    <s v="SA"/>
    <s v="40547 PD0023"/>
    <x v="0"/>
    <s v="RECURRING ENTRY ENDS 09/20; FV50 NEEDED 10/20"/>
    <s v="20150831"/>
    <x v="14"/>
    <d v="2015-08-31T00:00:00"/>
    <n v="-63.12"/>
  </r>
  <r>
    <s v="100070954"/>
    <s v="SA"/>
    <s v="40540 PD0018"/>
    <x v="0"/>
    <s v="RECURRING ENTRY ENDS 04/18; FV50 NEEDED 05/18"/>
    <s v="20150831"/>
    <x v="15"/>
    <d v="2015-08-31T00:00:00"/>
    <n v="-6308.36"/>
  </r>
  <r>
    <s v="100070955"/>
    <s v="SA"/>
    <s v="40549 PD0018"/>
    <x v="0"/>
    <s v="RECURRING ENTRY ENDS 04/18; FV50 NEEDED 05/18"/>
    <s v="20150831"/>
    <x v="15"/>
    <d v="2015-08-31T00:00:00"/>
    <n v="-7695.19"/>
  </r>
  <r>
    <s v="100070974"/>
    <s v="SA"/>
    <s v="40540 PD0025"/>
    <x v="0"/>
    <s v="RECURRING ENTRY ENDS 04/42,FV50 NEEDED 05/42"/>
    <s v="20150831"/>
    <x v="17"/>
    <d v="2015-08-31T00:00:00"/>
    <n v="-7123.53"/>
  </r>
  <r>
    <s v="100070975"/>
    <s v="SA"/>
    <s v="40540 PD0026"/>
    <x v="0"/>
    <s v="$225M Bonds Due 2022"/>
    <s v="20150831"/>
    <x v="0"/>
    <d v="2015-08-31T00:00:00"/>
    <n v="-14668.67"/>
  </r>
  <r>
    <s v="100071006"/>
    <s v="SA"/>
    <s v="40540_PD0027"/>
    <x v="0"/>
    <s v="RECURRING ENTRY ENDS 03/44; FV50 NEEDED 04/44"/>
    <s v="20150831"/>
    <x v="1"/>
    <d v="2015-08-31T00:00:00"/>
    <n v="-8710.42"/>
  </r>
  <r>
    <s v="9100001501"/>
    <s v="YP"/>
    <s v="89801-4"/>
    <x v="0"/>
    <s v="$230M Bond due 2045"/>
    <s v="20150901"/>
    <x v="19"/>
    <d v="2015-08-31T00:00:00"/>
    <n v="-6708.64"/>
  </r>
  <r>
    <s v="9100001539"/>
    <s v="YP"/>
    <s v="111-1663607"/>
    <x v="0"/>
    <s v=""/>
    <s v="20150901"/>
    <x v="0"/>
    <d v="2015-09-10T00:00:00"/>
    <n v="3780"/>
  </r>
  <r>
    <s v="100080754"/>
    <s v="SA"/>
    <s v="40540"/>
    <x v="0"/>
    <s v="RECURRING ENTRY ENDS 10/30; FV50 NEEDED 11/30"/>
    <s v="20150930"/>
    <x v="2"/>
    <d v="2015-09-30T00:00:00"/>
    <n v="-6400.96"/>
  </r>
  <r>
    <s v="100080755"/>
    <s v="SA"/>
    <s v="40547 PD0013"/>
    <x v="0"/>
    <s v="RECURRING ENTRY ENDS 10/30; FV50 NEEDED 11/30"/>
    <s v="20150930"/>
    <x v="2"/>
    <d v="2015-09-30T00:00:00"/>
    <n v="-130.22"/>
  </r>
  <r>
    <s v="100080756"/>
    <s v="SA"/>
    <s v="40540 PD0015"/>
    <x v="0"/>
    <s v="RECURRING ENTRY ENDS 04/36; FV50 NEEDED 05/36"/>
    <s v="20150930"/>
    <x v="3"/>
    <d v="2015-09-30T00:00:00"/>
    <n v="-6872.38"/>
  </r>
  <r>
    <s v="100080757"/>
    <s v="SA"/>
    <s v="40548 PD0015"/>
    <x v="0"/>
    <s v="RECURRING ENTRY ENDS 04/36; FV50 NEEDED 05/36"/>
    <s v="20150930"/>
    <x v="3"/>
    <d v="2015-09-30T00:00:00"/>
    <n v="-4630.24"/>
  </r>
  <r>
    <s v="100080758"/>
    <s v="SA"/>
    <s v="40540 PD0020"/>
    <x v="0"/>
    <s v="RECURRING ENTRY ENDS 04/37; FV50 NEEDED 05/37"/>
    <s v="20150930"/>
    <x v="4"/>
    <d v="2015-09-30T00:00:00"/>
    <n v="-3059.89"/>
  </r>
  <r>
    <s v="100080759"/>
    <s v="SA"/>
    <s v="40540 PD0014"/>
    <x v="0"/>
    <s v="RECURRING ENTRY ENDS 10/34; FV50 NEEDED 11/34"/>
    <s v="20150930"/>
    <x v="5"/>
    <d v="2015-09-30T00:00:00"/>
    <n v="-8058.13"/>
  </r>
  <r>
    <s v="100080760"/>
    <s v="SA"/>
    <s v="40540 PD0009"/>
    <x v="0"/>
    <s v="RECURRING ENTRY ENDS 03/16; FV50 NEEDED 04/16"/>
    <s v="20150930"/>
    <x v="10"/>
    <d v="2015-09-30T00:00:00"/>
    <n v="-12467.89"/>
  </r>
  <r>
    <s v="100080761"/>
    <s v="SA"/>
    <s v="40540 PD0010"/>
    <x v="0"/>
    <s v="RECURRING ENTRY ENDS 04/18; FV50 NEEDED 05/18"/>
    <s v="20150930"/>
    <x v="12"/>
    <d v="2015-09-30T00:00:00"/>
    <n v="-7696.08"/>
  </r>
  <r>
    <s v="100080762"/>
    <s v="SA"/>
    <s v="40547 PD0010"/>
    <x v="0"/>
    <s v="RECURRING ENTRY ENDS 04/18; FV50 NEEDED 05/18"/>
    <s v="20150930"/>
    <x v="12"/>
    <d v="2015-09-30T00:00:00"/>
    <n v="-3633.17"/>
  </r>
  <r>
    <s v="100080763"/>
    <s v="SA"/>
    <s v="40540 PD0012"/>
    <x v="0"/>
    <s v="RECURRING ENTRY ENDS 07/25; FV50 NEEDED 08/25"/>
    <s v="20150930"/>
    <x v="13"/>
    <d v="2015-09-30T00:00:00"/>
    <n v="-4399.9399999999996"/>
  </r>
  <r>
    <s v="100080764"/>
    <s v="SA"/>
    <s v="40540 PD0023"/>
    <x v="0"/>
    <s v="RECURRING ENTRY ENDS 09/20; FV50 NEEDED 10/20"/>
    <s v="20150930"/>
    <x v="14"/>
    <d v="2015-09-30T00:00:00"/>
    <n v="-2351.71"/>
  </r>
  <r>
    <s v="100080765"/>
    <s v="SA"/>
    <s v="40547 PD0023"/>
    <x v="0"/>
    <s v="RECURRING ENTRY ENDS 09/20; FV50 NEEDED 10/20"/>
    <s v="20150930"/>
    <x v="14"/>
    <d v="2015-09-30T00:00:00"/>
    <n v="-63.12"/>
  </r>
  <r>
    <s v="100080766"/>
    <s v="SA"/>
    <s v="40540 PD0018"/>
    <x v="0"/>
    <s v="RECURRING ENTRY ENDS 04/18; FV50 NEEDED 05/18"/>
    <s v="20150930"/>
    <x v="15"/>
    <d v="2015-09-30T00:00:00"/>
    <n v="-6308.36"/>
  </r>
  <r>
    <s v="100080767"/>
    <s v="SA"/>
    <s v="40549 PD0018"/>
    <x v="0"/>
    <s v="RECURRING ENTRY ENDS 04/18; FV50 NEEDED 05/18"/>
    <s v="20150930"/>
    <x v="15"/>
    <d v="2015-09-30T00:00:00"/>
    <n v="-7695.19"/>
  </r>
  <r>
    <s v="100080786"/>
    <s v="SA"/>
    <s v="40540 PD0025"/>
    <x v="0"/>
    <s v="RECURRING ENTRY ENDS 04/42,FV50 NEEDED 05/42"/>
    <s v="20150930"/>
    <x v="17"/>
    <d v="2015-09-30T00:00:00"/>
    <n v="-7123.53"/>
  </r>
  <r>
    <s v="100080787"/>
    <s v="SA"/>
    <s v="40540 PD0026"/>
    <x v="0"/>
    <s v="$225M Bonds Due 2022"/>
    <s v="20150930"/>
    <x v="0"/>
    <d v="2015-09-30T00:00:00"/>
    <n v="-14668.67"/>
  </r>
  <r>
    <s v="100080818"/>
    <s v="SA"/>
    <s v="40540_PD0027"/>
    <x v="0"/>
    <s v="RECURRING ENTRY ENDS 03/44; FV50 NEEDED 04/44"/>
    <s v="20150930"/>
    <x v="1"/>
    <d v="2015-09-30T00:00:00"/>
    <n v="-8710.42"/>
  </r>
  <r>
    <s v="9100001726"/>
    <s v="YP"/>
    <s v="89801-6"/>
    <x v="0"/>
    <s v="$230M Bond due 2045"/>
    <s v="20151002"/>
    <x v="19"/>
    <d v="2015-09-30T00:00:00"/>
    <n v="-7986.44"/>
  </r>
  <r>
    <s v="9100001727"/>
    <s v="YP"/>
    <s v="89801-7"/>
    <x v="0"/>
    <s v="Reclass PD26 fee to expense"/>
    <s v="20151002"/>
    <x v="0"/>
    <d v="2015-09-30T00:00:00"/>
    <n v="-3780"/>
  </r>
  <r>
    <s v="100092383"/>
    <s v="SA"/>
    <s v="40540"/>
    <x v="0"/>
    <s v="RECURRING ENTRY ENDS 10/30; FV50 NEEDED 11/30"/>
    <s v="20151031"/>
    <x v="2"/>
    <d v="2015-10-31T00:00:00"/>
    <n v="-6400.96"/>
  </r>
  <r>
    <s v="100092384"/>
    <s v="SA"/>
    <s v="40547 PD0013"/>
    <x v="0"/>
    <s v="RECURRING ENTRY ENDS 10/30; FV50 NEEDED 11/30"/>
    <s v="20151031"/>
    <x v="2"/>
    <d v="2015-10-31T00:00:00"/>
    <n v="-130.22"/>
  </r>
  <r>
    <s v="100092385"/>
    <s v="SA"/>
    <s v="40540 PD0015"/>
    <x v="0"/>
    <s v="RECURRING ENTRY ENDS 04/36; FV50 NEEDED 05/36"/>
    <s v="20151031"/>
    <x v="3"/>
    <d v="2015-10-31T00:00:00"/>
    <n v="-6872.38"/>
  </r>
  <r>
    <s v="100092386"/>
    <s v="SA"/>
    <s v="40548 PD0015"/>
    <x v="0"/>
    <s v="RECURRING ENTRY ENDS 04/36; FV50 NEEDED 05/36"/>
    <s v="20151031"/>
    <x v="3"/>
    <d v="2015-10-31T00:00:00"/>
    <n v="-4630.24"/>
  </r>
  <r>
    <s v="100092387"/>
    <s v="SA"/>
    <s v="40540 PD0020"/>
    <x v="0"/>
    <s v="RECURRING ENTRY ENDS 04/37; FV50 NEEDED 05/37"/>
    <s v="20151031"/>
    <x v="4"/>
    <d v="2015-10-31T00:00:00"/>
    <n v="-3059.89"/>
  </r>
  <r>
    <s v="100092388"/>
    <s v="SA"/>
    <s v="40540 PD0014"/>
    <x v="0"/>
    <s v="RECURRING ENTRY ENDS 10/34; FV50 NEEDED 11/34"/>
    <s v="20151031"/>
    <x v="5"/>
    <d v="2015-10-31T00:00:00"/>
    <n v="-8058.13"/>
  </r>
  <r>
    <s v="100092389"/>
    <s v="SA"/>
    <s v="40540 PD0009"/>
    <x v="0"/>
    <s v="RECURRING ENTRY ENDS 03/16; FV50 NEEDED 04/16"/>
    <s v="20151031"/>
    <x v="10"/>
    <d v="2015-10-31T00:00:00"/>
    <n v="-12467.89"/>
  </r>
  <r>
    <s v="100092390"/>
    <s v="SA"/>
    <s v="40540 PD0010"/>
    <x v="0"/>
    <s v="RECURRING ENTRY ENDS 04/18; FV50 NEEDED 05/18"/>
    <s v="20151031"/>
    <x v="12"/>
    <d v="2015-10-31T00:00:00"/>
    <n v="-7696.08"/>
  </r>
  <r>
    <s v="100092391"/>
    <s v="SA"/>
    <s v="40547 PD0010"/>
    <x v="0"/>
    <s v="RECURRING ENTRY ENDS 04/18; FV50 NEEDED 05/18"/>
    <s v="20151031"/>
    <x v="12"/>
    <d v="2015-10-31T00:00:00"/>
    <n v="-3633.17"/>
  </r>
  <r>
    <s v="100092392"/>
    <s v="SA"/>
    <s v="40540 PD0012"/>
    <x v="0"/>
    <s v="RECURRING ENTRY ENDS 07/25; FV50 NEEDED 08/25"/>
    <s v="20151031"/>
    <x v="13"/>
    <d v="2015-10-31T00:00:00"/>
    <n v="-4399.9399999999996"/>
  </r>
  <r>
    <s v="100092393"/>
    <s v="SA"/>
    <s v="40540 PD0023"/>
    <x v="0"/>
    <s v="RECURRING ENTRY ENDS 09/20; FV50 NEEDED 10/20"/>
    <s v="20151031"/>
    <x v="14"/>
    <d v="2015-10-31T00:00:00"/>
    <n v="-2351.71"/>
  </r>
  <r>
    <s v="100092394"/>
    <s v="SA"/>
    <s v="40547 PD0023"/>
    <x v="0"/>
    <s v="RECURRING ENTRY ENDS 09/20; FV50 NEEDED 10/20"/>
    <s v="20151031"/>
    <x v="14"/>
    <d v="2015-10-31T00:00:00"/>
    <n v="-63.12"/>
  </r>
  <r>
    <s v="100092395"/>
    <s v="SA"/>
    <s v="40540 PD0018"/>
    <x v="0"/>
    <s v="RECURRING ENTRY ENDS 04/18; FV50 NEEDED 05/18"/>
    <s v="20151031"/>
    <x v="15"/>
    <d v="2015-10-31T00:00:00"/>
    <n v="-6308.36"/>
  </r>
  <r>
    <s v="100092396"/>
    <s v="SA"/>
    <s v="40549 PD0018"/>
    <x v="0"/>
    <s v="RECURRING ENTRY ENDS 04/18; FV50 NEEDED 05/18"/>
    <s v="20151031"/>
    <x v="15"/>
    <d v="2015-10-31T00:00:00"/>
    <n v="-7695.19"/>
  </r>
  <r>
    <s v="100092414"/>
    <s v="SA"/>
    <s v="40540 PD0025"/>
    <x v="0"/>
    <s v="RECURRING ENTRY ENDS 04/42,FV50 NEEDED 05/42"/>
    <s v="20151031"/>
    <x v="17"/>
    <d v="2015-10-31T00:00:00"/>
    <n v="-7123.53"/>
  </r>
  <r>
    <s v="100092415"/>
    <s v="SA"/>
    <s v="40540 PD0026"/>
    <x v="0"/>
    <s v="$225M Bonds Due 2022"/>
    <s v="20151031"/>
    <x v="0"/>
    <d v="2015-10-31T00:00:00"/>
    <n v="-14668.67"/>
  </r>
  <r>
    <s v="100092446"/>
    <s v="SA"/>
    <s v="40540_PD0027"/>
    <x v="0"/>
    <s v="RECURRING ENTRY ENDS 03/44; FV50 NEEDED 04/44"/>
    <s v="20151031"/>
    <x v="1"/>
    <d v="2015-10-31T00:00:00"/>
    <n v="-8710.42"/>
  </r>
  <r>
    <s v="9100001900"/>
    <s v="YP"/>
    <s v="89801-7"/>
    <x v="0"/>
    <s v="$230M Bond due 2045"/>
    <s v="20151103"/>
    <x v="19"/>
    <d v="2015-10-31T00:00:00"/>
    <n v="-7028.09"/>
  </r>
  <r>
    <s v="9100002144"/>
    <s v="YP"/>
    <s v="1178901"/>
    <x v="0"/>
    <s v=""/>
    <s v="20151111"/>
    <x v="19"/>
    <d v="2015-12-09T00:00:00"/>
    <n v="208.43"/>
  </r>
  <r>
    <s v="100102206"/>
    <s v="SA"/>
    <s v="40540"/>
    <x v="0"/>
    <s v="RECURRING ENTRY ENDS 10/30; FV50 NEEDED 11/30"/>
    <s v="20151130"/>
    <x v="2"/>
    <d v="2015-11-30T00:00:00"/>
    <n v="-6400.96"/>
  </r>
  <r>
    <s v="100102207"/>
    <s v="SA"/>
    <s v="40547 PD0013"/>
    <x v="0"/>
    <s v="RECURRING ENTRY ENDS 10/30; FV50 NEEDED 11/30"/>
    <s v="20151130"/>
    <x v="2"/>
    <d v="2015-11-30T00:00:00"/>
    <n v="-130.22"/>
  </r>
  <r>
    <s v="100102208"/>
    <s v="SA"/>
    <s v="40540 PD0015"/>
    <x v="0"/>
    <s v="RECURRING ENTRY ENDS 04/36; FV50 NEEDED 05/36"/>
    <s v="20151130"/>
    <x v="3"/>
    <d v="2015-11-30T00:00:00"/>
    <n v="-6872.38"/>
  </r>
  <r>
    <s v="100102209"/>
    <s v="SA"/>
    <s v="40548 PD0015"/>
    <x v="0"/>
    <s v="RECURRING ENTRY ENDS 04/36; FV50 NEEDED 05/36"/>
    <s v="20151130"/>
    <x v="3"/>
    <d v="2015-11-30T00:00:00"/>
    <n v="-4630.24"/>
  </r>
  <r>
    <s v="100102210"/>
    <s v="SA"/>
    <s v="40540 PD0020"/>
    <x v="0"/>
    <s v="RECURRING ENTRY ENDS 04/37; FV50 NEEDED 05/37"/>
    <s v="20151130"/>
    <x v="4"/>
    <d v="2015-11-30T00:00:00"/>
    <n v="-3059.89"/>
  </r>
  <r>
    <s v="100102211"/>
    <s v="SA"/>
    <s v="40540 PD0014"/>
    <x v="0"/>
    <s v="RECURRING ENTRY ENDS 10/34; FV50 NEEDED 11/34"/>
    <s v="20151130"/>
    <x v="5"/>
    <d v="2015-11-30T00:00:00"/>
    <n v="-8058.13"/>
  </r>
  <r>
    <s v="100102212"/>
    <s v="SA"/>
    <s v="40540 PD0009"/>
    <x v="0"/>
    <s v="RECURRING ENTRY ENDS 03/16; FV50 NEEDED 04/16"/>
    <s v="20151130"/>
    <x v="10"/>
    <d v="2015-11-30T00:00:00"/>
    <n v="-12467.89"/>
  </r>
  <r>
    <s v="100102213"/>
    <s v="SA"/>
    <s v="40540 PD0010"/>
    <x v="0"/>
    <s v="RECURRING ENTRY ENDS 04/18; FV50 NEEDED 05/18"/>
    <s v="20151130"/>
    <x v="12"/>
    <d v="2015-11-30T00:00:00"/>
    <n v="-7696.08"/>
  </r>
  <r>
    <s v="100102214"/>
    <s v="SA"/>
    <s v="40547 PD0010"/>
    <x v="0"/>
    <s v="RECURRING ENTRY ENDS 04/18; FV50 NEEDED 05/18"/>
    <s v="20151130"/>
    <x v="12"/>
    <d v="2015-11-30T00:00:00"/>
    <n v="-3633.17"/>
  </r>
  <r>
    <s v="100102215"/>
    <s v="SA"/>
    <s v="40540 PD0012"/>
    <x v="0"/>
    <s v="RECURRING ENTRY ENDS 07/25; FV50 NEEDED 08/25"/>
    <s v="20151130"/>
    <x v="13"/>
    <d v="2015-11-30T00:00:00"/>
    <n v="-4399.9399999999996"/>
  </r>
  <r>
    <s v="100102216"/>
    <s v="SA"/>
    <s v="40540 PD0023"/>
    <x v="0"/>
    <s v="RECURRING ENTRY ENDS 09/20; FV50 NEEDED 10/20"/>
    <s v="20151130"/>
    <x v="14"/>
    <d v="2015-11-30T00:00:00"/>
    <n v="-2351.71"/>
  </r>
  <r>
    <s v="100102217"/>
    <s v="SA"/>
    <s v="40547 PD0023"/>
    <x v="0"/>
    <s v="RECURRING ENTRY ENDS 09/20; FV50 NEEDED 10/20"/>
    <s v="20151130"/>
    <x v="14"/>
    <d v="2015-11-30T00:00:00"/>
    <n v="-63.12"/>
  </r>
  <r>
    <s v="100102218"/>
    <s v="SA"/>
    <s v="40540 PD0018"/>
    <x v="0"/>
    <s v="RECURRING ENTRY ENDS 04/18; FV50 NEEDED 05/18"/>
    <s v="20151130"/>
    <x v="15"/>
    <d v="2015-11-30T00:00:00"/>
    <n v="-6308.36"/>
  </r>
  <r>
    <s v="100102219"/>
    <s v="SA"/>
    <s v="40549 PD0018"/>
    <x v="0"/>
    <s v="RECURRING ENTRY ENDS 04/18; FV50 NEEDED 05/18"/>
    <s v="20151130"/>
    <x v="15"/>
    <d v="2015-11-30T00:00:00"/>
    <n v="-7695.19"/>
  </r>
  <r>
    <s v="100102237"/>
    <s v="SA"/>
    <s v="40540 PD0025"/>
    <x v="0"/>
    <s v="RECURRING ENTRY ENDS 04/42,FV50 NEEDED 05/42"/>
    <s v="20151130"/>
    <x v="17"/>
    <d v="2015-11-30T00:00:00"/>
    <n v="-7123.53"/>
  </r>
  <r>
    <s v="100102238"/>
    <s v="SA"/>
    <s v="40540 PD0026"/>
    <x v="0"/>
    <s v="$225M Bonds Due 2022"/>
    <s v="20151130"/>
    <x v="0"/>
    <d v="2015-11-30T00:00:00"/>
    <n v="-14668.67"/>
  </r>
  <r>
    <s v="100102269"/>
    <s v="SA"/>
    <s v="40540_PD0027"/>
    <x v="0"/>
    <s v="RECURRING ENTRY ENDS 03/44; FV50 NEEDED 04/44"/>
    <s v="20151130"/>
    <x v="1"/>
    <d v="2015-11-30T00:00:00"/>
    <n v="-8710.42"/>
  </r>
  <r>
    <s v="9100002096"/>
    <s v="YP"/>
    <s v="89801-3"/>
    <x v="0"/>
    <s v="$230M Bond due 2045"/>
    <s v="20151202"/>
    <x v="19"/>
    <d v="2015-11-30T00:00:00"/>
    <n v="-7027.14"/>
  </r>
  <r>
    <s v="100114755"/>
    <s v="SA"/>
    <s v="40540"/>
    <x v="0"/>
    <s v="RECURRING ENTRY ENDS 10/30; FV50 NEEDED 11/30"/>
    <s v="20151231"/>
    <x v="2"/>
    <d v="2015-12-31T00:00:00"/>
    <n v="-6400.96"/>
  </r>
  <r>
    <s v="100114756"/>
    <s v="SA"/>
    <s v="40547 PD0013"/>
    <x v="0"/>
    <s v="RECURRING ENTRY ENDS 10/30; FV50 NEEDED 11/30"/>
    <s v="20151231"/>
    <x v="2"/>
    <d v="2015-12-31T00:00:00"/>
    <n v="-130.22"/>
  </r>
  <r>
    <s v="100114757"/>
    <s v="SA"/>
    <s v="40540 PD0015"/>
    <x v="0"/>
    <s v="RECURRING ENTRY ENDS 04/36; FV50 NEEDED 05/36"/>
    <s v="20151231"/>
    <x v="3"/>
    <d v="2015-12-31T00:00:00"/>
    <n v="-6872.38"/>
  </r>
  <r>
    <s v="100114758"/>
    <s v="SA"/>
    <s v="40548 PD0015"/>
    <x v="0"/>
    <s v="RECURRING ENTRY ENDS 04/36; FV50 NEEDED 05/36"/>
    <s v="20151231"/>
    <x v="3"/>
    <d v="2015-12-31T00:00:00"/>
    <n v="-4630.24"/>
  </r>
  <r>
    <s v="100114759"/>
    <s v="SA"/>
    <s v="40540 PD0020"/>
    <x v="0"/>
    <s v="RECURRING ENTRY ENDS 04/37; FV50 NEEDED 05/37"/>
    <s v="20151231"/>
    <x v="4"/>
    <d v="2015-12-31T00:00:00"/>
    <n v="-3059.89"/>
  </r>
  <r>
    <s v="100114760"/>
    <s v="SA"/>
    <s v="40540 PD0014"/>
    <x v="0"/>
    <s v="RECURRING ENTRY ENDS 10/34; FV50 NEEDED 11/34"/>
    <s v="20151231"/>
    <x v="5"/>
    <d v="2015-12-31T00:00:00"/>
    <n v="-8058.13"/>
  </r>
  <r>
    <s v="100114761"/>
    <s v="SA"/>
    <s v="40540 PD0009"/>
    <x v="0"/>
    <s v="RECURRING ENTRY ENDS 03/16; FV50 NEEDED 04/16"/>
    <s v="20151231"/>
    <x v="10"/>
    <d v="2015-12-31T00:00:00"/>
    <n v="-12467.89"/>
  </r>
  <r>
    <s v="100114762"/>
    <s v="SA"/>
    <s v="40540 PD0010"/>
    <x v="0"/>
    <s v="RECURRING ENTRY ENDS 04/18; FV50 NEEDED 05/18"/>
    <s v="20151231"/>
    <x v="12"/>
    <d v="2015-12-31T00:00:00"/>
    <n v="-7696.08"/>
  </r>
  <r>
    <s v="100114763"/>
    <s v="SA"/>
    <s v="40547 PD0010"/>
    <x v="0"/>
    <s v="RECURRING ENTRY ENDS 04/18; FV50 NEEDED 05/18"/>
    <s v="20151231"/>
    <x v="12"/>
    <d v="2015-12-31T00:00:00"/>
    <n v="-3633.17"/>
  </r>
  <r>
    <s v="100114764"/>
    <s v="SA"/>
    <s v="40540 PD0012"/>
    <x v="0"/>
    <s v="RECURRING ENTRY ENDS 07/25; FV50 NEEDED 08/25"/>
    <s v="20151231"/>
    <x v="13"/>
    <d v="2015-12-31T00:00:00"/>
    <n v="-4399.9399999999996"/>
  </r>
  <r>
    <s v="100114765"/>
    <s v="SA"/>
    <s v="40540 PD0023"/>
    <x v="0"/>
    <s v="RECURRING ENTRY ENDS 09/20; FV50 NEEDED 10/20"/>
    <s v="20151231"/>
    <x v="14"/>
    <d v="2015-12-31T00:00:00"/>
    <n v="-2351.71"/>
  </r>
  <r>
    <s v="100114766"/>
    <s v="SA"/>
    <s v="40547 PD0023"/>
    <x v="0"/>
    <s v="RECURRING ENTRY ENDS 09/20; FV50 NEEDED 10/20"/>
    <s v="20151231"/>
    <x v="14"/>
    <d v="2015-12-31T00:00:00"/>
    <n v="-63.12"/>
  </r>
  <r>
    <s v="100114767"/>
    <s v="SA"/>
    <s v="40540 PD0018"/>
    <x v="0"/>
    <s v="RECURRING ENTRY ENDS 04/18; FV50 NEEDED 05/18"/>
    <s v="20151231"/>
    <x v="15"/>
    <d v="2015-12-31T00:00:00"/>
    <n v="-6308.36"/>
  </r>
  <r>
    <s v="100114768"/>
    <s v="SA"/>
    <s v="40549 PD0018"/>
    <x v="0"/>
    <s v="RECURRING ENTRY ENDS 04/18; FV50 NEEDED 05/18"/>
    <s v="20151231"/>
    <x v="15"/>
    <d v="2015-12-31T00:00:00"/>
    <n v="-7695.19"/>
  </r>
  <r>
    <s v="100114786"/>
    <s v="SA"/>
    <s v="40540 PD0025"/>
    <x v="0"/>
    <s v="RECURRING ENTRY ENDS 04/42,FV50 NEEDED 05/42"/>
    <s v="20151231"/>
    <x v="17"/>
    <d v="2015-12-31T00:00:00"/>
    <n v="-7123.53"/>
  </r>
  <r>
    <s v="100114787"/>
    <s v="SA"/>
    <s v="40540 PD0026"/>
    <x v="0"/>
    <s v="$225M Bonds Due 2022"/>
    <s v="20151231"/>
    <x v="0"/>
    <d v="2015-12-31T00:00:00"/>
    <n v="-14668.67"/>
  </r>
  <r>
    <s v="100114818"/>
    <s v="SA"/>
    <s v="40540_PD0027"/>
    <x v="0"/>
    <s v="RECURRING ENTRY ENDS 03/44; FV50 NEEDED 04/44"/>
    <s v="20151231"/>
    <x v="1"/>
    <d v="2015-12-31T00:00:00"/>
    <n v="-8710.42"/>
  </r>
  <r>
    <s v="100114871"/>
    <s v="SA"/>
    <s v="40540 PD0028"/>
    <x v="0"/>
    <s v="$230M Bond due 2045"/>
    <s v="20151231"/>
    <x v="19"/>
    <d v="2015-12-31T00:00:00"/>
    <n v="-7028.09"/>
  </r>
  <r>
    <s v="9100002347"/>
    <s v="YP"/>
    <s v="89801-5"/>
    <x v="0"/>
    <s v="Expense Bond Issuance Cost"/>
    <s v="20160104"/>
    <x v="19"/>
    <d v="2015-12-31T00:00:00"/>
    <n v="-208.43"/>
  </r>
  <r>
    <s v="100010132"/>
    <s v="SA"/>
    <s v="40540"/>
    <x v="0"/>
    <s v="RECURRING ENTRY ENDS 10/30; FV50 NEEDED 11/30"/>
    <s v="20160131"/>
    <x v="2"/>
    <d v="2016-01-31T00:00:00"/>
    <n v="-6400.96"/>
  </r>
  <r>
    <s v="100010133"/>
    <s v="SA"/>
    <s v="40547 PD0013"/>
    <x v="0"/>
    <s v="RECURRING ENTRY ENDS 10/30; FV50 NEEDED 11/30"/>
    <s v="20160131"/>
    <x v="2"/>
    <d v="2016-01-31T00:00:00"/>
    <n v="-130.22"/>
  </r>
  <r>
    <s v="100010134"/>
    <s v="SA"/>
    <s v="40540 PD0015"/>
    <x v="0"/>
    <s v="RECURRING ENTRY ENDS 04/36; FV50 NEEDED 05/36"/>
    <s v="20160131"/>
    <x v="3"/>
    <d v="2016-01-31T00:00:00"/>
    <n v="-6872.38"/>
  </r>
  <r>
    <s v="100010135"/>
    <s v="SA"/>
    <s v="40548 PD0015"/>
    <x v="0"/>
    <s v="RECURRING ENTRY ENDS 04/36; FV50 NEEDED 05/36"/>
    <s v="20160131"/>
    <x v="3"/>
    <d v="2016-01-31T00:00:00"/>
    <n v="-4630.24"/>
  </r>
  <r>
    <s v="100010136"/>
    <s v="SA"/>
    <s v="40540 PD0020"/>
    <x v="0"/>
    <s v="RECURRING ENTRY ENDS 04/37; FV50 NEEDED 05/37"/>
    <s v="20160131"/>
    <x v="4"/>
    <d v="2016-01-31T00:00:00"/>
    <n v="-3059.89"/>
  </r>
  <r>
    <s v="100010137"/>
    <s v="SA"/>
    <s v="40540 PD0014"/>
    <x v="0"/>
    <s v="RECURRING ENTRY ENDS 10/34; FV50 NEEDED 11/34"/>
    <s v="20160131"/>
    <x v="5"/>
    <d v="2016-01-31T00:00:00"/>
    <n v="-8058.13"/>
  </r>
  <r>
    <s v="100010138"/>
    <s v="SA"/>
    <s v="40540 PD0009"/>
    <x v="0"/>
    <s v="RECURRING ENTRY ENDS 03/16; FV50 NEEDED 04/16"/>
    <s v="20160131"/>
    <x v="10"/>
    <d v="2016-01-31T00:00:00"/>
    <n v="-12467.89"/>
  </r>
  <r>
    <s v="100010139"/>
    <s v="SA"/>
    <s v="40540 PD0010"/>
    <x v="0"/>
    <s v="RECURRING ENTRY ENDS 04/18; FV50 NEEDED 05/18"/>
    <s v="20160131"/>
    <x v="12"/>
    <d v="2016-01-31T00:00:00"/>
    <n v="-7696.08"/>
  </r>
  <r>
    <s v="100010140"/>
    <s v="SA"/>
    <s v="40547 PD0010"/>
    <x v="0"/>
    <s v="RECURRING ENTRY ENDS 04/18; FV50 NEEDED 05/18"/>
    <s v="20160131"/>
    <x v="12"/>
    <d v="2016-01-31T00:00:00"/>
    <n v="-3633.17"/>
  </r>
  <r>
    <s v="100010141"/>
    <s v="SA"/>
    <s v="40540 PD0012"/>
    <x v="0"/>
    <s v="RECURRING ENTRY ENDS 07/25; FV50 NEEDED 08/25"/>
    <s v="20160131"/>
    <x v="13"/>
    <d v="2016-01-31T00:00:00"/>
    <n v="-4399.9399999999996"/>
  </r>
  <r>
    <s v="100010142"/>
    <s v="SA"/>
    <s v="40540 PD0023"/>
    <x v="0"/>
    <s v="RECURRING ENTRY ENDS 09/20; FV50 NEEDED 10/20"/>
    <s v="20160131"/>
    <x v="14"/>
    <d v="2016-01-31T00:00:00"/>
    <n v="-2351.71"/>
  </r>
  <r>
    <s v="100010143"/>
    <s v="SA"/>
    <s v="40547 PD0023"/>
    <x v="0"/>
    <s v="RECURRING ENTRY ENDS 09/20; FV50 NEEDED 10/20"/>
    <s v="20160131"/>
    <x v="14"/>
    <d v="2016-01-31T00:00:00"/>
    <n v="-63.12"/>
  </r>
  <r>
    <s v="100010144"/>
    <s v="SA"/>
    <s v="40540 PD0018"/>
    <x v="0"/>
    <s v="RECURRING ENTRY ENDS 04/18; FV50 NEEDED 05/18"/>
    <s v="20160131"/>
    <x v="15"/>
    <d v="2016-01-31T00:00:00"/>
    <n v="-6308.36"/>
  </r>
  <r>
    <s v="100010145"/>
    <s v="SA"/>
    <s v="40549 PD0018"/>
    <x v="0"/>
    <s v="RECURRING ENTRY ENDS 04/18; FV50 NEEDED 05/18"/>
    <s v="20160131"/>
    <x v="15"/>
    <d v="2016-01-31T00:00:00"/>
    <n v="-7695.19"/>
  </r>
  <r>
    <s v="100010162"/>
    <s v="SA"/>
    <s v="40540 PD0025"/>
    <x v="0"/>
    <s v="RECURRING ENTRY ENDS 04/42,FV50 NEEDED 05/42"/>
    <s v="20160131"/>
    <x v="17"/>
    <d v="2016-01-31T00:00:00"/>
    <n v="-7123.53"/>
  </r>
  <r>
    <s v="100010163"/>
    <s v="SA"/>
    <s v="40540 PD0026"/>
    <x v="0"/>
    <s v="$225M Bonds Due 2022"/>
    <s v="20160131"/>
    <x v="0"/>
    <d v="2016-01-31T00:00:00"/>
    <n v="-14668.67"/>
  </r>
  <r>
    <s v="100010194"/>
    <s v="SA"/>
    <s v="40540_PD0027"/>
    <x v="0"/>
    <s v="RECURRING ENTRY ENDS 03/44; FV50 NEEDED 04/44"/>
    <s v="20160131"/>
    <x v="1"/>
    <d v="2016-01-31T00:00:00"/>
    <n v="-8710.42"/>
  </r>
  <r>
    <s v="100010219"/>
    <s v="SA"/>
    <s v="40540 PD0028"/>
    <x v="0"/>
    <s v="$230M Bond due 2045"/>
    <s v="20160131"/>
    <x v="19"/>
    <d v="2016-01-31T00:00:00"/>
    <n v="-7028.09"/>
  </r>
  <r>
    <s v="1900002323"/>
    <s v="KR"/>
    <s v="1205796"/>
    <x v="0"/>
    <s v=""/>
    <s v="20160216"/>
    <x v="20"/>
    <d v="2016-04-05T00:00:00"/>
    <n v="702"/>
  </r>
  <r>
    <s v="100019842"/>
    <s v="SA"/>
    <s v="40540"/>
    <x v="0"/>
    <s v="RECURRING ENTRY ENDS 10/30; FV50 NEEDED 11/30"/>
    <s v="20160229"/>
    <x v="2"/>
    <d v="2016-02-29T00:00:00"/>
    <n v="-6400.96"/>
  </r>
  <r>
    <s v="100019843"/>
    <s v="SA"/>
    <s v="40547 PD0013"/>
    <x v="0"/>
    <s v="RECURRING ENTRY ENDS 10/30; FV50 NEEDED 11/30"/>
    <s v="20160229"/>
    <x v="2"/>
    <d v="2016-02-29T00:00:00"/>
    <n v="-130.22"/>
  </r>
  <r>
    <s v="100019844"/>
    <s v="SA"/>
    <s v="40540 PD0015"/>
    <x v="0"/>
    <s v="RECURRING ENTRY ENDS 04/36; FV50 NEEDED 05/36"/>
    <s v="20160229"/>
    <x v="3"/>
    <d v="2016-02-29T00:00:00"/>
    <n v="-6872.38"/>
  </r>
  <r>
    <s v="100019845"/>
    <s v="SA"/>
    <s v="40548 PD0015"/>
    <x v="0"/>
    <s v="RECURRING ENTRY ENDS 04/36; FV50 NEEDED 05/36"/>
    <s v="20160229"/>
    <x v="3"/>
    <d v="2016-02-29T00:00:00"/>
    <n v="-4630.24"/>
  </r>
  <r>
    <s v="100019846"/>
    <s v="SA"/>
    <s v="40540 PD0020"/>
    <x v="0"/>
    <s v="RECURRING ENTRY ENDS 04/37; FV50 NEEDED 05/37"/>
    <s v="20160229"/>
    <x v="4"/>
    <d v="2016-02-29T00:00:00"/>
    <n v="-3059.89"/>
  </r>
  <r>
    <s v="100019847"/>
    <s v="SA"/>
    <s v="40540 PD0014"/>
    <x v="0"/>
    <s v="RECURRING ENTRY ENDS 10/34; FV50 NEEDED 11/34"/>
    <s v="20160229"/>
    <x v="5"/>
    <d v="2016-02-29T00:00:00"/>
    <n v="-8058.13"/>
  </r>
  <r>
    <s v="100019848"/>
    <s v="SA"/>
    <s v="40540 PD0009"/>
    <x v="0"/>
    <s v="RECURRING ENTRY ENDS 03/16; FV50 NEEDED 04/16"/>
    <s v="20160229"/>
    <x v="10"/>
    <d v="2016-02-29T00:00:00"/>
    <n v="-12467.89"/>
  </r>
  <r>
    <s v="100019849"/>
    <s v="SA"/>
    <s v="40540 PD0010"/>
    <x v="0"/>
    <s v="RECURRING ENTRY ENDS 04/18; FV50 NEEDED 05/18"/>
    <s v="20160229"/>
    <x v="12"/>
    <d v="2016-02-29T00:00:00"/>
    <n v="-7696.08"/>
  </r>
  <r>
    <s v="100019850"/>
    <s v="SA"/>
    <s v="40547 PD0010"/>
    <x v="0"/>
    <s v="RECURRING ENTRY ENDS 04/18; FV50 NEEDED 05/18"/>
    <s v="20160229"/>
    <x v="12"/>
    <d v="2016-02-29T00:00:00"/>
    <n v="-3633.17"/>
  </r>
  <r>
    <s v="100019851"/>
    <s v="SA"/>
    <s v="40540 PD0012"/>
    <x v="0"/>
    <s v="RECURRING ENTRY ENDS 07/25; FV50 NEEDED 08/25"/>
    <s v="20160229"/>
    <x v="13"/>
    <d v="2016-02-29T00:00:00"/>
    <n v="-4399.9399999999996"/>
  </r>
  <r>
    <s v="100019852"/>
    <s v="SA"/>
    <s v="40540 PD0023"/>
    <x v="0"/>
    <s v="RECURRING ENTRY ENDS 09/20; FV50 NEEDED 10/20"/>
    <s v="20160229"/>
    <x v="14"/>
    <d v="2016-02-29T00:00:00"/>
    <n v="-2351.71"/>
  </r>
  <r>
    <s v="100019853"/>
    <s v="SA"/>
    <s v="40547 PD0023"/>
    <x v="0"/>
    <s v="RECURRING ENTRY ENDS 09/20; FV50 NEEDED 10/20"/>
    <s v="20160229"/>
    <x v="14"/>
    <d v="2016-02-29T00:00:00"/>
    <n v="-63.12"/>
  </r>
  <r>
    <s v="100019854"/>
    <s v="SA"/>
    <s v="40540 PD0018"/>
    <x v="0"/>
    <s v="RECURRING ENTRY ENDS 04/18; FV50 NEEDED 05/18"/>
    <s v="20160229"/>
    <x v="15"/>
    <d v="2016-02-29T00:00:00"/>
    <n v="-6308.36"/>
  </r>
  <r>
    <s v="100019855"/>
    <s v="SA"/>
    <s v="40549 PD0018"/>
    <x v="0"/>
    <s v="RECURRING ENTRY ENDS 04/18; FV50 NEEDED 05/18"/>
    <s v="20160229"/>
    <x v="15"/>
    <d v="2016-02-29T00:00:00"/>
    <n v="-7695.19"/>
  </r>
  <r>
    <s v="100019872"/>
    <s v="SA"/>
    <s v="40540 PD0025"/>
    <x v="0"/>
    <s v="RECURRING ENTRY ENDS 04/42,FV50 NEEDED 05/42"/>
    <s v="20160229"/>
    <x v="17"/>
    <d v="2016-02-29T00:00:00"/>
    <n v="-7123.53"/>
  </r>
  <r>
    <s v="100019873"/>
    <s v="SA"/>
    <s v="40540 PD0026"/>
    <x v="0"/>
    <s v="$225M Bonds Due 2022"/>
    <s v="20160229"/>
    <x v="0"/>
    <d v="2016-02-29T00:00:00"/>
    <n v="-14668.67"/>
  </r>
  <r>
    <s v="100019904"/>
    <s v="SA"/>
    <s v="40540_PD0027"/>
    <x v="0"/>
    <s v="RECURRING ENTRY ENDS 03/44; FV50 NEEDED 04/44"/>
    <s v="20160229"/>
    <x v="1"/>
    <d v="2016-02-29T00:00:00"/>
    <n v="-8710.42"/>
  </r>
  <r>
    <s v="100019928"/>
    <s v="SA"/>
    <s v="40540 PD0028"/>
    <x v="0"/>
    <s v="$230M Bond due 2045"/>
    <s v="20160229"/>
    <x v="19"/>
    <d v="2016-02-29T00:00:00"/>
    <n v="-7028.09"/>
  </r>
  <r>
    <s v="100031906"/>
    <s v="SA"/>
    <s v="40540 PD0009"/>
    <x v="0"/>
    <s v="RECURRING ENTRY ENDS 03/16; FV50 NEEDED 04/16"/>
    <s v="20160301"/>
    <x v="10"/>
    <d v="2016-03-01T00:00:00"/>
    <n v="-12467.89"/>
  </r>
  <r>
    <s v="100032013"/>
    <s v="SA"/>
    <s v="40540 PD0009"/>
    <x v="0"/>
    <s v="RECURRING ENTRY ENDS 03/16; FV50 NEEDED 04/16"/>
    <s v="20160301"/>
    <x v="10"/>
    <d v="2016-03-01T00:00:00"/>
    <n v="-12467.89"/>
  </r>
  <r>
    <s v="100032046"/>
    <s v="AB"/>
    <s v="40540 PD0009"/>
    <x v="0"/>
    <s v="RECURRING ENTRY ENDS 03/16; FV50 NEEDED 04/16"/>
    <s v="20160301"/>
    <x v="10"/>
    <d v="2016-03-01T00:00:00"/>
    <n v="12467.89"/>
  </r>
  <r>
    <s v="100031900"/>
    <s v="SA"/>
    <s v="40540"/>
    <x v="0"/>
    <s v="RECURRING ENTRY ENDS 10/30; FV50 NEEDED 11/30"/>
    <s v="20160331"/>
    <x v="2"/>
    <d v="2016-03-31T00:00:00"/>
    <n v="-6400.96"/>
  </r>
  <r>
    <s v="100031901"/>
    <s v="SA"/>
    <s v="40547 PD0013"/>
    <x v="0"/>
    <s v="RECURRING ENTRY ENDS 10/30; FV50 NEEDED 11/30"/>
    <s v="20160331"/>
    <x v="2"/>
    <d v="2016-03-31T00:00:00"/>
    <n v="-130.22"/>
  </r>
  <r>
    <s v="100031902"/>
    <s v="SA"/>
    <s v="40540 PD0015"/>
    <x v="0"/>
    <s v="RECURRING ENTRY ENDS 04/36; FV50 NEEDED 05/36"/>
    <s v="20160331"/>
    <x v="3"/>
    <d v="2016-03-31T00:00:00"/>
    <n v="-6872.38"/>
  </r>
  <r>
    <s v="100031903"/>
    <s v="SA"/>
    <s v="40548 PD0015"/>
    <x v="0"/>
    <s v="RECURRING ENTRY ENDS 04/36; FV50 NEEDED 05/36"/>
    <s v="20160331"/>
    <x v="3"/>
    <d v="2016-03-31T00:00:00"/>
    <n v="-4630.24"/>
  </r>
  <r>
    <s v="100031904"/>
    <s v="SA"/>
    <s v="40540 PD0020"/>
    <x v="0"/>
    <s v="RECURRING ENTRY ENDS 04/37; FV50 NEEDED 05/37"/>
    <s v="20160331"/>
    <x v="4"/>
    <d v="2016-03-31T00:00:00"/>
    <n v="-3059.89"/>
  </r>
  <r>
    <s v="100031905"/>
    <s v="SA"/>
    <s v="40540 PD0014"/>
    <x v="0"/>
    <s v="RECURRING ENTRY ENDS 10/34; FV50 NEEDED 11/34"/>
    <s v="20160331"/>
    <x v="5"/>
    <d v="2016-03-31T00:00:00"/>
    <n v="-8058.13"/>
  </r>
  <r>
    <s v="100031907"/>
    <s v="SA"/>
    <s v="40540 PD0010"/>
    <x v="0"/>
    <s v="RECURRING ENTRY ENDS 04/18; FV50 NEEDED 05/18"/>
    <s v="20160331"/>
    <x v="12"/>
    <d v="2016-03-31T00:00:00"/>
    <n v="-7696.08"/>
  </r>
  <r>
    <s v="100031908"/>
    <s v="SA"/>
    <s v="40547 PD0010"/>
    <x v="0"/>
    <s v="RECURRING ENTRY ENDS 04/18; FV50 NEEDED 05/18"/>
    <s v="20160331"/>
    <x v="12"/>
    <d v="2016-03-31T00:00:00"/>
    <n v="-3633.17"/>
  </r>
  <r>
    <s v="100031909"/>
    <s v="SA"/>
    <s v="40540 PD0012"/>
    <x v="0"/>
    <s v="RECURRING ENTRY ENDS 07/25; FV50 NEEDED 08/25"/>
    <s v="20160331"/>
    <x v="13"/>
    <d v="2016-03-31T00:00:00"/>
    <n v="-4399.9399999999996"/>
  </r>
  <r>
    <s v="100031910"/>
    <s v="SA"/>
    <s v="40540 PD0023"/>
    <x v="0"/>
    <s v="RECURRING ENTRY ENDS 09/20; FV50 NEEDED 10/20"/>
    <s v="20160331"/>
    <x v="14"/>
    <d v="2016-03-31T00:00:00"/>
    <n v="-2351.71"/>
  </r>
  <r>
    <s v="100031911"/>
    <s v="SA"/>
    <s v="40547 PD0023"/>
    <x v="0"/>
    <s v="RECURRING ENTRY ENDS 09/20; FV50 NEEDED 10/20"/>
    <s v="20160331"/>
    <x v="14"/>
    <d v="2016-03-31T00:00:00"/>
    <n v="-63.12"/>
  </r>
  <r>
    <s v="100031912"/>
    <s v="SA"/>
    <s v="40540 PD0018"/>
    <x v="0"/>
    <s v="RECURRING ENTRY ENDS 04/18; FV50 NEEDED 05/18"/>
    <s v="20160331"/>
    <x v="15"/>
    <d v="2016-03-31T00:00:00"/>
    <n v="-6308.36"/>
  </r>
  <r>
    <s v="100031913"/>
    <s v="SA"/>
    <s v="40549 PD0018"/>
    <x v="0"/>
    <s v="RECURRING ENTRY ENDS 04/18; FV50 NEEDED 05/18"/>
    <s v="20160331"/>
    <x v="15"/>
    <d v="2016-03-31T00:00:00"/>
    <n v="-7695.19"/>
  </r>
  <r>
    <s v="100031929"/>
    <s v="SA"/>
    <s v="40540 PD0025"/>
    <x v="0"/>
    <s v="RECURRING ENTRY ENDS 04/42,FV50 NEEDED 05/42"/>
    <s v="20160331"/>
    <x v="17"/>
    <d v="2016-03-31T00:00:00"/>
    <n v="-7123.53"/>
  </r>
  <r>
    <s v="100031930"/>
    <s v="SA"/>
    <s v="40540 PD0026"/>
    <x v="0"/>
    <s v="$225M Bonds Due 2022"/>
    <s v="20160331"/>
    <x v="0"/>
    <d v="2016-03-31T00:00:00"/>
    <n v="-14668.67"/>
  </r>
  <r>
    <s v="100031961"/>
    <s v="SA"/>
    <s v="40540_PD0027"/>
    <x v="0"/>
    <s v="RECURRING ENTRY ENDS 03/44; FV50 NEEDED 04/44"/>
    <s v="20160331"/>
    <x v="1"/>
    <d v="2016-03-31T00:00:00"/>
    <n v="-8710.42"/>
  </r>
  <r>
    <s v="100031983"/>
    <s v="SA"/>
    <s v="40540 PD0028"/>
    <x v="0"/>
    <s v="$230M Bond due 2045"/>
    <s v="20160331"/>
    <x v="19"/>
    <d v="2016-03-31T00:00:00"/>
    <n v="-7028.09"/>
  </r>
  <r>
    <s v="100042463"/>
    <s v="SA"/>
    <s v="40540"/>
    <x v="0"/>
    <s v="RECURRING ENTRY ENDS 10/30; FV50 NEEDED 11/30"/>
    <s v="20160430"/>
    <x v="2"/>
    <d v="2016-04-30T00:00:00"/>
    <n v="-6400.96"/>
  </r>
  <r>
    <s v="100042464"/>
    <s v="SA"/>
    <s v="40547 PD0013"/>
    <x v="0"/>
    <s v="RECURRING ENTRY ENDS 10/30; FV50 NEEDED 11/30"/>
    <s v="20160430"/>
    <x v="2"/>
    <d v="2016-04-30T00:00:00"/>
    <n v="-130.22"/>
  </r>
  <r>
    <s v="100042465"/>
    <s v="SA"/>
    <s v="40540 PD0015"/>
    <x v="0"/>
    <s v="RECURRING ENTRY ENDS 04/36; FV50 NEEDED 05/36"/>
    <s v="20160430"/>
    <x v="3"/>
    <d v="2016-04-30T00:00:00"/>
    <n v="-6872.38"/>
  </r>
  <r>
    <s v="100042466"/>
    <s v="SA"/>
    <s v="40548 PD0015"/>
    <x v="0"/>
    <s v="RECURRING ENTRY ENDS 04/36; FV50 NEEDED 05/36"/>
    <s v="20160430"/>
    <x v="3"/>
    <d v="2016-04-30T00:00:00"/>
    <n v="-4630.24"/>
  </r>
  <r>
    <s v="100042467"/>
    <s v="SA"/>
    <s v="40540 PD0020"/>
    <x v="0"/>
    <s v="RECURRING ENTRY ENDS 04/37; FV50 NEEDED 05/37"/>
    <s v="20160430"/>
    <x v="4"/>
    <d v="2016-04-30T00:00:00"/>
    <n v="-3059.89"/>
  </r>
  <r>
    <s v="100042468"/>
    <s v="SA"/>
    <s v="40540 PD0014"/>
    <x v="0"/>
    <s v="RECURRING ENTRY ENDS 10/34; FV50 NEEDED 11/34"/>
    <s v="20160430"/>
    <x v="5"/>
    <d v="2016-04-30T00:00:00"/>
    <n v="-8058.13"/>
  </r>
  <r>
    <s v="100042469"/>
    <s v="SA"/>
    <s v="40540 PD0010"/>
    <x v="0"/>
    <s v="RECURRING ENTRY ENDS 04/18; FV50 NEEDED 05/18"/>
    <s v="20160430"/>
    <x v="12"/>
    <d v="2016-04-30T00:00:00"/>
    <n v="-7696.08"/>
  </r>
  <r>
    <s v="100042470"/>
    <s v="SA"/>
    <s v="40547 PD0010"/>
    <x v="0"/>
    <s v="RECURRING ENTRY ENDS 04/18; FV50 NEEDED 05/18"/>
    <s v="20160430"/>
    <x v="12"/>
    <d v="2016-04-30T00:00:00"/>
    <n v="-3633.17"/>
  </r>
  <r>
    <s v="100042471"/>
    <s v="SA"/>
    <s v="40540 PD0012"/>
    <x v="0"/>
    <s v="RECURRING ENTRY ENDS 07/25; FV50 NEEDED 08/25"/>
    <s v="20160430"/>
    <x v="13"/>
    <d v="2016-04-30T00:00:00"/>
    <n v="-4399.9399999999996"/>
  </r>
  <r>
    <s v="100042472"/>
    <s v="SA"/>
    <s v="40540 PD0023"/>
    <x v="0"/>
    <s v="RECURRING ENTRY ENDS 09/20; FV50 NEEDED 10/20"/>
    <s v="20160430"/>
    <x v="14"/>
    <d v="2016-04-30T00:00:00"/>
    <n v="-2351.71"/>
  </r>
  <r>
    <s v="100042473"/>
    <s v="SA"/>
    <s v="40547 PD0023"/>
    <x v="0"/>
    <s v="RECURRING ENTRY ENDS 09/20; FV50 NEEDED 10/20"/>
    <s v="20160430"/>
    <x v="14"/>
    <d v="2016-04-30T00:00:00"/>
    <n v="-63.12"/>
  </r>
  <r>
    <s v="100042474"/>
    <s v="SA"/>
    <s v="40540 PD0018"/>
    <x v="0"/>
    <s v="RECURRING ENTRY ENDS 04/18; FV50 NEEDED 05/18"/>
    <s v="20160430"/>
    <x v="15"/>
    <d v="2016-04-30T00:00:00"/>
    <n v="-6308.36"/>
  </r>
  <r>
    <s v="100042475"/>
    <s v="SA"/>
    <s v="40549 PD0018"/>
    <x v="0"/>
    <s v="RECURRING ENTRY ENDS 04/18; FV50 NEEDED 05/18"/>
    <s v="20160430"/>
    <x v="15"/>
    <d v="2016-04-30T00:00:00"/>
    <n v="-7695.19"/>
  </r>
  <r>
    <s v="100042482"/>
    <s v="SA"/>
    <s v="40540 PD0009"/>
    <x v="0"/>
    <s v="FINAL MONTH AMORTIZATION"/>
    <s v="20160430"/>
    <x v="10"/>
    <d v="2016-04-30T00:00:00"/>
    <n v="-4156.26"/>
  </r>
  <r>
    <s v="100042492"/>
    <s v="SA"/>
    <s v="40540 PD0025"/>
    <x v="0"/>
    <s v="RECURRING ENTRY ENDS 04/42,FV50 NEEDED 05/42"/>
    <s v="20160430"/>
    <x v="17"/>
    <d v="2016-04-30T00:00:00"/>
    <n v="-7123.53"/>
  </r>
  <r>
    <s v="100042493"/>
    <s v="SA"/>
    <s v="40540 PD0026"/>
    <x v="0"/>
    <s v="$225M Bonds Due 2022"/>
    <s v="20160430"/>
    <x v="0"/>
    <d v="2016-04-30T00:00:00"/>
    <n v="-14668.67"/>
  </r>
  <r>
    <s v="100042524"/>
    <s v="SA"/>
    <s v="40540_PD0027"/>
    <x v="0"/>
    <s v="RECURRING ENTRY ENDS 03/44; FV50 NEEDED 04/44"/>
    <s v="20160430"/>
    <x v="1"/>
    <d v="2016-04-30T00:00:00"/>
    <n v="-8710.42"/>
  </r>
  <r>
    <s v="100042545"/>
    <s v="SA"/>
    <s v="40540 PD0028"/>
    <x v="0"/>
    <s v="$230M Bond due 2045"/>
    <s v="20160430"/>
    <x v="19"/>
    <d v="2016-04-30T00:00:00"/>
    <n v="-7028.09"/>
  </r>
  <r>
    <s v="100042595"/>
    <s v="SA"/>
    <s v="89800-37"/>
    <x v="0"/>
    <s v="Expense Invoice"/>
    <s v="20160502"/>
    <x v="20"/>
    <d v="2016-04-30T00:00:00"/>
    <n v="-702"/>
  </r>
  <r>
    <s v="100053203"/>
    <s v="SA"/>
    <s v="40540"/>
    <x v="0"/>
    <s v="RECURRING ENTRY ENDS 10/30; FV50 NEEDED 11/30"/>
    <s v="20160531"/>
    <x v="2"/>
    <d v="2016-05-31T00:00:00"/>
    <n v="-6400.96"/>
  </r>
  <r>
    <s v="100053204"/>
    <s v="SA"/>
    <s v="40547 PD0013"/>
    <x v="0"/>
    <s v="RECURRING ENTRY ENDS 10/30; FV50 NEEDED 11/30"/>
    <s v="20160531"/>
    <x v="2"/>
    <d v="2016-05-31T00:00:00"/>
    <n v="-130.22"/>
  </r>
  <r>
    <s v="100053205"/>
    <s v="SA"/>
    <s v="40540 PD0015"/>
    <x v="0"/>
    <s v="RECURRING ENTRY ENDS 04/36; FV50 NEEDED 05/36"/>
    <s v="20160531"/>
    <x v="3"/>
    <d v="2016-05-31T00:00:00"/>
    <n v="-6872.38"/>
  </r>
  <r>
    <s v="100053206"/>
    <s v="SA"/>
    <s v="40548 PD0015"/>
    <x v="0"/>
    <s v="RECURRING ENTRY ENDS 04/36; FV50 NEEDED 05/36"/>
    <s v="20160531"/>
    <x v="3"/>
    <d v="2016-05-31T00:00:00"/>
    <n v="-4630.24"/>
  </r>
  <r>
    <s v="100053207"/>
    <s v="SA"/>
    <s v="40540 PD0020"/>
    <x v="0"/>
    <s v="RECURRING ENTRY ENDS 04/37; FV50 NEEDED 05/37"/>
    <s v="20160531"/>
    <x v="4"/>
    <d v="2016-05-31T00:00:00"/>
    <n v="-3059.89"/>
  </r>
  <r>
    <s v="100053208"/>
    <s v="SA"/>
    <s v="40540 PD0014"/>
    <x v="0"/>
    <s v="RECURRING ENTRY ENDS 10/34; FV50 NEEDED 11/34"/>
    <s v="20160531"/>
    <x v="5"/>
    <d v="2016-05-31T00:00:00"/>
    <n v="-8058.13"/>
  </r>
  <r>
    <s v="100053209"/>
    <s v="SA"/>
    <s v="40540 PD0010"/>
    <x v="0"/>
    <s v="RECURRING ENTRY ENDS 04/18; FV50 NEEDED 05/18"/>
    <s v="20160531"/>
    <x v="12"/>
    <d v="2016-05-31T00:00:00"/>
    <n v="-7696.08"/>
  </r>
  <r>
    <s v="100053210"/>
    <s v="SA"/>
    <s v="40547 PD0010"/>
    <x v="0"/>
    <s v="RECURRING ENTRY ENDS 04/18; FV50 NEEDED 05/18"/>
    <s v="20160531"/>
    <x v="12"/>
    <d v="2016-05-31T00:00:00"/>
    <n v="-3633.17"/>
  </r>
  <r>
    <s v="100053211"/>
    <s v="SA"/>
    <s v="40540 PD0012"/>
    <x v="0"/>
    <s v="RECURRING ENTRY ENDS 07/25; FV50 NEEDED 08/25"/>
    <s v="20160531"/>
    <x v="13"/>
    <d v="2016-05-31T00:00:00"/>
    <n v="-4399.9399999999996"/>
  </r>
  <r>
    <s v="100053212"/>
    <s v="SA"/>
    <s v="40540 PD0023"/>
    <x v="0"/>
    <s v="RECURRING ENTRY ENDS 09/20; FV50 NEEDED 10/20"/>
    <s v="20160531"/>
    <x v="14"/>
    <d v="2016-05-31T00:00:00"/>
    <n v="-2351.71"/>
  </r>
  <r>
    <s v="100053213"/>
    <s v="SA"/>
    <s v="40547 PD0023"/>
    <x v="0"/>
    <s v="RECURRING ENTRY ENDS 09/20; FV50 NEEDED 10/20"/>
    <s v="20160531"/>
    <x v="14"/>
    <d v="2016-05-31T00:00:00"/>
    <n v="-63.12"/>
  </r>
  <r>
    <s v="100053214"/>
    <s v="SA"/>
    <s v="40540 PD0018"/>
    <x v="0"/>
    <s v="RECURRING ENTRY ENDS 04/18; FV50 NEEDED 05/18"/>
    <s v="20160531"/>
    <x v="15"/>
    <d v="2016-05-31T00:00:00"/>
    <n v="-6308.36"/>
  </r>
  <r>
    <s v="100053215"/>
    <s v="SA"/>
    <s v="40549 PD0018"/>
    <x v="0"/>
    <s v="RECURRING ENTRY ENDS 04/18; FV50 NEEDED 05/18"/>
    <s v="20160531"/>
    <x v="15"/>
    <d v="2016-05-31T00:00:00"/>
    <n v="-7695.19"/>
  </r>
  <r>
    <s v="100053231"/>
    <s v="SA"/>
    <s v="40540 PD0025"/>
    <x v="0"/>
    <s v="RECURRING ENTRY ENDS 04/42,FV50 NEEDED 05/42"/>
    <s v="20160531"/>
    <x v="17"/>
    <d v="2016-05-31T00:00:00"/>
    <n v="-7123.53"/>
  </r>
  <r>
    <s v="100053232"/>
    <s v="SA"/>
    <s v="40540 PD0026"/>
    <x v="0"/>
    <s v="$225M Bonds Due 2022"/>
    <s v="20160531"/>
    <x v="0"/>
    <d v="2016-05-31T00:00:00"/>
    <n v="-14668.67"/>
  </r>
  <r>
    <s v="100053262"/>
    <s v="SA"/>
    <s v="40540_PD0027"/>
    <x v="0"/>
    <s v="RECURRING ENTRY ENDS 03/44; FV50 NEEDED 04/44"/>
    <s v="20160531"/>
    <x v="1"/>
    <d v="2016-05-31T00:00:00"/>
    <n v="-8710.42"/>
  </r>
  <r>
    <s v="100053282"/>
    <s v="SA"/>
    <s v="40540 PD0028"/>
    <x v="0"/>
    <s v="$230M Bond due 2045"/>
    <s v="20160531"/>
    <x v="19"/>
    <d v="2016-05-31T00:00:00"/>
    <n v="-7028.09"/>
  </r>
  <r>
    <s v="100064183"/>
    <s v="SA"/>
    <s v="40540"/>
    <x v="0"/>
    <s v="RECURRING ENTRY ENDS 10/30; FV50 NEEDED 11/30"/>
    <s v="20160630"/>
    <x v="2"/>
    <d v="2016-06-30T00:00:00"/>
    <n v="-6400.96"/>
  </r>
  <r>
    <s v="100064184"/>
    <s v="SA"/>
    <s v="40547 PD0013"/>
    <x v="0"/>
    <s v="RECURRING ENTRY ENDS 10/30; FV50 NEEDED 11/30"/>
    <s v="20160630"/>
    <x v="2"/>
    <d v="2016-06-30T00:00:00"/>
    <n v="-130.22"/>
  </r>
  <r>
    <s v="100064185"/>
    <s v="SA"/>
    <s v="40540 PD0015"/>
    <x v="0"/>
    <s v="RECURRING ENTRY ENDS 04/36; FV50 NEEDED 05/36"/>
    <s v="20160630"/>
    <x v="3"/>
    <d v="2016-06-30T00:00:00"/>
    <n v="-6872.38"/>
  </r>
  <r>
    <s v="100064186"/>
    <s v="SA"/>
    <s v="40548 PD0015"/>
    <x v="0"/>
    <s v="RECURRING ENTRY ENDS 04/36; FV50 NEEDED 05/36"/>
    <s v="20160630"/>
    <x v="3"/>
    <d v="2016-06-30T00:00:00"/>
    <n v="-4630.24"/>
  </r>
  <r>
    <s v="100064187"/>
    <s v="SA"/>
    <s v="40540 PD0020"/>
    <x v="0"/>
    <s v="RECURRING ENTRY ENDS 04/37; FV50 NEEDED 05/37"/>
    <s v="20160630"/>
    <x v="4"/>
    <d v="2016-06-30T00:00:00"/>
    <n v="-3059.89"/>
  </r>
  <r>
    <s v="100064188"/>
    <s v="SA"/>
    <s v="40540 PD0014"/>
    <x v="0"/>
    <s v="RECURRING ENTRY ENDS 10/34; FV50 NEEDED 11/34"/>
    <s v="20160630"/>
    <x v="5"/>
    <d v="2016-06-30T00:00:00"/>
    <n v="-8058.13"/>
  </r>
  <r>
    <s v="100064189"/>
    <s v="SA"/>
    <s v="40540 PD0010"/>
    <x v="0"/>
    <s v="RECURRING ENTRY ENDS 04/18; FV50 NEEDED 05/18"/>
    <s v="20160630"/>
    <x v="12"/>
    <d v="2016-06-30T00:00:00"/>
    <n v="-7696.08"/>
  </r>
  <r>
    <s v="100064190"/>
    <s v="SA"/>
    <s v="40547 PD0010"/>
    <x v="0"/>
    <s v="RECURRING ENTRY ENDS 04/18; FV50 NEEDED 05/18"/>
    <s v="20160630"/>
    <x v="12"/>
    <d v="2016-06-30T00:00:00"/>
    <n v="-3633.17"/>
  </r>
  <r>
    <s v="100064191"/>
    <s v="SA"/>
    <s v="40540 PD0012"/>
    <x v="0"/>
    <s v="RECURRING ENTRY ENDS 07/25; FV50 NEEDED 08/25"/>
    <s v="20160630"/>
    <x v="13"/>
    <d v="2016-06-30T00:00:00"/>
    <n v="-4399.9399999999996"/>
  </r>
  <r>
    <s v="100064192"/>
    <s v="SA"/>
    <s v="40540 PD0023"/>
    <x v="0"/>
    <s v="RECURRING ENTRY ENDS 09/20; FV50 NEEDED 10/20"/>
    <s v="20160630"/>
    <x v="14"/>
    <d v="2016-06-30T00:00:00"/>
    <n v="-2351.71"/>
  </r>
  <r>
    <s v="100064193"/>
    <s v="SA"/>
    <s v="40547 PD0023"/>
    <x v="0"/>
    <s v="RECURRING ENTRY ENDS 09/20; FV50 NEEDED 10/20"/>
    <s v="20160630"/>
    <x v="14"/>
    <d v="2016-06-30T00:00:00"/>
    <n v="-63.12"/>
  </r>
  <r>
    <s v="100064194"/>
    <s v="SA"/>
    <s v="40540 PD0018"/>
    <x v="0"/>
    <s v="RECURRING ENTRY ENDS 04/18; FV50 NEEDED 05/18"/>
    <s v="20160630"/>
    <x v="15"/>
    <d v="2016-06-30T00:00:00"/>
    <n v="-6308.36"/>
  </r>
  <r>
    <s v="100064195"/>
    <s v="SA"/>
    <s v="40549 PD0018"/>
    <x v="0"/>
    <s v="RECURRING ENTRY ENDS 04/18; FV50 NEEDED 05/18"/>
    <s v="20160630"/>
    <x v="15"/>
    <d v="2016-06-30T00:00:00"/>
    <n v="-7695.19"/>
  </r>
  <r>
    <s v="100064211"/>
    <s v="SA"/>
    <s v="40540 PD0025"/>
    <x v="0"/>
    <s v="RECURRING ENTRY ENDS 04/42,FV50 NEEDED 05/42"/>
    <s v="20160630"/>
    <x v="17"/>
    <d v="2016-06-30T00:00:00"/>
    <n v="-7123.53"/>
  </r>
  <r>
    <s v="100064212"/>
    <s v="SA"/>
    <s v="40540 PD0026"/>
    <x v="0"/>
    <s v="$225M Bonds Due 2022"/>
    <s v="20160630"/>
    <x v="0"/>
    <d v="2016-06-30T00:00:00"/>
    <n v="-14668.67"/>
  </r>
  <r>
    <s v="100064242"/>
    <s v="SA"/>
    <s v="40540_PD0027"/>
    <x v="0"/>
    <s v="RECURRING ENTRY ENDS 03/44; FV50 NEEDED 04/44"/>
    <s v="20160630"/>
    <x v="1"/>
    <d v="2016-06-30T00:00:00"/>
    <n v="-8710.42"/>
  </r>
  <r>
    <s v="100064261"/>
    <s v="SA"/>
    <s v="40540 PD0028"/>
    <x v="0"/>
    <s v="$230M Bond due 2045"/>
    <s v="20160630"/>
    <x v="19"/>
    <d v="2016-06-30T00:00:00"/>
    <n v="-7028.09"/>
  </r>
  <r>
    <s v="9100001914"/>
    <s v="YP"/>
    <s v="89801-5"/>
    <x v="0"/>
    <s v="Reclass PD26 fee to expense"/>
    <s v="20160630"/>
    <x v="0"/>
    <d v="2016-09-30T00:00:00"/>
    <n v="-3780"/>
  </r>
  <r>
    <s v="100074820"/>
    <s v="SA"/>
    <s v="40540"/>
    <x v="0"/>
    <s v="RECURRING ENTRY ENDS 10/30; FV50 NEEDED 11/30"/>
    <s v="20160731"/>
    <x v="2"/>
    <d v="2016-07-31T00:00:00"/>
    <n v="-6400.96"/>
  </r>
  <r>
    <s v="100074821"/>
    <s v="SA"/>
    <s v="40547 PD0013"/>
    <x v="0"/>
    <s v="RECURRING ENTRY ENDS 10/30; FV50 NEEDED 11/30"/>
    <s v="20160731"/>
    <x v="2"/>
    <d v="2016-07-31T00:00:00"/>
    <n v="-130.22"/>
  </r>
  <r>
    <s v="100074822"/>
    <s v="SA"/>
    <s v="40540 PD0015"/>
    <x v="0"/>
    <s v="RECURRING ENTRY ENDS 04/36; FV50 NEEDED 05/36"/>
    <s v="20160731"/>
    <x v="3"/>
    <d v="2016-07-31T00:00:00"/>
    <n v="-6872.38"/>
  </r>
  <r>
    <s v="100074823"/>
    <s v="SA"/>
    <s v="40548 PD0015"/>
    <x v="0"/>
    <s v="RECURRING ENTRY ENDS 04/36; FV50 NEEDED 05/36"/>
    <s v="20160731"/>
    <x v="3"/>
    <d v="2016-07-31T00:00:00"/>
    <n v="-4630.24"/>
  </r>
  <r>
    <s v="100074824"/>
    <s v="SA"/>
    <s v="40540 PD0020"/>
    <x v="0"/>
    <s v="RECURRING ENTRY ENDS 04/37; FV50 NEEDED 05/37"/>
    <s v="20160731"/>
    <x v="4"/>
    <d v="2016-07-31T00:00:00"/>
    <n v="-3059.89"/>
  </r>
  <r>
    <s v="100074825"/>
    <s v="SA"/>
    <s v="40540 PD0014"/>
    <x v="0"/>
    <s v="RECURRING ENTRY ENDS 10/34; FV50 NEEDED 11/34"/>
    <s v="20160731"/>
    <x v="5"/>
    <d v="2016-07-31T00:00:00"/>
    <n v="-8058.13"/>
  </r>
  <r>
    <s v="100074826"/>
    <s v="SA"/>
    <s v="40540 PD0010"/>
    <x v="0"/>
    <s v="RECURRING ENTRY ENDS 04/18; FV50 NEEDED 05/18"/>
    <s v="20160731"/>
    <x v="12"/>
    <d v="2016-07-31T00:00:00"/>
    <n v="-7696.08"/>
  </r>
  <r>
    <s v="100074827"/>
    <s v="SA"/>
    <s v="40547 PD0010"/>
    <x v="0"/>
    <s v="RECURRING ENTRY ENDS 04/18; FV50 NEEDED 05/18"/>
    <s v="20160731"/>
    <x v="12"/>
    <d v="2016-07-31T00:00:00"/>
    <n v="-3633.17"/>
  </r>
  <r>
    <s v="100074828"/>
    <s v="SA"/>
    <s v="40540 PD0012"/>
    <x v="0"/>
    <s v="RECURRING ENTRY ENDS 07/25; FV50 NEEDED 08/25"/>
    <s v="20160731"/>
    <x v="13"/>
    <d v="2016-07-31T00:00:00"/>
    <n v="-4399.9399999999996"/>
  </r>
  <r>
    <s v="100074829"/>
    <s v="SA"/>
    <s v="40540 PD0023"/>
    <x v="0"/>
    <s v="RECURRING ENTRY ENDS 09/20; FV50 NEEDED 10/20"/>
    <s v="20160731"/>
    <x v="14"/>
    <d v="2016-07-31T00:00:00"/>
    <n v="-2351.71"/>
  </r>
  <r>
    <s v="100074830"/>
    <s v="SA"/>
    <s v="40547 PD0023"/>
    <x v="0"/>
    <s v="RECURRING ENTRY ENDS 09/20; FV50 NEEDED 10/20"/>
    <s v="20160731"/>
    <x v="14"/>
    <d v="2016-07-31T00:00:00"/>
    <n v="-63.12"/>
  </r>
  <r>
    <s v="100074831"/>
    <s v="SA"/>
    <s v="40540 PD0018"/>
    <x v="0"/>
    <s v="RECURRING ENTRY ENDS 04/18; FV50 NEEDED 05/18"/>
    <s v="20160731"/>
    <x v="15"/>
    <d v="2016-07-31T00:00:00"/>
    <n v="-6308.36"/>
  </r>
  <r>
    <s v="100074832"/>
    <s v="SA"/>
    <s v="40549 PD0018"/>
    <x v="0"/>
    <s v="RECURRING ENTRY ENDS 04/18; FV50 NEEDED 05/18"/>
    <s v="20160731"/>
    <x v="15"/>
    <d v="2016-07-31T00:00:00"/>
    <n v="-7695.19"/>
  </r>
  <r>
    <s v="100074848"/>
    <s v="SA"/>
    <s v="40540 PD0025"/>
    <x v="0"/>
    <s v="RECURRING ENTRY ENDS 04/42,FV50 NEEDED 05/42"/>
    <s v="20160731"/>
    <x v="17"/>
    <d v="2016-07-31T00:00:00"/>
    <n v="-7123.53"/>
  </r>
  <r>
    <s v="100074849"/>
    <s v="SA"/>
    <s v="40540 PD0026"/>
    <x v="0"/>
    <s v="$225M Bonds Due 2022"/>
    <s v="20160731"/>
    <x v="0"/>
    <d v="2016-07-31T00:00:00"/>
    <n v="-14668.67"/>
  </r>
  <r>
    <s v="100074879"/>
    <s v="SA"/>
    <s v="40540_PD0027"/>
    <x v="0"/>
    <s v="RECURRING ENTRY ENDS 03/44; FV50 NEEDED 04/44"/>
    <s v="20160731"/>
    <x v="1"/>
    <d v="2016-07-31T00:00:00"/>
    <n v="-8710.42"/>
  </r>
  <r>
    <s v="100074888"/>
    <s v="SA"/>
    <s v="40540 PD0028"/>
    <x v="0"/>
    <s v="$230M Bond due 2045"/>
    <s v="20160731"/>
    <x v="19"/>
    <d v="2016-07-31T00:00:00"/>
    <n v="-7028.09"/>
  </r>
  <r>
    <s v="100086880"/>
    <s v="SA"/>
    <s v="40540"/>
    <x v="0"/>
    <s v="RECURRING ENTRY ENDS 10/30; FV50 NEEDED 11/30"/>
    <s v="20160831"/>
    <x v="2"/>
    <d v="2016-08-31T00:00:00"/>
    <n v="-6400.96"/>
  </r>
  <r>
    <s v="100086881"/>
    <s v="SA"/>
    <s v="40547 PD0013"/>
    <x v="0"/>
    <s v="RECURRING ENTRY ENDS 10/30; FV50 NEEDED 11/30"/>
    <s v="20160831"/>
    <x v="2"/>
    <d v="2016-08-31T00:00:00"/>
    <n v="-130.22"/>
  </r>
  <r>
    <s v="100086882"/>
    <s v="SA"/>
    <s v="40540 PD0015"/>
    <x v="0"/>
    <s v="RECURRING ENTRY ENDS 04/36; FV50 NEEDED 05/36"/>
    <s v="20160831"/>
    <x v="3"/>
    <d v="2016-08-31T00:00:00"/>
    <n v="-6872.38"/>
  </r>
  <r>
    <s v="100086883"/>
    <s v="SA"/>
    <s v="40548 PD0015"/>
    <x v="0"/>
    <s v="RECURRING ENTRY ENDS 04/36; FV50 NEEDED 05/36"/>
    <s v="20160831"/>
    <x v="3"/>
    <d v="2016-08-31T00:00:00"/>
    <n v="-4630.24"/>
  </r>
  <r>
    <s v="100086884"/>
    <s v="SA"/>
    <s v="40540 PD0020"/>
    <x v="0"/>
    <s v="RECURRING ENTRY ENDS 04/37; FV50 NEEDED 05/37"/>
    <s v="20160831"/>
    <x v="4"/>
    <d v="2016-08-31T00:00:00"/>
    <n v="-3059.89"/>
  </r>
  <r>
    <s v="100086885"/>
    <s v="SA"/>
    <s v="40540 PD0014"/>
    <x v="0"/>
    <s v="RECURRING ENTRY ENDS 10/34; FV50 NEEDED 11/34"/>
    <s v="20160831"/>
    <x v="5"/>
    <d v="2016-08-31T00:00:00"/>
    <n v="-8058.13"/>
  </r>
  <r>
    <s v="100086886"/>
    <s v="SA"/>
    <s v="40540 PD0010"/>
    <x v="0"/>
    <s v="RECURRING ENTRY ENDS 04/18; FV50 NEEDED 05/18"/>
    <s v="20160831"/>
    <x v="12"/>
    <d v="2016-08-31T00:00:00"/>
    <n v="-7696.08"/>
  </r>
  <r>
    <s v="100086887"/>
    <s v="SA"/>
    <s v="40547 PD0010"/>
    <x v="0"/>
    <s v="RECURRING ENTRY ENDS 04/18; FV50 NEEDED 05/18"/>
    <s v="20160831"/>
    <x v="12"/>
    <d v="2016-08-31T00:00:00"/>
    <n v="-3633.17"/>
  </r>
  <r>
    <s v="100086888"/>
    <s v="SA"/>
    <s v="40540 PD0012"/>
    <x v="0"/>
    <s v="RECURRING ENTRY ENDS 07/25; FV50 NEEDED 08/25"/>
    <s v="20160831"/>
    <x v="13"/>
    <d v="2016-08-31T00:00:00"/>
    <n v="-4399.9399999999996"/>
  </r>
  <r>
    <s v="100086889"/>
    <s v="SA"/>
    <s v="40540 PD0023"/>
    <x v="0"/>
    <s v="RECURRING ENTRY ENDS 09/20; FV50 NEEDED 10/20"/>
    <s v="20160831"/>
    <x v="14"/>
    <d v="2016-08-31T00:00:00"/>
    <n v="-2351.71"/>
  </r>
  <r>
    <s v="100086890"/>
    <s v="SA"/>
    <s v="40547 PD0023"/>
    <x v="0"/>
    <s v="RECURRING ENTRY ENDS 09/20; FV50 NEEDED 10/20"/>
    <s v="20160831"/>
    <x v="14"/>
    <d v="2016-08-31T00:00:00"/>
    <n v="-63.12"/>
  </r>
  <r>
    <s v="100086891"/>
    <s v="SA"/>
    <s v="40540 PD0018"/>
    <x v="0"/>
    <s v="RECURRING ENTRY ENDS 04/18; FV50 NEEDED 05/18"/>
    <s v="20160831"/>
    <x v="15"/>
    <d v="2016-08-31T00:00:00"/>
    <n v="-6308.36"/>
  </r>
  <r>
    <s v="100086892"/>
    <s v="SA"/>
    <s v="40549 PD0018"/>
    <x v="0"/>
    <s v="RECURRING ENTRY ENDS 04/18; FV50 NEEDED 05/18"/>
    <s v="20160831"/>
    <x v="15"/>
    <d v="2016-08-31T00:00:00"/>
    <n v="-7695.19"/>
  </r>
  <r>
    <s v="100086907"/>
    <s v="SA"/>
    <s v="40540 PD0025"/>
    <x v="0"/>
    <s v="RECURRING ENTRY ENDS 04/42,FV50 NEEDED 05/42"/>
    <s v="20160831"/>
    <x v="17"/>
    <d v="2016-08-31T00:00:00"/>
    <n v="-7123.53"/>
  </r>
  <r>
    <s v="100086908"/>
    <s v="SA"/>
    <s v="40540 PD0026"/>
    <x v="0"/>
    <s v="$225M Bonds Due 2022"/>
    <s v="20160831"/>
    <x v="0"/>
    <d v="2016-08-31T00:00:00"/>
    <n v="-14668.67"/>
  </r>
  <r>
    <s v="100086938"/>
    <s v="SA"/>
    <s v="40540_PD0027"/>
    <x v="0"/>
    <s v="RECURRING ENTRY ENDS 03/44; FV50 NEEDED 04/44"/>
    <s v="20160831"/>
    <x v="1"/>
    <d v="2016-08-31T00:00:00"/>
    <n v="-8710.42"/>
  </r>
  <r>
    <s v="100086947"/>
    <s v="SA"/>
    <s v="40540 PD0028"/>
    <x v="0"/>
    <s v="$230M Bond due 2045"/>
    <s v="20160831"/>
    <x v="19"/>
    <d v="2016-08-31T00:00:00"/>
    <n v="-7028.09"/>
  </r>
  <r>
    <s v="9100001779"/>
    <s v="YP"/>
    <s v="111-1702341"/>
    <x v="0"/>
    <s v=""/>
    <s v="20160901"/>
    <x v="0"/>
    <d v="2016-09-12T00:00:00"/>
    <n v="3780"/>
  </r>
  <r>
    <s v="100098181"/>
    <s v="SA"/>
    <s v="40540"/>
    <x v="0"/>
    <s v="RECURRING ENTRY ENDS 10/30; FV50 NEEDED 11/30"/>
    <s v="20160930"/>
    <x v="2"/>
    <d v="2016-09-30T00:00:00"/>
    <n v="-6400.96"/>
  </r>
  <r>
    <s v="100098182"/>
    <s v="SA"/>
    <s v="40547 PD0013"/>
    <x v="0"/>
    <s v="RECURRING ENTRY ENDS 10/30; FV50 NEEDED 11/30"/>
    <s v="20160930"/>
    <x v="2"/>
    <d v="2016-09-30T00:00:00"/>
    <n v="-130.22"/>
  </r>
  <r>
    <s v="100098183"/>
    <s v="SA"/>
    <s v="40540 PD0015"/>
    <x v="0"/>
    <s v="RECURRING ENTRY ENDS 04/36; FV50 NEEDED 05/36"/>
    <s v="20160930"/>
    <x v="3"/>
    <d v="2016-09-30T00:00:00"/>
    <n v="-6872.38"/>
  </r>
  <r>
    <s v="100098184"/>
    <s v="SA"/>
    <s v="40548 PD0015"/>
    <x v="0"/>
    <s v="RECURRING ENTRY ENDS 04/36; FV50 NEEDED 05/36"/>
    <s v="20160930"/>
    <x v="3"/>
    <d v="2016-09-30T00:00:00"/>
    <n v="-4630.24"/>
  </r>
  <r>
    <s v="100098185"/>
    <s v="SA"/>
    <s v="40540 PD0020"/>
    <x v="0"/>
    <s v="RECURRING ENTRY ENDS 04/37; FV50 NEEDED 05/37"/>
    <s v="20160930"/>
    <x v="4"/>
    <d v="2016-09-30T00:00:00"/>
    <n v="-3059.89"/>
  </r>
  <r>
    <s v="100098186"/>
    <s v="SA"/>
    <s v="40540 PD0014"/>
    <x v="0"/>
    <s v="RECURRING ENTRY ENDS 10/34; FV50 NEEDED 11/34"/>
    <s v="20160930"/>
    <x v="5"/>
    <d v="2016-09-30T00:00:00"/>
    <n v="-8058.13"/>
  </r>
  <r>
    <s v="100098187"/>
    <s v="SA"/>
    <s v="40540 PD0010"/>
    <x v="0"/>
    <s v="RECURRING ENTRY ENDS 04/18; FV50 NEEDED 05/18"/>
    <s v="20160930"/>
    <x v="12"/>
    <d v="2016-09-30T00:00:00"/>
    <n v="-7696.08"/>
  </r>
  <r>
    <s v="100098188"/>
    <s v="SA"/>
    <s v="40547 PD0010"/>
    <x v="0"/>
    <s v="RECURRING ENTRY ENDS 04/18; FV50 NEEDED 05/18"/>
    <s v="20160930"/>
    <x v="12"/>
    <d v="2016-09-30T00:00:00"/>
    <n v="-3633.17"/>
  </r>
  <r>
    <s v="100098189"/>
    <s v="SA"/>
    <s v="40540 PD0012"/>
    <x v="0"/>
    <s v="RECURRING ENTRY ENDS 07/25; FV50 NEEDED 08/25"/>
    <s v="20160930"/>
    <x v="13"/>
    <d v="2016-09-30T00:00:00"/>
    <n v="-4399.9399999999996"/>
  </r>
  <r>
    <s v="100098190"/>
    <s v="SA"/>
    <s v="40540 PD0023"/>
    <x v="0"/>
    <s v="RECURRING ENTRY ENDS 09/20; FV50 NEEDED 10/20"/>
    <s v="20160930"/>
    <x v="14"/>
    <d v="2016-09-30T00:00:00"/>
    <n v="-2351.71"/>
  </r>
  <r>
    <s v="100098191"/>
    <s v="SA"/>
    <s v="40547 PD0023"/>
    <x v="0"/>
    <s v="RECURRING ENTRY ENDS 09/20; FV50 NEEDED 10/20"/>
    <s v="20160930"/>
    <x v="14"/>
    <d v="2016-09-30T00:00:00"/>
    <n v="-63.12"/>
  </r>
  <r>
    <s v="100098192"/>
    <s v="SA"/>
    <s v="40540 PD0018"/>
    <x v="0"/>
    <s v="RECURRING ENTRY ENDS 04/18; FV50 NEEDED 05/18"/>
    <s v="20160930"/>
    <x v="15"/>
    <d v="2016-09-30T00:00:00"/>
    <n v="-6308.36"/>
  </r>
  <r>
    <s v="100098193"/>
    <s v="SA"/>
    <s v="40549 PD0018"/>
    <x v="0"/>
    <s v="RECURRING ENTRY ENDS 04/18; FV50 NEEDED 05/18"/>
    <s v="20160930"/>
    <x v="15"/>
    <d v="2016-09-30T00:00:00"/>
    <n v="-7695.19"/>
  </r>
  <r>
    <s v="100098208"/>
    <s v="SA"/>
    <s v="40540 PD0025"/>
    <x v="0"/>
    <s v="RECURRING ENTRY ENDS 04/42,FV50 NEEDED 05/42"/>
    <s v="20160930"/>
    <x v="17"/>
    <d v="2016-09-30T00:00:00"/>
    <n v="-7123.53"/>
  </r>
  <r>
    <s v="100098209"/>
    <s v="SA"/>
    <s v="40540 PD0026"/>
    <x v="0"/>
    <s v="$225M Bonds Due 2022"/>
    <s v="20160930"/>
    <x v="0"/>
    <d v="2016-09-30T00:00:00"/>
    <n v="-14668.67"/>
  </r>
  <r>
    <s v="100098239"/>
    <s v="SA"/>
    <s v="40540_PD0027"/>
    <x v="0"/>
    <s v="RECURRING ENTRY ENDS 03/44; FV50 NEEDED 04/44"/>
    <s v="20160930"/>
    <x v="1"/>
    <d v="2016-09-30T00:00:00"/>
    <n v="-8710.42"/>
  </r>
  <r>
    <s v="100098248"/>
    <s v="SA"/>
    <s v="40540 PD0028"/>
    <x v="0"/>
    <s v="$230M Bond due 2045"/>
    <s v="20160930"/>
    <x v="19"/>
    <d v="2016-09-30T00:00:00"/>
    <n v="-7028.09"/>
  </r>
  <r>
    <s v="100109716"/>
    <s v="SA"/>
    <s v="40540"/>
    <x v="0"/>
    <s v="RECURRING ENTRY ENDS 10/30; FV50 NEEDED 11/30"/>
    <s v="20161031"/>
    <x v="2"/>
    <d v="2016-10-31T00:00:00"/>
    <n v="-6400.96"/>
  </r>
  <r>
    <s v="100109717"/>
    <s v="SA"/>
    <s v="40547 PD0013"/>
    <x v="0"/>
    <s v="RECURRING ENTRY ENDS 10/30; FV50 NEEDED 11/30"/>
    <s v="20161031"/>
    <x v="2"/>
    <d v="2016-10-31T00:00:00"/>
    <n v="-130.22"/>
  </r>
  <r>
    <s v="100109718"/>
    <s v="SA"/>
    <s v="40540 PD0015"/>
    <x v="0"/>
    <s v="RECURRING ENTRY ENDS 04/36; FV50 NEEDED 05/36"/>
    <s v="20161031"/>
    <x v="3"/>
    <d v="2016-10-31T00:00:00"/>
    <n v="-6872.38"/>
  </r>
  <r>
    <s v="100109719"/>
    <s v="SA"/>
    <s v="40548 PD0015"/>
    <x v="0"/>
    <s v="RECURRING ENTRY ENDS 04/36; FV50 NEEDED 05/36"/>
    <s v="20161031"/>
    <x v="3"/>
    <d v="2016-10-31T00:00:00"/>
    <n v="-4630.24"/>
  </r>
  <r>
    <s v="100109720"/>
    <s v="SA"/>
    <s v="40540 PD0020"/>
    <x v="0"/>
    <s v="RECURRING ENTRY ENDS 04/37; FV50 NEEDED 05/37"/>
    <s v="20161031"/>
    <x v="4"/>
    <d v="2016-10-31T00:00:00"/>
    <n v="-3059.89"/>
  </r>
  <r>
    <s v="100109721"/>
    <s v="SA"/>
    <s v="40540 PD0014"/>
    <x v="0"/>
    <s v="RECURRING ENTRY ENDS 10/34; FV50 NEEDED 11/34"/>
    <s v="20161031"/>
    <x v="5"/>
    <d v="2016-10-31T00:00:00"/>
    <n v="-8058.13"/>
  </r>
  <r>
    <s v="100109722"/>
    <s v="SA"/>
    <s v="40540 PD0010"/>
    <x v="0"/>
    <s v="RECURRING ENTRY ENDS 04/18; FV50 NEEDED 05/18"/>
    <s v="20161031"/>
    <x v="12"/>
    <d v="2016-10-31T00:00:00"/>
    <n v="-7696.08"/>
  </r>
  <r>
    <s v="100109723"/>
    <s v="SA"/>
    <s v="40547 PD0010"/>
    <x v="0"/>
    <s v="RECURRING ENTRY ENDS 04/18; FV50 NEEDED 05/18"/>
    <s v="20161031"/>
    <x v="12"/>
    <d v="2016-10-31T00:00:00"/>
    <n v="-3633.17"/>
  </r>
  <r>
    <s v="100109724"/>
    <s v="SA"/>
    <s v="40540 PD0012"/>
    <x v="0"/>
    <s v="RECURRING ENTRY ENDS 07/25; FV50 NEEDED 08/25"/>
    <s v="20161031"/>
    <x v="13"/>
    <d v="2016-10-31T00:00:00"/>
    <n v="-4399.9399999999996"/>
  </r>
  <r>
    <s v="100109725"/>
    <s v="SA"/>
    <s v="40540 PD0023"/>
    <x v="0"/>
    <s v="RECURRING ENTRY ENDS 09/20; FV50 NEEDED 10/20"/>
    <s v="20161031"/>
    <x v="14"/>
    <d v="2016-10-31T00:00:00"/>
    <n v="-2351.71"/>
  </r>
  <r>
    <s v="100109726"/>
    <s v="SA"/>
    <s v="40547 PD0023"/>
    <x v="0"/>
    <s v="RECURRING ENTRY ENDS 09/20; FV50 NEEDED 10/20"/>
    <s v="20161031"/>
    <x v="14"/>
    <d v="2016-10-31T00:00:00"/>
    <n v="-63.12"/>
  </r>
  <r>
    <s v="100109727"/>
    <s v="SA"/>
    <s v="40540 PD0018"/>
    <x v="0"/>
    <s v="RECURRING ENTRY ENDS 04/18; FV50 NEEDED 05/18"/>
    <s v="20161031"/>
    <x v="15"/>
    <d v="2016-10-31T00:00:00"/>
    <n v="-6308.36"/>
  </r>
  <r>
    <s v="100109728"/>
    <s v="SA"/>
    <s v="40549 PD0018"/>
    <x v="0"/>
    <s v="RECURRING ENTRY ENDS 04/18; FV50 NEEDED 05/18"/>
    <s v="20161031"/>
    <x v="15"/>
    <d v="2016-10-31T00:00:00"/>
    <n v="-7695.19"/>
  </r>
  <r>
    <s v="100109743"/>
    <s v="SA"/>
    <s v="40540 PD0025"/>
    <x v="0"/>
    <s v="RECURRING ENTRY ENDS 04/42,FV50 NEEDED 05/42"/>
    <s v="20161031"/>
    <x v="17"/>
    <d v="2016-10-31T00:00:00"/>
    <n v="-7123.53"/>
  </r>
  <r>
    <s v="100109744"/>
    <s v="SA"/>
    <s v="40540 PD0026"/>
    <x v="0"/>
    <s v="$225M Bonds Due 2022"/>
    <s v="20161031"/>
    <x v="0"/>
    <d v="2016-10-31T00:00:00"/>
    <n v="-14668.67"/>
  </r>
  <r>
    <s v="100109774"/>
    <s v="SA"/>
    <s v="40540_PD0027"/>
    <x v="0"/>
    <s v="RECURRING ENTRY ENDS 03/44; FV50 NEEDED 04/44"/>
    <s v="20161031"/>
    <x v="1"/>
    <d v="2016-10-31T00:00:00"/>
    <n v="-8710.42"/>
  </r>
  <r>
    <s v="100109782"/>
    <s v="SA"/>
    <s v="40540 PD0028"/>
    <x v="0"/>
    <s v="$230M Bond due 2045"/>
    <s v="20161031"/>
    <x v="19"/>
    <d v="2016-10-31T00:00:00"/>
    <n v="-7028.09"/>
  </r>
  <r>
    <s v="100121745"/>
    <s v="SA"/>
    <s v="40540"/>
    <x v="0"/>
    <s v="RECURRING ENTRY ENDS 10/30; FV50 NEEDED 11/30"/>
    <s v="20161130"/>
    <x v="2"/>
    <d v="2016-11-30T00:00:00"/>
    <n v="-6400.96"/>
  </r>
  <r>
    <s v="100121746"/>
    <s v="SA"/>
    <s v="40547 PD0013"/>
    <x v="0"/>
    <s v="RECURRING ENTRY ENDS 10/30; FV50 NEEDED 11/30"/>
    <s v="20161130"/>
    <x v="2"/>
    <d v="2016-11-30T00:00:00"/>
    <n v="-130.22"/>
  </r>
  <r>
    <s v="100121747"/>
    <s v="SA"/>
    <s v="40540 PD0015"/>
    <x v="0"/>
    <s v="RECURRING ENTRY ENDS 04/36; FV50 NEEDED 05/36"/>
    <s v="20161130"/>
    <x v="3"/>
    <d v="2016-11-30T00:00:00"/>
    <n v="-6872.38"/>
  </r>
  <r>
    <s v="100121748"/>
    <s v="SA"/>
    <s v="40548 PD0015"/>
    <x v="0"/>
    <s v="RECURRING ENTRY ENDS 04/36; FV50 NEEDED 05/36"/>
    <s v="20161130"/>
    <x v="3"/>
    <d v="2016-11-30T00:00:00"/>
    <n v="-4630.24"/>
  </r>
  <r>
    <s v="100121749"/>
    <s v="SA"/>
    <s v="40540 PD0020"/>
    <x v="0"/>
    <s v="RECURRING ENTRY ENDS 04/37; FV50 NEEDED 05/37"/>
    <s v="20161130"/>
    <x v="4"/>
    <d v="2016-11-30T00:00:00"/>
    <n v="-3059.89"/>
  </r>
  <r>
    <s v="100121750"/>
    <s v="SA"/>
    <s v="40540 PD0014"/>
    <x v="0"/>
    <s v="RECURRING ENTRY ENDS 10/34; FV50 NEEDED 11/34"/>
    <s v="20161130"/>
    <x v="5"/>
    <d v="2016-11-30T00:00:00"/>
    <n v="-8058.13"/>
  </r>
  <r>
    <s v="100121751"/>
    <s v="SA"/>
    <s v="40540 PD0010"/>
    <x v="0"/>
    <s v="RECURRING ENTRY ENDS 04/18; FV50 NEEDED 05/18"/>
    <s v="20161130"/>
    <x v="12"/>
    <d v="2016-11-30T00:00:00"/>
    <n v="-7696.08"/>
  </r>
  <r>
    <s v="100121752"/>
    <s v="SA"/>
    <s v="40547 PD0010"/>
    <x v="0"/>
    <s v="RECURRING ENTRY ENDS 04/18; FV50 NEEDED 05/18"/>
    <s v="20161130"/>
    <x v="12"/>
    <d v="2016-11-30T00:00:00"/>
    <n v="-3633.17"/>
  </r>
  <r>
    <s v="100121753"/>
    <s v="SA"/>
    <s v="40540 PD0012"/>
    <x v="0"/>
    <s v="RECURRING ENTRY ENDS 07/25; FV50 NEEDED 08/25"/>
    <s v="20161130"/>
    <x v="13"/>
    <d v="2016-11-30T00:00:00"/>
    <n v="-4399.9399999999996"/>
  </r>
  <r>
    <s v="100121754"/>
    <s v="SA"/>
    <s v="40540 PD0023"/>
    <x v="0"/>
    <s v="RECURRING ENTRY ENDS 09/20; FV50 NEEDED 10/20"/>
    <s v="20161130"/>
    <x v="14"/>
    <d v="2016-11-30T00:00:00"/>
    <n v="-2351.71"/>
  </r>
  <r>
    <s v="100121755"/>
    <s v="SA"/>
    <s v="40547 PD0023"/>
    <x v="0"/>
    <s v="RECURRING ENTRY ENDS 09/20; FV50 NEEDED 10/20"/>
    <s v="20161130"/>
    <x v="14"/>
    <d v="2016-11-30T00:00:00"/>
    <n v="-63.12"/>
  </r>
  <r>
    <s v="100121756"/>
    <s v="SA"/>
    <s v="40540 PD0018"/>
    <x v="0"/>
    <s v="RECURRING ENTRY ENDS 04/18; FV50 NEEDED 05/18"/>
    <s v="20161130"/>
    <x v="15"/>
    <d v="2016-11-30T00:00:00"/>
    <n v="-6308.36"/>
  </r>
  <r>
    <s v="100121757"/>
    <s v="SA"/>
    <s v="40549 PD0018"/>
    <x v="0"/>
    <s v="RECURRING ENTRY ENDS 04/18; FV50 NEEDED 05/18"/>
    <s v="20161130"/>
    <x v="15"/>
    <d v="2016-11-30T00:00:00"/>
    <n v="-7695.19"/>
  </r>
  <r>
    <s v="100121772"/>
    <s v="SA"/>
    <s v="40540 PD0025"/>
    <x v="0"/>
    <s v="RECURRING ENTRY ENDS 04/42,FV50 NEEDED 05/42"/>
    <s v="20161130"/>
    <x v="17"/>
    <d v="2016-11-30T00:00:00"/>
    <n v="-7123.53"/>
  </r>
  <r>
    <s v="100121773"/>
    <s v="SA"/>
    <s v="40540 PD0026"/>
    <x v="0"/>
    <s v="$225M Bonds Due 2022"/>
    <s v="20161130"/>
    <x v="0"/>
    <d v="2016-11-30T00:00:00"/>
    <n v="-14668.67"/>
  </r>
  <r>
    <s v="100121803"/>
    <s v="SA"/>
    <s v="40540_PD0027"/>
    <x v="0"/>
    <s v="RECURRING ENTRY ENDS 03/44; FV50 NEEDED 04/44"/>
    <s v="20161130"/>
    <x v="1"/>
    <d v="2016-11-30T00:00:00"/>
    <n v="-8710.42"/>
  </r>
  <r>
    <s v="100121811"/>
    <s v="SA"/>
    <s v="40540 PD0028"/>
    <x v="0"/>
    <s v="$230M Bond due 2045"/>
    <s v="20161130"/>
    <x v="19"/>
    <d v="2016-11-30T00:00:00"/>
    <n v="-7028.09"/>
  </r>
  <r>
    <s v="100133452"/>
    <s v="SA"/>
    <s v="40540"/>
    <x v="0"/>
    <s v="RECURRING ENTRY ENDS 10/30; FV50 NEEDED 11/30"/>
    <s v="20161231"/>
    <x v="2"/>
    <d v="2016-12-31T00:00:00"/>
    <n v="-6400.96"/>
  </r>
  <r>
    <s v="100133453"/>
    <s v="SA"/>
    <s v="40547 PD0013"/>
    <x v="0"/>
    <s v="RECURRING ENTRY ENDS 10/30; FV50 NEEDED 11/30"/>
    <s v="20161231"/>
    <x v="2"/>
    <d v="2016-12-31T00:00:00"/>
    <n v="-130.22"/>
  </r>
  <r>
    <s v="100133454"/>
    <s v="SA"/>
    <s v="40540 PD0015"/>
    <x v="0"/>
    <s v="RECURRING ENTRY ENDS 04/36; FV50 NEEDED 05/36"/>
    <s v="20161231"/>
    <x v="3"/>
    <d v="2016-12-31T00:00:00"/>
    <n v="-6872.38"/>
  </r>
  <r>
    <s v="100133455"/>
    <s v="SA"/>
    <s v="40548 PD0015"/>
    <x v="0"/>
    <s v="RECURRING ENTRY ENDS 04/36; FV50 NEEDED 05/36"/>
    <s v="20161231"/>
    <x v="3"/>
    <d v="2016-12-31T00:00:00"/>
    <n v="-4630.24"/>
  </r>
  <r>
    <s v="100133456"/>
    <s v="SA"/>
    <s v="40540 PD0020"/>
    <x v="0"/>
    <s v="RECURRING ENTRY ENDS 04/37; FV50 NEEDED 05/37"/>
    <s v="20161231"/>
    <x v="4"/>
    <d v="2016-12-31T00:00:00"/>
    <n v="-3059.89"/>
  </r>
  <r>
    <s v="100133457"/>
    <s v="SA"/>
    <s v="40540 PD0014"/>
    <x v="0"/>
    <s v="RECURRING ENTRY ENDS 10/34; FV50 NEEDED 11/34"/>
    <s v="20161231"/>
    <x v="5"/>
    <d v="2016-12-31T00:00:00"/>
    <n v="-8058.13"/>
  </r>
  <r>
    <s v="100133458"/>
    <s v="SA"/>
    <s v="40540 PD0010"/>
    <x v="0"/>
    <s v="RECURRING ENTRY ENDS 04/18; FV50 NEEDED 05/18"/>
    <s v="20161231"/>
    <x v="12"/>
    <d v="2016-12-31T00:00:00"/>
    <n v="-7696.08"/>
  </r>
  <r>
    <s v="100133459"/>
    <s v="SA"/>
    <s v="40547 PD0010"/>
    <x v="0"/>
    <s v="RECURRING ENTRY ENDS 04/18; FV50 NEEDED 05/18"/>
    <s v="20161231"/>
    <x v="12"/>
    <d v="2016-12-31T00:00:00"/>
    <n v="-3633.17"/>
  </r>
  <r>
    <s v="100133460"/>
    <s v="SA"/>
    <s v="40540 PD0012"/>
    <x v="0"/>
    <s v="RECURRING ENTRY ENDS 07/25; FV50 NEEDED 08/25"/>
    <s v="20161231"/>
    <x v="13"/>
    <d v="2016-12-31T00:00:00"/>
    <n v="-4399.9399999999996"/>
  </r>
  <r>
    <s v="100133461"/>
    <s v="SA"/>
    <s v="40540 PD0023"/>
    <x v="0"/>
    <s v="RECURRING ENTRY ENDS 09/20; FV50 NEEDED 10/20"/>
    <s v="20161231"/>
    <x v="14"/>
    <d v="2016-12-31T00:00:00"/>
    <n v="-2351.71"/>
  </r>
  <r>
    <s v="100133462"/>
    <s v="SA"/>
    <s v="40547 PD0023"/>
    <x v="0"/>
    <s v="RECURRING ENTRY ENDS 09/20; FV50 NEEDED 10/20"/>
    <s v="20161231"/>
    <x v="14"/>
    <d v="2016-12-31T00:00:00"/>
    <n v="-63.12"/>
  </r>
  <r>
    <s v="100133463"/>
    <s v="SA"/>
    <s v="40540 PD0018"/>
    <x v="0"/>
    <s v="RECURRING ENTRY ENDS 04/18; FV50 NEEDED 05/18"/>
    <s v="20161231"/>
    <x v="15"/>
    <d v="2016-12-31T00:00:00"/>
    <n v="-6308.36"/>
  </r>
  <r>
    <s v="100133464"/>
    <s v="SA"/>
    <s v="40549 PD0018"/>
    <x v="0"/>
    <s v="RECURRING ENTRY ENDS 04/18; FV50 NEEDED 05/18"/>
    <s v="20161231"/>
    <x v="15"/>
    <d v="2016-12-31T00:00:00"/>
    <n v="-7695.19"/>
  </r>
  <r>
    <s v="100133479"/>
    <s v="SA"/>
    <s v="40540 PD0025"/>
    <x v="0"/>
    <s v="RECURRING ENTRY ENDS 04/42,FV50 NEEDED 05/42"/>
    <s v="20161231"/>
    <x v="17"/>
    <d v="2016-12-31T00:00:00"/>
    <n v="-7123.53"/>
  </r>
  <r>
    <s v="100133480"/>
    <s v="SA"/>
    <s v="40540 PD0026"/>
    <x v="0"/>
    <s v="$225M Bonds Due 2022"/>
    <s v="20161231"/>
    <x v="0"/>
    <d v="2016-12-31T00:00:00"/>
    <n v="-14668.67"/>
  </r>
  <r>
    <s v="100133510"/>
    <s v="SA"/>
    <s v="40540_PD0027"/>
    <x v="0"/>
    <s v="RECURRING ENTRY ENDS 03/44; FV50 NEEDED 04/44"/>
    <s v="20161231"/>
    <x v="1"/>
    <d v="2016-12-31T00:00:00"/>
    <n v="-8710.42"/>
  </r>
  <r>
    <s v="100133518"/>
    <s v="SA"/>
    <s v="40540 PD0028"/>
    <x v="0"/>
    <s v="$230M Bond due 2045"/>
    <s v="20161231"/>
    <x v="19"/>
    <d v="2016-12-31T00:00:00"/>
    <n v="-7028.09"/>
  </r>
  <r>
    <s v="100007934"/>
    <s v="SA"/>
    <s v="40540"/>
    <x v="0"/>
    <s v="RECURRING ENTRY ENDS 10/30; FV50 NEEDED 11/30"/>
    <s v="20170131"/>
    <x v="2"/>
    <d v="2017-01-31T00:00:00"/>
    <n v="-6400.96"/>
  </r>
  <r>
    <s v="100007935"/>
    <s v="SA"/>
    <s v="40547 PD0013"/>
    <x v="0"/>
    <s v="RECURRING ENTRY ENDS 10/30; FV50 NEEDED 11/30"/>
    <s v="20170131"/>
    <x v="2"/>
    <d v="2017-01-31T00:00:00"/>
    <n v="-130.22"/>
  </r>
  <r>
    <s v="100007936"/>
    <s v="SA"/>
    <s v="40540 PD0015"/>
    <x v="0"/>
    <s v="RECURRING ENTRY ENDS 04/36; FV50 NEEDED 05/36"/>
    <s v="20170131"/>
    <x v="3"/>
    <d v="2017-01-31T00:00:00"/>
    <n v="-6872.38"/>
  </r>
  <r>
    <s v="100007937"/>
    <s v="SA"/>
    <s v="40548 PD0015"/>
    <x v="0"/>
    <s v="RECURRING ENTRY ENDS 04/36; FV50 NEEDED 05/36"/>
    <s v="20170131"/>
    <x v="3"/>
    <d v="2017-01-31T00:00:00"/>
    <n v="-4630.24"/>
  </r>
  <r>
    <s v="100007938"/>
    <s v="SA"/>
    <s v="40540 PD0020"/>
    <x v="0"/>
    <s v="RECURRING ENTRY ENDS 04/37; FV50 NEEDED 05/37"/>
    <s v="20170131"/>
    <x v="4"/>
    <d v="2017-01-31T00:00:00"/>
    <n v="-3059.89"/>
  </r>
  <r>
    <s v="100007939"/>
    <s v="SA"/>
    <s v="40540 PD0014"/>
    <x v="0"/>
    <s v="RECURRING ENTRY ENDS 10/34; FV50 NEEDED 11/34"/>
    <s v="20170131"/>
    <x v="5"/>
    <d v="2017-01-31T00:00:00"/>
    <n v="-8058.13"/>
  </r>
  <r>
    <s v="100007940"/>
    <s v="SA"/>
    <s v="40540 PD0010"/>
    <x v="0"/>
    <s v="RECURRING ENTRY ENDS 04/18; FV50 NEEDED 05/18"/>
    <s v="20170131"/>
    <x v="12"/>
    <d v="2017-01-31T00:00:00"/>
    <n v="-7696.08"/>
  </r>
  <r>
    <s v="100007941"/>
    <s v="SA"/>
    <s v="40547 PD0010"/>
    <x v="0"/>
    <s v="RECURRING ENTRY ENDS 04/18; FV50 NEEDED 05/18"/>
    <s v="20170131"/>
    <x v="12"/>
    <d v="2017-01-31T00:00:00"/>
    <n v="-3633.17"/>
  </r>
  <r>
    <s v="100007942"/>
    <s v="SA"/>
    <s v="40540 PD0012"/>
    <x v="0"/>
    <s v="RECURRING ENTRY ENDS 07/25; FV50 NEEDED 08/25"/>
    <s v="20170131"/>
    <x v="13"/>
    <d v="2017-01-31T00:00:00"/>
    <n v="-4399.9399999999996"/>
  </r>
  <r>
    <s v="100007943"/>
    <s v="SA"/>
    <s v="40540 PD0023"/>
    <x v="0"/>
    <s v="RECURRING ENTRY ENDS 09/20; FV50 NEEDED 10/20"/>
    <s v="20170131"/>
    <x v="14"/>
    <d v="2017-01-31T00:00:00"/>
    <n v="-2351.71"/>
  </r>
  <r>
    <s v="100007944"/>
    <s v="SA"/>
    <s v="40547 PD0023"/>
    <x v="0"/>
    <s v="RECURRING ENTRY ENDS 09/20; FV50 NEEDED 10/20"/>
    <s v="20170131"/>
    <x v="14"/>
    <d v="2017-01-31T00:00:00"/>
    <n v="-63.12"/>
  </r>
  <r>
    <s v="100007945"/>
    <s v="SA"/>
    <s v="40540 PD0018"/>
    <x v="0"/>
    <s v="RECURRING ENTRY ENDS 04/18; FV50 NEEDED 05/18"/>
    <s v="20170131"/>
    <x v="15"/>
    <d v="2017-01-31T00:00:00"/>
    <n v="-6308.36"/>
  </r>
  <r>
    <s v="100007946"/>
    <s v="SA"/>
    <s v="40549 PD0018"/>
    <x v="0"/>
    <s v="RECURRING ENTRY ENDS 04/18; FV50 NEEDED 05/18"/>
    <s v="20170131"/>
    <x v="15"/>
    <d v="2017-01-31T00:00:00"/>
    <n v="-7695.19"/>
  </r>
  <r>
    <s v="100007961"/>
    <s v="SA"/>
    <s v="40540 PD0025"/>
    <x v="0"/>
    <s v="RECURRING ENTRY ENDS 04/42,FV50 NEEDED 05/42"/>
    <s v="20170131"/>
    <x v="17"/>
    <d v="2017-01-31T00:00:00"/>
    <n v="-7123.53"/>
  </r>
  <r>
    <s v="100007962"/>
    <s v="SA"/>
    <s v="40540 PD0026"/>
    <x v="0"/>
    <s v="$225M Bonds Due 2022"/>
    <s v="20170131"/>
    <x v="0"/>
    <d v="2017-01-31T00:00:00"/>
    <n v="-14668.67"/>
  </r>
  <r>
    <s v="100007992"/>
    <s v="SA"/>
    <s v="40540_PD0027"/>
    <x v="0"/>
    <s v="RECURRING ENTRY ENDS 03/44; FV50 NEEDED 04/44"/>
    <s v="20170131"/>
    <x v="1"/>
    <d v="2017-01-31T00:00:00"/>
    <n v="-8710.42"/>
  </r>
  <r>
    <s v="100007999"/>
    <s v="SA"/>
    <s v="40540 PD0028"/>
    <x v="0"/>
    <s v="$230M Bond due 2045"/>
    <s v="20170131"/>
    <x v="19"/>
    <d v="2017-01-31T00:00:00"/>
    <n v="-7028.09"/>
  </r>
  <r>
    <s v="1900001446"/>
    <s v="KR"/>
    <s v="FILING FEE 0217"/>
    <x v="0"/>
    <s v=""/>
    <s v="20170227"/>
    <x v="18"/>
    <d v="2017-02-27T00:00:00"/>
    <n v="115900"/>
  </r>
  <r>
    <s v="100016410"/>
    <s v="SA"/>
    <s v="40540"/>
    <x v="0"/>
    <s v="RECURRING ENTRY ENDS 10/30; FV50 NEEDED 11/30"/>
    <s v="20170228"/>
    <x v="2"/>
    <d v="2017-02-28T00:00:00"/>
    <n v="-6400.96"/>
  </r>
  <r>
    <s v="100016411"/>
    <s v="SA"/>
    <s v="40547 PD0013"/>
    <x v="0"/>
    <s v="RECURRING ENTRY ENDS 10/30; FV50 NEEDED 11/30"/>
    <s v="20170228"/>
    <x v="2"/>
    <d v="2017-02-28T00:00:00"/>
    <n v="-130.22"/>
  </r>
  <r>
    <s v="100016412"/>
    <s v="SA"/>
    <s v="40540 PD0015"/>
    <x v="0"/>
    <s v="RECURRING ENTRY ENDS 04/36; FV50 NEEDED 05/36"/>
    <s v="20170228"/>
    <x v="3"/>
    <d v="2017-02-28T00:00:00"/>
    <n v="-6872.38"/>
  </r>
  <r>
    <s v="100016413"/>
    <s v="SA"/>
    <s v="40548 PD0015"/>
    <x v="0"/>
    <s v="RECURRING ENTRY ENDS 04/36; FV50 NEEDED 05/36"/>
    <s v="20170228"/>
    <x v="3"/>
    <d v="2017-02-28T00:00:00"/>
    <n v="-4630.24"/>
  </r>
  <r>
    <s v="100016414"/>
    <s v="SA"/>
    <s v="40540 PD0020"/>
    <x v="0"/>
    <s v="RECURRING ENTRY ENDS 04/37; FV50 NEEDED 05/37"/>
    <s v="20170228"/>
    <x v="4"/>
    <d v="2017-02-28T00:00:00"/>
    <n v="-3059.89"/>
  </r>
  <r>
    <s v="100016415"/>
    <s v="SA"/>
    <s v="40540 PD0014"/>
    <x v="0"/>
    <s v="RECURRING ENTRY ENDS 10/34; FV50 NEEDED 11/34"/>
    <s v="20170228"/>
    <x v="5"/>
    <d v="2017-02-28T00:00:00"/>
    <n v="-8058.13"/>
  </r>
  <r>
    <s v="100016416"/>
    <s v="SA"/>
    <s v="40540 PD0010"/>
    <x v="0"/>
    <s v="RECURRING ENTRY ENDS 04/18; FV50 NEEDED 05/18"/>
    <s v="20170228"/>
    <x v="12"/>
    <d v="2017-02-28T00:00:00"/>
    <n v="-7696.08"/>
  </r>
  <r>
    <s v="100016417"/>
    <s v="SA"/>
    <s v="40547 PD0010"/>
    <x v="0"/>
    <s v="RECURRING ENTRY ENDS 04/18; FV50 NEEDED 05/18"/>
    <s v="20170228"/>
    <x v="12"/>
    <d v="2017-02-28T00:00:00"/>
    <n v="-3633.17"/>
  </r>
  <r>
    <s v="100016418"/>
    <s v="SA"/>
    <s v="40540 PD0012"/>
    <x v="0"/>
    <s v="RECURRING ENTRY ENDS 07/25; FV50 NEEDED 08/25"/>
    <s v="20170228"/>
    <x v="13"/>
    <d v="2017-02-28T00:00:00"/>
    <n v="-4399.9399999999996"/>
  </r>
  <r>
    <s v="100016419"/>
    <s v="SA"/>
    <s v="40540 PD0023"/>
    <x v="0"/>
    <s v="RECURRING ENTRY ENDS 09/20; FV50 NEEDED 10/20"/>
    <s v="20170228"/>
    <x v="14"/>
    <d v="2017-02-28T00:00:00"/>
    <n v="-2351.71"/>
  </r>
  <r>
    <s v="100016420"/>
    <s v="SA"/>
    <s v="40547 PD0023"/>
    <x v="0"/>
    <s v="RECURRING ENTRY ENDS 09/20; FV50 NEEDED 10/20"/>
    <s v="20170228"/>
    <x v="14"/>
    <d v="2017-02-28T00:00:00"/>
    <n v="-63.12"/>
  </r>
  <r>
    <s v="100016421"/>
    <s v="SA"/>
    <s v="40540 PD0018"/>
    <x v="0"/>
    <s v="RECURRING ENTRY ENDS 04/18; FV50 NEEDED 05/18"/>
    <s v="20170228"/>
    <x v="15"/>
    <d v="2017-02-28T00:00:00"/>
    <n v="-6308.36"/>
  </r>
  <r>
    <s v="100016422"/>
    <s v="SA"/>
    <s v="40549 PD0018"/>
    <x v="0"/>
    <s v="RECURRING ENTRY ENDS 04/18; FV50 NEEDED 05/18"/>
    <s v="20170228"/>
    <x v="15"/>
    <d v="2017-02-28T00:00:00"/>
    <n v="-7695.19"/>
  </r>
  <r>
    <s v="100016437"/>
    <s v="SA"/>
    <s v="40540 PD0025"/>
    <x v="0"/>
    <s v="RECURRING ENTRY ENDS 04/42,FV50 NEEDED 05/42"/>
    <s v="20170228"/>
    <x v="17"/>
    <d v="2017-02-28T00:00:00"/>
    <n v="-7123.53"/>
  </r>
  <r>
    <s v="100016438"/>
    <s v="SA"/>
    <s v="40540 PD0026"/>
    <x v="0"/>
    <s v="$225M Bonds Due 2022"/>
    <s v="20170228"/>
    <x v="0"/>
    <d v="2017-02-28T00:00:00"/>
    <n v="-14668.67"/>
  </r>
  <r>
    <s v="100016468"/>
    <s v="SA"/>
    <s v="40540_PD0027"/>
    <x v="0"/>
    <s v="RECURRING ENTRY ENDS 03/44; FV50 NEEDED 04/44"/>
    <s v="20170228"/>
    <x v="1"/>
    <d v="2017-02-28T00:00:00"/>
    <n v="-8710.42"/>
  </r>
  <r>
    <s v="100016475"/>
    <s v="SA"/>
    <s v="40540 PD0028"/>
    <x v="0"/>
    <s v="$230M Bond due 2045"/>
    <s v="20170228"/>
    <x v="19"/>
    <d v="2017-02-28T00:00:00"/>
    <n v="-7028.09"/>
  </r>
  <r>
    <s v="100024792"/>
    <s v="SA"/>
    <s v="40540"/>
    <x v="0"/>
    <s v="RECURRING ENTRY ENDS 10/30; FV50 NEEDED 11/30"/>
    <s v="20170331"/>
    <x v="2"/>
    <d v="2017-03-31T00:00:00"/>
    <n v="-6400.96"/>
  </r>
  <r>
    <s v="100024793"/>
    <s v="SA"/>
    <s v="40547 PD0013"/>
    <x v="0"/>
    <s v="RECURRING ENTRY ENDS 10/30; FV50 NEEDED 11/30"/>
    <s v="20170331"/>
    <x v="2"/>
    <d v="2017-03-31T00:00:00"/>
    <n v="-130.22"/>
  </r>
  <r>
    <s v="100024794"/>
    <s v="SA"/>
    <s v="40540 PD0015"/>
    <x v="0"/>
    <s v="RECURRING ENTRY ENDS 04/36; FV50 NEEDED 05/36"/>
    <s v="20170331"/>
    <x v="3"/>
    <d v="2017-03-31T00:00:00"/>
    <n v="-6872.38"/>
  </r>
  <r>
    <s v="100024795"/>
    <s v="SA"/>
    <s v="40548 PD0015"/>
    <x v="0"/>
    <s v="RECURRING ENTRY ENDS 04/36; FV50 NEEDED 05/36"/>
    <s v="20170331"/>
    <x v="3"/>
    <d v="2017-03-31T00:00:00"/>
    <n v="-4630.24"/>
  </r>
  <r>
    <s v="100024796"/>
    <s v="SA"/>
    <s v="40540 PD0020"/>
    <x v="0"/>
    <s v="RECURRING ENTRY ENDS 04/37; FV50 NEEDED 05/37"/>
    <s v="20170331"/>
    <x v="4"/>
    <d v="2017-03-31T00:00:00"/>
    <n v="-3059.89"/>
  </r>
  <r>
    <s v="100024797"/>
    <s v="SA"/>
    <s v="40540 PD0014"/>
    <x v="0"/>
    <s v="RECURRING ENTRY ENDS 10/34; FV50 NEEDED 11/34"/>
    <s v="20170331"/>
    <x v="5"/>
    <d v="2017-03-31T00:00:00"/>
    <n v="-8058.13"/>
  </r>
  <r>
    <s v="100024798"/>
    <s v="SA"/>
    <s v="40540 PD0010"/>
    <x v="0"/>
    <s v="RECURRING ENTRY ENDS 04/18; FV50 NEEDED 05/18"/>
    <s v="20170331"/>
    <x v="12"/>
    <d v="2017-03-31T00:00:00"/>
    <n v="-7696.08"/>
  </r>
  <r>
    <s v="100024799"/>
    <s v="SA"/>
    <s v="40547 PD0010"/>
    <x v="0"/>
    <s v="RECURRING ENTRY ENDS 04/18; FV50 NEEDED 05/18"/>
    <s v="20170331"/>
    <x v="12"/>
    <d v="2017-03-31T00:00:00"/>
    <n v="-3633.17"/>
  </r>
  <r>
    <s v="100024800"/>
    <s v="SA"/>
    <s v="40540 PD0012"/>
    <x v="0"/>
    <s v="RECURRING ENTRY ENDS 07/25; FV50 NEEDED 08/25"/>
    <s v="20170331"/>
    <x v="13"/>
    <d v="2017-03-31T00:00:00"/>
    <n v="-4399.9399999999996"/>
  </r>
  <r>
    <s v="100024801"/>
    <s v="SA"/>
    <s v="40540 PD0023"/>
    <x v="0"/>
    <s v="RECURRING ENTRY ENDS 09/20; FV50 NEEDED 10/20"/>
    <s v="20170331"/>
    <x v="14"/>
    <d v="2017-03-31T00:00:00"/>
    <n v="-2351.71"/>
  </r>
  <r>
    <s v="100024802"/>
    <s v="SA"/>
    <s v="40547 PD0023"/>
    <x v="0"/>
    <s v="RECURRING ENTRY ENDS 09/20; FV50 NEEDED 10/20"/>
    <s v="20170331"/>
    <x v="14"/>
    <d v="2017-03-31T00:00:00"/>
    <n v="-63.12"/>
  </r>
  <r>
    <s v="100024803"/>
    <s v="SA"/>
    <s v="40540 PD0018"/>
    <x v="0"/>
    <s v="RECURRING ENTRY ENDS 04/18; FV50 NEEDED 05/18"/>
    <s v="20170331"/>
    <x v="15"/>
    <d v="2017-03-31T00:00:00"/>
    <n v="-6308.36"/>
  </r>
  <r>
    <s v="100024804"/>
    <s v="SA"/>
    <s v="40549 PD0018"/>
    <x v="0"/>
    <s v="RECURRING ENTRY ENDS 04/18; FV50 NEEDED 05/18"/>
    <s v="20170331"/>
    <x v="15"/>
    <d v="2017-03-31T00:00:00"/>
    <n v="-7695.19"/>
  </r>
  <r>
    <s v="100024819"/>
    <s v="SA"/>
    <s v="40540 PD0025"/>
    <x v="0"/>
    <s v="RECURRING ENTRY ENDS 04/42,FV50 NEEDED 05/42"/>
    <s v="20170331"/>
    <x v="17"/>
    <d v="2017-03-31T00:00:00"/>
    <n v="-7123.53"/>
  </r>
  <r>
    <s v="100024820"/>
    <s v="SA"/>
    <s v="40540 PD0026"/>
    <x v="0"/>
    <s v="$225M Bonds Due 2022"/>
    <s v="20170331"/>
    <x v="0"/>
    <d v="2017-03-31T00:00:00"/>
    <n v="-14668.67"/>
  </r>
  <r>
    <s v="100024850"/>
    <s v="SA"/>
    <s v="40540_PD0027"/>
    <x v="0"/>
    <s v="RECURRING ENTRY ENDS 03/44; FV50 NEEDED 04/44"/>
    <s v="20170331"/>
    <x v="1"/>
    <d v="2017-03-31T00:00:00"/>
    <n v="-8710.42"/>
  </r>
  <r>
    <s v="100024857"/>
    <s v="SA"/>
    <s v="40540 PD0028"/>
    <x v="0"/>
    <s v="$230M Bond due 2045"/>
    <s v="20170331"/>
    <x v="19"/>
    <d v="2017-03-31T00:00:00"/>
    <n v="-7028.09"/>
  </r>
  <r>
    <s v="100030725"/>
    <s v="SA"/>
    <s v="40540"/>
    <x v="0"/>
    <s v="RECURRING ENTRY ENDS 10/30; FV50 NEEDED 11/30"/>
    <s v="20170430"/>
    <x v="2"/>
    <d v="2017-04-30T00:00:00"/>
    <n v="-6400.96"/>
  </r>
  <r>
    <s v="100030726"/>
    <s v="SA"/>
    <s v="40547 PD0013"/>
    <x v="0"/>
    <s v="RECURRING ENTRY ENDS 10/30; FV50 NEEDED 11/30"/>
    <s v="20170430"/>
    <x v="2"/>
    <d v="2017-04-30T00:00:00"/>
    <n v="-130.22"/>
  </r>
  <r>
    <s v="100030727"/>
    <s v="SA"/>
    <s v="40540 PD0015"/>
    <x v="0"/>
    <s v="RECURRING ENTRY ENDS 04/36; FV50 NEEDED 05/36"/>
    <s v="20170430"/>
    <x v="3"/>
    <d v="2017-04-30T00:00:00"/>
    <n v="-6872.38"/>
  </r>
  <r>
    <s v="100030728"/>
    <s v="SA"/>
    <s v="40548 PD0015"/>
    <x v="0"/>
    <s v="RECURRING ENTRY ENDS 04/36; FV50 NEEDED 05/36"/>
    <s v="20170430"/>
    <x v="3"/>
    <d v="2017-04-30T00:00:00"/>
    <n v="-4630.24"/>
  </r>
  <r>
    <s v="100030729"/>
    <s v="SA"/>
    <s v="40540 PD0020"/>
    <x v="0"/>
    <s v="RECURRING ENTRY ENDS 04/37; FV50 NEEDED 05/37"/>
    <s v="20170430"/>
    <x v="4"/>
    <d v="2017-04-30T00:00:00"/>
    <n v="-3059.89"/>
  </r>
  <r>
    <s v="100030730"/>
    <s v="SA"/>
    <s v="40540 PD0014"/>
    <x v="0"/>
    <s v="RECURRING ENTRY ENDS 10/34; FV50 NEEDED 11/34"/>
    <s v="20170430"/>
    <x v="5"/>
    <d v="2017-04-30T00:00:00"/>
    <n v="-8058.13"/>
  </r>
  <r>
    <s v="100030731"/>
    <s v="SA"/>
    <s v="40540 PD0010"/>
    <x v="0"/>
    <s v="RECURRING ENTRY ENDS 04/18; FV50 NEEDED 05/18"/>
    <s v="20170430"/>
    <x v="12"/>
    <d v="2017-04-30T00:00:00"/>
    <n v="-7696.08"/>
  </r>
  <r>
    <s v="100030732"/>
    <s v="SA"/>
    <s v="40547 PD0010"/>
    <x v="0"/>
    <s v="RECURRING ENTRY ENDS 04/18; FV50 NEEDED 05/18"/>
    <s v="20170430"/>
    <x v="12"/>
    <d v="2017-04-30T00:00:00"/>
    <n v="-3633.17"/>
  </r>
  <r>
    <s v="100030733"/>
    <s v="SA"/>
    <s v="40540 PD0012"/>
    <x v="0"/>
    <s v="RECURRING ENTRY ENDS 07/25; FV50 NEEDED 08/25"/>
    <s v="20170430"/>
    <x v="13"/>
    <d v="2017-04-30T00:00:00"/>
    <n v="-4399.9399999999996"/>
  </r>
  <r>
    <s v="100030734"/>
    <s v="SA"/>
    <s v="40540 PD0023"/>
    <x v="0"/>
    <s v="RECURRING ENTRY ENDS 09/20; FV50 NEEDED 10/20"/>
    <s v="20170430"/>
    <x v="14"/>
    <d v="2017-04-30T00:00:00"/>
    <n v="-2351.71"/>
  </r>
  <r>
    <s v="100030735"/>
    <s v="SA"/>
    <s v="40547 PD0023"/>
    <x v="0"/>
    <s v="RECURRING ENTRY ENDS 09/20; FV50 NEEDED 10/20"/>
    <s v="20170430"/>
    <x v="14"/>
    <d v="2017-04-30T00:00:00"/>
    <n v="-63.12"/>
  </r>
  <r>
    <s v="100030736"/>
    <s v="SA"/>
    <s v="40540 PD0018"/>
    <x v="0"/>
    <s v="RECURRING ENTRY ENDS 04/18; FV50 NEEDED 05/18"/>
    <s v="20170430"/>
    <x v="15"/>
    <d v="2017-04-30T00:00:00"/>
    <n v="-6308.36"/>
  </r>
  <r>
    <s v="100030737"/>
    <s v="SA"/>
    <s v="40549 PD0018"/>
    <x v="0"/>
    <s v="RECURRING ENTRY ENDS 04/18; FV50 NEEDED 05/18"/>
    <s v="20170430"/>
    <x v="15"/>
    <d v="2017-04-30T00:00:00"/>
    <n v="-7695.19"/>
  </r>
  <r>
    <s v="100030752"/>
    <s v="SA"/>
    <s v="40540 PD0025"/>
    <x v="0"/>
    <s v="RECURRING ENTRY ENDS 04/42,FV50 NEEDED 05/42"/>
    <s v="20170430"/>
    <x v="17"/>
    <d v="2017-04-30T00:00:00"/>
    <n v="-7123.53"/>
  </r>
  <r>
    <s v="100030753"/>
    <s v="SA"/>
    <s v="40540 PD0026"/>
    <x v="0"/>
    <s v="$225M Bonds Due 2022"/>
    <s v="20170430"/>
    <x v="0"/>
    <d v="2017-04-30T00:00:00"/>
    <n v="-14668.67"/>
  </r>
  <r>
    <s v="100030782"/>
    <s v="SA"/>
    <s v="40540_PD0027"/>
    <x v="0"/>
    <s v="RECURRING ENTRY ENDS 03/44; FV50 NEEDED 04/44"/>
    <s v="20170430"/>
    <x v="1"/>
    <d v="2017-04-30T00:00:00"/>
    <n v="-8710.42"/>
  </r>
  <r>
    <s v="100030789"/>
    <s v="SA"/>
    <s v="40540 PD0028"/>
    <x v="0"/>
    <s v="$230M Bond due 2045"/>
    <s v="20170430"/>
    <x v="19"/>
    <d v="2017-04-30T00:00:00"/>
    <n v="-7028.09"/>
  </r>
  <r>
    <s v="100038933"/>
    <s v="SA"/>
    <s v="40540"/>
    <x v="0"/>
    <s v="RECURRING ENTRY ENDS 10/30; FV50 NEEDED 11/30"/>
    <s v="20170531"/>
    <x v="2"/>
    <d v="2017-05-31T00:00:00"/>
    <n v="-6400.96"/>
  </r>
  <r>
    <s v="100038934"/>
    <s v="SA"/>
    <s v="40547 PD0013"/>
    <x v="0"/>
    <s v="RECURRING ENTRY ENDS 10/30; FV50 NEEDED 11/30"/>
    <s v="20170531"/>
    <x v="2"/>
    <d v="2017-05-31T00:00:00"/>
    <n v="-130.22"/>
  </r>
  <r>
    <s v="100038935"/>
    <s v="SA"/>
    <s v="40540 PD0015"/>
    <x v="0"/>
    <s v="RECURRING ENTRY ENDS 04/36; FV50 NEEDED 05/36"/>
    <s v="20170531"/>
    <x v="3"/>
    <d v="2017-05-31T00:00:00"/>
    <n v="-6872.38"/>
  </r>
  <r>
    <s v="100038936"/>
    <s v="SA"/>
    <s v="40548 PD0015"/>
    <x v="0"/>
    <s v="RECURRING ENTRY ENDS 04/36; FV50 NEEDED 05/36"/>
    <s v="20170531"/>
    <x v="3"/>
    <d v="2017-05-31T00:00:00"/>
    <n v="-4630.24"/>
  </r>
  <r>
    <s v="100038937"/>
    <s v="SA"/>
    <s v="40540 PD0020"/>
    <x v="0"/>
    <s v="RECURRING ENTRY ENDS 04/37; FV50 NEEDED 05/37"/>
    <s v="20170531"/>
    <x v="4"/>
    <d v="2017-05-31T00:00:00"/>
    <n v="-3059.89"/>
  </r>
  <r>
    <s v="100038938"/>
    <s v="SA"/>
    <s v="40540 PD0014"/>
    <x v="0"/>
    <s v="RECURRING ENTRY ENDS 10/34; FV50 NEEDED 11/34"/>
    <s v="20170531"/>
    <x v="5"/>
    <d v="2017-05-31T00:00:00"/>
    <n v="-8058.13"/>
  </r>
  <r>
    <s v="100038939"/>
    <s v="SA"/>
    <s v="40540 PD0010"/>
    <x v="0"/>
    <s v="RECURRING ENTRY ENDS 04/18; FV50 NEEDED 05/18"/>
    <s v="20170531"/>
    <x v="12"/>
    <d v="2017-05-31T00:00:00"/>
    <n v="-7696.08"/>
  </r>
  <r>
    <s v="100038940"/>
    <s v="SA"/>
    <s v="40547 PD0010"/>
    <x v="0"/>
    <s v="RECURRING ENTRY ENDS 04/18; FV50 NEEDED 05/18"/>
    <s v="20170531"/>
    <x v="12"/>
    <d v="2017-05-31T00:00:00"/>
    <n v="-3633.17"/>
  </r>
  <r>
    <s v="100038941"/>
    <s v="SA"/>
    <s v="40540 PD0012"/>
    <x v="0"/>
    <s v="RECURRING ENTRY ENDS 07/25; FV50 NEEDED 08/25"/>
    <s v="20170531"/>
    <x v="13"/>
    <d v="2017-05-31T00:00:00"/>
    <n v="-4399.9399999999996"/>
  </r>
  <r>
    <s v="100038942"/>
    <s v="SA"/>
    <s v="40540 PD0023"/>
    <x v="0"/>
    <s v="RECURRING ENTRY ENDS 09/20; FV50 NEEDED 10/20"/>
    <s v="20170531"/>
    <x v="14"/>
    <d v="2017-05-31T00:00:00"/>
    <n v="-2351.71"/>
  </r>
  <r>
    <s v="100038943"/>
    <s v="SA"/>
    <s v="40547 PD0023"/>
    <x v="0"/>
    <s v="RECURRING ENTRY ENDS 09/20; FV50 NEEDED 10/20"/>
    <s v="20170531"/>
    <x v="14"/>
    <d v="2017-05-31T00:00:00"/>
    <n v="-63.12"/>
  </r>
  <r>
    <s v="100038944"/>
    <s v="SA"/>
    <s v="40540 PD0018"/>
    <x v="0"/>
    <s v="RECURRING ENTRY ENDS 04/18; FV50 NEEDED 05/18"/>
    <s v="20170531"/>
    <x v="15"/>
    <d v="2017-05-31T00:00:00"/>
    <n v="-6308.36"/>
  </r>
  <r>
    <s v="100038945"/>
    <s v="SA"/>
    <s v="40549 PD0018"/>
    <x v="0"/>
    <s v="RECURRING ENTRY ENDS 04/18; FV50 NEEDED 05/18"/>
    <s v="20170531"/>
    <x v="15"/>
    <d v="2017-05-31T00:00:00"/>
    <n v="-7695.19"/>
  </r>
  <r>
    <s v="100038960"/>
    <s v="SA"/>
    <s v="40540 PD0025"/>
    <x v="0"/>
    <s v="RECURRING ENTRY ENDS 04/42,FV50 NEEDED 05/42"/>
    <s v="20170531"/>
    <x v="17"/>
    <d v="2017-05-31T00:00:00"/>
    <n v="-7123.53"/>
  </r>
  <r>
    <s v="100038961"/>
    <s v="SA"/>
    <s v="40540 PD0026"/>
    <x v="0"/>
    <s v="$225M Bonds Due 2022"/>
    <s v="20170531"/>
    <x v="0"/>
    <d v="2017-05-31T00:00:00"/>
    <n v="-14668.67"/>
  </r>
  <r>
    <s v="100038990"/>
    <s v="SA"/>
    <s v="40540_PD0027"/>
    <x v="0"/>
    <s v="RECURRING ENTRY ENDS 03/44; FV50 NEEDED 04/44"/>
    <s v="20170531"/>
    <x v="1"/>
    <d v="2017-05-31T00:00:00"/>
    <n v="-8710.42"/>
  </r>
  <r>
    <s v="100038997"/>
    <s v="SA"/>
    <s v="40540 PD0028"/>
    <x v="0"/>
    <s v="$230M Bond due 2045"/>
    <s v="20170531"/>
    <x v="19"/>
    <d v="2017-05-31T00:00:00"/>
    <n v="-7028.09"/>
  </r>
  <r>
    <s v="100046414"/>
    <s v="SA"/>
    <s v="40540"/>
    <x v="0"/>
    <s v="RECURRING ENTRY ENDS 10/30; FV50 NEEDED 11/30"/>
    <s v="20170630"/>
    <x v="2"/>
    <d v="2017-06-30T00:00:00"/>
    <n v="-6400.96"/>
  </r>
  <r>
    <s v="100046415"/>
    <s v="SA"/>
    <s v="40547 PD0013"/>
    <x v="0"/>
    <s v="RECURRING ENTRY ENDS 10/30; FV50 NEEDED 11/30"/>
    <s v="20170630"/>
    <x v="2"/>
    <d v="2017-06-30T00:00:00"/>
    <n v="-130.22"/>
  </r>
  <r>
    <s v="100046416"/>
    <s v="SA"/>
    <s v="40540 PD0015"/>
    <x v="0"/>
    <s v="RECURRING ENTRY ENDS 04/36; FV50 NEEDED 05/36"/>
    <s v="20170630"/>
    <x v="3"/>
    <d v="2017-06-30T00:00:00"/>
    <n v="-6872.38"/>
  </r>
  <r>
    <s v="100046417"/>
    <s v="SA"/>
    <s v="40548 PD0015"/>
    <x v="0"/>
    <s v="RECURRING ENTRY ENDS 04/36; FV50 NEEDED 05/36"/>
    <s v="20170630"/>
    <x v="3"/>
    <d v="2017-06-30T00:00:00"/>
    <n v="-4630.24"/>
  </r>
  <r>
    <s v="100046418"/>
    <s v="SA"/>
    <s v="40540 PD0020"/>
    <x v="0"/>
    <s v="RECURRING ENTRY ENDS 04/37; FV50 NEEDED 05/37"/>
    <s v="20170630"/>
    <x v="4"/>
    <d v="2017-06-30T00:00:00"/>
    <n v="-3059.89"/>
  </r>
  <r>
    <s v="100046419"/>
    <s v="SA"/>
    <s v="40540 PD0014"/>
    <x v="0"/>
    <s v="RECURRING ENTRY ENDS 10/34; FV50 NEEDED 11/34"/>
    <s v="20170630"/>
    <x v="5"/>
    <d v="2017-06-30T00:00:00"/>
    <n v="-8058.13"/>
  </r>
  <r>
    <s v="100046420"/>
    <s v="SA"/>
    <s v="40540 PD0010"/>
    <x v="0"/>
    <s v="RECURRING ENTRY ENDS 04/18; FV50 NEEDED 05/18"/>
    <s v="20170630"/>
    <x v="12"/>
    <d v="2017-06-30T00:00:00"/>
    <n v="-7696.08"/>
  </r>
  <r>
    <s v="100046421"/>
    <s v="SA"/>
    <s v="40547 PD0010"/>
    <x v="0"/>
    <s v="RECURRING ENTRY ENDS 04/18; FV50 NEEDED 05/18"/>
    <s v="20170630"/>
    <x v="12"/>
    <d v="2017-06-30T00:00:00"/>
    <n v="-3633.17"/>
  </r>
  <r>
    <s v="100046422"/>
    <s v="SA"/>
    <s v="40540 PD0012"/>
    <x v="0"/>
    <s v="RECURRING ENTRY ENDS 07/25; FV50 NEEDED 08/25"/>
    <s v="20170630"/>
    <x v="13"/>
    <d v="2017-06-30T00:00:00"/>
    <n v="-4399.9399999999996"/>
  </r>
  <r>
    <s v="100046423"/>
    <s v="SA"/>
    <s v="40540 PD0023"/>
    <x v="0"/>
    <s v="RECURRING ENTRY ENDS 09/20; FV50 NEEDED 10/20"/>
    <s v="20170630"/>
    <x v="14"/>
    <d v="2017-06-30T00:00:00"/>
    <n v="-2351.71"/>
  </r>
  <r>
    <s v="100046424"/>
    <s v="SA"/>
    <s v="40547 PD0023"/>
    <x v="0"/>
    <s v="RECURRING ENTRY ENDS 09/20; FV50 NEEDED 10/20"/>
    <s v="20170630"/>
    <x v="14"/>
    <d v="2017-06-30T00:00:00"/>
    <n v="-63.12"/>
  </r>
  <r>
    <s v="100046425"/>
    <s v="SA"/>
    <s v="40540 PD0018"/>
    <x v="0"/>
    <s v="RECURRING ENTRY ENDS 04/18; FV50 NEEDED 05/18"/>
    <s v="20170630"/>
    <x v="15"/>
    <d v="2017-06-30T00:00:00"/>
    <n v="-6308.36"/>
  </r>
  <r>
    <s v="100046426"/>
    <s v="SA"/>
    <s v="40549 PD0018"/>
    <x v="0"/>
    <s v="RECURRING ENTRY ENDS 04/18; FV50 NEEDED 05/18"/>
    <s v="20170630"/>
    <x v="15"/>
    <d v="2017-06-30T00:00:00"/>
    <n v="-7695.19"/>
  </r>
  <r>
    <s v="100046441"/>
    <s v="SA"/>
    <s v="40540 PD0025"/>
    <x v="0"/>
    <s v="RECURRING ENTRY ENDS 04/42,FV50 NEEDED 05/42"/>
    <s v="20170630"/>
    <x v="17"/>
    <d v="2017-06-30T00:00:00"/>
    <n v="-7123.53"/>
  </r>
  <r>
    <s v="100046442"/>
    <s v="SA"/>
    <s v="40540 PD0026"/>
    <x v="0"/>
    <s v="$225M Bonds Due 2022"/>
    <s v="20170630"/>
    <x v="0"/>
    <d v="2017-06-30T00:00:00"/>
    <n v="-14668.67"/>
  </r>
  <r>
    <s v="100046470"/>
    <s v="SA"/>
    <s v="40540_PD0027"/>
    <x v="0"/>
    <s v="RECURRING ENTRY ENDS 03/44; FV50 NEEDED 04/44"/>
    <s v="20170630"/>
    <x v="1"/>
    <d v="2017-06-30T00:00:00"/>
    <n v="-8710.42"/>
  </r>
  <r>
    <s v="100046477"/>
    <s v="SA"/>
    <s v="40540 PD0028"/>
    <x v="0"/>
    <s v="$230M Bond due 2045"/>
    <s v="20170630"/>
    <x v="19"/>
    <d v="2017-06-30T00:00:00"/>
    <n v="-7028.09"/>
  </r>
  <r>
    <s v="100052771"/>
    <s v="SA"/>
    <s v="40540"/>
    <x v="0"/>
    <s v="RECURRING ENTRY ENDS 10/30; FV50 NEEDED 11/30"/>
    <s v="20170731"/>
    <x v="2"/>
    <d v="2017-07-31T00:00:00"/>
    <n v="-6400.96"/>
  </r>
  <r>
    <s v="100052772"/>
    <s v="SA"/>
    <s v="40547 PD0013"/>
    <x v="0"/>
    <s v="RECURRING ENTRY ENDS 10/30; FV50 NEEDED 11/30"/>
    <s v="20170731"/>
    <x v="2"/>
    <d v="2017-07-31T00:00:00"/>
    <n v="-130.22"/>
  </r>
  <r>
    <s v="100052773"/>
    <s v="SA"/>
    <s v="40540 PD0015"/>
    <x v="0"/>
    <s v="RECURRING ENTRY ENDS 04/36; FV50 NEEDED 05/36"/>
    <s v="20170731"/>
    <x v="3"/>
    <d v="2017-07-31T00:00:00"/>
    <n v="-6872.38"/>
  </r>
  <r>
    <s v="100052774"/>
    <s v="SA"/>
    <s v="40548 PD0015"/>
    <x v="0"/>
    <s v="RECURRING ENTRY ENDS 04/36; FV50 NEEDED 05/36"/>
    <s v="20170731"/>
    <x v="3"/>
    <d v="2017-07-31T00:00:00"/>
    <n v="-4630.24"/>
  </r>
  <r>
    <s v="100052775"/>
    <s v="SA"/>
    <s v="40540 PD0020"/>
    <x v="0"/>
    <s v="RECURRING ENTRY ENDS 04/37; FV50 NEEDED 05/37"/>
    <s v="20170731"/>
    <x v="4"/>
    <d v="2017-07-31T00:00:00"/>
    <n v="-3059.89"/>
  </r>
  <r>
    <s v="100052776"/>
    <s v="SA"/>
    <s v="40540 PD0014"/>
    <x v="0"/>
    <s v="RECURRING ENTRY ENDS 10/34; FV50 NEEDED 11/34"/>
    <s v="20170731"/>
    <x v="5"/>
    <d v="2017-07-31T00:00:00"/>
    <n v="-8058.13"/>
  </r>
  <r>
    <s v="100052777"/>
    <s v="SA"/>
    <s v="40540 PD0010"/>
    <x v="0"/>
    <s v="RECURRING ENTRY ENDS 04/18; FV50 NEEDED 05/18"/>
    <s v="20170731"/>
    <x v="12"/>
    <d v="2017-07-31T00:00:00"/>
    <n v="-7696.08"/>
  </r>
  <r>
    <s v="100052778"/>
    <s v="SA"/>
    <s v="40547 PD0010"/>
    <x v="0"/>
    <s v="RECURRING ENTRY ENDS 04/18; FV50 NEEDED 05/18"/>
    <s v="20170731"/>
    <x v="12"/>
    <d v="2017-07-31T00:00:00"/>
    <n v="-3633.17"/>
  </r>
  <r>
    <s v="100052779"/>
    <s v="SA"/>
    <s v="40540 PD0012"/>
    <x v="0"/>
    <s v="RECURRING ENTRY ENDS 07/25; FV50 NEEDED 08/25"/>
    <s v="20170731"/>
    <x v="13"/>
    <d v="2017-07-31T00:00:00"/>
    <n v="-4399.9399999999996"/>
  </r>
  <r>
    <s v="100052780"/>
    <s v="SA"/>
    <s v="40540 PD0023"/>
    <x v="0"/>
    <s v="RECURRING ENTRY ENDS 09/20; FV50 NEEDED 10/20"/>
    <s v="20170731"/>
    <x v="14"/>
    <d v="2017-07-31T00:00:00"/>
    <n v="-2351.71"/>
  </r>
  <r>
    <s v="100052781"/>
    <s v="SA"/>
    <s v="40547 PD0023"/>
    <x v="0"/>
    <s v="RECURRING ENTRY ENDS 09/20; FV50 NEEDED 10/20"/>
    <s v="20170731"/>
    <x v="14"/>
    <d v="2017-07-31T00:00:00"/>
    <n v="-63.12"/>
  </r>
  <r>
    <s v="100052782"/>
    <s v="SA"/>
    <s v="40540 PD0018"/>
    <x v="0"/>
    <s v="RECURRING ENTRY ENDS 04/18; FV50 NEEDED 05/18"/>
    <s v="20170731"/>
    <x v="15"/>
    <d v="2017-07-31T00:00:00"/>
    <n v="-6308.36"/>
  </r>
  <r>
    <s v="100052783"/>
    <s v="SA"/>
    <s v="40549 PD0018"/>
    <x v="0"/>
    <s v="RECURRING ENTRY ENDS 04/18; FV50 NEEDED 05/18"/>
    <s v="20170731"/>
    <x v="15"/>
    <d v="2017-07-31T00:00:00"/>
    <n v="-7695.19"/>
  </r>
  <r>
    <s v="100052798"/>
    <s v="SA"/>
    <s v="40540 PD0025"/>
    <x v="0"/>
    <s v="RECURRING ENTRY ENDS 04/42,FV50 NEEDED 05/42"/>
    <s v="20170731"/>
    <x v="17"/>
    <d v="2017-07-31T00:00:00"/>
    <n v="-7123.53"/>
  </r>
  <r>
    <s v="100052799"/>
    <s v="SA"/>
    <s v="40540 PD0026"/>
    <x v="0"/>
    <s v="$225M Bonds Due 2022"/>
    <s v="20170731"/>
    <x v="0"/>
    <d v="2017-07-31T00:00:00"/>
    <n v="-14668.67"/>
  </r>
  <r>
    <s v="100052827"/>
    <s v="SA"/>
    <s v="40540_PD0027"/>
    <x v="0"/>
    <s v="RECURRING ENTRY ENDS 03/44; FV50 NEEDED 04/44"/>
    <s v="20170731"/>
    <x v="1"/>
    <d v="2017-07-31T00:00:00"/>
    <n v="-8710.42"/>
  </r>
  <r>
    <s v="100052834"/>
    <s v="SA"/>
    <s v="40540 PD0028"/>
    <x v="0"/>
    <s v="$230M Bond due 2045"/>
    <s v="20170731"/>
    <x v="19"/>
    <d v="2017-07-31T00:00:00"/>
    <n v="-7028.09"/>
  </r>
  <r>
    <s v="100060207"/>
    <s v="SA"/>
    <s v="40540"/>
    <x v="0"/>
    <s v="RECURRING ENTRY ENDS 10/30; FV50 NEEDED 11/30"/>
    <s v="20170831"/>
    <x v="2"/>
    <d v="2017-08-31T00:00:00"/>
    <n v="-6400.96"/>
  </r>
  <r>
    <s v="100060208"/>
    <s v="SA"/>
    <s v="40547 PD0013"/>
    <x v="0"/>
    <s v="RECURRING ENTRY ENDS 10/30; FV50 NEEDED 11/30"/>
    <s v="20170831"/>
    <x v="2"/>
    <d v="2017-08-31T00:00:00"/>
    <n v="-130.22"/>
  </r>
  <r>
    <s v="100060209"/>
    <s v="SA"/>
    <s v="40540 PD0015"/>
    <x v="0"/>
    <s v="RECURRING ENTRY ENDS 04/36; FV50 NEEDED 05/36"/>
    <s v="20170831"/>
    <x v="3"/>
    <d v="2017-08-31T00:00:00"/>
    <n v="-6872.38"/>
  </r>
  <r>
    <s v="100060210"/>
    <s v="SA"/>
    <s v="40548 PD0015"/>
    <x v="0"/>
    <s v="RECURRING ENTRY ENDS 04/36; FV50 NEEDED 05/36"/>
    <s v="20170831"/>
    <x v="3"/>
    <d v="2017-08-31T00:00:00"/>
    <n v="-4630.24"/>
  </r>
  <r>
    <s v="100060211"/>
    <s v="SA"/>
    <s v="40540 PD0020"/>
    <x v="0"/>
    <s v="RECURRING ENTRY ENDS 04/37; FV50 NEEDED 05/37"/>
    <s v="20170831"/>
    <x v="4"/>
    <d v="2017-08-31T00:00:00"/>
    <n v="-3059.89"/>
  </r>
  <r>
    <s v="100060212"/>
    <s v="SA"/>
    <s v="40540 PD0014"/>
    <x v="0"/>
    <s v="RECURRING ENTRY ENDS 10/34; FV50 NEEDED 11/34"/>
    <s v="20170831"/>
    <x v="5"/>
    <d v="2017-08-31T00:00:00"/>
    <n v="-8058.13"/>
  </r>
  <r>
    <s v="100060213"/>
    <s v="SA"/>
    <s v="40540 PD0010"/>
    <x v="0"/>
    <s v="RECURRING ENTRY ENDS 04/18; FV50 NEEDED 05/18"/>
    <s v="20170831"/>
    <x v="12"/>
    <d v="2017-08-31T00:00:00"/>
    <n v="-7696.08"/>
  </r>
  <r>
    <s v="100060214"/>
    <s v="SA"/>
    <s v="40547 PD0010"/>
    <x v="0"/>
    <s v="RECURRING ENTRY ENDS 04/18; FV50 NEEDED 05/18"/>
    <s v="20170831"/>
    <x v="12"/>
    <d v="2017-08-31T00:00:00"/>
    <n v="-3633.17"/>
  </r>
  <r>
    <s v="100060215"/>
    <s v="SA"/>
    <s v="40540 PD0012"/>
    <x v="0"/>
    <s v="RECURRING ENTRY ENDS 07/25; FV50 NEEDED 08/25"/>
    <s v="20170831"/>
    <x v="13"/>
    <d v="2017-08-31T00:00:00"/>
    <n v="-4399.9399999999996"/>
  </r>
  <r>
    <s v="100060216"/>
    <s v="SA"/>
    <s v="40540 PD0023"/>
    <x v="0"/>
    <s v="RECURRING ENTRY ENDS 09/20; FV50 NEEDED 10/20"/>
    <s v="20170831"/>
    <x v="14"/>
    <d v="2017-08-31T00:00:00"/>
    <n v="-2351.71"/>
  </r>
  <r>
    <s v="100060217"/>
    <s v="SA"/>
    <s v="40547 PD0023"/>
    <x v="0"/>
    <s v="RECURRING ENTRY ENDS 09/20; FV50 NEEDED 10/20"/>
    <s v="20170831"/>
    <x v="14"/>
    <d v="2017-08-31T00:00:00"/>
    <n v="-63.12"/>
  </r>
  <r>
    <s v="100060218"/>
    <s v="SA"/>
    <s v="40540 PD0018"/>
    <x v="0"/>
    <s v="RECURRING ENTRY ENDS 04/18; FV50 NEEDED 05/18"/>
    <s v="20170831"/>
    <x v="15"/>
    <d v="2017-08-31T00:00:00"/>
    <n v="-6308.36"/>
  </r>
  <r>
    <s v="100060219"/>
    <s v="SA"/>
    <s v="40549 PD0018"/>
    <x v="0"/>
    <s v="RECURRING ENTRY ENDS 04/18; FV50 NEEDED 05/18"/>
    <s v="20170831"/>
    <x v="15"/>
    <d v="2017-08-31T00:00:00"/>
    <n v="-7695.19"/>
  </r>
  <r>
    <s v="100060234"/>
    <s v="SA"/>
    <s v="40540 PD0025"/>
    <x v="0"/>
    <s v="RECURRING ENTRY ENDS 04/42,FV50 NEEDED 05/42"/>
    <s v="20170831"/>
    <x v="17"/>
    <d v="2017-08-31T00:00:00"/>
    <n v="-7123.53"/>
  </r>
  <r>
    <s v="100060235"/>
    <s v="SA"/>
    <s v="40540 PD0026"/>
    <x v="0"/>
    <s v="$225M Bonds Due 2022"/>
    <s v="20170831"/>
    <x v="0"/>
    <d v="2017-08-31T00:00:00"/>
    <n v="-14668.67"/>
  </r>
  <r>
    <s v="100060263"/>
    <s v="SA"/>
    <s v="40540_PD0027"/>
    <x v="0"/>
    <s v="RECURRING ENTRY ENDS 03/44; FV50 NEEDED 04/44"/>
    <s v="20170831"/>
    <x v="1"/>
    <d v="2017-08-31T00:00:00"/>
    <n v="-8710.42"/>
  </r>
  <r>
    <s v="100060270"/>
    <s v="SA"/>
    <s v="40540 PD0028"/>
    <x v="0"/>
    <s v="$230M Bond due 2045"/>
    <s v="20170831"/>
    <x v="19"/>
    <d v="2017-08-31T00:00:00"/>
    <n v="-7028.09"/>
  </r>
  <r>
    <s v="9100001742"/>
    <s v="YP"/>
    <s v="111-1741452"/>
    <x v="0"/>
    <s v=""/>
    <s v="20170904"/>
    <x v="0"/>
    <d v="2017-09-26T00:00:00"/>
    <n v="3645"/>
  </r>
  <r>
    <s v="100066722"/>
    <s v="SA"/>
    <s v="40540"/>
    <x v="0"/>
    <s v="RECURRING ENTRY ENDS 10/30; FV50 NEEDED 11/30"/>
    <s v="20170930"/>
    <x v="2"/>
    <d v="2017-09-30T00:00:00"/>
    <n v="-6400.96"/>
  </r>
  <r>
    <s v="100066723"/>
    <s v="SA"/>
    <s v="40547 PD0013"/>
    <x v="0"/>
    <s v="RECURRING ENTRY ENDS 10/30; FV50 NEEDED 11/30"/>
    <s v="20170930"/>
    <x v="2"/>
    <d v="2017-09-30T00:00:00"/>
    <n v="-130.22"/>
  </r>
  <r>
    <s v="100066724"/>
    <s v="SA"/>
    <s v="40540 PD0015"/>
    <x v="0"/>
    <s v="RECURRING ENTRY ENDS 04/36; FV50 NEEDED 05/36"/>
    <s v="20170930"/>
    <x v="3"/>
    <d v="2017-09-30T00:00:00"/>
    <n v="-6872.38"/>
  </r>
  <r>
    <s v="100066725"/>
    <s v="SA"/>
    <s v="40548 PD0015"/>
    <x v="0"/>
    <s v="RECURRING ENTRY ENDS 04/36; FV50 NEEDED 05/36"/>
    <s v="20170930"/>
    <x v="3"/>
    <d v="2017-09-30T00:00:00"/>
    <n v="-4630.24"/>
  </r>
  <r>
    <s v="100066726"/>
    <s v="SA"/>
    <s v="40540 PD0020"/>
    <x v="0"/>
    <s v="RECURRING ENTRY ENDS 04/37; FV50 NEEDED 05/37"/>
    <s v="20170930"/>
    <x v="4"/>
    <d v="2017-09-30T00:00:00"/>
    <n v="-3059.89"/>
  </r>
  <r>
    <s v="100066727"/>
    <s v="SA"/>
    <s v="40540 PD0014"/>
    <x v="0"/>
    <s v="RECURRING ENTRY ENDS 10/34; FV50 NEEDED 11/34"/>
    <s v="20170930"/>
    <x v="5"/>
    <d v="2017-09-30T00:00:00"/>
    <n v="-8058.13"/>
  </r>
  <r>
    <s v="100066728"/>
    <s v="SA"/>
    <s v="40540 PD0010"/>
    <x v="0"/>
    <s v="RECURRING ENTRY ENDS 04/18; FV50 NEEDED 05/18"/>
    <s v="20170930"/>
    <x v="12"/>
    <d v="2017-09-30T00:00:00"/>
    <n v="-7696.08"/>
  </r>
  <r>
    <s v="100066729"/>
    <s v="SA"/>
    <s v="40547 PD0010"/>
    <x v="0"/>
    <s v="RECURRING ENTRY ENDS 04/18; FV50 NEEDED 05/18"/>
    <s v="20170930"/>
    <x v="12"/>
    <d v="2017-09-30T00:00:00"/>
    <n v="-3633.17"/>
  </r>
  <r>
    <s v="100066730"/>
    <s v="SA"/>
    <s v="40540 PD0012"/>
    <x v="0"/>
    <s v="RECURRING ENTRY ENDS 07/25; FV50 NEEDED 08/25"/>
    <s v="20170930"/>
    <x v="13"/>
    <d v="2017-09-30T00:00:00"/>
    <n v="-4399.9399999999996"/>
  </r>
  <r>
    <s v="100066731"/>
    <s v="SA"/>
    <s v="40540 PD0023"/>
    <x v="0"/>
    <s v="RECURRING ENTRY ENDS 09/20; FV50 NEEDED 10/20"/>
    <s v="20170930"/>
    <x v="14"/>
    <d v="2017-09-30T00:00:00"/>
    <n v="-2351.71"/>
  </r>
  <r>
    <s v="100066732"/>
    <s v="SA"/>
    <s v="40547 PD0023"/>
    <x v="0"/>
    <s v="RECURRING ENTRY ENDS 09/20; FV50 NEEDED 10/20"/>
    <s v="20170930"/>
    <x v="14"/>
    <d v="2017-09-30T00:00:00"/>
    <n v="-63.12"/>
  </r>
  <r>
    <s v="100066733"/>
    <s v="SA"/>
    <s v="40540 PD0018"/>
    <x v="0"/>
    <s v="RECURRING ENTRY ENDS 04/18; FV50 NEEDED 05/18"/>
    <s v="20170930"/>
    <x v="15"/>
    <d v="2017-09-30T00:00:00"/>
    <n v="-6308.36"/>
  </r>
  <r>
    <s v="100066734"/>
    <s v="SA"/>
    <s v="40549 PD0018"/>
    <x v="0"/>
    <s v="RECURRING ENTRY ENDS 04/18; FV50 NEEDED 05/18"/>
    <s v="20170930"/>
    <x v="15"/>
    <d v="2017-09-30T00:00:00"/>
    <n v="-7695.19"/>
  </r>
  <r>
    <s v="100066749"/>
    <s v="SA"/>
    <s v="40540 PD0025"/>
    <x v="0"/>
    <s v="RECURRING ENTRY ENDS 04/42,FV50 NEEDED 05/42"/>
    <s v="20170930"/>
    <x v="17"/>
    <d v="2017-09-30T00:00:00"/>
    <n v="-7123.53"/>
  </r>
  <r>
    <s v="100066750"/>
    <s v="SA"/>
    <s v="40540 PD0026"/>
    <x v="0"/>
    <s v="$225M Bonds Due 2022"/>
    <s v="20170930"/>
    <x v="0"/>
    <d v="2017-09-30T00:00:00"/>
    <n v="-14668.67"/>
  </r>
  <r>
    <s v="100066778"/>
    <s v="SA"/>
    <s v="40540_PD0027"/>
    <x v="0"/>
    <s v="RECURRING ENTRY ENDS 03/44; FV50 NEEDED 04/44"/>
    <s v="20170930"/>
    <x v="1"/>
    <d v="2017-09-30T00:00:00"/>
    <n v="-8710.42"/>
  </r>
  <r>
    <s v="100066784"/>
    <s v="SA"/>
    <s v="40540 PD0028"/>
    <x v="0"/>
    <s v="$230M Bond due 2045"/>
    <s v="20170930"/>
    <x v="19"/>
    <d v="2017-09-30T00:00:00"/>
    <n v="-7028.09"/>
  </r>
  <r>
    <s v="9100001812"/>
    <s v="YP"/>
    <s v="89801-5"/>
    <x v="0"/>
    <s v="Reclass Trustee Fee"/>
    <s v="20170930"/>
    <x v="0"/>
    <d v="2017-09-30T00:00:00"/>
    <n v="-3645"/>
  </r>
  <r>
    <s v="100073923"/>
    <s v="SA"/>
    <s v="40540"/>
    <x v="0"/>
    <s v="RECURRING ENTRY ENDS 10/30; FV50 NEEDED 11/30"/>
    <s v="20171031"/>
    <x v="2"/>
    <d v="2017-10-31T00:00:00"/>
    <n v="-6400.96"/>
  </r>
  <r>
    <s v="100073924"/>
    <s v="SA"/>
    <s v="40547 PD0013"/>
    <x v="0"/>
    <s v="RECURRING ENTRY ENDS 10/30; FV50 NEEDED 11/30"/>
    <s v="20171031"/>
    <x v="2"/>
    <d v="2017-10-31T00:00:00"/>
    <n v="-130.22"/>
  </r>
  <r>
    <s v="100073925"/>
    <s v="SA"/>
    <s v="40540 PD0015"/>
    <x v="0"/>
    <s v="RECURRING ENTRY ENDS 04/36; FV50 NEEDED 05/36"/>
    <s v="20171031"/>
    <x v="3"/>
    <d v="2017-10-31T00:00:00"/>
    <n v="-6872.38"/>
  </r>
  <r>
    <s v="100073926"/>
    <s v="SA"/>
    <s v="40548 PD0015"/>
    <x v="0"/>
    <s v="RECURRING ENTRY ENDS 04/36; FV50 NEEDED 05/36"/>
    <s v="20171031"/>
    <x v="3"/>
    <d v="2017-10-31T00:00:00"/>
    <n v="-4630.24"/>
  </r>
  <r>
    <s v="100073927"/>
    <s v="SA"/>
    <s v="40540 PD0020"/>
    <x v="0"/>
    <s v="RECURRING ENTRY ENDS 04/37; FV50 NEEDED 05/37"/>
    <s v="20171031"/>
    <x v="4"/>
    <d v="2017-10-31T00:00:00"/>
    <n v="-3059.89"/>
  </r>
  <r>
    <s v="100073928"/>
    <s v="SA"/>
    <s v="40540 PD0014"/>
    <x v="0"/>
    <s v="RECURRING ENTRY ENDS 10/34; FV50 NEEDED 11/34"/>
    <s v="20171031"/>
    <x v="5"/>
    <d v="2017-10-31T00:00:00"/>
    <n v="-8058.13"/>
  </r>
  <r>
    <s v="100073929"/>
    <s v="SA"/>
    <s v="40540 PD0010"/>
    <x v="0"/>
    <s v="RECURRING ENTRY ENDS 04/18; FV50 NEEDED 05/18"/>
    <s v="20171031"/>
    <x v="12"/>
    <d v="2017-10-31T00:00:00"/>
    <n v="-7696.08"/>
  </r>
  <r>
    <s v="100073930"/>
    <s v="SA"/>
    <s v="40547 PD0010"/>
    <x v="0"/>
    <s v="RECURRING ENTRY ENDS 04/18; FV50 NEEDED 05/18"/>
    <s v="20171031"/>
    <x v="12"/>
    <d v="2017-10-31T00:00:00"/>
    <n v="-3633.17"/>
  </r>
  <r>
    <s v="100073931"/>
    <s v="SA"/>
    <s v="40540 PD0012"/>
    <x v="0"/>
    <s v="RECURRING ENTRY ENDS 07/25; FV50 NEEDED 08/25"/>
    <s v="20171031"/>
    <x v="13"/>
    <d v="2017-10-31T00:00:00"/>
    <n v="-4399.9399999999996"/>
  </r>
  <r>
    <s v="100073932"/>
    <s v="SA"/>
    <s v="40540 PD0023"/>
    <x v="0"/>
    <s v="RECURRING ENTRY ENDS 09/20; FV50 NEEDED 10/20"/>
    <s v="20171031"/>
    <x v="14"/>
    <d v="2017-10-31T00:00:00"/>
    <n v="-2351.71"/>
  </r>
  <r>
    <s v="100073933"/>
    <s v="SA"/>
    <s v="40547 PD0023"/>
    <x v="0"/>
    <s v="RECURRING ENTRY ENDS 09/20; FV50 NEEDED 10/20"/>
    <s v="20171031"/>
    <x v="14"/>
    <d v="2017-10-31T00:00:00"/>
    <n v="-63.12"/>
  </r>
  <r>
    <s v="100073934"/>
    <s v="SA"/>
    <s v="40540 PD0018"/>
    <x v="0"/>
    <s v="RECURRING ENTRY ENDS 04/18; FV50 NEEDED 05/18"/>
    <s v="20171031"/>
    <x v="15"/>
    <d v="2017-10-31T00:00:00"/>
    <n v="-6308.36"/>
  </r>
  <r>
    <s v="100073935"/>
    <s v="SA"/>
    <s v="40549 PD0018"/>
    <x v="0"/>
    <s v="RECURRING ENTRY ENDS 04/18; FV50 NEEDED 05/18"/>
    <s v="20171031"/>
    <x v="15"/>
    <d v="2017-10-31T00:00:00"/>
    <n v="-7695.19"/>
  </r>
  <r>
    <s v="100073949"/>
    <s v="SA"/>
    <s v="40540 PD0025"/>
    <x v="0"/>
    <s v="RECURRING ENTRY ENDS 04/42,FV50 NEEDED 05/42"/>
    <s v="20171031"/>
    <x v="17"/>
    <d v="2017-10-31T00:00:00"/>
    <n v="-7123.53"/>
  </r>
  <r>
    <s v="100073950"/>
    <s v="SA"/>
    <s v="40540 PD0026"/>
    <x v="0"/>
    <s v="$225M Bonds Due 2022"/>
    <s v="20171031"/>
    <x v="0"/>
    <d v="2017-10-31T00:00:00"/>
    <n v="-14668.67"/>
  </r>
  <r>
    <s v="100073978"/>
    <s v="SA"/>
    <s v="40540_PD0027"/>
    <x v="0"/>
    <s v="RECURRING ENTRY ENDS 03/44; FV50 NEEDED 04/44"/>
    <s v="20171031"/>
    <x v="1"/>
    <d v="2017-10-31T00:00:00"/>
    <n v="-8710.42"/>
  </r>
  <r>
    <s v="100073984"/>
    <s v="SA"/>
    <s v="40540 PD0028"/>
    <x v="0"/>
    <s v="$230M Bond due 2045"/>
    <s v="20171031"/>
    <x v="19"/>
    <d v="2017-10-31T00:00:00"/>
    <n v="-7028.09"/>
  </r>
  <r>
    <s v="100080411"/>
    <s v="SA"/>
    <s v="40540"/>
    <x v="0"/>
    <s v="RECURRING ENTRY ENDS 10/30; FV50 NEEDED 11/30"/>
    <s v="20171130"/>
    <x v="2"/>
    <d v="2017-11-30T00:00:00"/>
    <n v="-6400.96"/>
  </r>
  <r>
    <s v="100080412"/>
    <s v="SA"/>
    <s v="40547 PD0013"/>
    <x v="0"/>
    <s v="RECURRING ENTRY ENDS 10/30; FV50 NEEDED 11/30"/>
    <s v="20171130"/>
    <x v="2"/>
    <d v="2017-11-30T00:00:00"/>
    <n v="-130.22"/>
  </r>
  <r>
    <s v="100080413"/>
    <s v="SA"/>
    <s v="40540 PD0015"/>
    <x v="0"/>
    <s v="RECURRING ENTRY ENDS 04/36; FV50 NEEDED 05/36"/>
    <s v="20171130"/>
    <x v="3"/>
    <d v="2017-11-30T00:00:00"/>
    <n v="-6872.38"/>
  </r>
  <r>
    <s v="100080414"/>
    <s v="SA"/>
    <s v="40548 PD0015"/>
    <x v="0"/>
    <s v="RECURRING ENTRY ENDS 04/36; FV50 NEEDED 05/36"/>
    <s v="20171130"/>
    <x v="3"/>
    <d v="2017-11-30T00:00:00"/>
    <n v="-4630.24"/>
  </r>
  <r>
    <s v="100080415"/>
    <s v="SA"/>
    <s v="40540 PD0020"/>
    <x v="0"/>
    <s v="RECURRING ENTRY ENDS 04/37; FV50 NEEDED 05/37"/>
    <s v="20171130"/>
    <x v="4"/>
    <d v="2017-11-30T00:00:00"/>
    <n v="-3059.89"/>
  </r>
  <r>
    <s v="100080416"/>
    <s v="SA"/>
    <s v="40540 PD0014"/>
    <x v="0"/>
    <s v="RECURRING ENTRY ENDS 10/34; FV50 NEEDED 11/34"/>
    <s v="20171130"/>
    <x v="5"/>
    <d v="2017-11-30T00:00:00"/>
    <n v="-8058.13"/>
  </r>
  <r>
    <s v="100080417"/>
    <s v="SA"/>
    <s v="40540 PD0010"/>
    <x v="0"/>
    <s v="RECURRING ENTRY ENDS 04/18; FV50 NEEDED 05/18"/>
    <s v="20171130"/>
    <x v="12"/>
    <d v="2017-11-30T00:00:00"/>
    <n v="-7696.08"/>
  </r>
  <r>
    <s v="100080418"/>
    <s v="SA"/>
    <s v="40547 PD0010"/>
    <x v="0"/>
    <s v="RECURRING ENTRY ENDS 04/18; FV50 NEEDED 05/18"/>
    <s v="20171130"/>
    <x v="12"/>
    <d v="2017-11-30T00:00:00"/>
    <n v="-3633.17"/>
  </r>
  <r>
    <s v="100080419"/>
    <s v="SA"/>
    <s v="40540 PD0012"/>
    <x v="0"/>
    <s v="RECURRING ENTRY ENDS 07/25; FV50 NEEDED 08/25"/>
    <s v="20171130"/>
    <x v="13"/>
    <d v="2017-11-30T00:00:00"/>
    <n v="-4399.9399999999996"/>
  </r>
  <r>
    <s v="100080420"/>
    <s v="SA"/>
    <s v="40540 PD0023"/>
    <x v="0"/>
    <s v="RECURRING ENTRY ENDS 09/20; FV50 NEEDED 10/20"/>
    <s v="20171130"/>
    <x v="14"/>
    <d v="2017-11-30T00:00:00"/>
    <n v="-2351.71"/>
  </r>
  <r>
    <s v="100080421"/>
    <s v="SA"/>
    <s v="40547 PD0023"/>
    <x v="0"/>
    <s v="RECURRING ENTRY ENDS 09/20; FV50 NEEDED 10/20"/>
    <s v="20171130"/>
    <x v="14"/>
    <d v="2017-11-30T00:00:00"/>
    <n v="-63.12"/>
  </r>
  <r>
    <s v="100080422"/>
    <s v="SA"/>
    <s v="40540 PD0018"/>
    <x v="0"/>
    <s v="RECURRING ENTRY ENDS 04/18; FV50 NEEDED 05/18"/>
    <s v="20171130"/>
    <x v="15"/>
    <d v="2017-11-30T00:00:00"/>
    <n v="-6308.36"/>
  </r>
  <r>
    <s v="100080423"/>
    <s v="SA"/>
    <s v="40549 PD0018"/>
    <x v="0"/>
    <s v="RECURRING ENTRY ENDS 04/18; FV50 NEEDED 05/18"/>
    <s v="20171130"/>
    <x v="15"/>
    <d v="2017-11-30T00:00:00"/>
    <n v="-7695.19"/>
  </r>
  <r>
    <s v="100080437"/>
    <s v="SA"/>
    <s v="40540 PD0025"/>
    <x v="0"/>
    <s v="RECURRING ENTRY ENDS 04/42,FV50 NEEDED 05/42"/>
    <s v="20171130"/>
    <x v="17"/>
    <d v="2017-11-30T00:00:00"/>
    <n v="-7123.53"/>
  </r>
  <r>
    <s v="100080438"/>
    <s v="SA"/>
    <s v="40540 PD0026"/>
    <x v="0"/>
    <s v="$225M Bonds Due 2022"/>
    <s v="20171130"/>
    <x v="0"/>
    <d v="2017-11-30T00:00:00"/>
    <n v="-14668.67"/>
  </r>
  <r>
    <s v="100080466"/>
    <s v="SA"/>
    <s v="40540_PD0027"/>
    <x v="0"/>
    <s v="RECURRING ENTRY ENDS 03/44; FV50 NEEDED 04/44"/>
    <s v="20171130"/>
    <x v="1"/>
    <d v="2017-11-30T00:00:00"/>
    <n v="-8710.42"/>
  </r>
  <r>
    <s v="100080472"/>
    <s v="SA"/>
    <s v="40540 PD0028"/>
    <x v="0"/>
    <s v="$230M Bond due 2045"/>
    <s v="20171130"/>
    <x v="19"/>
    <d v="2017-11-30T00:00:00"/>
    <n v="-7028.09"/>
  </r>
  <r>
    <s v="100088045"/>
    <s v="SA"/>
    <s v="40540"/>
    <x v="0"/>
    <s v="RECURRING ENTRY ENDS 10/30; FV50 NEEDED 11/30"/>
    <s v="20171231"/>
    <x v="2"/>
    <d v="2017-12-31T00:00:00"/>
    <n v="-6400.96"/>
  </r>
  <r>
    <s v="100088046"/>
    <s v="SA"/>
    <s v="40547 PD0013"/>
    <x v="0"/>
    <s v="RECURRING ENTRY ENDS 10/30; FV50 NEEDED 11/30"/>
    <s v="20171231"/>
    <x v="2"/>
    <d v="2017-12-31T00:00:00"/>
    <n v="-130.22"/>
  </r>
  <r>
    <s v="100088047"/>
    <s v="SA"/>
    <s v="40540 PD0015"/>
    <x v="0"/>
    <s v="RECURRING ENTRY ENDS 04/36; FV50 NEEDED 05/36"/>
    <s v="20171231"/>
    <x v="3"/>
    <d v="2017-12-31T00:00:00"/>
    <n v="-6872.38"/>
  </r>
  <r>
    <s v="100088048"/>
    <s v="SA"/>
    <s v="40548 PD0015"/>
    <x v="0"/>
    <s v="RECURRING ENTRY ENDS 04/36; FV50 NEEDED 05/36"/>
    <s v="20171231"/>
    <x v="3"/>
    <d v="2017-12-31T00:00:00"/>
    <n v="-4630.24"/>
  </r>
  <r>
    <s v="100088049"/>
    <s v="SA"/>
    <s v="40540 PD0020"/>
    <x v="0"/>
    <s v="RECURRING ENTRY ENDS 04/37; FV50 NEEDED 05/37"/>
    <s v="20171231"/>
    <x v="4"/>
    <d v="2017-12-31T00:00:00"/>
    <n v="-3059.89"/>
  </r>
  <r>
    <s v="100088050"/>
    <s v="SA"/>
    <s v="40540 PD0014"/>
    <x v="0"/>
    <s v="RECURRING ENTRY ENDS 10/34; FV50 NEEDED 11/34"/>
    <s v="20171231"/>
    <x v="5"/>
    <d v="2017-12-31T00:00:00"/>
    <n v="-8058.13"/>
  </r>
  <r>
    <s v="100088051"/>
    <s v="SA"/>
    <s v="40540 PD0010"/>
    <x v="0"/>
    <s v="RECURRING ENTRY ENDS 04/18; FV50 NEEDED 05/18"/>
    <s v="20171231"/>
    <x v="12"/>
    <d v="2017-12-31T00:00:00"/>
    <n v="-7696.08"/>
  </r>
  <r>
    <s v="100088052"/>
    <s v="SA"/>
    <s v="40547 PD0010"/>
    <x v="0"/>
    <s v="RECURRING ENTRY ENDS 04/18; FV50 NEEDED 05/18"/>
    <s v="20171231"/>
    <x v="12"/>
    <d v="2017-12-31T00:00:00"/>
    <n v="-3633.17"/>
  </r>
  <r>
    <s v="100088053"/>
    <s v="SA"/>
    <s v="40540 PD0012"/>
    <x v="0"/>
    <s v="RECURRING ENTRY ENDS 07/25; FV50 NEEDED 08/25"/>
    <s v="20171231"/>
    <x v="13"/>
    <d v="2017-12-31T00:00:00"/>
    <n v="-4399.9399999999996"/>
  </r>
  <r>
    <s v="100088054"/>
    <s v="SA"/>
    <s v="40540 PD0023"/>
    <x v="0"/>
    <s v="RECURRING ENTRY ENDS 09/20; FV50 NEEDED 10/20"/>
    <s v="20171231"/>
    <x v="14"/>
    <d v="2017-12-31T00:00:00"/>
    <n v="-2351.71"/>
  </r>
  <r>
    <s v="100088055"/>
    <s v="SA"/>
    <s v="40547 PD0023"/>
    <x v="0"/>
    <s v="RECURRING ENTRY ENDS 09/20; FV50 NEEDED 10/20"/>
    <s v="20171231"/>
    <x v="14"/>
    <d v="2017-12-31T00:00:00"/>
    <n v="-63.12"/>
  </r>
  <r>
    <s v="100088056"/>
    <s v="SA"/>
    <s v="40540 PD0018"/>
    <x v="0"/>
    <s v="RECURRING ENTRY ENDS 04/18; FV50 NEEDED 05/18"/>
    <s v="20171231"/>
    <x v="15"/>
    <d v="2017-12-31T00:00:00"/>
    <n v="-6308.36"/>
  </r>
  <r>
    <s v="100088057"/>
    <s v="SA"/>
    <s v="40549 PD0018"/>
    <x v="0"/>
    <s v="RECURRING ENTRY ENDS 04/18; FV50 NEEDED 05/18"/>
    <s v="20171231"/>
    <x v="15"/>
    <d v="2017-12-31T00:00:00"/>
    <n v="-7695.19"/>
  </r>
  <r>
    <s v="100088071"/>
    <s v="SA"/>
    <s v="40540 PD0025"/>
    <x v="0"/>
    <s v="RECURRING ENTRY ENDS 04/42,FV50 NEEDED 05/42"/>
    <s v="20171231"/>
    <x v="17"/>
    <d v="2017-12-31T00:00:00"/>
    <n v="-7123.53"/>
  </r>
  <r>
    <s v="100088072"/>
    <s v="SA"/>
    <s v="40540 PD0026"/>
    <x v="0"/>
    <s v="$225M Bonds Due 2022"/>
    <s v="20171231"/>
    <x v="0"/>
    <d v="2017-12-31T00:00:00"/>
    <n v="-14668.67"/>
  </r>
  <r>
    <s v="100088100"/>
    <s v="SA"/>
    <s v="40540_PD0027"/>
    <x v="0"/>
    <s v="RECURRING ENTRY ENDS 03/44; FV50 NEEDED 04/44"/>
    <s v="20171231"/>
    <x v="1"/>
    <d v="2017-12-31T00:00:00"/>
    <n v="-8710.42"/>
  </r>
  <r>
    <s v="100088106"/>
    <s v="SA"/>
    <s v="40540 PD0028"/>
    <x v="0"/>
    <s v="$230M Bond due 2045"/>
    <s v="20171231"/>
    <x v="19"/>
    <d v="2017-12-31T00:00:00"/>
    <n v="-7028.09"/>
  </r>
  <r>
    <s v="100005985"/>
    <s v="SA"/>
    <s v="40540"/>
    <x v="0"/>
    <s v="RECURRING ENTRY ENDS 10/30; FV50 NEEDED 11/30"/>
    <s v="20180131"/>
    <x v="2"/>
    <d v="2018-01-31T00:00:00"/>
    <n v="-6400.96"/>
  </r>
  <r>
    <s v="100005986"/>
    <s v="SA"/>
    <s v="40547 PD0013"/>
    <x v="0"/>
    <s v="RECURRING ENTRY ENDS 10/30; FV50 NEEDED 11/30"/>
    <s v="20180131"/>
    <x v="2"/>
    <d v="2018-01-31T00:00:00"/>
    <n v="-130.22"/>
  </r>
  <r>
    <s v="100005987"/>
    <s v="SA"/>
    <s v="40540 PD0015"/>
    <x v="0"/>
    <s v="RECURRING ENTRY ENDS 04/36; FV50 NEEDED 05/36"/>
    <s v="20180131"/>
    <x v="3"/>
    <d v="2018-01-31T00:00:00"/>
    <n v="-6872.38"/>
  </r>
  <r>
    <s v="100005988"/>
    <s v="SA"/>
    <s v="40548 PD0015"/>
    <x v="0"/>
    <s v="RECURRING ENTRY ENDS 04/36; FV50 NEEDED 05/36"/>
    <s v="20180131"/>
    <x v="3"/>
    <d v="2018-01-31T00:00:00"/>
    <n v="-4630.24"/>
  </r>
  <r>
    <s v="100005989"/>
    <s v="SA"/>
    <s v="40540 PD0020"/>
    <x v="0"/>
    <s v="RECURRING ENTRY ENDS 04/37; FV50 NEEDED 05/37"/>
    <s v="20180131"/>
    <x v="4"/>
    <d v="2018-01-31T00:00:00"/>
    <n v="-3059.89"/>
  </r>
  <r>
    <s v="100005990"/>
    <s v="SA"/>
    <s v="40540 PD0014"/>
    <x v="0"/>
    <s v="RECURRING ENTRY ENDS 10/34; FV50 NEEDED 11/34"/>
    <s v="20180131"/>
    <x v="5"/>
    <d v="2018-01-31T00:00:00"/>
    <n v="-8058.13"/>
  </r>
  <r>
    <s v="100005991"/>
    <s v="SA"/>
    <s v="40540 PD0010"/>
    <x v="0"/>
    <s v="RECURRING ENTRY ENDS 04/18; FV50 NEEDED 05/18"/>
    <s v="20180131"/>
    <x v="12"/>
    <d v="2018-01-31T00:00:00"/>
    <n v="-7696.08"/>
  </r>
  <r>
    <s v="100005992"/>
    <s v="SA"/>
    <s v="40547 PD0010"/>
    <x v="0"/>
    <s v="RECURRING ENTRY ENDS 04/18; FV50 NEEDED 05/18"/>
    <s v="20180131"/>
    <x v="12"/>
    <d v="2018-01-31T00:00:00"/>
    <n v="-3633.17"/>
  </r>
  <r>
    <s v="100005993"/>
    <s v="SA"/>
    <s v="40540 PD0012"/>
    <x v="0"/>
    <s v="RECURRING ENTRY ENDS 07/25; FV50 NEEDED 08/25"/>
    <s v="20180131"/>
    <x v="13"/>
    <d v="2018-01-31T00:00:00"/>
    <n v="-4399.9399999999996"/>
  </r>
  <r>
    <s v="100005994"/>
    <s v="SA"/>
    <s v="40540 PD0023"/>
    <x v="0"/>
    <s v="RECURRING ENTRY ENDS 09/20; FV50 NEEDED 10/20"/>
    <s v="20180131"/>
    <x v="14"/>
    <d v="2018-01-31T00:00:00"/>
    <n v="-2351.71"/>
  </r>
  <r>
    <s v="100005995"/>
    <s v="SA"/>
    <s v="40547 PD0023"/>
    <x v="0"/>
    <s v="RECURRING ENTRY ENDS 09/20; FV50 NEEDED 10/20"/>
    <s v="20180131"/>
    <x v="14"/>
    <d v="2018-01-31T00:00:00"/>
    <n v="-63.12"/>
  </r>
  <r>
    <s v="100005996"/>
    <s v="SA"/>
    <s v="40540 PD0018"/>
    <x v="0"/>
    <s v="RECURRING ENTRY ENDS 04/18; FV50 NEEDED 05/18"/>
    <s v="20180131"/>
    <x v="15"/>
    <d v="2018-01-31T00:00:00"/>
    <n v="-6308.36"/>
  </r>
  <r>
    <s v="100005997"/>
    <s v="SA"/>
    <s v="40549 PD0018"/>
    <x v="0"/>
    <s v="RECURRING ENTRY ENDS 04/18; FV50 NEEDED 05/18"/>
    <s v="20180131"/>
    <x v="15"/>
    <d v="2018-01-31T00:00:00"/>
    <n v="-7695.19"/>
  </r>
  <r>
    <s v="100006011"/>
    <s v="SA"/>
    <s v="40540 PD0025"/>
    <x v="0"/>
    <s v="RECURRING ENTRY ENDS 04/42,FV50 NEEDED 05/42"/>
    <s v="20180131"/>
    <x v="17"/>
    <d v="2018-01-31T00:00:00"/>
    <n v="-7123.53"/>
  </r>
  <r>
    <s v="100006012"/>
    <s v="SA"/>
    <s v="40540 PD0026"/>
    <x v="0"/>
    <s v="$225M Bonds Due 2022"/>
    <s v="20180131"/>
    <x v="0"/>
    <d v="2018-01-31T00:00:00"/>
    <n v="-14668.67"/>
  </r>
  <r>
    <s v="100006038"/>
    <s v="SA"/>
    <s v="40540_PD0027"/>
    <x v="0"/>
    <s v="RECURRING ENTRY ENDS 03/44; FV50 NEEDED 04/44"/>
    <s v="20180131"/>
    <x v="1"/>
    <d v="2018-01-31T00:00:00"/>
    <n v="-8710.42"/>
  </r>
  <r>
    <s v="100006043"/>
    <s v="SA"/>
    <s v="40540 PD0028"/>
    <x v="0"/>
    <s v="$230M Bond due 2045"/>
    <s v="20180131"/>
    <x v="19"/>
    <d v="2018-01-31T00:00:00"/>
    <n v="-7028.09"/>
  </r>
  <r>
    <s v="100012355"/>
    <s v="SA"/>
    <s v="40540"/>
    <x v="0"/>
    <s v="RECURRING ENTRY ENDS 10/30; FV50 NEEDED 11/30"/>
    <s v="20180228"/>
    <x v="2"/>
    <d v="2018-02-28T00:00:00"/>
    <n v="-6400.96"/>
  </r>
  <r>
    <s v="100012356"/>
    <s v="SA"/>
    <s v="40547 PD0013"/>
    <x v="0"/>
    <s v="RECURRING ENTRY ENDS 10/30; FV50 NEEDED 11/30"/>
    <s v="20180228"/>
    <x v="2"/>
    <d v="2018-02-28T00:00:00"/>
    <n v="-130.22"/>
  </r>
  <r>
    <s v="100012357"/>
    <s v="SA"/>
    <s v="40540 PD0015"/>
    <x v="0"/>
    <s v="RECURRING ENTRY ENDS 04/36; FV50 NEEDED 05/36"/>
    <s v="20180228"/>
    <x v="3"/>
    <d v="2018-02-28T00:00:00"/>
    <n v="-6872.38"/>
  </r>
  <r>
    <s v="100012358"/>
    <s v="SA"/>
    <s v="40548 PD0015"/>
    <x v="0"/>
    <s v="RECURRING ENTRY ENDS 04/36; FV50 NEEDED 05/36"/>
    <s v="20180228"/>
    <x v="3"/>
    <d v="2018-02-28T00:00:00"/>
    <n v="-4630.24"/>
  </r>
  <r>
    <s v="100012359"/>
    <s v="SA"/>
    <s v="40540 PD0020"/>
    <x v="0"/>
    <s v="RECURRING ENTRY ENDS 04/37; FV50 NEEDED 05/37"/>
    <s v="20180228"/>
    <x v="4"/>
    <d v="2018-02-28T00:00:00"/>
    <n v="-3059.89"/>
  </r>
  <r>
    <s v="100012360"/>
    <s v="SA"/>
    <s v="40540 PD0014"/>
    <x v="0"/>
    <s v="RECURRING ENTRY ENDS 10/34; FV50 NEEDED 11/34"/>
    <s v="20180228"/>
    <x v="5"/>
    <d v="2018-02-28T00:00:00"/>
    <n v="-8058.13"/>
  </r>
  <r>
    <s v="100012361"/>
    <s v="SA"/>
    <s v="40540 PD0010"/>
    <x v="0"/>
    <s v="RECURRING ENTRY ENDS 04/18; FV50 NEEDED 05/18"/>
    <s v="20180228"/>
    <x v="12"/>
    <d v="2018-02-28T00:00:00"/>
    <n v="-7696.08"/>
  </r>
  <r>
    <s v="100012362"/>
    <s v="SA"/>
    <s v="40547 PD0010"/>
    <x v="0"/>
    <s v="RECURRING ENTRY ENDS 04/18; FV50 NEEDED 05/18"/>
    <s v="20180228"/>
    <x v="12"/>
    <d v="2018-02-28T00:00:00"/>
    <n v="-3633.17"/>
  </r>
  <r>
    <s v="100012363"/>
    <s v="SA"/>
    <s v="40540 PD0012"/>
    <x v="0"/>
    <s v="RECURRING ENTRY ENDS 07/25; FV50 NEEDED 08/25"/>
    <s v="20180228"/>
    <x v="13"/>
    <d v="2018-02-28T00:00:00"/>
    <n v="-4399.9399999999996"/>
  </r>
  <r>
    <s v="100012364"/>
    <s v="SA"/>
    <s v="40540 PD0023"/>
    <x v="0"/>
    <s v="RECURRING ENTRY ENDS 09/20; FV50 NEEDED 10/20"/>
    <s v="20180228"/>
    <x v="14"/>
    <d v="2018-02-28T00:00:00"/>
    <n v="-2351.71"/>
  </r>
  <r>
    <s v="100012365"/>
    <s v="SA"/>
    <s v="40547 PD0023"/>
    <x v="0"/>
    <s v="RECURRING ENTRY ENDS 09/20; FV50 NEEDED 10/20"/>
    <s v="20180228"/>
    <x v="14"/>
    <d v="2018-02-28T00:00:00"/>
    <n v="-63.12"/>
  </r>
  <r>
    <s v="100012366"/>
    <s v="SA"/>
    <s v="40540 PD0018"/>
    <x v="0"/>
    <s v="RECURRING ENTRY ENDS 04/18; FV50 NEEDED 05/18"/>
    <s v="20180228"/>
    <x v="15"/>
    <d v="2018-02-28T00:00:00"/>
    <n v="-6308.36"/>
  </r>
  <r>
    <s v="100012367"/>
    <s v="SA"/>
    <s v="40549 PD0018"/>
    <x v="0"/>
    <s v="RECURRING ENTRY ENDS 04/18; FV50 NEEDED 05/18"/>
    <s v="20180228"/>
    <x v="15"/>
    <d v="2018-02-28T00:00:00"/>
    <n v="-7695.19"/>
  </r>
  <r>
    <s v="100012381"/>
    <s v="SA"/>
    <s v="40540 PD0025"/>
    <x v="0"/>
    <s v="RECURRING ENTRY ENDS 04/42,FV50 NEEDED 05/42"/>
    <s v="20180228"/>
    <x v="17"/>
    <d v="2018-02-28T00:00:00"/>
    <n v="-7123.53"/>
  </r>
  <r>
    <s v="100012382"/>
    <s v="SA"/>
    <s v="40540 PD0026"/>
    <x v="0"/>
    <s v="$225M Bonds Due 2022"/>
    <s v="20180228"/>
    <x v="0"/>
    <d v="2018-02-28T00:00:00"/>
    <n v="-14668.67"/>
  </r>
  <r>
    <s v="100012408"/>
    <s v="SA"/>
    <s v="40540_PD0027"/>
    <x v="0"/>
    <s v="RECURRING ENTRY ENDS 03/44; FV50 NEEDED 04/44"/>
    <s v="20180228"/>
    <x v="1"/>
    <d v="2018-02-28T00:00:00"/>
    <n v="-8710.42"/>
  </r>
  <r>
    <s v="100012413"/>
    <s v="SA"/>
    <s v="40540 PD0028"/>
    <x v="0"/>
    <s v="$230M Bond due 2045"/>
    <s v="20180228"/>
    <x v="19"/>
    <d v="2018-02-28T00:00:00"/>
    <n v="-7028.09"/>
  </r>
  <r>
    <s v="100020381"/>
    <s v="SA"/>
    <s v="40540"/>
    <x v="0"/>
    <s v="RECURRING ENTRY ENDS 10/30; FV50 NEEDED 11/30"/>
    <s v="20180331"/>
    <x v="2"/>
    <d v="2018-03-31T00:00:00"/>
    <n v="-6400.96"/>
  </r>
  <r>
    <s v="100020382"/>
    <s v="SA"/>
    <s v="40547 PD0013"/>
    <x v="0"/>
    <s v="RECURRING ENTRY ENDS 10/30; FV50 NEEDED 11/30"/>
    <s v="20180331"/>
    <x v="2"/>
    <d v="2018-03-31T00:00:00"/>
    <n v="-130.22"/>
  </r>
  <r>
    <s v="100020383"/>
    <s v="SA"/>
    <s v="40540 PD0015"/>
    <x v="0"/>
    <s v="RECURRING ENTRY ENDS 04/36; FV50 NEEDED 05/36"/>
    <s v="20180331"/>
    <x v="3"/>
    <d v="2018-03-31T00:00:00"/>
    <n v="-6872.38"/>
  </r>
  <r>
    <s v="100020384"/>
    <s v="SA"/>
    <s v="40548 PD0015"/>
    <x v="0"/>
    <s v="RECURRING ENTRY ENDS 04/36; FV50 NEEDED 05/36"/>
    <s v="20180331"/>
    <x v="3"/>
    <d v="2018-03-31T00:00:00"/>
    <n v="-4630.24"/>
  </r>
  <r>
    <s v="100020385"/>
    <s v="SA"/>
    <s v="40540 PD0020"/>
    <x v="0"/>
    <s v="RECURRING ENTRY ENDS 04/37; FV50 NEEDED 05/37"/>
    <s v="20180331"/>
    <x v="4"/>
    <d v="2018-03-31T00:00:00"/>
    <n v="-3059.89"/>
  </r>
  <r>
    <s v="100020386"/>
    <s v="SA"/>
    <s v="40540 PD0014"/>
    <x v="0"/>
    <s v="RECURRING ENTRY ENDS 10/34; FV50 NEEDED 11/34"/>
    <s v="20180331"/>
    <x v="5"/>
    <d v="2018-03-31T00:00:00"/>
    <n v="-8058.13"/>
  </r>
  <r>
    <s v="100020387"/>
    <s v="SA"/>
    <s v="40540 PD0010"/>
    <x v="0"/>
    <s v="RECURRING ENTRY ENDS 04/18; FV50 NEEDED 05/18"/>
    <s v="20180331"/>
    <x v="12"/>
    <d v="2018-03-31T00:00:00"/>
    <n v="-7696.08"/>
  </r>
  <r>
    <s v="100020388"/>
    <s v="SA"/>
    <s v="40547 PD0010"/>
    <x v="0"/>
    <s v="RECURRING ENTRY ENDS 04/18; FV50 NEEDED 05/18"/>
    <s v="20180331"/>
    <x v="12"/>
    <d v="2018-03-31T00:00:00"/>
    <n v="-3633.17"/>
  </r>
  <r>
    <s v="100020389"/>
    <s v="SA"/>
    <s v="40540 PD0012"/>
    <x v="0"/>
    <s v="RECURRING ENTRY ENDS 07/25; FV50 NEEDED 08/25"/>
    <s v="20180331"/>
    <x v="13"/>
    <d v="2018-03-31T00:00:00"/>
    <n v="-4399.9399999999996"/>
  </r>
  <r>
    <s v="100020390"/>
    <s v="SA"/>
    <s v="40540 PD0023"/>
    <x v="0"/>
    <s v="RECURRING ENTRY ENDS 09/20; FV50 NEEDED 10/20"/>
    <s v="20180331"/>
    <x v="14"/>
    <d v="2018-03-31T00:00:00"/>
    <n v="-2351.71"/>
  </r>
  <r>
    <s v="100020391"/>
    <s v="SA"/>
    <s v="40547 PD0023"/>
    <x v="0"/>
    <s v="RECURRING ENTRY ENDS 09/20; FV50 NEEDED 10/20"/>
    <s v="20180331"/>
    <x v="14"/>
    <d v="2018-03-31T00:00:00"/>
    <n v="-63.12"/>
  </r>
  <r>
    <s v="100020392"/>
    <s v="SA"/>
    <s v="40540 PD0018"/>
    <x v="0"/>
    <s v="RECURRING ENTRY ENDS 04/18; FV50 NEEDED 05/18"/>
    <s v="20180331"/>
    <x v="15"/>
    <d v="2018-03-31T00:00:00"/>
    <n v="-6308.36"/>
  </r>
  <r>
    <s v="100020393"/>
    <s v="SA"/>
    <s v="40549 PD0018"/>
    <x v="0"/>
    <s v="RECURRING ENTRY ENDS 04/18; FV50 NEEDED 05/18"/>
    <s v="20180331"/>
    <x v="15"/>
    <d v="2018-03-31T00:00:00"/>
    <n v="-7695.19"/>
  </r>
  <r>
    <s v="100020407"/>
    <s v="SA"/>
    <s v="40540 PD0025"/>
    <x v="0"/>
    <s v="RECURRING ENTRY ENDS 04/42,FV50 NEEDED 05/42"/>
    <s v="20180331"/>
    <x v="17"/>
    <d v="2018-03-31T00:00:00"/>
    <n v="-7123.53"/>
  </r>
  <r>
    <s v="100020408"/>
    <s v="SA"/>
    <s v="40540 PD0026"/>
    <x v="0"/>
    <s v="$225M Bonds Due 2022"/>
    <s v="20180331"/>
    <x v="0"/>
    <d v="2018-03-31T00:00:00"/>
    <n v="-14668.67"/>
  </r>
  <r>
    <s v="100020434"/>
    <s v="SA"/>
    <s v="40540_PD0027"/>
    <x v="0"/>
    <s v="RECURRING ENTRY ENDS 03/44; FV50 NEEDED 04/44"/>
    <s v="20180331"/>
    <x v="1"/>
    <d v="2018-03-31T00:00:00"/>
    <n v="-8710.42"/>
  </r>
  <r>
    <s v="100020439"/>
    <s v="SA"/>
    <s v="40540 PD0028"/>
    <x v="0"/>
    <s v="$230M Bond due 2045"/>
    <s v="20180331"/>
    <x v="19"/>
    <d v="2018-03-31T00:00:00"/>
    <n v="-7028.09"/>
  </r>
  <r>
    <s v="100027793"/>
    <s v="SA"/>
    <s v="40540 PD0010"/>
    <x v="0"/>
    <s v="RECURRING ENTRY ENDS 04/18; FV50 NEEDED 05/18"/>
    <s v="20180401"/>
    <x v="12"/>
    <d v="2018-04-01T00:00:00"/>
    <n v="-7696.08"/>
  </r>
  <r>
    <s v="100027794"/>
    <s v="SA"/>
    <s v="40547 PD0010"/>
    <x v="0"/>
    <s v="RECURRING ENTRY ENDS 04/18; FV50 NEEDED 05/18"/>
    <s v="20180401"/>
    <x v="12"/>
    <d v="2018-04-01T00:00:00"/>
    <n v="-3633.17"/>
  </r>
  <r>
    <s v="100027795"/>
    <s v="SA"/>
    <s v="40540 PD0018"/>
    <x v="0"/>
    <s v="RECURRING ENTRY ENDS 04/18; FV50 NEEDED 05/18"/>
    <s v="20180401"/>
    <x v="15"/>
    <d v="2018-04-01T00:00:00"/>
    <n v="-6308.36"/>
  </r>
  <r>
    <s v="100027796"/>
    <s v="SA"/>
    <s v="40549 PD0018"/>
    <x v="0"/>
    <s v="RECURRING ENTRY ENDS 04/18; FV50 NEEDED 05/18"/>
    <s v="20180401"/>
    <x v="15"/>
    <d v="2018-04-01T00:00:00"/>
    <n v="-7695.19"/>
  </r>
  <r>
    <s v="100027547"/>
    <s v="SA"/>
    <s v="40540"/>
    <x v="0"/>
    <s v="RECURRING ENTRY ENDS 10/30; FV50 NEEDED 11/30"/>
    <s v="20180430"/>
    <x v="2"/>
    <d v="2018-04-30T00:00:00"/>
    <n v="-6400.96"/>
  </r>
  <r>
    <s v="100027548"/>
    <s v="SA"/>
    <s v="40547 PD0013"/>
    <x v="0"/>
    <s v="RECURRING ENTRY ENDS 10/30; FV50 NEEDED 11/30"/>
    <s v="20180430"/>
    <x v="2"/>
    <d v="2018-04-30T00:00:00"/>
    <n v="-130.22"/>
  </r>
  <r>
    <s v="100027549"/>
    <s v="SA"/>
    <s v="40540 PD0015"/>
    <x v="0"/>
    <s v="RECURRING ENTRY ENDS 04/36; FV50 NEEDED 05/36"/>
    <s v="20180430"/>
    <x v="3"/>
    <d v="2018-04-30T00:00:00"/>
    <n v="-6872.38"/>
  </r>
  <r>
    <s v="100027550"/>
    <s v="SA"/>
    <s v="40548 PD0015"/>
    <x v="0"/>
    <s v="RECURRING ENTRY ENDS 04/36; FV50 NEEDED 05/36"/>
    <s v="20180430"/>
    <x v="3"/>
    <d v="2018-04-30T00:00:00"/>
    <n v="-4630.24"/>
  </r>
  <r>
    <s v="100027551"/>
    <s v="SA"/>
    <s v="40540 PD0020"/>
    <x v="0"/>
    <s v="RECURRING ENTRY ENDS 04/37; FV50 NEEDED 05/37"/>
    <s v="20180430"/>
    <x v="4"/>
    <d v="2018-04-30T00:00:00"/>
    <n v="-3059.89"/>
  </r>
  <r>
    <s v="100027552"/>
    <s v="SA"/>
    <s v="40540 PD0014"/>
    <x v="0"/>
    <s v="RECURRING ENTRY ENDS 10/34; FV50 NEEDED 11/34"/>
    <s v="20180430"/>
    <x v="5"/>
    <d v="2018-04-30T00:00:00"/>
    <n v="-8058.13"/>
  </r>
  <r>
    <s v="100027553"/>
    <s v="SA"/>
    <s v="40540 PD0012"/>
    <x v="0"/>
    <s v="RECURRING ENTRY ENDS 07/25; FV50 NEEDED 08/25"/>
    <s v="20180430"/>
    <x v="13"/>
    <d v="2018-04-30T00:00:00"/>
    <n v="-4399.9399999999996"/>
  </r>
  <r>
    <s v="100027554"/>
    <s v="SA"/>
    <s v="40540 PD0023"/>
    <x v="0"/>
    <s v="RECURRING ENTRY ENDS 09/20; FV50 NEEDED 10/20"/>
    <s v="20180430"/>
    <x v="14"/>
    <d v="2018-04-30T00:00:00"/>
    <n v="-2351.71"/>
  </r>
  <r>
    <s v="100027555"/>
    <s v="SA"/>
    <s v="40547 PD0023"/>
    <x v="0"/>
    <s v="RECURRING ENTRY ENDS 09/20; FV50 NEEDED 10/20"/>
    <s v="20180430"/>
    <x v="14"/>
    <d v="2018-04-30T00:00:00"/>
    <n v="-63.12"/>
  </r>
  <r>
    <s v="100027568"/>
    <s v="SA"/>
    <s v="40540 PD0025"/>
    <x v="0"/>
    <s v="RECURRING ENTRY ENDS 04/42,FV50 NEEDED 05/42"/>
    <s v="20180430"/>
    <x v="17"/>
    <d v="2018-04-30T00:00:00"/>
    <n v="-7123.53"/>
  </r>
  <r>
    <s v="100027569"/>
    <s v="SA"/>
    <s v="40540 PD0026"/>
    <x v="0"/>
    <s v="$225M Bonds Due 2022"/>
    <s v="20180430"/>
    <x v="0"/>
    <d v="2018-04-30T00:00:00"/>
    <n v="-14668.67"/>
  </r>
  <r>
    <s v="100027595"/>
    <s v="SA"/>
    <s v="40540_PD0027"/>
    <x v="0"/>
    <s v="RECURRING ENTRY ENDS 03/44; FV50 NEEDED 04/44"/>
    <s v="20180430"/>
    <x v="1"/>
    <d v="2018-04-30T00:00:00"/>
    <n v="-8710.42"/>
  </r>
  <r>
    <s v="100027626"/>
    <s v="SA"/>
    <s v="40540 PD0028"/>
    <x v="0"/>
    <s v="$230M Bond due 2045"/>
    <s v="20180430"/>
    <x v="19"/>
    <d v="2018-04-30T00:00:00"/>
    <n v="-7028.09"/>
  </r>
  <r>
    <s v="100035733"/>
    <s v="SA"/>
    <s v="40540"/>
    <x v="0"/>
    <s v="RECURRING ENTRY ENDS 10/30; FV50 NEEDED 11/30"/>
    <s v="20180531"/>
    <x v="2"/>
    <d v="2018-05-31T00:00:00"/>
    <n v="-6400.96"/>
  </r>
  <r>
    <s v="100035734"/>
    <s v="SA"/>
    <s v="40547 PD0013"/>
    <x v="0"/>
    <s v="RECURRING ENTRY ENDS 10/30; FV50 NEEDED 11/30"/>
    <s v="20180531"/>
    <x v="2"/>
    <d v="2018-05-31T00:00:00"/>
    <n v="-130.22"/>
  </r>
  <r>
    <s v="100035735"/>
    <s v="SA"/>
    <s v="40540 PD0015"/>
    <x v="0"/>
    <s v="RECURRING ENTRY ENDS 04/36; FV50 NEEDED 05/36"/>
    <s v="20180531"/>
    <x v="3"/>
    <d v="2018-05-31T00:00:00"/>
    <n v="-6872.38"/>
  </r>
  <r>
    <s v="100035736"/>
    <s v="SA"/>
    <s v="40548 PD0015"/>
    <x v="0"/>
    <s v="RECURRING ENTRY ENDS 04/36; FV50 NEEDED 05/36"/>
    <s v="20180531"/>
    <x v="3"/>
    <d v="2018-05-31T00:00:00"/>
    <n v="-4630.24"/>
  </r>
  <r>
    <s v="100035737"/>
    <s v="SA"/>
    <s v="40540 PD0020"/>
    <x v="0"/>
    <s v="RECURRING ENTRY ENDS 04/37; FV50 NEEDED 05/37"/>
    <s v="20180531"/>
    <x v="4"/>
    <d v="2018-05-31T00:00:00"/>
    <n v="-3059.89"/>
  </r>
  <r>
    <s v="100035738"/>
    <s v="SA"/>
    <s v="40540 PD0014"/>
    <x v="0"/>
    <s v="RECURRING ENTRY ENDS 10/34; FV50 NEEDED 11/34"/>
    <s v="20180531"/>
    <x v="5"/>
    <d v="2018-05-31T00:00:00"/>
    <n v="-8058.13"/>
  </r>
  <r>
    <s v="100035739"/>
    <s v="SA"/>
    <s v="40540 PD0012"/>
    <x v="0"/>
    <s v="RECURRING ENTRY ENDS 07/25; FV50 NEEDED 08/25"/>
    <s v="20180531"/>
    <x v="13"/>
    <d v="2018-05-31T00:00:00"/>
    <n v="-4399.9399999999996"/>
  </r>
  <r>
    <s v="100035740"/>
    <s v="SA"/>
    <s v="40540 PD0023"/>
    <x v="0"/>
    <s v="RECURRING ENTRY ENDS 09/20; FV50 NEEDED 10/20"/>
    <s v="20180531"/>
    <x v="14"/>
    <d v="2018-05-31T00:00:00"/>
    <n v="-2351.71"/>
  </r>
  <r>
    <s v="100035741"/>
    <s v="SA"/>
    <s v="40547 PD0023"/>
    <x v="0"/>
    <s v="RECURRING ENTRY ENDS 09/20; FV50 NEEDED 10/20"/>
    <s v="20180531"/>
    <x v="14"/>
    <d v="2018-05-31T00:00:00"/>
    <n v="-63.12"/>
  </r>
  <r>
    <s v="100035747"/>
    <s v="SA"/>
    <s v="40540 PD0010"/>
    <x v="0"/>
    <s v="FINAL MONTH AMORTIZATION"/>
    <s v="20180531"/>
    <x v="12"/>
    <d v="2018-05-31T00:00:00"/>
    <n v="-3848.02"/>
  </r>
  <r>
    <s v="100035748"/>
    <s v="SA"/>
    <s v="40547 PD0010"/>
    <x v="0"/>
    <s v="FINAL MONTH AMORTIZATION"/>
    <s v="20180531"/>
    <x v="12"/>
    <d v="2018-05-31T00:00:00"/>
    <n v="-1816.76"/>
  </r>
  <r>
    <s v="100035749"/>
    <s v="SA"/>
    <s v="40540 PD0018"/>
    <x v="0"/>
    <s v="FINAL MONTH AMORTIZATION"/>
    <s v="20180531"/>
    <x v="15"/>
    <d v="2018-05-31T00:00:00"/>
    <n v="-3154.28"/>
  </r>
  <r>
    <s v="100035750"/>
    <s v="SA"/>
    <s v="40549 PD0018"/>
    <x v="0"/>
    <s v="FINAL MONTH AMORTIZATION"/>
    <s v="20180531"/>
    <x v="15"/>
    <d v="2018-05-31T00:00:00"/>
    <n v="-3847.44"/>
  </r>
  <r>
    <s v="100035756"/>
    <s v="SA"/>
    <s v="40540 PD0025"/>
    <x v="0"/>
    <s v="RECURRING ENTRY ENDS 04/42,FV50 NEEDED 05/42"/>
    <s v="20180531"/>
    <x v="17"/>
    <d v="2018-05-31T00:00:00"/>
    <n v="-7123.53"/>
  </r>
  <r>
    <s v="100035757"/>
    <s v="SA"/>
    <s v="40540 PD0026"/>
    <x v="0"/>
    <s v="$225M Bonds Due 2022"/>
    <s v="20180531"/>
    <x v="0"/>
    <d v="2018-05-31T00:00:00"/>
    <n v="-14668.67"/>
  </r>
  <r>
    <s v="100035783"/>
    <s v="SA"/>
    <s v="40540_PD0027"/>
    <x v="0"/>
    <s v="RECURRING ENTRY ENDS 03/44; FV50 NEEDED 04/44"/>
    <s v="20180531"/>
    <x v="1"/>
    <d v="2018-05-31T00:00:00"/>
    <n v="-8710.42"/>
  </r>
  <r>
    <s v="100035787"/>
    <s v="SA"/>
    <s v="40540 PD0028"/>
    <x v="0"/>
    <s v="$230M Bond due 2045"/>
    <s v="20180531"/>
    <x v="19"/>
    <d v="2018-05-31T00:00:00"/>
    <n v="-7028.09"/>
  </r>
  <r>
    <s v="9100001122"/>
    <s v="YP"/>
    <s v="1033941150-5"/>
    <x v="0"/>
    <s v="1033941150-5"/>
    <s v="20180605"/>
    <x v="20"/>
    <d v="2018-06-26T00:00:00"/>
    <n v="58928.57"/>
  </r>
  <r>
    <s v="600019733"/>
    <s v="YO"/>
    <s v="JPMN ACWI 18491"/>
    <x v="0"/>
    <s v=""/>
    <s v="20180607"/>
    <x v="20"/>
    <d v="2018-06-07T00:00:00"/>
    <n v="2406250"/>
  </r>
  <r>
    <s v="9100000822"/>
    <s v="YP"/>
    <s v="418581"/>
    <x v="0"/>
    <s v="*INV#418581"/>
    <s v="20180614"/>
    <x v="20"/>
    <d v="2019-04-30T00:00:00"/>
    <n v="6757.46"/>
  </r>
  <r>
    <s v="9100001121"/>
    <s v="YP"/>
    <s v="US0132079150"/>
    <x v="0"/>
    <s v="US0132079150"/>
    <s v="20180620"/>
    <x v="20"/>
    <d v="2018-06-26T00:00:00"/>
    <n v="39285"/>
  </r>
  <r>
    <s v="9100001159"/>
    <s v="YP"/>
    <s v="11352877"/>
    <x v="0"/>
    <s v="*INV#11352877"/>
    <s v="20180621"/>
    <x v="1"/>
    <d v="2018-06-29T00:00:00"/>
    <n v="185625"/>
  </r>
  <r>
    <s v="9100002073"/>
    <s v="YP"/>
    <s v="1150415"/>
    <x v="0"/>
    <s v=""/>
    <s v="20180622"/>
    <x v="20"/>
    <d v="2018-11-19T00:00:00"/>
    <n v="4601.1400000000003"/>
  </r>
  <r>
    <s v="9100001537"/>
    <s v="YP"/>
    <s v="1259061000"/>
    <x v="0"/>
    <s v=""/>
    <s v="20180624"/>
    <x v="20"/>
    <d v="2018-08-29T00:00:00"/>
    <n v="16985.18"/>
  </r>
  <r>
    <s v="9100001315"/>
    <s v="YP"/>
    <s v="1417380"/>
    <x v="0"/>
    <s v=""/>
    <s v="20180625"/>
    <x v="20"/>
    <d v="2018-07-25T00:00:00"/>
    <n v="27260.41"/>
  </r>
  <r>
    <s v="9100001134"/>
    <s v="YP"/>
    <s v="89801-5"/>
    <x v="0"/>
    <s v="SEC - Shelf Registration Fee 2017"/>
    <s v="20180627"/>
    <x v="18"/>
    <d v="2018-06-30T00:00:00"/>
    <n v="-115900"/>
  </r>
  <r>
    <s v="9100001134"/>
    <s v="YP"/>
    <s v="89801-5"/>
    <x v="0"/>
    <s v="SEC - Shelf Registration Fee 2017"/>
    <s v="20180627"/>
    <x v="20"/>
    <d v="2018-06-30T00:00:00"/>
    <n v="91064.29"/>
  </r>
  <r>
    <s v="9100001134"/>
    <s v="YP"/>
    <s v="89801-5"/>
    <x v="0"/>
    <s v="US0132079150"/>
    <s v="20180627"/>
    <x v="20"/>
    <d v="2018-06-30T00:00:00"/>
    <n v="-39285"/>
  </r>
  <r>
    <s v="9100001134"/>
    <s v="YP"/>
    <s v="89801-5"/>
    <x v="0"/>
    <s v="US0132079150"/>
    <s v="20180627"/>
    <x v="20"/>
    <d v="2018-06-30T00:00:00"/>
    <n v="39285.71"/>
  </r>
  <r>
    <s v="100043121"/>
    <s v="SA"/>
    <s v="40540"/>
    <x v="0"/>
    <s v="RECURRING ENTRY ENDS 10/30; FV50 NEEDED 11/30"/>
    <s v="20180630"/>
    <x v="2"/>
    <d v="2018-06-30T00:00:00"/>
    <n v="-6400.96"/>
  </r>
  <r>
    <s v="100043122"/>
    <s v="SA"/>
    <s v="40547 PD0013"/>
    <x v="0"/>
    <s v="RECURRING ENTRY ENDS 10/30; FV50 NEEDED 11/30"/>
    <s v="20180630"/>
    <x v="2"/>
    <d v="2018-06-30T00:00:00"/>
    <n v="-130.22"/>
  </r>
  <r>
    <s v="100043123"/>
    <s v="SA"/>
    <s v="40540 PD0015"/>
    <x v="0"/>
    <s v="RECURRING ENTRY ENDS 04/36; FV50 NEEDED 05/36"/>
    <s v="20180630"/>
    <x v="3"/>
    <d v="2018-06-30T00:00:00"/>
    <n v="-6872.38"/>
  </r>
  <r>
    <s v="100043124"/>
    <s v="SA"/>
    <s v="40548 PD0015"/>
    <x v="0"/>
    <s v="RECURRING ENTRY ENDS 04/36; FV50 NEEDED 05/36"/>
    <s v="20180630"/>
    <x v="3"/>
    <d v="2018-06-30T00:00:00"/>
    <n v="-4630.24"/>
  </r>
  <r>
    <s v="100043125"/>
    <s v="SA"/>
    <s v="40540 PD0020"/>
    <x v="0"/>
    <s v="RECURRING ENTRY ENDS 04/37; FV50 NEEDED 05/37"/>
    <s v="20180630"/>
    <x v="4"/>
    <d v="2018-06-30T00:00:00"/>
    <n v="-3059.89"/>
  </r>
  <r>
    <s v="100043126"/>
    <s v="SA"/>
    <s v="40540 PD0014"/>
    <x v="0"/>
    <s v="RECURRING ENTRY ENDS 10/34; FV50 NEEDED 11/34"/>
    <s v="20180630"/>
    <x v="5"/>
    <d v="2018-06-30T00:00:00"/>
    <n v="-8058.13"/>
  </r>
  <r>
    <s v="100043127"/>
    <s v="SA"/>
    <s v="40540 PD0012"/>
    <x v="0"/>
    <s v="RECURRING ENTRY ENDS 07/25; FV50 NEEDED 08/25"/>
    <s v="20180630"/>
    <x v="13"/>
    <d v="2018-06-30T00:00:00"/>
    <n v="-4399.9399999999996"/>
  </r>
  <r>
    <s v="100043128"/>
    <s v="SA"/>
    <s v="40540 PD0023"/>
    <x v="0"/>
    <s v="RECURRING ENTRY ENDS 09/20; FV50 NEEDED 10/20"/>
    <s v="20180630"/>
    <x v="14"/>
    <d v="2018-06-30T00:00:00"/>
    <n v="-2351.71"/>
  </r>
  <r>
    <s v="100043129"/>
    <s v="SA"/>
    <s v="40547 PD0023"/>
    <x v="0"/>
    <s v="RECURRING ENTRY ENDS 09/20; FV50 NEEDED 10/20"/>
    <s v="20180630"/>
    <x v="14"/>
    <d v="2018-06-30T00:00:00"/>
    <n v="-63.12"/>
  </r>
  <r>
    <s v="100043140"/>
    <s v="SA"/>
    <s v="40540 PD0025"/>
    <x v="0"/>
    <s v="RECURRING ENTRY ENDS 04/42,FV50 NEEDED 05/42"/>
    <s v="20180630"/>
    <x v="17"/>
    <d v="2018-06-30T00:00:00"/>
    <n v="-7123.53"/>
  </r>
  <r>
    <s v="100043141"/>
    <s v="SA"/>
    <s v="40540 PD0026"/>
    <x v="0"/>
    <s v="$225M Bonds Due 2022"/>
    <s v="20180630"/>
    <x v="0"/>
    <d v="2018-06-30T00:00:00"/>
    <n v="-14668.67"/>
  </r>
  <r>
    <s v="100043166"/>
    <s v="SA"/>
    <s v="40540_PD0027"/>
    <x v="0"/>
    <s v="RECURRING ENTRY ENDS 03/44; FV50 NEEDED 04/44"/>
    <s v="20180630"/>
    <x v="1"/>
    <d v="2018-06-30T00:00:00"/>
    <n v="-8710.42"/>
  </r>
  <r>
    <s v="100043170"/>
    <s v="SA"/>
    <s v="40540 PD0028"/>
    <x v="0"/>
    <s v="$230M Bond due 2045"/>
    <s v="20180630"/>
    <x v="19"/>
    <d v="2018-06-30T00:00:00"/>
    <n v="-7028.09"/>
  </r>
  <r>
    <s v="9100001190"/>
    <s v="YP"/>
    <s v="89801-12"/>
    <x v="0"/>
    <s v="$350M Notes due 2048 4.3% - Amortization Debt"/>
    <s v="20180630"/>
    <x v="20"/>
    <d v="2018-06-30T00:00:00"/>
    <n v="-7724.2"/>
  </r>
  <r>
    <s v="9100001190"/>
    <s v="YP"/>
    <s v="89801-12"/>
    <x v="0"/>
    <s v="Reclass Inv#11352877 to PD34"/>
    <s v="20180630"/>
    <x v="1"/>
    <d v="2018-06-30T00:00:00"/>
    <n v="-185625"/>
  </r>
  <r>
    <s v="9100001190"/>
    <s v="YP"/>
    <s v="89801-12"/>
    <x v="0"/>
    <s v="Reclass Inv#11352877 to PD34"/>
    <s v="20180630"/>
    <x v="20"/>
    <d v="2018-06-30T00:00:00"/>
    <n v="185625"/>
  </r>
  <r>
    <s v="9100001316"/>
    <s v="YP"/>
    <s v="1427483"/>
    <x v="0"/>
    <s v=""/>
    <s v="20180716"/>
    <x v="20"/>
    <d v="2018-07-25T00:00:00"/>
    <n v="32811.01"/>
  </r>
  <r>
    <s v="9100001624"/>
    <s v="YP"/>
    <s v="M2035083-000"/>
    <x v="0"/>
    <s v=""/>
    <s v="20180725"/>
    <x v="20"/>
    <d v="2018-09-13T00:00:00"/>
    <n v="153997.20000000001"/>
  </r>
  <r>
    <s v="100049990"/>
    <s v="SA"/>
    <s v="40540"/>
    <x v="0"/>
    <s v="RECURRING ENTRY ENDS 10/30; FV50 NEEDED 11/30"/>
    <s v="20180731"/>
    <x v="2"/>
    <d v="2018-07-31T00:00:00"/>
    <n v="-6400.96"/>
  </r>
  <r>
    <s v="100049991"/>
    <s v="SA"/>
    <s v="40547 PD0013"/>
    <x v="0"/>
    <s v="RECURRING ENTRY ENDS 10/30; FV50 NEEDED 11/30"/>
    <s v="20180731"/>
    <x v="2"/>
    <d v="2018-07-31T00:00:00"/>
    <n v="-130.22"/>
  </r>
  <r>
    <s v="100049992"/>
    <s v="SA"/>
    <s v="40540 PD0015"/>
    <x v="0"/>
    <s v="RECURRING ENTRY ENDS 04/36; FV50 NEEDED 05/36"/>
    <s v="20180731"/>
    <x v="3"/>
    <d v="2018-07-31T00:00:00"/>
    <n v="-6872.38"/>
  </r>
  <r>
    <s v="100049993"/>
    <s v="SA"/>
    <s v="40548 PD0015"/>
    <x v="0"/>
    <s v="RECURRING ENTRY ENDS 04/36; FV50 NEEDED 05/36"/>
    <s v="20180731"/>
    <x v="3"/>
    <d v="2018-07-31T00:00:00"/>
    <n v="-4630.24"/>
  </r>
  <r>
    <s v="100049994"/>
    <s v="SA"/>
    <s v="40540 PD0020"/>
    <x v="0"/>
    <s v="RECURRING ENTRY ENDS 04/37; FV50 NEEDED 05/37"/>
    <s v="20180731"/>
    <x v="4"/>
    <d v="2018-07-31T00:00:00"/>
    <n v="-3059.89"/>
  </r>
  <r>
    <s v="100049995"/>
    <s v="SA"/>
    <s v="40540 PD0014"/>
    <x v="0"/>
    <s v="RECURRING ENTRY ENDS 10/34; FV50 NEEDED 11/34"/>
    <s v="20180731"/>
    <x v="5"/>
    <d v="2018-07-31T00:00:00"/>
    <n v="-8058.13"/>
  </r>
  <r>
    <s v="100049996"/>
    <s v="SA"/>
    <s v="40540 PD0012"/>
    <x v="0"/>
    <s v="RECURRING ENTRY ENDS 07/25; FV50 NEEDED 08/25"/>
    <s v="20180731"/>
    <x v="13"/>
    <d v="2018-07-31T00:00:00"/>
    <n v="-4399.9399999999996"/>
  </r>
  <r>
    <s v="100049997"/>
    <s v="SA"/>
    <s v="40540 PD0023"/>
    <x v="0"/>
    <s v="RECURRING ENTRY ENDS 09/20; FV50 NEEDED 10/20"/>
    <s v="20180731"/>
    <x v="14"/>
    <d v="2018-07-31T00:00:00"/>
    <n v="-2351.71"/>
  </r>
  <r>
    <s v="100049998"/>
    <s v="SA"/>
    <s v="40547 PD0023"/>
    <x v="0"/>
    <s v="RECURRING ENTRY ENDS 09/20; FV50 NEEDED 10/20"/>
    <s v="20180731"/>
    <x v="14"/>
    <d v="2018-07-31T00:00:00"/>
    <n v="-63.12"/>
  </r>
  <r>
    <s v="100050009"/>
    <s v="SA"/>
    <s v="40540 PD0025"/>
    <x v="0"/>
    <s v="RECURRING ENTRY ENDS 04/42,FV50 NEEDED 05/42"/>
    <s v="20180731"/>
    <x v="17"/>
    <d v="2018-07-31T00:00:00"/>
    <n v="-7123.53"/>
  </r>
  <r>
    <s v="100050010"/>
    <s v="SA"/>
    <s v="40540 PD0026"/>
    <x v="0"/>
    <s v="$225M Bonds Due 2022"/>
    <s v="20180731"/>
    <x v="0"/>
    <d v="2018-07-31T00:00:00"/>
    <n v="-14668.67"/>
  </r>
  <r>
    <s v="100050035"/>
    <s v="SA"/>
    <s v="40540_PD0027"/>
    <x v="0"/>
    <s v="RECURRING ENTRY ENDS 03/44; FV50 NEEDED 04/44"/>
    <s v="20180731"/>
    <x v="1"/>
    <d v="2018-07-31T00:00:00"/>
    <n v="-8710.42"/>
  </r>
  <r>
    <s v="100050039"/>
    <s v="SA"/>
    <s v="40540 PD0028"/>
    <x v="0"/>
    <s v="$230M Bond due 2045"/>
    <s v="20180731"/>
    <x v="19"/>
    <d v="2018-07-31T00:00:00"/>
    <n v="-7028.09"/>
  </r>
  <r>
    <s v="9100001370"/>
    <s v="YP"/>
    <s v="89801-9"/>
    <x v="0"/>
    <s v="Lord Locke Inv# 1417380/3 True-up"/>
    <s v="20180731"/>
    <x v="20"/>
    <d v="2018-07-31T00:00:00"/>
    <n v="-27260.41"/>
  </r>
  <r>
    <s v="9100001370"/>
    <s v="YP"/>
    <s v="89801-9"/>
    <x v="0"/>
    <s v="Lord Locke Inv# 1417380/3 True-up"/>
    <s v="20180731"/>
    <x v="20"/>
    <d v="2018-07-31T00:00:00"/>
    <n v="27112.53"/>
  </r>
  <r>
    <s v="9100001370"/>
    <s v="YP"/>
    <s v="89801-9"/>
    <x v="0"/>
    <s v="Lord Locke Inv# 1417380/3 True-up"/>
    <s v="20180731"/>
    <x v="20"/>
    <d v="2018-07-31T00:00:00"/>
    <n v="-32811.01"/>
  </r>
  <r>
    <s v="9100001370"/>
    <s v="YP"/>
    <s v="89801-9"/>
    <x v="0"/>
    <s v="Lord Locke Inv# 1417380/3 True-up"/>
    <s v="20180731"/>
    <x v="20"/>
    <d v="2018-07-31T00:00:00"/>
    <n v="32633.01"/>
  </r>
  <r>
    <s v="9100001370"/>
    <s v="YP"/>
    <s v="89801-9"/>
    <x v="0"/>
    <s v="$350M Notes due 2048 4.3% - Amortization Debt"/>
    <s v="20180731"/>
    <x v="20"/>
    <d v="2018-07-31T00:00:00"/>
    <n v="-8057.29"/>
  </r>
  <r>
    <s v="9100001489"/>
    <s v="YP"/>
    <s v="1431997"/>
    <x v="0"/>
    <s v=""/>
    <s v="20180807"/>
    <x v="20"/>
    <d v="2018-08-23T00:00:00"/>
    <n v="338.13"/>
  </r>
  <r>
    <s v="9100001530"/>
    <s v="YP"/>
    <s v="111-1787503"/>
    <x v="0"/>
    <s v=""/>
    <s v="20180816"/>
    <x v="20"/>
    <d v="2018-08-29T00:00:00"/>
    <n v="1571.43"/>
  </r>
  <r>
    <s v="100057752"/>
    <s v="SA"/>
    <s v="40540"/>
    <x v="0"/>
    <s v="RECURRING ENTRY ENDS 10/30; FV50 NEEDED 11/30"/>
    <s v="20180831"/>
    <x v="2"/>
    <d v="2018-08-31T00:00:00"/>
    <n v="-6400.96"/>
  </r>
  <r>
    <s v="100057753"/>
    <s v="SA"/>
    <s v="40547 PD0013"/>
    <x v="0"/>
    <s v="RECURRING ENTRY ENDS 10/30; FV50 NEEDED 11/30"/>
    <s v="20180831"/>
    <x v="2"/>
    <d v="2018-08-31T00:00:00"/>
    <n v="-130.22"/>
  </r>
  <r>
    <s v="100057754"/>
    <s v="SA"/>
    <s v="40540 PD0015"/>
    <x v="0"/>
    <s v="RECURRING ENTRY ENDS 04/36; FV50 NEEDED 05/36"/>
    <s v="20180831"/>
    <x v="3"/>
    <d v="2018-08-31T00:00:00"/>
    <n v="-6872.38"/>
  </r>
  <r>
    <s v="100057755"/>
    <s v="SA"/>
    <s v="40548 PD0015"/>
    <x v="0"/>
    <s v="RECURRING ENTRY ENDS 04/36; FV50 NEEDED 05/36"/>
    <s v="20180831"/>
    <x v="3"/>
    <d v="2018-08-31T00:00:00"/>
    <n v="-4630.24"/>
  </r>
  <r>
    <s v="100057756"/>
    <s v="SA"/>
    <s v="40540 PD0020"/>
    <x v="0"/>
    <s v="RECURRING ENTRY ENDS 04/37; FV50 NEEDED 05/37"/>
    <s v="20180831"/>
    <x v="4"/>
    <d v="2018-08-31T00:00:00"/>
    <n v="-3059.89"/>
  </r>
  <r>
    <s v="100057757"/>
    <s v="SA"/>
    <s v="40540 PD0014"/>
    <x v="0"/>
    <s v="RECURRING ENTRY ENDS 10/34; FV50 NEEDED 11/34"/>
    <s v="20180831"/>
    <x v="5"/>
    <d v="2018-08-31T00:00:00"/>
    <n v="-8058.13"/>
  </r>
  <r>
    <s v="100057758"/>
    <s v="SA"/>
    <s v="40540 PD0012"/>
    <x v="0"/>
    <s v="RECURRING ENTRY ENDS 07/25; FV50 NEEDED 08/25"/>
    <s v="20180831"/>
    <x v="13"/>
    <d v="2018-08-31T00:00:00"/>
    <n v="-4399.9399999999996"/>
  </r>
  <r>
    <s v="100057759"/>
    <s v="SA"/>
    <s v="40540 PD0023"/>
    <x v="0"/>
    <s v="RECURRING ENTRY ENDS 09/20; FV50 NEEDED 10/20"/>
    <s v="20180831"/>
    <x v="14"/>
    <d v="2018-08-31T00:00:00"/>
    <n v="-2351.71"/>
  </r>
  <r>
    <s v="100057760"/>
    <s v="SA"/>
    <s v="40547 PD0023"/>
    <x v="0"/>
    <s v="RECURRING ENTRY ENDS 09/20; FV50 NEEDED 10/20"/>
    <s v="20180831"/>
    <x v="14"/>
    <d v="2018-08-31T00:00:00"/>
    <n v="-63.12"/>
  </r>
  <r>
    <s v="100057771"/>
    <s v="SA"/>
    <s v="40540 PD0025"/>
    <x v="0"/>
    <s v="RECURRING ENTRY ENDS 04/42,FV50 NEEDED 05/42"/>
    <s v="20180831"/>
    <x v="17"/>
    <d v="2018-08-31T00:00:00"/>
    <n v="-7123.53"/>
  </r>
  <r>
    <s v="100057772"/>
    <s v="SA"/>
    <s v="40540 PD0026"/>
    <x v="0"/>
    <s v="$225M Bonds Due 2022"/>
    <s v="20180831"/>
    <x v="0"/>
    <d v="2018-08-31T00:00:00"/>
    <n v="-14668.67"/>
  </r>
  <r>
    <s v="100057797"/>
    <s v="SA"/>
    <s v="40540_PD0027"/>
    <x v="0"/>
    <s v="RECURRING ENTRY ENDS 03/44; FV50 NEEDED 04/44"/>
    <s v="20180831"/>
    <x v="1"/>
    <d v="2018-08-31T00:00:00"/>
    <n v="-8710.42"/>
  </r>
  <r>
    <s v="100057801"/>
    <s v="SA"/>
    <s v="40540 PD0028"/>
    <x v="0"/>
    <s v="$230M Bond due 2045"/>
    <s v="20180831"/>
    <x v="19"/>
    <d v="2018-08-31T00:00:00"/>
    <n v="-7028.09"/>
  </r>
  <r>
    <s v="9100001539"/>
    <s v="YP"/>
    <s v="89801-5"/>
    <x v="0"/>
    <s v="$350M Notes due 2048 4.3% - Amortization Debt"/>
    <s v="20180831"/>
    <x v="20"/>
    <d v="2018-08-31T00:00:00"/>
    <n v="-8050.77"/>
  </r>
  <r>
    <s v="9100002229"/>
    <s v="YP"/>
    <s v="111-1792917"/>
    <x v="0"/>
    <s v=""/>
    <s v="20180921"/>
    <x v="0"/>
    <d v="2018-12-05T00:00:00"/>
    <n v="3780"/>
  </r>
  <r>
    <s v="9100002424"/>
    <s v="YP"/>
    <s v="89801-22"/>
    <x v="0"/>
    <s v="Reclass to Trustee Fees"/>
    <s v="20180921"/>
    <x v="0"/>
    <d v="2018-12-31T00:00:00"/>
    <n v="-3780"/>
  </r>
  <r>
    <s v="100064715"/>
    <s v="SA"/>
    <s v="40540"/>
    <x v="0"/>
    <s v="RECURRING ENTRY ENDS 10/30; FV50 NEEDED 11/30"/>
    <s v="20180930"/>
    <x v="2"/>
    <d v="2018-09-30T00:00:00"/>
    <n v="-6400.96"/>
  </r>
  <r>
    <s v="100064716"/>
    <s v="SA"/>
    <s v="40547 PD0013"/>
    <x v="0"/>
    <s v="RECURRING ENTRY ENDS 10/30; FV50 NEEDED 11/30"/>
    <s v="20180930"/>
    <x v="2"/>
    <d v="2018-09-30T00:00:00"/>
    <n v="-130.22"/>
  </r>
  <r>
    <s v="100064717"/>
    <s v="SA"/>
    <s v="40540 PD0015"/>
    <x v="0"/>
    <s v="RECURRING ENTRY ENDS 04/36; FV50 NEEDED 05/36"/>
    <s v="20180930"/>
    <x v="3"/>
    <d v="2018-09-30T00:00:00"/>
    <n v="-6872.38"/>
  </r>
  <r>
    <s v="100064718"/>
    <s v="SA"/>
    <s v="40548 PD0015"/>
    <x v="0"/>
    <s v="RECURRING ENTRY ENDS 04/36; FV50 NEEDED 05/36"/>
    <s v="20180930"/>
    <x v="3"/>
    <d v="2018-09-30T00:00:00"/>
    <n v="-4630.24"/>
  </r>
  <r>
    <s v="100064719"/>
    <s v="SA"/>
    <s v="40540 PD0020"/>
    <x v="0"/>
    <s v="RECURRING ENTRY ENDS 04/37; FV50 NEEDED 05/37"/>
    <s v="20180930"/>
    <x v="4"/>
    <d v="2018-09-30T00:00:00"/>
    <n v="-3059.89"/>
  </r>
  <r>
    <s v="100064720"/>
    <s v="SA"/>
    <s v="40540 PD0014"/>
    <x v="0"/>
    <s v="RECURRING ENTRY ENDS 10/34; FV50 NEEDED 11/34"/>
    <s v="20180930"/>
    <x v="5"/>
    <d v="2018-09-30T00:00:00"/>
    <n v="-8058.13"/>
  </r>
  <r>
    <s v="100064721"/>
    <s v="SA"/>
    <s v="40540 PD0012"/>
    <x v="0"/>
    <s v="RECURRING ENTRY ENDS 07/25; FV50 NEEDED 08/25"/>
    <s v="20180930"/>
    <x v="13"/>
    <d v="2018-09-30T00:00:00"/>
    <n v="-4399.9399999999996"/>
  </r>
  <r>
    <s v="100064722"/>
    <s v="SA"/>
    <s v="40540 PD0023"/>
    <x v="0"/>
    <s v="RECURRING ENTRY ENDS 09/20; FV50 NEEDED 10/20"/>
    <s v="20180930"/>
    <x v="14"/>
    <d v="2018-09-30T00:00:00"/>
    <n v="-2351.71"/>
  </r>
  <r>
    <s v="100064723"/>
    <s v="SA"/>
    <s v="40547 PD0023"/>
    <x v="0"/>
    <s v="RECURRING ENTRY ENDS 09/20; FV50 NEEDED 10/20"/>
    <s v="20180930"/>
    <x v="14"/>
    <d v="2018-09-30T00:00:00"/>
    <n v="-63.12"/>
  </r>
  <r>
    <s v="100064734"/>
    <s v="SA"/>
    <s v="40540 PD0025"/>
    <x v="0"/>
    <s v="RECURRING ENTRY ENDS 04/42,FV50 NEEDED 05/42"/>
    <s v="20180930"/>
    <x v="17"/>
    <d v="2018-09-30T00:00:00"/>
    <n v="-7123.53"/>
  </r>
  <r>
    <s v="100064735"/>
    <s v="SA"/>
    <s v="40540 PD0026"/>
    <x v="0"/>
    <s v="$225M Bonds Due 2022"/>
    <s v="20180930"/>
    <x v="0"/>
    <d v="2018-09-30T00:00:00"/>
    <n v="-14668.67"/>
  </r>
  <r>
    <s v="100064760"/>
    <s v="SA"/>
    <s v="40540_PD0027"/>
    <x v="0"/>
    <s v="RECURRING ENTRY ENDS 03/44; FV50 NEEDED 04/44"/>
    <s v="20180930"/>
    <x v="1"/>
    <d v="2018-09-30T00:00:00"/>
    <n v="-8710.42"/>
  </r>
  <r>
    <s v="100064764"/>
    <s v="SA"/>
    <s v="40540 PD0028"/>
    <x v="0"/>
    <s v="$230M Bond due 2045"/>
    <s v="20180930"/>
    <x v="19"/>
    <d v="2018-09-30T00:00:00"/>
    <n v="-7028.09"/>
  </r>
  <r>
    <s v="9100001741"/>
    <s v="YP"/>
    <s v="89801-3"/>
    <x v="0"/>
    <s v="Moody's Inv# M2035083-000 True-up"/>
    <s v="20180930"/>
    <x v="20"/>
    <d v="2018-09-30T00:00:00"/>
    <n v="-153997.20000000001"/>
  </r>
  <r>
    <s v="9100001741"/>
    <s v="YP"/>
    <s v="89801-3"/>
    <x v="0"/>
    <s v="Moody's Inv# M2035083-000 True-up"/>
    <s v="20180930"/>
    <x v="20"/>
    <d v="2018-09-30T00:00:00"/>
    <n v="154000"/>
  </r>
  <r>
    <s v="9100001741"/>
    <s v="YP"/>
    <s v="89801-3"/>
    <x v="0"/>
    <s v="$350M Notes due 2048 4.3% - Amortization Debt"/>
    <s v="20180930"/>
    <x v="20"/>
    <d v="2018-09-30T00:00:00"/>
    <n v="-9654.19"/>
  </r>
  <r>
    <s v="600032454"/>
    <s v="YO"/>
    <s v="JPMN ACWI 18574"/>
    <x v="0"/>
    <s v=""/>
    <s v="20181004"/>
    <x v="21"/>
    <d v="2018-10-04T00:00:00"/>
    <n v="3062500"/>
  </r>
  <r>
    <s v="9100001825"/>
    <s v="YP"/>
    <s v="420442"/>
    <x v="0"/>
    <s v=""/>
    <s v="20181004"/>
    <x v="21"/>
    <d v="2018-10-16T00:00:00"/>
    <n v="5714.52"/>
  </r>
  <r>
    <s v="9100001826"/>
    <s v="YP"/>
    <s v="1034031786-5"/>
    <x v="0"/>
    <s v=""/>
    <s v="20181004"/>
    <x v="21"/>
    <d v="2018-10-16T00:00:00"/>
    <n v="70000"/>
  </r>
  <r>
    <s v="9200053659"/>
    <s v="YI"/>
    <s v="1445436"/>
    <x v="0"/>
    <s v="Locke Lord LLP, Dallas"/>
    <s v="20181004"/>
    <x v="21"/>
    <d v="2018-12-18T00:00:00"/>
    <n v="48002.34"/>
  </r>
  <r>
    <s v="9100001948"/>
    <s v="YP"/>
    <s v="111-1795720"/>
    <x v="0"/>
    <s v="111-1795720"/>
    <s v="20181011"/>
    <x v="21"/>
    <d v="2018-10-30T00:00:00"/>
    <n v="1866.67"/>
  </r>
  <r>
    <s v="9100001951"/>
    <s v="YP"/>
    <s v="US0132160801"/>
    <x v="0"/>
    <s v="US0132160801"/>
    <s v="20181024"/>
    <x v="21"/>
    <d v="2018-10-30T00:00:00"/>
    <n v="46666.67"/>
  </r>
  <r>
    <s v="9100001958"/>
    <s v="YP"/>
    <s v="11359854"/>
    <x v="0"/>
    <s v="*INV#11359854"/>
    <s v="20181029"/>
    <x v="21"/>
    <d v="2018-10-31T00:00:00"/>
    <n v="236250"/>
  </r>
  <r>
    <s v="100071843"/>
    <s v="SA"/>
    <s v="40540"/>
    <x v="0"/>
    <s v="RECURRING ENTRY ENDS 10/30; FV50 NEEDED 11/30"/>
    <s v="20181031"/>
    <x v="2"/>
    <d v="2018-10-31T00:00:00"/>
    <n v="-6400.96"/>
  </r>
  <r>
    <s v="100071844"/>
    <s v="SA"/>
    <s v="40547 PD0013"/>
    <x v="0"/>
    <s v="RECURRING ENTRY ENDS 10/30; FV50 NEEDED 11/30"/>
    <s v="20181031"/>
    <x v="2"/>
    <d v="2018-10-31T00:00:00"/>
    <n v="-130.22"/>
  </r>
  <r>
    <s v="100071845"/>
    <s v="SA"/>
    <s v="40540 PD0015"/>
    <x v="0"/>
    <s v="RECURRING ENTRY ENDS 04/36; FV50 NEEDED 05/36"/>
    <s v="20181031"/>
    <x v="3"/>
    <d v="2018-10-31T00:00:00"/>
    <n v="-6872.38"/>
  </r>
  <r>
    <s v="100071846"/>
    <s v="SA"/>
    <s v="40548 PD0015"/>
    <x v="0"/>
    <s v="RECURRING ENTRY ENDS 04/36; FV50 NEEDED 05/36"/>
    <s v="20181031"/>
    <x v="3"/>
    <d v="2018-10-31T00:00:00"/>
    <n v="-4630.24"/>
  </r>
  <r>
    <s v="100071847"/>
    <s v="SA"/>
    <s v="40540 PD0020"/>
    <x v="0"/>
    <s v="RECURRING ENTRY ENDS 04/37; FV50 NEEDED 05/37"/>
    <s v="20181031"/>
    <x v="4"/>
    <d v="2018-10-31T00:00:00"/>
    <n v="-3059.89"/>
  </r>
  <r>
    <s v="100071848"/>
    <s v="SA"/>
    <s v="40540 PD0014"/>
    <x v="0"/>
    <s v="RECURRING ENTRY ENDS 10/34; FV50 NEEDED 11/34"/>
    <s v="20181031"/>
    <x v="5"/>
    <d v="2018-10-31T00:00:00"/>
    <n v="-8058.13"/>
  </r>
  <r>
    <s v="100071849"/>
    <s v="SA"/>
    <s v="40540 PD0012"/>
    <x v="0"/>
    <s v="RECURRING ENTRY ENDS 07/25; FV50 NEEDED 08/25"/>
    <s v="20181031"/>
    <x v="13"/>
    <d v="2018-10-31T00:00:00"/>
    <n v="-4399.9399999999996"/>
  </r>
  <r>
    <s v="100071850"/>
    <s v="SA"/>
    <s v="40540 PD0023"/>
    <x v="0"/>
    <s v="RECURRING ENTRY ENDS 09/20; FV50 NEEDED 10/20"/>
    <s v="20181031"/>
    <x v="14"/>
    <d v="2018-10-31T00:00:00"/>
    <n v="-2351.71"/>
  </r>
  <r>
    <s v="100071851"/>
    <s v="SA"/>
    <s v="40547 PD0023"/>
    <x v="0"/>
    <s v="RECURRING ENTRY ENDS 09/20; FV50 NEEDED 10/20"/>
    <s v="20181031"/>
    <x v="14"/>
    <d v="2018-10-31T00:00:00"/>
    <n v="-63.12"/>
  </r>
  <r>
    <s v="100071862"/>
    <s v="SA"/>
    <s v="40540 PD0025"/>
    <x v="0"/>
    <s v="RECURRING ENTRY ENDS 04/42,FV50 NEEDED 05/42"/>
    <s v="20181031"/>
    <x v="17"/>
    <d v="2018-10-31T00:00:00"/>
    <n v="-7123.53"/>
  </r>
  <r>
    <s v="100071863"/>
    <s v="SA"/>
    <s v="40540 PD0026"/>
    <x v="0"/>
    <s v="$225M Bonds Due 2022"/>
    <s v="20181031"/>
    <x v="0"/>
    <d v="2018-10-31T00:00:00"/>
    <n v="-14668.67"/>
  </r>
  <r>
    <s v="100071888"/>
    <s v="SA"/>
    <s v="40540_PD0027"/>
    <x v="0"/>
    <s v="RECURRING ENTRY ENDS 03/44; FV50 NEEDED 04/44"/>
    <s v="20181031"/>
    <x v="1"/>
    <d v="2018-10-31T00:00:00"/>
    <n v="-8710.42"/>
  </r>
  <r>
    <s v="100071892"/>
    <s v="SA"/>
    <s v="40540 PD0028"/>
    <x v="0"/>
    <s v="$230M Bond due 2045"/>
    <s v="20181031"/>
    <x v="19"/>
    <d v="2018-10-31T00:00:00"/>
    <n v="-7028.09"/>
  </r>
  <r>
    <s v="9100001968"/>
    <s v="YP"/>
    <s v="89801-6"/>
    <x v="0"/>
    <s v="$350M Notes due 2048 4.3% - Amortization Debt"/>
    <s v="20181031"/>
    <x v="20"/>
    <d v="2018-10-31T00:00:00"/>
    <n v="-8371.65"/>
  </r>
  <r>
    <s v="9100001969"/>
    <s v="YP"/>
    <s v="89801-4"/>
    <x v="0"/>
    <s v="$375M Notes due 2049 4.45% - Amortization Debt"/>
    <s v="20181031"/>
    <x v="21"/>
    <d v="2018-10-31T00:00:00"/>
    <n v="-9303.32"/>
  </r>
  <r>
    <s v="9100002074"/>
    <s v="YP"/>
    <s v="1177409"/>
    <x v="0"/>
    <s v=""/>
    <s v="20181105"/>
    <x v="21"/>
    <d v="2018-11-19T00:00:00"/>
    <n v="2688"/>
  </r>
  <r>
    <s v="9200053660"/>
    <s v="YI"/>
    <s v="1454158"/>
    <x v="0"/>
    <s v="Locke Lord LLP, Dallas"/>
    <s v="20181107"/>
    <x v="21"/>
    <d v="2018-12-18T00:00:00"/>
    <n v="26216.03"/>
  </r>
  <r>
    <s v="100079565"/>
    <s v="SA"/>
    <s v="40540"/>
    <x v="0"/>
    <s v="RECURRING ENTRY ENDS 10/30; FV50 NEEDED 11/30"/>
    <s v="20181130"/>
    <x v="2"/>
    <d v="2018-11-30T00:00:00"/>
    <n v="-6400.96"/>
  </r>
  <r>
    <s v="100079566"/>
    <s v="SA"/>
    <s v="40547 PD0013"/>
    <x v="0"/>
    <s v="RECURRING ENTRY ENDS 10/30; FV50 NEEDED 11/30"/>
    <s v="20181130"/>
    <x v="2"/>
    <d v="2018-11-30T00:00:00"/>
    <n v="-130.22"/>
  </r>
  <r>
    <s v="100079567"/>
    <s v="SA"/>
    <s v="40540 PD0015"/>
    <x v="0"/>
    <s v="RECURRING ENTRY ENDS 04/36; FV50 NEEDED 05/36"/>
    <s v="20181130"/>
    <x v="3"/>
    <d v="2018-11-30T00:00:00"/>
    <n v="-6872.38"/>
  </r>
  <r>
    <s v="100079568"/>
    <s v="SA"/>
    <s v="40548 PD0015"/>
    <x v="0"/>
    <s v="RECURRING ENTRY ENDS 04/36; FV50 NEEDED 05/36"/>
    <s v="20181130"/>
    <x v="3"/>
    <d v="2018-11-30T00:00:00"/>
    <n v="-4630.24"/>
  </r>
  <r>
    <s v="100079569"/>
    <s v="SA"/>
    <s v="40540 PD0020"/>
    <x v="0"/>
    <s v="RECURRING ENTRY ENDS 04/37; FV50 NEEDED 05/37"/>
    <s v="20181130"/>
    <x v="4"/>
    <d v="2018-11-30T00:00:00"/>
    <n v="-3059.89"/>
  </r>
  <r>
    <s v="100079570"/>
    <s v="SA"/>
    <s v="40540 PD0014"/>
    <x v="0"/>
    <s v="RECURRING ENTRY ENDS 10/34; FV50 NEEDED 11/34"/>
    <s v="20181130"/>
    <x v="5"/>
    <d v="2018-11-30T00:00:00"/>
    <n v="-8058.13"/>
  </r>
  <r>
    <s v="100079571"/>
    <s v="SA"/>
    <s v="40540 PD0012"/>
    <x v="0"/>
    <s v="RECURRING ENTRY ENDS 07/25; FV50 NEEDED 08/25"/>
    <s v="20181130"/>
    <x v="13"/>
    <d v="2018-11-30T00:00:00"/>
    <n v="-4399.9399999999996"/>
  </r>
  <r>
    <s v="100079572"/>
    <s v="SA"/>
    <s v="40540 PD0023"/>
    <x v="0"/>
    <s v="RECURRING ENTRY ENDS 09/20; FV50 NEEDED 10/20"/>
    <s v="20181130"/>
    <x v="14"/>
    <d v="2018-11-30T00:00:00"/>
    <n v="-2351.71"/>
  </r>
  <r>
    <s v="100079573"/>
    <s v="SA"/>
    <s v="40547 PD0023"/>
    <x v="0"/>
    <s v="RECURRING ENTRY ENDS 09/20; FV50 NEEDED 10/20"/>
    <s v="20181130"/>
    <x v="14"/>
    <d v="2018-11-30T00:00:00"/>
    <n v="-63.12"/>
  </r>
  <r>
    <s v="100079584"/>
    <s v="SA"/>
    <s v="40540 PD0025"/>
    <x v="0"/>
    <s v="RECURRING ENTRY ENDS 04/42,FV50 NEEDED 05/42"/>
    <s v="20181130"/>
    <x v="17"/>
    <d v="2018-11-30T00:00:00"/>
    <n v="-7123.53"/>
  </r>
  <r>
    <s v="100079585"/>
    <s v="SA"/>
    <s v="40540 PD0026"/>
    <x v="0"/>
    <s v="$225M Bonds Due 2022"/>
    <s v="20181130"/>
    <x v="0"/>
    <d v="2018-11-30T00:00:00"/>
    <n v="-14668.67"/>
  </r>
  <r>
    <s v="100079610"/>
    <s v="SA"/>
    <s v="40540_PD0027"/>
    <x v="0"/>
    <s v="RECURRING ENTRY ENDS 03/44; FV50 NEEDED 04/44"/>
    <s v="20181130"/>
    <x v="1"/>
    <d v="2018-11-30T00:00:00"/>
    <n v="-8710.42"/>
  </r>
  <r>
    <s v="100079614"/>
    <s v="SA"/>
    <s v="40540 PD0028"/>
    <x v="0"/>
    <s v="$230M Bond due 2045"/>
    <s v="20181130"/>
    <x v="19"/>
    <d v="2018-11-30T00:00:00"/>
    <n v="-7028.09"/>
  </r>
  <r>
    <s v="9100002189"/>
    <s v="YP"/>
    <s v="89801-8"/>
    <x v="0"/>
    <s v="$350M Notes due 2048 4.3% - Amortization Debt"/>
    <s v="20181130"/>
    <x v="20"/>
    <d v="2018-11-30T00:00:00"/>
    <n v="-8448.67"/>
  </r>
  <r>
    <s v="9100002190"/>
    <s v="YP"/>
    <s v="89801-9"/>
    <x v="0"/>
    <s v="$375M Notes due 2049 4.45% - Amortization Debt"/>
    <s v="20181130"/>
    <x v="21"/>
    <d v="2018-11-30T00:00:00"/>
    <n v="-9314.16"/>
  </r>
  <r>
    <s v="100086564"/>
    <s v="SA"/>
    <s v="40540"/>
    <x v="0"/>
    <s v="RECURRING ENTRY ENDS 10/30; FV50 NEEDED 11/30"/>
    <s v="20181231"/>
    <x v="2"/>
    <d v="2018-12-31T00:00:00"/>
    <n v="-6400.96"/>
  </r>
  <r>
    <s v="100086565"/>
    <s v="SA"/>
    <s v="40547 PD0013"/>
    <x v="0"/>
    <s v="RECURRING ENTRY ENDS 10/30; FV50 NEEDED 11/30"/>
    <s v="20181231"/>
    <x v="2"/>
    <d v="2018-12-31T00:00:00"/>
    <n v="-130.22"/>
  </r>
  <r>
    <s v="100086566"/>
    <s v="SA"/>
    <s v="40540 PD0015"/>
    <x v="0"/>
    <s v="RECURRING ENTRY ENDS 04/36; FV50 NEEDED 05/36"/>
    <s v="20181231"/>
    <x v="3"/>
    <d v="2018-12-31T00:00:00"/>
    <n v="-6872.38"/>
  </r>
  <r>
    <s v="100086567"/>
    <s v="SA"/>
    <s v="40548 PD0015"/>
    <x v="0"/>
    <s v="RECURRING ENTRY ENDS 04/36; FV50 NEEDED 05/36"/>
    <s v="20181231"/>
    <x v="3"/>
    <d v="2018-12-31T00:00:00"/>
    <n v="-4630.24"/>
  </r>
  <r>
    <s v="100086568"/>
    <s v="SA"/>
    <s v="40540 PD0020"/>
    <x v="0"/>
    <s v="RECURRING ENTRY ENDS 04/37; FV50 NEEDED 05/37"/>
    <s v="20181231"/>
    <x v="4"/>
    <d v="2018-12-31T00:00:00"/>
    <n v="-3059.89"/>
  </r>
  <r>
    <s v="100086569"/>
    <s v="SA"/>
    <s v="40540 PD0014"/>
    <x v="0"/>
    <s v="RECURRING ENTRY ENDS 10/34; FV50 NEEDED 11/34"/>
    <s v="20181231"/>
    <x v="5"/>
    <d v="2018-12-31T00:00:00"/>
    <n v="-8058.13"/>
  </r>
  <r>
    <s v="100086570"/>
    <s v="SA"/>
    <s v="40540 PD0012"/>
    <x v="0"/>
    <s v="RECURRING ENTRY ENDS 07/25; FV50 NEEDED 08/25"/>
    <s v="20181231"/>
    <x v="13"/>
    <d v="2018-12-31T00:00:00"/>
    <n v="-4399.9399999999996"/>
  </r>
  <r>
    <s v="100086571"/>
    <s v="SA"/>
    <s v="40540 PD0023"/>
    <x v="0"/>
    <s v="RECURRING ENTRY ENDS 09/20; FV50 NEEDED 10/20"/>
    <s v="20181231"/>
    <x v="14"/>
    <d v="2018-12-31T00:00:00"/>
    <n v="-2351.71"/>
  </r>
  <r>
    <s v="100086572"/>
    <s v="SA"/>
    <s v="40547 PD0023"/>
    <x v="0"/>
    <s v="RECURRING ENTRY ENDS 09/20; FV50 NEEDED 10/20"/>
    <s v="20181231"/>
    <x v="14"/>
    <d v="2018-12-31T00:00:00"/>
    <n v="-63.12"/>
  </r>
  <r>
    <s v="100086583"/>
    <s v="SA"/>
    <s v="40540 PD0025"/>
    <x v="0"/>
    <s v="RECURRING ENTRY ENDS 04/42,FV50 NEEDED 05/42"/>
    <s v="20181231"/>
    <x v="17"/>
    <d v="2018-12-31T00:00:00"/>
    <n v="-7123.53"/>
  </r>
  <r>
    <s v="100086584"/>
    <s v="SA"/>
    <s v="40540 PD0026"/>
    <x v="0"/>
    <s v="$225M Bonds Due 2022"/>
    <s v="20181231"/>
    <x v="0"/>
    <d v="2018-12-31T00:00:00"/>
    <n v="-14668.67"/>
  </r>
  <r>
    <s v="100086609"/>
    <s v="SA"/>
    <s v="40540_PD0027"/>
    <x v="0"/>
    <s v="RECURRING ENTRY ENDS 03/44; FV50 NEEDED 04/44"/>
    <s v="20181231"/>
    <x v="1"/>
    <d v="2018-12-31T00:00:00"/>
    <n v="-8710.42"/>
  </r>
  <r>
    <s v="100086613"/>
    <s v="SA"/>
    <s v="40540 PD0028"/>
    <x v="0"/>
    <s v="$230M Bond due 2045"/>
    <s v="20181231"/>
    <x v="19"/>
    <d v="2018-12-31T00:00:00"/>
    <n v="-7028.09"/>
  </r>
  <r>
    <s v="9100002424"/>
    <s v="YP"/>
    <s v="89801-22"/>
    <x v="0"/>
    <s v="$350M Notes due 2048 4.3% - Amortization Debt"/>
    <s v="20181231"/>
    <x v="20"/>
    <d v="2018-12-31T00:00:00"/>
    <n v="-8384.43"/>
  </r>
  <r>
    <s v="9100002424"/>
    <s v="YP"/>
    <s v="89801-22"/>
    <x v="0"/>
    <s v="$375M Notes due 2049 4.45% - Amortization Debt"/>
    <s v="20181231"/>
    <x v="21"/>
    <d v="2018-12-31T00:00:00"/>
    <n v="-9913.09"/>
  </r>
  <r>
    <s v="9100002424"/>
    <s v="YP"/>
    <s v="89801-22"/>
    <x v="0"/>
    <s v="Reclass Lord Locke Inv#1445436"/>
    <s v="20181231"/>
    <x v="21"/>
    <d v="2018-12-31T00:00:00"/>
    <n v="-48002.34"/>
  </r>
  <r>
    <s v="9100002424"/>
    <s v="YP"/>
    <s v="89801-22"/>
    <x v="0"/>
    <s v="Reclass Lord Locke Inv#1445436"/>
    <s v="20181231"/>
    <x v="21"/>
    <d v="2018-12-31T00:00:00"/>
    <n v="48004.05"/>
  </r>
  <r>
    <s v="9100002424"/>
    <s v="YP"/>
    <s v="89801-22"/>
    <x v="0"/>
    <s v="Reclass Lord Locke Inv#1454158"/>
    <s v="20181231"/>
    <x v="21"/>
    <d v="2018-12-31T00:00:00"/>
    <n v="-26216.03"/>
  </r>
  <r>
    <s v="9100002424"/>
    <s v="YP"/>
    <s v="89801-22"/>
    <x v="0"/>
    <s v="Reclass Lord Locke Inv#1454158"/>
    <s v="20181231"/>
    <x v="21"/>
    <d v="2018-12-31T00:00:00"/>
    <n v="26216.959999999999"/>
  </r>
  <r>
    <s v="9100000591"/>
    <s v="YP"/>
    <s v="M2050361-000"/>
    <x v="0"/>
    <s v="*INV#M2050361-000"/>
    <s v="20190115"/>
    <x v="21"/>
    <d v="2019-03-29T00:00:00"/>
    <n v="196000"/>
  </r>
  <r>
    <s v="100006692"/>
    <s v="SA"/>
    <s v="40540"/>
    <x v="0"/>
    <s v="RECURRING ENTRY ENDS 10/30; FV50 NEEDED 11/30"/>
    <s v="20190131"/>
    <x v="2"/>
    <d v="2019-01-31T00:00:00"/>
    <n v="-6400.96"/>
  </r>
  <r>
    <s v="100006693"/>
    <s v="SA"/>
    <s v="40547 PD0013"/>
    <x v="0"/>
    <s v="RECURRING ENTRY ENDS 10/30; FV50 NEEDED 11/30"/>
    <s v="20190131"/>
    <x v="2"/>
    <d v="2019-01-31T00:00:00"/>
    <n v="-130.22"/>
  </r>
  <r>
    <s v="100006694"/>
    <s v="SA"/>
    <s v="40540 PD0015"/>
    <x v="0"/>
    <s v="RECURRING ENTRY ENDS 04/36; FV50 NEEDED 05/36"/>
    <s v="20190131"/>
    <x v="3"/>
    <d v="2019-01-31T00:00:00"/>
    <n v="-6872.38"/>
  </r>
  <r>
    <s v="100006695"/>
    <s v="SA"/>
    <s v="40548 PD0015"/>
    <x v="0"/>
    <s v="RECURRING ENTRY ENDS 04/36; FV50 NEEDED 05/36"/>
    <s v="20190131"/>
    <x v="3"/>
    <d v="2019-01-31T00:00:00"/>
    <n v="-4630.24"/>
  </r>
  <r>
    <s v="100006696"/>
    <s v="SA"/>
    <s v="40540 PD0020"/>
    <x v="0"/>
    <s v="RECURRING ENTRY ENDS 04/37; FV50 NEEDED 05/37"/>
    <s v="20190131"/>
    <x v="4"/>
    <d v="2019-01-31T00:00:00"/>
    <n v="-3059.89"/>
  </r>
  <r>
    <s v="100006697"/>
    <s v="SA"/>
    <s v="40540 PD0014"/>
    <x v="0"/>
    <s v="RECURRING ENTRY ENDS 10/34; FV50 NEEDED 11/34"/>
    <s v="20190131"/>
    <x v="5"/>
    <d v="2019-01-31T00:00:00"/>
    <n v="-8058.13"/>
  </r>
  <r>
    <s v="100006698"/>
    <s v="SA"/>
    <s v="40540 PD0012"/>
    <x v="0"/>
    <s v="RECURRING ENTRY ENDS 07/25; FV50 NEEDED 08/25"/>
    <s v="20190131"/>
    <x v="13"/>
    <d v="2019-01-31T00:00:00"/>
    <n v="-4399.9399999999996"/>
  </r>
  <r>
    <s v="100006699"/>
    <s v="SA"/>
    <s v="40540 PD0023"/>
    <x v="0"/>
    <s v="RECURRING ENTRY ENDS 09/20; FV50 NEEDED 10/20"/>
    <s v="20190131"/>
    <x v="14"/>
    <d v="2019-01-31T00:00:00"/>
    <n v="-2351.71"/>
  </r>
  <r>
    <s v="100006700"/>
    <s v="SA"/>
    <s v="40547 PD0023"/>
    <x v="0"/>
    <s v="RECURRING ENTRY ENDS 09/20; FV50 NEEDED 10/20"/>
    <s v="20190131"/>
    <x v="14"/>
    <d v="2019-01-31T00:00:00"/>
    <n v="-63.12"/>
  </r>
  <r>
    <s v="100006711"/>
    <s v="SA"/>
    <s v="40540 PD0025"/>
    <x v="0"/>
    <s v="RECURRING ENTRY ENDS 04/42,FV50 NEEDED 05/42"/>
    <s v="20190131"/>
    <x v="17"/>
    <d v="2019-01-31T00:00:00"/>
    <n v="-7123.53"/>
  </r>
  <r>
    <s v="100006712"/>
    <s v="SA"/>
    <s v="40540 PD0026"/>
    <x v="0"/>
    <s v="$225M Bonds Due 2022"/>
    <s v="20190131"/>
    <x v="0"/>
    <d v="2019-01-31T00:00:00"/>
    <n v="-14668.67"/>
  </r>
  <r>
    <s v="100006737"/>
    <s v="SA"/>
    <s v="40540_PD0027"/>
    <x v="0"/>
    <s v="RECURRING ENTRY ENDS 03/44; FV50 NEEDED 04/44"/>
    <s v="20190131"/>
    <x v="1"/>
    <d v="2019-01-31T00:00:00"/>
    <n v="-8710.42"/>
  </r>
  <r>
    <s v="100006741"/>
    <s v="SA"/>
    <s v="40540 PD0028"/>
    <x v="0"/>
    <s v="$230M Bond due 2045"/>
    <s v="20190131"/>
    <x v="19"/>
    <d v="2019-01-31T00:00:00"/>
    <n v="-7028.09"/>
  </r>
  <r>
    <s v="9100000174"/>
    <s v="YP"/>
    <s v="89801-10"/>
    <x v="0"/>
    <s v="$350M Notes due 2048 4.3% - Amortization Debt"/>
    <s v="20190131"/>
    <x v="20"/>
    <d v="2019-01-31T00:00:00"/>
    <n v="-8384.43"/>
  </r>
  <r>
    <s v="9100000174"/>
    <s v="YP"/>
    <s v="89801-10"/>
    <x v="0"/>
    <s v="$375M Notes due 2049 4.45% - Amortization Debt"/>
    <s v="20190131"/>
    <x v="21"/>
    <d v="2019-01-31T00:00:00"/>
    <n v="-9510.6200000000008"/>
  </r>
  <r>
    <s v="9200007466"/>
    <s v="YI"/>
    <s v="1475168"/>
    <x v="0"/>
    <s v="Locke Lord LLP, Dallas"/>
    <s v="20190208"/>
    <x v="21"/>
    <d v="2019-02-20T00:00:00"/>
    <n v="238.06"/>
  </r>
  <r>
    <s v="9200018100"/>
    <s v="YI"/>
    <s v="1475167"/>
    <x v="0"/>
    <s v="Locke Lord LLP, Dallas"/>
    <s v="20190208"/>
    <x v="13"/>
    <d v="2019-04-24T00:00:00"/>
    <n v="2975.87"/>
  </r>
  <r>
    <s v="100012384"/>
    <s v="SA"/>
    <s v="40540"/>
    <x v="0"/>
    <s v="RECURRING ENTRY ENDS 10/30; FV50 NEEDED 11/30"/>
    <s v="20190228"/>
    <x v="2"/>
    <d v="2019-02-28T00:00:00"/>
    <n v="-6400.96"/>
  </r>
  <r>
    <s v="100012385"/>
    <s v="SA"/>
    <s v="40547 PD0013"/>
    <x v="0"/>
    <s v="RECURRING ENTRY ENDS 10/30; FV50 NEEDED 11/30"/>
    <s v="20190228"/>
    <x v="2"/>
    <d v="2019-02-28T00:00:00"/>
    <n v="-130.22"/>
  </r>
  <r>
    <s v="100012386"/>
    <s v="SA"/>
    <s v="40540 PD0015"/>
    <x v="0"/>
    <s v="RECURRING ENTRY ENDS 04/36; FV50 NEEDED 05/36"/>
    <s v="20190228"/>
    <x v="3"/>
    <d v="2019-02-28T00:00:00"/>
    <n v="-6872.38"/>
  </r>
  <r>
    <s v="100012387"/>
    <s v="SA"/>
    <s v="40548 PD0015"/>
    <x v="0"/>
    <s v="RECURRING ENTRY ENDS 04/36; FV50 NEEDED 05/36"/>
    <s v="20190228"/>
    <x v="3"/>
    <d v="2019-02-28T00:00:00"/>
    <n v="-4630.24"/>
  </r>
  <r>
    <s v="100012388"/>
    <s v="SA"/>
    <s v="40540 PD0020"/>
    <x v="0"/>
    <s v="RECURRING ENTRY ENDS 04/37; FV50 NEEDED 05/37"/>
    <s v="20190228"/>
    <x v="4"/>
    <d v="2019-02-28T00:00:00"/>
    <n v="-3059.89"/>
  </r>
  <r>
    <s v="100012389"/>
    <s v="SA"/>
    <s v="40540 PD0014"/>
    <x v="0"/>
    <s v="RECURRING ENTRY ENDS 10/34; FV50 NEEDED 11/34"/>
    <s v="20190228"/>
    <x v="5"/>
    <d v="2019-02-28T00:00:00"/>
    <n v="-8058.13"/>
  </r>
  <r>
    <s v="100012390"/>
    <s v="SA"/>
    <s v="40540 PD0012"/>
    <x v="0"/>
    <s v="RECURRING ENTRY ENDS 07/25; FV50 NEEDED 08/25"/>
    <s v="20190228"/>
    <x v="13"/>
    <d v="2019-02-28T00:00:00"/>
    <n v="-4399.9399999999996"/>
  </r>
  <r>
    <s v="100012391"/>
    <s v="SA"/>
    <s v="40540 PD0023"/>
    <x v="0"/>
    <s v="RECURRING ENTRY ENDS 09/20; FV50 NEEDED 10/20"/>
    <s v="20190228"/>
    <x v="14"/>
    <d v="2019-02-28T00:00:00"/>
    <n v="-2351.71"/>
  </r>
  <r>
    <s v="100012392"/>
    <s v="SA"/>
    <s v="40547 PD0023"/>
    <x v="0"/>
    <s v="RECURRING ENTRY ENDS 09/20; FV50 NEEDED 10/20"/>
    <s v="20190228"/>
    <x v="14"/>
    <d v="2019-02-28T00:00:00"/>
    <n v="-63.12"/>
  </r>
  <r>
    <s v="100012403"/>
    <s v="SA"/>
    <s v="40540 PD0025"/>
    <x v="0"/>
    <s v="RECURRING ENTRY ENDS 04/42,FV50 NEEDED 05/42"/>
    <s v="20190228"/>
    <x v="17"/>
    <d v="2019-02-28T00:00:00"/>
    <n v="-7123.53"/>
  </r>
  <r>
    <s v="100012404"/>
    <s v="SA"/>
    <s v="40540 PD0026"/>
    <x v="0"/>
    <s v="$225M Bonds Due 2022"/>
    <s v="20190228"/>
    <x v="0"/>
    <d v="2019-02-28T00:00:00"/>
    <n v="-14668.67"/>
  </r>
  <r>
    <s v="100012429"/>
    <s v="SA"/>
    <s v="40540_PD0027"/>
    <x v="0"/>
    <s v="RECURRING ENTRY ENDS 03/44; FV50 NEEDED 04/44"/>
    <s v="20190228"/>
    <x v="1"/>
    <d v="2019-02-28T00:00:00"/>
    <n v="-8710.42"/>
  </r>
  <r>
    <s v="100012433"/>
    <s v="SA"/>
    <s v="40540 PD0028"/>
    <x v="0"/>
    <s v="$230M Bond due 2045"/>
    <s v="20190228"/>
    <x v="19"/>
    <d v="2019-02-28T00:00:00"/>
    <n v="-7028.09"/>
  </r>
  <r>
    <s v="100012499"/>
    <s v="SA"/>
    <s v="40540 PD0034"/>
    <x v="0"/>
    <s v="$350M Notes due 2048 4.3% - Amortization Debt"/>
    <s v="20190228"/>
    <x v="20"/>
    <d v="2019-02-28T00:00:00"/>
    <n v="-8384.43"/>
  </r>
  <r>
    <s v="9100000358"/>
    <s v="YP"/>
    <s v="89801-9"/>
    <x v="0"/>
    <s v="$375M Notes due 2049 4.45% - Amortization Debt"/>
    <s v="20190228"/>
    <x v="21"/>
    <d v="2019-02-28T00:00:00"/>
    <n v="-9510.6200000000008"/>
  </r>
  <r>
    <s v="9100000386"/>
    <s v="YP"/>
    <s v="89801-13"/>
    <x v="0"/>
    <s v="Reclass Locke Lord LLP, Dallas"/>
    <s v="20190228"/>
    <x v="21"/>
    <d v="2019-02-28T00:00:00"/>
    <n v="-238.06"/>
  </r>
  <r>
    <s v="9100000386"/>
    <s v="YP"/>
    <s v="89801-13"/>
    <x v="0"/>
    <s v="Reclass Locke Lord LLP, Dallas"/>
    <s v="20190228"/>
    <x v="22"/>
    <d v="2019-02-28T00:00:00"/>
    <n v="238.06"/>
  </r>
  <r>
    <s v="9100000386"/>
    <s v="YP"/>
    <s v="89801-13"/>
    <x v="0"/>
    <s v="Reclass Locke Lord LLP, Dallas"/>
    <s v="20190228"/>
    <x v="21"/>
    <d v="2019-02-28T00:00:00"/>
    <n v="-17.010000000000002"/>
  </r>
  <r>
    <s v="9100000386"/>
    <s v="YP"/>
    <s v="89801-13"/>
    <x v="0"/>
    <s v="Reclass Locke Lord LLP, Dallas"/>
    <s v="20190228"/>
    <x v="22"/>
    <d v="2019-02-28T00:00:00"/>
    <n v="17.010000000000002"/>
  </r>
  <r>
    <s v="100020386"/>
    <s v="SA"/>
    <s v="40540"/>
    <x v="0"/>
    <s v="RECURRING ENTRY ENDS 10/30; FV50 NEEDED 11/30"/>
    <s v="20190331"/>
    <x v="2"/>
    <d v="2019-03-31T00:00:00"/>
    <n v="-6400.96"/>
  </r>
  <r>
    <s v="100020387"/>
    <s v="SA"/>
    <s v="40547 PD0013"/>
    <x v="0"/>
    <s v="RECURRING ENTRY ENDS 10/30; FV50 NEEDED 11/30"/>
    <s v="20190331"/>
    <x v="2"/>
    <d v="2019-03-31T00:00:00"/>
    <n v="-130.22"/>
  </r>
  <r>
    <s v="100020388"/>
    <s v="SA"/>
    <s v="40540 PD0015"/>
    <x v="0"/>
    <s v="RECURRING ENTRY ENDS 04/36; FV50 NEEDED 05/36"/>
    <s v="20190331"/>
    <x v="3"/>
    <d v="2019-03-31T00:00:00"/>
    <n v="-6872.38"/>
  </r>
  <r>
    <s v="100020389"/>
    <s v="SA"/>
    <s v="40548 PD0015"/>
    <x v="0"/>
    <s v="RECURRING ENTRY ENDS 04/36; FV50 NEEDED 05/36"/>
    <s v="20190331"/>
    <x v="3"/>
    <d v="2019-03-31T00:00:00"/>
    <n v="-4630.24"/>
  </r>
  <r>
    <s v="100020390"/>
    <s v="SA"/>
    <s v="40540 PD0020"/>
    <x v="0"/>
    <s v="RECURRING ENTRY ENDS 04/37; FV50 NEEDED 05/37"/>
    <s v="20190331"/>
    <x v="4"/>
    <d v="2019-03-31T00:00:00"/>
    <n v="-3059.89"/>
  </r>
  <r>
    <s v="100020391"/>
    <s v="SA"/>
    <s v="40540 PD0014"/>
    <x v="0"/>
    <s v="RECURRING ENTRY ENDS 10/34; FV50 NEEDED 11/34"/>
    <s v="20190331"/>
    <x v="5"/>
    <d v="2019-03-31T00:00:00"/>
    <n v="-8058.13"/>
  </r>
  <r>
    <s v="100020392"/>
    <s v="SA"/>
    <s v="40540 PD0012"/>
    <x v="0"/>
    <s v="RECURRING ENTRY ENDS 07/25; FV50 NEEDED 08/25"/>
    <s v="20190331"/>
    <x v="13"/>
    <d v="2019-03-31T00:00:00"/>
    <n v="-4399.9399999999996"/>
  </r>
  <r>
    <s v="100020393"/>
    <s v="SA"/>
    <s v="40540 PD0023"/>
    <x v="0"/>
    <s v="RECURRING ENTRY ENDS 09/20; FV50 NEEDED 10/20"/>
    <s v="20190331"/>
    <x v="14"/>
    <d v="2019-03-31T00:00:00"/>
    <n v="-2351.71"/>
  </r>
  <r>
    <s v="100020394"/>
    <s v="SA"/>
    <s v="40547 PD0023"/>
    <x v="0"/>
    <s v="RECURRING ENTRY ENDS 09/20; FV50 NEEDED 10/20"/>
    <s v="20190331"/>
    <x v="14"/>
    <d v="2019-03-31T00:00:00"/>
    <n v="-63.12"/>
  </r>
  <r>
    <s v="100020405"/>
    <s v="SA"/>
    <s v="40540 PD0025"/>
    <x v="0"/>
    <s v="RECURRING ENTRY ENDS 04/42,FV50 NEEDED 05/42"/>
    <s v="20190331"/>
    <x v="17"/>
    <d v="2019-03-31T00:00:00"/>
    <n v="-7123.53"/>
  </r>
  <r>
    <s v="100020406"/>
    <s v="SA"/>
    <s v="40540 PD0026"/>
    <x v="0"/>
    <s v="$225M Bonds Due 2022"/>
    <s v="20190331"/>
    <x v="0"/>
    <d v="2019-03-31T00:00:00"/>
    <n v="-14668.67"/>
  </r>
  <r>
    <s v="100020431"/>
    <s v="SA"/>
    <s v="40540_PD0027"/>
    <x v="0"/>
    <s v="RECURRING ENTRY ENDS 03/44; FV50 NEEDED 04/44"/>
    <s v="20190331"/>
    <x v="1"/>
    <d v="2019-03-31T00:00:00"/>
    <n v="-8710.42"/>
  </r>
  <r>
    <s v="100020435"/>
    <s v="SA"/>
    <s v="40540 PD0028"/>
    <x v="0"/>
    <s v="$230M Bond due 2045"/>
    <s v="20190331"/>
    <x v="19"/>
    <d v="2019-03-31T00:00:00"/>
    <n v="-7028.09"/>
  </r>
  <r>
    <s v="100020504"/>
    <s v="SA"/>
    <s v="40540 PD0034"/>
    <x v="0"/>
    <s v="$350M Notes due 2048 4.3% - Amortization Debt"/>
    <s v="20190331"/>
    <x v="20"/>
    <d v="2019-03-31T00:00:00"/>
    <n v="-8384.43"/>
  </r>
  <r>
    <s v="9100000450"/>
    <s v="YP"/>
    <s v="89801-1"/>
    <x v="0"/>
    <s v="Reclass LockeLord Fee Inv"/>
    <s v="20190331"/>
    <x v="22"/>
    <d v="2019-03-31T00:00:00"/>
    <n v="-17.010000000000002"/>
  </r>
  <r>
    <s v="9100000450"/>
    <s v="YP"/>
    <s v="89801-1"/>
    <x v="0"/>
    <s v="Reclass LockeLord Fee Inv"/>
    <s v="20190331"/>
    <x v="21"/>
    <d v="2019-03-31T00:00:00"/>
    <n v="17.010000000000002"/>
  </r>
  <r>
    <s v="9100000613"/>
    <s v="YP"/>
    <s v="89801-8"/>
    <x v="0"/>
    <s v="$375M Notes due 2049 4.45% - Amortization Debt"/>
    <s v="20190331"/>
    <x v="21"/>
    <d v="2019-03-31T00:00:00"/>
    <n v="-12705.8"/>
  </r>
  <r>
    <s v="100027226"/>
    <s v="SA"/>
    <s v="40540"/>
    <x v="0"/>
    <s v="RECURRING ENTRY ENDS 10/30; FV50 NEEDED 11/30"/>
    <s v="20190430"/>
    <x v="2"/>
    <d v="2019-04-30T00:00:00"/>
    <n v="-6400.96"/>
  </r>
  <r>
    <s v="100027227"/>
    <s v="SA"/>
    <s v="40547 PD0013"/>
    <x v="0"/>
    <s v="RECURRING ENTRY ENDS 10/30; FV50 NEEDED 11/30"/>
    <s v="20190430"/>
    <x v="2"/>
    <d v="2019-04-30T00:00:00"/>
    <n v="-130.22"/>
  </r>
  <r>
    <s v="100027228"/>
    <s v="SA"/>
    <s v="40540 PD0015"/>
    <x v="0"/>
    <s v="RECURRING ENTRY ENDS 04/36; FV50 NEEDED 05/36"/>
    <s v="20190430"/>
    <x v="3"/>
    <d v="2019-04-30T00:00:00"/>
    <n v="-6872.38"/>
  </r>
  <r>
    <s v="100027229"/>
    <s v="SA"/>
    <s v="40548 PD0015"/>
    <x v="0"/>
    <s v="RECURRING ENTRY ENDS 04/36; FV50 NEEDED 05/36"/>
    <s v="20190430"/>
    <x v="3"/>
    <d v="2019-04-30T00:00:00"/>
    <n v="-4630.24"/>
  </r>
  <r>
    <s v="100027230"/>
    <s v="SA"/>
    <s v="40540 PD0020"/>
    <x v="0"/>
    <s v="RECURRING ENTRY ENDS 04/37; FV50 NEEDED 05/37"/>
    <s v="20190430"/>
    <x v="4"/>
    <d v="2019-04-30T00:00:00"/>
    <n v="-3059.89"/>
  </r>
  <r>
    <s v="100027231"/>
    <s v="SA"/>
    <s v="40540 PD0014"/>
    <x v="0"/>
    <s v="RECURRING ENTRY ENDS 10/34; FV50 NEEDED 11/34"/>
    <s v="20190430"/>
    <x v="5"/>
    <d v="2019-04-30T00:00:00"/>
    <n v="-8058.13"/>
  </r>
  <r>
    <s v="100027232"/>
    <s v="SA"/>
    <s v="40540 PD0012"/>
    <x v="0"/>
    <s v="RECURRING ENTRY ENDS 07/25; FV50 NEEDED 08/25"/>
    <s v="20190430"/>
    <x v="13"/>
    <d v="2019-04-30T00:00:00"/>
    <n v="-4399.9399999999996"/>
  </r>
  <r>
    <s v="100027233"/>
    <s v="SA"/>
    <s v="40540 PD0023"/>
    <x v="0"/>
    <s v="RECURRING ENTRY ENDS 09/20; FV50 NEEDED 10/20"/>
    <s v="20190430"/>
    <x v="14"/>
    <d v="2019-04-30T00:00:00"/>
    <n v="-2351.71"/>
  </r>
  <r>
    <s v="100027234"/>
    <s v="SA"/>
    <s v="40547 PD0023"/>
    <x v="0"/>
    <s v="RECURRING ENTRY ENDS 09/20; FV50 NEEDED 10/20"/>
    <s v="20190430"/>
    <x v="14"/>
    <d v="2019-04-30T00:00:00"/>
    <n v="-63.12"/>
  </r>
  <r>
    <s v="100027245"/>
    <s v="SA"/>
    <s v="40540 PD0025"/>
    <x v="0"/>
    <s v="RECURRING ENTRY ENDS 04/42,FV50 NEEDED 05/42"/>
    <s v="20190430"/>
    <x v="17"/>
    <d v="2019-04-30T00:00:00"/>
    <n v="-7123.53"/>
  </r>
  <r>
    <s v="100027246"/>
    <s v="SA"/>
    <s v="40540 PD0026"/>
    <x v="0"/>
    <s v="$225M Bonds Due 2022"/>
    <s v="20190430"/>
    <x v="0"/>
    <d v="2019-04-30T00:00:00"/>
    <n v="-14668.67"/>
  </r>
  <r>
    <s v="100027270"/>
    <s v="SA"/>
    <s v="40540_PD0027"/>
    <x v="0"/>
    <s v="RECURRING ENTRY ENDS 03/44; FV50 NEEDED 04/44"/>
    <s v="20190430"/>
    <x v="1"/>
    <d v="2019-04-30T00:00:00"/>
    <n v="-8710.42"/>
  </r>
  <r>
    <s v="100027274"/>
    <s v="SA"/>
    <s v="40540 PD0028"/>
    <x v="0"/>
    <s v="$230M Bond due 2045"/>
    <s v="20190430"/>
    <x v="19"/>
    <d v="2019-04-30T00:00:00"/>
    <n v="-7028.09"/>
  </r>
  <r>
    <s v="100027348"/>
    <s v="SA"/>
    <s v="40540 PD0034"/>
    <x v="0"/>
    <s v="$350M Notes due 2048 4.3% - Amortization Debt"/>
    <s v="20190430"/>
    <x v="20"/>
    <d v="2019-04-30T00:00:00"/>
    <n v="-8384.43"/>
  </r>
  <r>
    <s v="9100000807"/>
    <s v="YP"/>
    <s v="89801-7"/>
    <x v="0"/>
    <s v="$375M Notes due 2049 4.45% - Amortization Debt"/>
    <s v="20190430"/>
    <x v="21"/>
    <d v="2019-04-30T00:00:00"/>
    <n v="-10043.23"/>
  </r>
  <r>
    <s v="9100000807"/>
    <s v="YP"/>
    <s v="89801-7"/>
    <x v="0"/>
    <s v="Locke Lord LLP, Dallas Inv Reclass"/>
    <s v="20190430"/>
    <x v="13"/>
    <d v="2019-04-30T00:00:00"/>
    <n v="-2975.87"/>
  </r>
  <r>
    <s v="9100000808"/>
    <s v="YP"/>
    <s v="89801-8"/>
    <x v="0"/>
    <s v="Reclass Emmet, Marvin &amp; Martin, LLP Invoice"/>
    <s v="20190430"/>
    <x v="20"/>
    <d v="2019-04-30T00:00:00"/>
    <n v="-6757.46"/>
  </r>
  <r>
    <s v="100034650"/>
    <s v="SA"/>
    <s v="40540"/>
    <x v="0"/>
    <s v="RECURRING ENTRY ENDS 10/30; FV50 NEEDED 11/30"/>
    <s v="20190531"/>
    <x v="2"/>
    <d v="2019-05-31T00:00:00"/>
    <n v="-6400.96"/>
  </r>
  <r>
    <s v="100034651"/>
    <s v="SA"/>
    <s v="40547 PD0013"/>
    <x v="0"/>
    <s v="RECURRING ENTRY ENDS 10/30; FV50 NEEDED 11/30"/>
    <s v="20190531"/>
    <x v="2"/>
    <d v="2019-05-31T00:00:00"/>
    <n v="-130.22"/>
  </r>
  <r>
    <s v="100034652"/>
    <s v="SA"/>
    <s v="40540 PD0015"/>
    <x v="0"/>
    <s v="RECURRING ENTRY ENDS 04/36; FV50 NEEDED 05/36"/>
    <s v="20190531"/>
    <x v="3"/>
    <d v="2019-05-31T00:00:00"/>
    <n v="-6872.38"/>
  </r>
  <r>
    <s v="100034653"/>
    <s v="SA"/>
    <s v="40548 PD0015"/>
    <x v="0"/>
    <s v="RECURRING ENTRY ENDS 04/36; FV50 NEEDED 05/36"/>
    <s v="20190531"/>
    <x v="3"/>
    <d v="2019-05-31T00:00:00"/>
    <n v="-4630.24"/>
  </r>
  <r>
    <s v="100034654"/>
    <s v="SA"/>
    <s v="40540 PD0020"/>
    <x v="0"/>
    <s v="RECURRING ENTRY ENDS 04/37; FV50 NEEDED 05/37"/>
    <s v="20190531"/>
    <x v="4"/>
    <d v="2019-05-31T00:00:00"/>
    <n v="-3059.89"/>
  </r>
  <r>
    <s v="100034655"/>
    <s v="SA"/>
    <s v="40540 PD0014"/>
    <x v="0"/>
    <s v="RECURRING ENTRY ENDS 10/34; FV50 NEEDED 11/34"/>
    <s v="20190531"/>
    <x v="5"/>
    <d v="2019-05-31T00:00:00"/>
    <n v="-8058.13"/>
  </r>
  <r>
    <s v="100034656"/>
    <s v="SA"/>
    <s v="40540 PD0012"/>
    <x v="0"/>
    <s v="RECURRING ENTRY ENDS 07/25; FV50 NEEDED 08/25"/>
    <s v="20190531"/>
    <x v="13"/>
    <d v="2019-05-31T00:00:00"/>
    <n v="-4399.9399999999996"/>
  </r>
  <r>
    <s v="100034657"/>
    <s v="SA"/>
    <s v="40540 PD0023"/>
    <x v="0"/>
    <s v="RECURRING ENTRY ENDS 09/20; FV50 NEEDED 10/20"/>
    <s v="20190531"/>
    <x v="14"/>
    <d v="2019-05-31T00:00:00"/>
    <n v="-2351.71"/>
  </r>
  <r>
    <s v="100034658"/>
    <s v="SA"/>
    <s v="40547 PD0023"/>
    <x v="0"/>
    <s v="RECURRING ENTRY ENDS 09/20; FV50 NEEDED 10/20"/>
    <s v="20190531"/>
    <x v="14"/>
    <d v="2019-05-31T00:00:00"/>
    <n v="-63.12"/>
  </r>
  <r>
    <s v="100034669"/>
    <s v="SA"/>
    <s v="40540 PD0025"/>
    <x v="0"/>
    <s v="RECURRING ENTRY ENDS 04/42,FV50 NEEDED 05/42"/>
    <s v="20190531"/>
    <x v="17"/>
    <d v="2019-05-31T00:00:00"/>
    <n v="-7123.53"/>
  </r>
  <r>
    <s v="100034670"/>
    <s v="SA"/>
    <s v="40540 PD0026"/>
    <x v="0"/>
    <s v="$225M Bonds Due 2022"/>
    <s v="20190531"/>
    <x v="0"/>
    <d v="2019-05-31T00:00:00"/>
    <n v="-14668.67"/>
  </r>
  <r>
    <s v="100034694"/>
    <s v="SA"/>
    <s v="40540_PD0027"/>
    <x v="0"/>
    <s v="RECURRING ENTRY ENDS 03/44; FV50 NEEDED 04/44"/>
    <s v="20190531"/>
    <x v="1"/>
    <d v="2019-05-31T00:00:00"/>
    <n v="-8710.42"/>
  </r>
  <r>
    <s v="100034698"/>
    <s v="SA"/>
    <s v="40540 PD0028"/>
    <x v="0"/>
    <s v="$230M Bond due 2045"/>
    <s v="20190531"/>
    <x v="19"/>
    <d v="2019-05-31T00:00:00"/>
    <n v="-7028.09"/>
  </r>
  <r>
    <s v="100034770"/>
    <s v="SA"/>
    <s v="40540 PD0034"/>
    <x v="0"/>
    <s v="$350M Notes due 2048 4.3% - Amortization Debt"/>
    <s v="20190531"/>
    <x v="20"/>
    <d v="2019-05-31T00:00:00"/>
    <n v="-8384.43"/>
  </r>
  <r>
    <s v="9100001047"/>
    <s v="YP"/>
    <s v="89801-10"/>
    <x v="0"/>
    <s v="$375M Notes due 2049 4.45% - Amortization Debt"/>
    <s v="20190531"/>
    <x v="21"/>
    <d v="2019-05-31T00:00:00"/>
    <n v="-10043.23"/>
  </r>
  <r>
    <s v="100040792"/>
    <s v="SA"/>
    <s v="40540"/>
    <x v="0"/>
    <s v="RECURRING ENTRY ENDS 10/30; FV50 NEEDED 11/30"/>
    <s v="20190630"/>
    <x v="2"/>
    <d v="2019-06-30T00:00:00"/>
    <n v="-6400.96"/>
  </r>
  <r>
    <s v="100040793"/>
    <s v="SA"/>
    <s v="40547 PD0013"/>
    <x v="0"/>
    <s v="RECURRING ENTRY ENDS 10/30; FV50 NEEDED 11/30"/>
    <s v="20190630"/>
    <x v="2"/>
    <d v="2019-06-30T00:00:00"/>
    <n v="-130.22"/>
  </r>
  <r>
    <s v="100040794"/>
    <s v="SA"/>
    <s v="40540 PD0015"/>
    <x v="0"/>
    <s v="RECURRING ENTRY ENDS 04/36; FV50 NEEDED 05/36"/>
    <s v="20190630"/>
    <x v="3"/>
    <d v="2019-06-30T00:00:00"/>
    <n v="-6872.38"/>
  </r>
  <r>
    <s v="100040795"/>
    <s v="SA"/>
    <s v="40548 PD0015"/>
    <x v="0"/>
    <s v="RECURRING ENTRY ENDS 04/36; FV50 NEEDED 05/36"/>
    <s v="20190630"/>
    <x v="3"/>
    <d v="2019-06-30T00:00:00"/>
    <n v="-4630.24"/>
  </r>
  <r>
    <s v="100040796"/>
    <s v="SA"/>
    <s v="40540 PD0020"/>
    <x v="0"/>
    <s v="RECURRING ENTRY ENDS 04/37; FV50 NEEDED 05/37"/>
    <s v="20190630"/>
    <x v="4"/>
    <d v="2019-06-30T00:00:00"/>
    <n v="-3059.89"/>
  </r>
  <r>
    <s v="100040797"/>
    <s v="SA"/>
    <s v="40540 PD0014"/>
    <x v="0"/>
    <s v="RECURRING ENTRY ENDS 10/34; FV50 NEEDED 11/34"/>
    <s v="20190630"/>
    <x v="5"/>
    <d v="2019-06-30T00:00:00"/>
    <n v="-8058.13"/>
  </r>
  <r>
    <s v="100040798"/>
    <s v="SA"/>
    <s v="40540 PD0012"/>
    <x v="0"/>
    <s v="RECURRING ENTRY ENDS 07/25; FV50 NEEDED 08/25"/>
    <s v="20190630"/>
    <x v="13"/>
    <d v="2019-06-30T00:00:00"/>
    <n v="-4399.9399999999996"/>
  </r>
  <r>
    <s v="100040799"/>
    <s v="SA"/>
    <s v="40540 PD0023"/>
    <x v="0"/>
    <s v="RECURRING ENTRY ENDS 09/20; FV50 NEEDED 10/20"/>
    <s v="20190630"/>
    <x v="14"/>
    <d v="2019-06-30T00:00:00"/>
    <n v="-2351.71"/>
  </r>
  <r>
    <s v="100040800"/>
    <s v="SA"/>
    <s v="40547 PD0023"/>
    <x v="0"/>
    <s v="RECURRING ENTRY ENDS 09/20; FV50 NEEDED 10/20"/>
    <s v="20190630"/>
    <x v="14"/>
    <d v="2019-06-30T00:00:00"/>
    <n v="-63.12"/>
  </r>
  <r>
    <s v="100040811"/>
    <s v="SA"/>
    <s v="40540 PD0025"/>
    <x v="0"/>
    <s v="RECURRING ENTRY ENDS 04/42,FV50 NEEDED 05/42"/>
    <s v="20190630"/>
    <x v="17"/>
    <d v="2019-06-30T00:00:00"/>
    <n v="-7123.53"/>
  </r>
  <r>
    <s v="100040812"/>
    <s v="SA"/>
    <s v="40540 PD0026"/>
    <x v="0"/>
    <s v="$225M Bonds Due 2022"/>
    <s v="20190630"/>
    <x v="0"/>
    <d v="2019-06-30T00:00:00"/>
    <n v="-14668.67"/>
  </r>
  <r>
    <s v="100040836"/>
    <s v="SA"/>
    <s v="40540_PD0027"/>
    <x v="0"/>
    <s v="RECURRING ENTRY ENDS 03/44; FV50 NEEDED 04/44"/>
    <s v="20190630"/>
    <x v="1"/>
    <d v="2019-06-30T00:00:00"/>
    <n v="-8710.42"/>
  </r>
  <r>
    <s v="100040840"/>
    <s v="SA"/>
    <s v="40540 PD0028"/>
    <x v="0"/>
    <s v="$230M Bond due 2045"/>
    <s v="20190630"/>
    <x v="19"/>
    <d v="2019-06-30T00:00:00"/>
    <n v="-7028.09"/>
  </r>
  <r>
    <s v="100040909"/>
    <s v="SA"/>
    <s v="40540 PD0034"/>
    <x v="0"/>
    <s v="$350M Notes due 2048 4.3% - Amortization Debt"/>
    <s v="20190630"/>
    <x v="20"/>
    <d v="2019-06-30T00:00:00"/>
    <n v="-8384.43"/>
  </r>
  <r>
    <s v="100040926"/>
    <s v="SA"/>
    <s v="40540 PD0035"/>
    <x v="0"/>
    <s v="$375M Notes due 2049 4.45% - Amortization Debt"/>
    <s v="20190630"/>
    <x v="21"/>
    <d v="2019-06-30T00:00:00"/>
    <n v="-10043.23"/>
  </r>
  <r>
    <s v="9100001432"/>
    <s v="YP"/>
    <s v="FILING FEE 0719"/>
    <x v="0"/>
    <s v="FILING FEE 0719"/>
    <s v="20190719"/>
    <x v="22"/>
    <d v="2019-07-30T00:00:00"/>
    <n v="6110.5"/>
  </r>
  <r>
    <s v="600023669"/>
    <s v="YO"/>
    <s v="JPMN ACWI 19774"/>
    <x v="0"/>
    <s v=""/>
    <s v="20190724"/>
    <x v="22"/>
    <d v="2019-07-24T00:00:00"/>
    <n v="2406250"/>
  </r>
  <r>
    <s v="9100001518"/>
    <s v="YP"/>
    <s v="427698"/>
    <x v="0"/>
    <s v="*INV#427698"/>
    <s v="20190725"/>
    <x v="22"/>
    <d v="2019-08-07T00:00:00"/>
    <n v="6692.83"/>
  </r>
  <r>
    <s v="9100001518"/>
    <s v="YP"/>
    <s v="427698"/>
    <x v="0"/>
    <s v="*INV#427698"/>
    <s v="20190725"/>
    <x v="22"/>
    <d v="2019-08-07T00:00:00"/>
    <n v="608.44000000000005"/>
  </r>
  <r>
    <s v="9100001519"/>
    <s v="YP"/>
    <s v="11374996"/>
    <x v="0"/>
    <s v="*INV#11374996"/>
    <s v="20190725"/>
    <x v="22"/>
    <d v="2019-08-07T00:00:00"/>
    <n v="191125"/>
  </r>
  <r>
    <s v="9100001536"/>
    <s v="YP"/>
    <s v="7119056592"/>
    <x v="0"/>
    <s v="*INV#71190592"/>
    <s v="20190729"/>
    <x v="22"/>
    <d v="2019-08-12T00:00:00"/>
    <n v="137500"/>
  </r>
  <r>
    <s v="100048425"/>
    <s v="SA"/>
    <s v="40540"/>
    <x v="0"/>
    <s v="RECURRING ENTRY ENDS 10/30; FV50 NEEDED 11/30"/>
    <s v="20190731"/>
    <x v="2"/>
    <d v="2019-07-31T00:00:00"/>
    <n v="-6400.96"/>
  </r>
  <r>
    <s v="100048426"/>
    <s v="SA"/>
    <s v="40547 PD0013"/>
    <x v="0"/>
    <s v="RECURRING ENTRY ENDS 10/30; FV50 NEEDED 11/30"/>
    <s v="20190731"/>
    <x v="2"/>
    <d v="2019-07-31T00:00:00"/>
    <n v="-130.22"/>
  </r>
  <r>
    <s v="100048427"/>
    <s v="SA"/>
    <s v="40540 PD0015"/>
    <x v="0"/>
    <s v="RECURRING ENTRY ENDS 04/36; FV50 NEEDED 05/36"/>
    <s v="20190731"/>
    <x v="3"/>
    <d v="2019-07-31T00:00:00"/>
    <n v="-6872.38"/>
  </r>
  <r>
    <s v="100048428"/>
    <s v="SA"/>
    <s v="40548 PD0015"/>
    <x v="0"/>
    <s v="RECURRING ENTRY ENDS 04/36; FV50 NEEDED 05/36"/>
    <s v="20190731"/>
    <x v="3"/>
    <d v="2019-07-31T00:00:00"/>
    <n v="-4630.24"/>
  </r>
  <r>
    <s v="100048429"/>
    <s v="SA"/>
    <s v="40540 PD0020"/>
    <x v="0"/>
    <s v="RECURRING ENTRY ENDS 04/37; FV50 NEEDED 05/37"/>
    <s v="20190731"/>
    <x v="4"/>
    <d v="2019-07-31T00:00:00"/>
    <n v="-3059.89"/>
  </r>
  <r>
    <s v="100048430"/>
    <s v="SA"/>
    <s v="40540 PD0014"/>
    <x v="0"/>
    <s v="RECURRING ENTRY ENDS 10/34; FV50 NEEDED 11/34"/>
    <s v="20190731"/>
    <x v="5"/>
    <d v="2019-07-31T00:00:00"/>
    <n v="-8058.13"/>
  </r>
  <r>
    <s v="100048431"/>
    <s v="SA"/>
    <s v="40540 PD0012"/>
    <x v="0"/>
    <s v="RECURRING ENTRY ENDS 07/25; FV50 NEEDED 08/25"/>
    <s v="20190731"/>
    <x v="13"/>
    <d v="2019-07-31T00:00:00"/>
    <n v="-4399.9399999999996"/>
  </r>
  <r>
    <s v="100048432"/>
    <s v="SA"/>
    <s v="40540 PD0023"/>
    <x v="0"/>
    <s v="RECURRING ENTRY ENDS 09/20; FV50 NEEDED 10/20"/>
    <s v="20190731"/>
    <x v="14"/>
    <d v="2019-07-31T00:00:00"/>
    <n v="-2351.71"/>
  </r>
  <r>
    <s v="100048433"/>
    <s v="SA"/>
    <s v="40547 PD0023"/>
    <x v="0"/>
    <s v="RECURRING ENTRY ENDS 09/20; FV50 NEEDED 10/20"/>
    <s v="20190731"/>
    <x v="14"/>
    <d v="2019-07-31T00:00:00"/>
    <n v="-63.12"/>
  </r>
  <r>
    <s v="100048444"/>
    <s v="SA"/>
    <s v="40540 PD0025"/>
    <x v="0"/>
    <s v="RECURRING ENTRY ENDS 04/42,FV50 NEEDED 05/42"/>
    <s v="20190731"/>
    <x v="17"/>
    <d v="2019-07-31T00:00:00"/>
    <n v="-7123.53"/>
  </r>
  <r>
    <s v="100048445"/>
    <s v="SA"/>
    <s v="40540 PD0026"/>
    <x v="0"/>
    <s v="$225M Bonds Due 2022"/>
    <s v="20190731"/>
    <x v="0"/>
    <d v="2019-07-31T00:00:00"/>
    <n v="-14668.67"/>
  </r>
  <r>
    <s v="100048469"/>
    <s v="SA"/>
    <s v="40540_PD0027"/>
    <x v="0"/>
    <s v="RECURRING ENTRY ENDS 03/44; FV50 NEEDED 04/44"/>
    <s v="20190731"/>
    <x v="1"/>
    <d v="2019-07-31T00:00:00"/>
    <n v="-8710.42"/>
  </r>
  <r>
    <s v="100048473"/>
    <s v="SA"/>
    <s v="40540 PD0028"/>
    <x v="0"/>
    <s v="$230M Bond due 2045"/>
    <s v="20190731"/>
    <x v="19"/>
    <d v="2019-07-31T00:00:00"/>
    <n v="-7028.09"/>
  </r>
  <r>
    <s v="100048542"/>
    <s v="SA"/>
    <s v="40540 PD0034"/>
    <x v="0"/>
    <s v="$350M Notes due 2048 4.3% - Amortization Debt"/>
    <s v="20190731"/>
    <x v="20"/>
    <d v="2019-07-31T00:00:00"/>
    <n v="-8384.43"/>
  </r>
  <r>
    <s v="100048559"/>
    <s v="SA"/>
    <s v="40540 PD0035"/>
    <x v="0"/>
    <s v="$375M Notes due 2049 4.45% - Amortization Debt"/>
    <s v="20190731"/>
    <x v="21"/>
    <d v="2019-07-31T00:00:00"/>
    <n v="-10043.23"/>
  </r>
  <r>
    <s v="9100001521"/>
    <s v="YP"/>
    <s v="1277762600"/>
    <x v="0"/>
    <s v=""/>
    <s v="20190731"/>
    <x v="22"/>
    <d v="2019-08-08T00:00:00"/>
    <n v="13337.5"/>
  </r>
  <r>
    <s v="9100001607"/>
    <s v="YP"/>
    <s v="US01U000174289"/>
    <x v="0"/>
    <s v=""/>
    <s v="20190801"/>
    <x v="22"/>
    <d v="2019-08-23T00:00:00"/>
    <n v="91666.67"/>
  </r>
  <r>
    <s v="9100001608"/>
    <s v="YP"/>
    <s v="1034291523-7"/>
    <x v="0"/>
    <s v=""/>
    <s v="20190806"/>
    <x v="22"/>
    <d v="2019-08-23T00:00:00"/>
    <n v="53166.67"/>
  </r>
  <r>
    <s v="9200045088"/>
    <s v="YI"/>
    <s v="1515610"/>
    <x v="0"/>
    <s v="Locke Lord LLP, Dallas"/>
    <s v="20190807"/>
    <x v="22"/>
    <d v="2019-09-16T00:00:00"/>
    <n v="121015.41"/>
  </r>
  <r>
    <s v="9100001606"/>
    <s v="YP"/>
    <s v="111-1840938"/>
    <x v="0"/>
    <s v="*TAMPA2050"/>
    <s v="20190808"/>
    <x v="22"/>
    <d v="2019-08-23T00:00:00"/>
    <n v="1833.33"/>
  </r>
  <r>
    <s v="1900005318"/>
    <s v="KR"/>
    <s v="1230161"/>
    <x v="0"/>
    <s v="*INV#1230161"/>
    <s v="20190815"/>
    <x v="18"/>
    <d v="2019-09-12T00:00:00"/>
    <n v="5712"/>
  </r>
  <r>
    <s v="1900004839"/>
    <s v="KR"/>
    <s v="428011"/>
    <x v="0"/>
    <s v=""/>
    <s v="20190816"/>
    <x v="18"/>
    <d v="2019-08-22T00:00:00"/>
    <n v="986.9"/>
  </r>
  <r>
    <s v="1900004881"/>
    <s v="KR"/>
    <s v="REGISTRATION FEE"/>
    <x v="0"/>
    <s v="REGISTRATION FEE"/>
    <s v="20190816"/>
    <x v="18"/>
    <d v="2019-08-23T00:00:00"/>
    <n v="242400"/>
  </r>
  <r>
    <s v="9100001605"/>
    <s v="YP"/>
    <s v="STAMP TAX"/>
    <x v="0"/>
    <s v="*TAMPA ELECTRIC STAMP TAX"/>
    <s v="20190822"/>
    <x v="22"/>
    <d v="2019-08-23T00:00:00"/>
    <n v="2245.83"/>
  </r>
  <r>
    <s v="100055047"/>
    <s v="SA"/>
    <s v="40540"/>
    <x v="0"/>
    <s v="RECURRING ENTRY ENDS 10/30; FV50 NEEDED 11/30"/>
    <s v="20190831"/>
    <x v="2"/>
    <d v="2019-08-31T00:00:00"/>
    <n v="-6400.96"/>
  </r>
  <r>
    <s v="100055048"/>
    <s v="SA"/>
    <s v="40547 PD0013"/>
    <x v="0"/>
    <s v="RECURRING ENTRY ENDS 10/30; FV50 NEEDED 11/30"/>
    <s v="20190831"/>
    <x v="2"/>
    <d v="2019-08-31T00:00:00"/>
    <n v="-130.22"/>
  </r>
  <r>
    <s v="100055049"/>
    <s v="SA"/>
    <s v="40540 PD0015"/>
    <x v="0"/>
    <s v="RECURRING ENTRY ENDS 04/36; FV50 NEEDED 05/36"/>
    <s v="20190831"/>
    <x v="3"/>
    <d v="2019-08-31T00:00:00"/>
    <n v="-6872.38"/>
  </r>
  <r>
    <s v="100055050"/>
    <s v="SA"/>
    <s v="40548 PD0015"/>
    <x v="0"/>
    <s v="RECURRING ENTRY ENDS 04/36; FV50 NEEDED 05/36"/>
    <s v="20190831"/>
    <x v="3"/>
    <d v="2019-08-31T00:00:00"/>
    <n v="-4630.24"/>
  </r>
  <r>
    <s v="100055051"/>
    <s v="SA"/>
    <s v="40540 PD0020"/>
    <x v="0"/>
    <s v="RECURRING ENTRY ENDS 04/37; FV50 NEEDED 05/37"/>
    <s v="20190831"/>
    <x v="4"/>
    <d v="2019-08-31T00:00:00"/>
    <n v="-3059.89"/>
  </r>
  <r>
    <s v="100055052"/>
    <s v="SA"/>
    <s v="40540 PD0014"/>
    <x v="0"/>
    <s v="RECURRING ENTRY ENDS 10/34; FV50 NEEDED 11/34"/>
    <s v="20190831"/>
    <x v="5"/>
    <d v="2019-08-31T00:00:00"/>
    <n v="-8058.13"/>
  </r>
  <r>
    <s v="100055053"/>
    <s v="SA"/>
    <s v="40540 PD0012"/>
    <x v="0"/>
    <s v="RECURRING ENTRY ENDS 07/25; FV50 NEEDED 08/25"/>
    <s v="20190831"/>
    <x v="13"/>
    <d v="2019-08-31T00:00:00"/>
    <n v="-4399.9399999999996"/>
  </r>
  <r>
    <s v="100055054"/>
    <s v="SA"/>
    <s v="40540 PD0023"/>
    <x v="0"/>
    <s v="RECURRING ENTRY ENDS 09/20; FV50 NEEDED 10/20"/>
    <s v="20190831"/>
    <x v="14"/>
    <d v="2019-08-31T00:00:00"/>
    <n v="-2351.71"/>
  </r>
  <r>
    <s v="100055055"/>
    <s v="SA"/>
    <s v="40547 PD0023"/>
    <x v="0"/>
    <s v="RECURRING ENTRY ENDS 09/20; FV50 NEEDED 10/20"/>
    <s v="20190831"/>
    <x v="14"/>
    <d v="2019-08-31T00:00:00"/>
    <n v="-63.12"/>
  </r>
  <r>
    <s v="100055066"/>
    <s v="SA"/>
    <s v="40540 PD0025"/>
    <x v="0"/>
    <s v="RECURRING ENTRY ENDS 04/42,FV50 NEEDED 05/42"/>
    <s v="20190831"/>
    <x v="17"/>
    <d v="2019-08-31T00:00:00"/>
    <n v="-7123.53"/>
  </r>
  <r>
    <s v="100055067"/>
    <s v="SA"/>
    <s v="40540 PD0026"/>
    <x v="0"/>
    <s v="$225M Bonds Due 2022"/>
    <s v="20190831"/>
    <x v="0"/>
    <d v="2019-08-31T00:00:00"/>
    <n v="-14668.67"/>
  </r>
  <r>
    <s v="100055091"/>
    <s v="SA"/>
    <s v="40540_PD0027"/>
    <x v="0"/>
    <s v="RECURRING ENTRY ENDS 03/44; FV50 NEEDED 04/44"/>
    <s v="20190831"/>
    <x v="1"/>
    <d v="2019-08-31T00:00:00"/>
    <n v="-8710.42"/>
  </r>
  <r>
    <s v="100055095"/>
    <s v="SA"/>
    <s v="40540 PD0028"/>
    <x v="0"/>
    <s v="$230M Bond due 2045"/>
    <s v="20190831"/>
    <x v="19"/>
    <d v="2019-08-31T00:00:00"/>
    <n v="-7028.09"/>
  </r>
  <r>
    <s v="100055159"/>
    <s v="SA"/>
    <s v="40540 PD0034"/>
    <x v="0"/>
    <s v="$350M Notes due 2048 4.3% - Amortization Debt"/>
    <s v="20190831"/>
    <x v="20"/>
    <d v="2019-08-31T00:00:00"/>
    <n v="-8384.43"/>
  </r>
  <r>
    <s v="100055176"/>
    <s v="SA"/>
    <s v="40540 PD0035"/>
    <x v="0"/>
    <s v="$375M Notes due 2049 4.45% - Amortization Debt"/>
    <s v="20190831"/>
    <x v="21"/>
    <d v="2019-08-31T00:00:00"/>
    <n v="-10043.23"/>
  </r>
  <r>
    <s v="9100001688"/>
    <s v="YP"/>
    <s v="89801-6"/>
    <x v="0"/>
    <s v="$300M Notes due 2050 3.625% - Amortization Debt"/>
    <s v="20190831"/>
    <x v="22"/>
    <d v="2019-08-31T00:00:00"/>
    <n v="-7845.14"/>
  </r>
  <r>
    <s v="9100001688"/>
    <s v="YP"/>
    <s v="89801-6"/>
    <x v="0"/>
    <s v="Reclass *Inv#427698 Emmet Marvin &amp; Martin Inv"/>
    <s v="20190831"/>
    <x v="22"/>
    <d v="2019-08-31T00:00:00"/>
    <n v="-608.44000000000005"/>
  </r>
  <r>
    <s v="9100001688"/>
    <s v="YP"/>
    <s v="89801-6"/>
    <x v="0"/>
    <s v="Reclass Locke Lord LLP, Dallas"/>
    <s v="20190831"/>
    <x v="22"/>
    <d v="2019-08-31T00:00:00"/>
    <n v="-238.06"/>
  </r>
  <r>
    <s v="9100001688"/>
    <s v="YP"/>
    <s v="89801-6"/>
    <x v="0"/>
    <s v="Reclass Locke Lord LLP, Dallas"/>
    <s v="20190831"/>
    <x v="22"/>
    <d v="2019-08-31T00:00:00"/>
    <n v="233.81"/>
  </r>
  <r>
    <s v="1900005747"/>
    <s v="KR"/>
    <s v="1034317529-4"/>
    <x v="0"/>
    <s v="*INV#1034317529-4"/>
    <s v="20190911"/>
    <x v="18"/>
    <d v="2019-10-03T00:00:00"/>
    <n v="12000"/>
  </r>
  <r>
    <s v="9200053476"/>
    <s v="YI"/>
    <s v="1523668"/>
    <x v="0"/>
    <s v="Locke Lord LLP, Dallas"/>
    <s v="20190911"/>
    <x v="18"/>
    <d v="2019-11-06T00:00:00"/>
    <n v="15271.72"/>
  </r>
  <r>
    <s v="1900006381"/>
    <s v="KR"/>
    <s v="US01U000197795"/>
    <x v="0"/>
    <s v=""/>
    <s v="20190912"/>
    <x v="18"/>
    <d v="2019-10-28T00:00:00"/>
    <n v="10000"/>
  </r>
  <r>
    <s v="100061997"/>
    <s v="SA"/>
    <s v="40540"/>
    <x v="0"/>
    <s v="RECURRING ENTRY ENDS 10/30; FV50 NEEDED 11/30"/>
    <s v="20190930"/>
    <x v="2"/>
    <d v="2019-09-30T00:00:00"/>
    <n v="-6400.96"/>
  </r>
  <r>
    <s v="100061998"/>
    <s v="SA"/>
    <s v="40547 PD0013"/>
    <x v="0"/>
    <s v="RECURRING ENTRY ENDS 10/30; FV50 NEEDED 11/30"/>
    <s v="20190930"/>
    <x v="2"/>
    <d v="2019-09-30T00:00:00"/>
    <n v="-130.22"/>
  </r>
  <r>
    <s v="100061999"/>
    <s v="SA"/>
    <s v="40540 PD0015"/>
    <x v="0"/>
    <s v="RECURRING ENTRY ENDS 04/36; FV50 NEEDED 05/36"/>
    <s v="20190930"/>
    <x v="3"/>
    <d v="2019-09-30T00:00:00"/>
    <n v="-6872.38"/>
  </r>
  <r>
    <s v="100062000"/>
    <s v="SA"/>
    <s v="40548 PD0015"/>
    <x v="0"/>
    <s v="RECURRING ENTRY ENDS 04/36; FV50 NEEDED 05/36"/>
    <s v="20190930"/>
    <x v="3"/>
    <d v="2019-09-30T00:00:00"/>
    <n v="-4630.24"/>
  </r>
  <r>
    <s v="100062001"/>
    <s v="SA"/>
    <s v="40540 PD0020"/>
    <x v="0"/>
    <s v="RECURRING ENTRY ENDS 04/37; FV50 NEEDED 05/37"/>
    <s v="20190930"/>
    <x v="4"/>
    <d v="2019-09-30T00:00:00"/>
    <n v="-3059.89"/>
  </r>
  <r>
    <s v="100062002"/>
    <s v="SA"/>
    <s v="40540 PD0014"/>
    <x v="0"/>
    <s v="RECURRING ENTRY ENDS 10/34; FV50 NEEDED 11/34"/>
    <s v="20190930"/>
    <x v="5"/>
    <d v="2019-09-30T00:00:00"/>
    <n v="-8058.13"/>
  </r>
  <r>
    <s v="100062003"/>
    <s v="SA"/>
    <s v="40540 PD0012"/>
    <x v="0"/>
    <s v="RECURRING ENTRY ENDS 07/25; FV50 NEEDED 08/25"/>
    <s v="20190930"/>
    <x v="13"/>
    <d v="2019-09-30T00:00:00"/>
    <n v="-4399.9399999999996"/>
  </r>
  <r>
    <s v="100062004"/>
    <s v="SA"/>
    <s v="40540 PD0023"/>
    <x v="0"/>
    <s v="RECURRING ENTRY ENDS 09/20; FV50 NEEDED 10/20"/>
    <s v="20190930"/>
    <x v="14"/>
    <d v="2019-09-30T00:00:00"/>
    <n v="-2351.71"/>
  </r>
  <r>
    <s v="100062005"/>
    <s v="SA"/>
    <s v="40547 PD0023"/>
    <x v="0"/>
    <s v="RECURRING ENTRY ENDS 09/20; FV50 NEEDED 10/20"/>
    <s v="20190930"/>
    <x v="14"/>
    <d v="2019-09-30T00:00:00"/>
    <n v="-63.12"/>
  </r>
  <r>
    <s v="100062016"/>
    <s v="SA"/>
    <s v="40540 PD0025"/>
    <x v="0"/>
    <s v="RECURRING ENTRY ENDS 04/42,FV50 NEEDED 05/42"/>
    <s v="20190930"/>
    <x v="17"/>
    <d v="2019-09-30T00:00:00"/>
    <n v="-7123.53"/>
  </r>
  <r>
    <s v="100062017"/>
    <s v="SA"/>
    <s v="40540 PD0026"/>
    <x v="0"/>
    <s v="$225M Bonds Due 2022"/>
    <s v="20190930"/>
    <x v="0"/>
    <d v="2019-09-30T00:00:00"/>
    <n v="-14668.67"/>
  </r>
  <r>
    <s v="100062041"/>
    <s v="SA"/>
    <s v="40540_PD0027"/>
    <x v="0"/>
    <s v="RECURRING ENTRY ENDS 03/44; FV50 NEEDED 04/44"/>
    <s v="20190930"/>
    <x v="1"/>
    <d v="2019-09-30T00:00:00"/>
    <n v="-8710.42"/>
  </r>
  <r>
    <s v="100062045"/>
    <s v="SA"/>
    <s v="40540 PD0028"/>
    <x v="0"/>
    <s v="$230M Bond due 2045"/>
    <s v="20190930"/>
    <x v="19"/>
    <d v="2019-09-30T00:00:00"/>
    <n v="-7028.09"/>
  </r>
  <r>
    <s v="100062108"/>
    <s v="SA"/>
    <s v="40540 PD0034"/>
    <x v="0"/>
    <s v="$350M Notes due 2048 4.3% - Amortization Debt"/>
    <s v="20190930"/>
    <x v="20"/>
    <d v="2019-09-30T00:00:00"/>
    <n v="-8384.43"/>
  </r>
  <r>
    <s v="100062125"/>
    <s v="SA"/>
    <s v="40540 PD0035"/>
    <x v="0"/>
    <s v="$375M Notes due 2049 4.45% - Amortization Debt"/>
    <s v="20190930"/>
    <x v="21"/>
    <d v="2019-09-30T00:00:00"/>
    <n v="-10043.23"/>
  </r>
  <r>
    <s v="9100001881"/>
    <s v="YP"/>
    <s v="89801-7"/>
    <x v="0"/>
    <s v="$300M Notes due 2050 3.625% - Amortization Debt"/>
    <s v="20190930"/>
    <x v="22"/>
    <d v="2019-09-30T00:00:00"/>
    <n v="-8494.68"/>
  </r>
  <r>
    <s v="9100001881"/>
    <s v="YP"/>
    <s v="89801-7"/>
    <x v="0"/>
    <s v="Reclass - Locke Lord LLP, Dallas"/>
    <s v="20190930"/>
    <x v="22"/>
    <d v="2019-09-30T00:00:00"/>
    <n v="-121015.41"/>
  </r>
  <r>
    <s v="9100001881"/>
    <s v="YP"/>
    <s v="89801-7"/>
    <x v="0"/>
    <s v="Reclass - Locke Lord LLP, Dallas"/>
    <s v="20190930"/>
    <x v="22"/>
    <d v="2019-09-30T00:00:00"/>
    <n v="121011"/>
  </r>
  <r>
    <s v="9100002065"/>
    <s v="YP"/>
    <s v="89801-5"/>
    <x v="0"/>
    <s v="Donnelley Financial Invoice #1279302200"/>
    <s v="20191007"/>
    <x v="18"/>
    <d v="2019-10-07T00:00:00"/>
    <n v="4920"/>
  </r>
  <r>
    <s v="100069251"/>
    <s v="SA"/>
    <s v="40540"/>
    <x v="0"/>
    <s v="RECURRING ENTRY ENDS 10/30; FV50 NEEDED 11/30"/>
    <s v="20191031"/>
    <x v="2"/>
    <d v="2019-10-31T00:00:00"/>
    <n v="-6400.96"/>
  </r>
  <r>
    <s v="100069252"/>
    <s v="SA"/>
    <s v="40547 PD0013"/>
    <x v="0"/>
    <s v="RECURRING ENTRY ENDS 10/30; FV50 NEEDED 11/30"/>
    <s v="20191031"/>
    <x v="2"/>
    <d v="2019-10-31T00:00:00"/>
    <n v="-130.22"/>
  </r>
  <r>
    <s v="100069253"/>
    <s v="SA"/>
    <s v="40540 PD0015"/>
    <x v="0"/>
    <s v="RECURRING ENTRY ENDS 04/36; FV50 NEEDED 05/36"/>
    <s v="20191031"/>
    <x v="3"/>
    <d v="2019-10-31T00:00:00"/>
    <n v="-6872.38"/>
  </r>
  <r>
    <s v="100069254"/>
    <s v="SA"/>
    <s v="40548 PD0015"/>
    <x v="0"/>
    <s v="RECURRING ENTRY ENDS 04/36; FV50 NEEDED 05/36"/>
    <s v="20191031"/>
    <x v="3"/>
    <d v="2019-10-31T00:00:00"/>
    <n v="-4630.24"/>
  </r>
  <r>
    <s v="100069255"/>
    <s v="SA"/>
    <s v="40540 PD0020"/>
    <x v="0"/>
    <s v="RECURRING ENTRY ENDS 04/37; FV50 NEEDED 05/37"/>
    <s v="20191031"/>
    <x v="4"/>
    <d v="2019-10-31T00:00:00"/>
    <n v="-3059.89"/>
  </r>
  <r>
    <s v="100069256"/>
    <s v="SA"/>
    <s v="40540 PD0014"/>
    <x v="0"/>
    <s v="RECURRING ENTRY ENDS 10/34; FV50 NEEDED 11/34"/>
    <s v="20191031"/>
    <x v="5"/>
    <d v="2019-10-31T00:00:00"/>
    <n v="-8058.13"/>
  </r>
  <r>
    <s v="100069257"/>
    <s v="SA"/>
    <s v="40540 PD0012"/>
    <x v="0"/>
    <s v="RECURRING ENTRY ENDS 07/25; FV50 NEEDED 08/25"/>
    <s v="20191031"/>
    <x v="13"/>
    <d v="2019-10-31T00:00:00"/>
    <n v="-4399.9399999999996"/>
  </r>
  <r>
    <s v="100069258"/>
    <s v="SA"/>
    <s v="40540 PD0023"/>
    <x v="0"/>
    <s v="RECURRING ENTRY ENDS 09/20; FV50 NEEDED 10/20"/>
    <s v="20191031"/>
    <x v="14"/>
    <d v="2019-10-31T00:00:00"/>
    <n v="-2351.71"/>
  </r>
  <r>
    <s v="100069259"/>
    <s v="SA"/>
    <s v="40547 PD0023"/>
    <x v="0"/>
    <s v="RECURRING ENTRY ENDS 09/20; FV50 NEEDED 10/20"/>
    <s v="20191031"/>
    <x v="14"/>
    <d v="2019-10-31T00:00:00"/>
    <n v="-63.12"/>
  </r>
  <r>
    <s v="100069270"/>
    <s v="SA"/>
    <s v="40540 PD0025"/>
    <x v="0"/>
    <s v="RECURRING ENTRY ENDS 04/42,FV50 NEEDED 05/42"/>
    <s v="20191031"/>
    <x v="17"/>
    <d v="2019-10-31T00:00:00"/>
    <n v="-7123.53"/>
  </r>
  <r>
    <s v="100069271"/>
    <s v="SA"/>
    <s v="40540 PD0026"/>
    <x v="0"/>
    <s v="$225M Bonds Due 2022"/>
    <s v="20191031"/>
    <x v="0"/>
    <d v="2019-10-31T00:00:00"/>
    <n v="-14668.67"/>
  </r>
  <r>
    <s v="100069295"/>
    <s v="SA"/>
    <s v="40540_PD0027"/>
    <x v="0"/>
    <s v="RECURRING ENTRY ENDS 03/44; FV50 NEEDED 04/44"/>
    <s v="20191031"/>
    <x v="1"/>
    <d v="2019-10-31T00:00:00"/>
    <n v="-8710.42"/>
  </r>
  <r>
    <s v="100069299"/>
    <s v="SA"/>
    <s v="40540 PD0028"/>
    <x v="0"/>
    <s v="$230M Bond due 2045"/>
    <s v="20191031"/>
    <x v="19"/>
    <d v="2019-10-31T00:00:00"/>
    <n v="-7028.09"/>
  </r>
  <r>
    <s v="100069362"/>
    <s v="SA"/>
    <s v="40540 PD0034"/>
    <x v="0"/>
    <s v="$350M Notes due 2048 4.3% - Amortization Debt"/>
    <s v="20191031"/>
    <x v="20"/>
    <d v="2019-10-31T00:00:00"/>
    <n v="-8384.43"/>
  </r>
  <r>
    <s v="100069380"/>
    <s v="SA"/>
    <s v="40540 PD0035"/>
    <x v="0"/>
    <s v="$375M Notes due 2049 4.45% - Amortization Debt"/>
    <s v="20191031"/>
    <x v="21"/>
    <d v="2019-10-31T00:00:00"/>
    <n v="-10043.23"/>
  </r>
  <r>
    <s v="9100002045"/>
    <s v="YP"/>
    <s v="89801-7"/>
    <x v="0"/>
    <s v="$300M Notes due 2050 3.625% - Amortization Debt"/>
    <s v="20191031"/>
    <x v="22"/>
    <d v="2019-10-31T00:00:00"/>
    <n v="-8170.28"/>
  </r>
  <r>
    <s v="100074875"/>
    <s v="SA"/>
    <s v="40540"/>
    <x v="0"/>
    <s v="RECURRING ENTRY ENDS 10/30; FV50 NEEDED 11/30"/>
    <s v="20191130"/>
    <x v="2"/>
    <d v="2019-11-30T00:00:00"/>
    <n v="-6400.96"/>
  </r>
  <r>
    <s v="100074876"/>
    <s v="SA"/>
    <s v="40547 PD0013"/>
    <x v="0"/>
    <s v="RECURRING ENTRY ENDS 10/30; FV50 NEEDED 11/30"/>
    <s v="20191130"/>
    <x v="2"/>
    <d v="2019-11-30T00:00:00"/>
    <n v="-130.22"/>
  </r>
  <r>
    <s v="100074877"/>
    <s v="SA"/>
    <s v="40540 PD0015"/>
    <x v="0"/>
    <s v="RECURRING ENTRY ENDS 04/36; FV50 NEEDED 05/36"/>
    <s v="20191130"/>
    <x v="3"/>
    <d v="2019-11-30T00:00:00"/>
    <n v="-6872.38"/>
  </r>
  <r>
    <s v="100074878"/>
    <s v="SA"/>
    <s v="40548 PD0015"/>
    <x v="0"/>
    <s v="RECURRING ENTRY ENDS 04/36; FV50 NEEDED 05/36"/>
    <s v="20191130"/>
    <x v="3"/>
    <d v="2019-11-30T00:00:00"/>
    <n v="-4630.24"/>
  </r>
  <r>
    <s v="100074879"/>
    <s v="SA"/>
    <s v="40540 PD0020"/>
    <x v="0"/>
    <s v="RECURRING ENTRY ENDS 04/37; FV50 NEEDED 05/37"/>
    <s v="20191130"/>
    <x v="4"/>
    <d v="2019-11-30T00:00:00"/>
    <n v="-3059.89"/>
  </r>
  <r>
    <s v="100074880"/>
    <s v="SA"/>
    <s v="40540 PD0014"/>
    <x v="0"/>
    <s v="RECURRING ENTRY ENDS 10/34; FV50 NEEDED 11/34"/>
    <s v="20191130"/>
    <x v="5"/>
    <d v="2019-11-30T00:00:00"/>
    <n v="-8058.13"/>
  </r>
  <r>
    <s v="100074881"/>
    <s v="SA"/>
    <s v="40540 PD0012"/>
    <x v="0"/>
    <s v="RECURRING ENTRY ENDS 07/25; FV50 NEEDED 08/25"/>
    <s v="20191130"/>
    <x v="13"/>
    <d v="2019-11-30T00:00:00"/>
    <n v="-4399.9399999999996"/>
  </r>
  <r>
    <s v="100074882"/>
    <s v="SA"/>
    <s v="40540 PD0023"/>
    <x v="0"/>
    <s v="RECURRING ENTRY ENDS 09/20; FV50 NEEDED 10/20"/>
    <s v="20191130"/>
    <x v="14"/>
    <d v="2019-11-30T00:00:00"/>
    <n v="-2351.71"/>
  </r>
  <r>
    <s v="100074883"/>
    <s v="SA"/>
    <s v="40547 PD0023"/>
    <x v="0"/>
    <s v="RECURRING ENTRY ENDS 09/20; FV50 NEEDED 10/20"/>
    <s v="20191130"/>
    <x v="14"/>
    <d v="2019-11-30T00:00:00"/>
    <n v="-63.12"/>
  </r>
  <r>
    <s v="100074894"/>
    <s v="SA"/>
    <s v="40540 PD0025"/>
    <x v="0"/>
    <s v="RECURRING ENTRY ENDS 04/42,FV50 NEEDED 05/42"/>
    <s v="20191130"/>
    <x v="17"/>
    <d v="2019-11-30T00:00:00"/>
    <n v="-7123.53"/>
  </r>
  <r>
    <s v="100074895"/>
    <s v="SA"/>
    <s v="40540 PD0026"/>
    <x v="0"/>
    <s v="$225M Bonds Due 2022"/>
    <s v="20191130"/>
    <x v="0"/>
    <d v="2019-11-30T00:00:00"/>
    <n v="-14668.67"/>
  </r>
  <r>
    <s v="100074918"/>
    <s v="SA"/>
    <s v="40540_PD0027"/>
    <x v="0"/>
    <s v="RECURRING ENTRY ENDS 03/44; FV50 NEEDED 04/44"/>
    <s v="20191130"/>
    <x v="1"/>
    <d v="2019-11-30T00:00:00"/>
    <n v="-8710.42"/>
  </r>
  <r>
    <s v="100074922"/>
    <s v="SA"/>
    <s v="40540 PD0028"/>
    <x v="0"/>
    <s v="$230M Bond due 2045"/>
    <s v="20191130"/>
    <x v="19"/>
    <d v="2019-11-30T00:00:00"/>
    <n v="-7028.09"/>
  </r>
  <r>
    <s v="100074985"/>
    <s v="SA"/>
    <s v="40540 PD0034"/>
    <x v="0"/>
    <s v="$350M Notes due 2048 4.3% - Amortization Debt"/>
    <s v="20191130"/>
    <x v="20"/>
    <d v="2019-11-30T00:00:00"/>
    <n v="-8384.43"/>
  </r>
  <r>
    <s v="100075001"/>
    <s v="SA"/>
    <s v="40540 PD0035"/>
    <x v="0"/>
    <s v="$375M Notes due 2049 4.45% - Amortization Debt"/>
    <s v="20191130"/>
    <x v="21"/>
    <d v="2019-11-30T00:00:00"/>
    <n v="-10043.23"/>
  </r>
  <r>
    <s v="9100002290"/>
    <s v="YP"/>
    <s v="89801-9"/>
    <x v="0"/>
    <s v="$300M Notes due 2050 3.625% - Amortization Debt"/>
    <s v="20191130"/>
    <x v="22"/>
    <d v="2019-11-30T00:00:00"/>
    <n v="-8170.28"/>
  </r>
  <r>
    <s v="100081799"/>
    <s v="SA"/>
    <s v="40540"/>
    <x v="0"/>
    <s v="RECURRING ENTRY ENDS 10/30; FV50 NEEDED 11/30"/>
    <s v="20191231"/>
    <x v="2"/>
    <d v="2019-12-31T00:00:00"/>
    <n v="-6400.96"/>
  </r>
  <r>
    <s v="100081800"/>
    <s v="SA"/>
    <s v="40547 PD0013"/>
    <x v="0"/>
    <s v="RECURRING ENTRY ENDS 10/30; FV50 NEEDED 11/30"/>
    <s v="20191231"/>
    <x v="2"/>
    <d v="2019-12-31T00:00:00"/>
    <n v="-130.22"/>
  </r>
  <r>
    <s v="100081801"/>
    <s v="SA"/>
    <s v="40540 PD0015"/>
    <x v="0"/>
    <s v="RECURRING ENTRY ENDS 04/36; FV50 NEEDED 05/36"/>
    <s v="20191231"/>
    <x v="3"/>
    <d v="2019-12-31T00:00:00"/>
    <n v="-6872.38"/>
  </r>
  <r>
    <s v="100081802"/>
    <s v="SA"/>
    <s v="40548 PD0015"/>
    <x v="0"/>
    <s v="RECURRING ENTRY ENDS 04/36; FV50 NEEDED 05/36"/>
    <s v="20191231"/>
    <x v="3"/>
    <d v="2019-12-31T00:00:00"/>
    <n v="-4630.24"/>
  </r>
  <r>
    <s v="100081803"/>
    <s v="SA"/>
    <s v="40540 PD0020"/>
    <x v="0"/>
    <s v="RECURRING ENTRY ENDS 04/37; FV50 NEEDED 05/37"/>
    <s v="20191231"/>
    <x v="4"/>
    <d v="2019-12-31T00:00:00"/>
    <n v="-3059.89"/>
  </r>
  <r>
    <s v="100081804"/>
    <s v="SA"/>
    <s v="40540 PD0014"/>
    <x v="0"/>
    <s v="RECURRING ENTRY ENDS 10/34; FV50 NEEDED 11/34"/>
    <s v="20191231"/>
    <x v="5"/>
    <d v="2019-12-31T00:00:00"/>
    <n v="-8058.13"/>
  </r>
  <r>
    <s v="100081805"/>
    <s v="SA"/>
    <s v="40540 PD0012"/>
    <x v="0"/>
    <s v="RECURRING ENTRY ENDS 07/25; FV50 NEEDED 08/25"/>
    <s v="20191231"/>
    <x v="13"/>
    <d v="2019-12-31T00:00:00"/>
    <n v="-4399.9399999999996"/>
  </r>
  <r>
    <s v="100081806"/>
    <s v="SA"/>
    <s v="40540 PD0023"/>
    <x v="0"/>
    <s v="RECURRING ENTRY ENDS 09/20; FV50 NEEDED 10/20"/>
    <s v="20191231"/>
    <x v="14"/>
    <d v="2019-12-31T00:00:00"/>
    <n v="-2351.71"/>
  </r>
  <r>
    <s v="100081807"/>
    <s v="SA"/>
    <s v="40547 PD0023"/>
    <x v="0"/>
    <s v="RECURRING ENTRY ENDS 09/20; FV50 NEEDED 10/20"/>
    <s v="20191231"/>
    <x v="14"/>
    <d v="2019-12-31T00:00:00"/>
    <n v="-63.12"/>
  </r>
  <r>
    <s v="100081818"/>
    <s v="SA"/>
    <s v="40540 PD0025"/>
    <x v="0"/>
    <s v="RECURRING ENTRY ENDS 04/42,FV50 NEEDED 05/42"/>
    <s v="20191231"/>
    <x v="17"/>
    <d v="2019-12-31T00:00:00"/>
    <n v="-7123.53"/>
  </r>
  <r>
    <s v="100081819"/>
    <s v="SA"/>
    <s v="40540 PD0026"/>
    <x v="0"/>
    <s v="$225M Bonds Due 2022"/>
    <s v="20191231"/>
    <x v="0"/>
    <d v="2019-12-31T00:00:00"/>
    <n v="-14668.67"/>
  </r>
  <r>
    <s v="100081842"/>
    <s v="SA"/>
    <s v="40540_PD0027"/>
    <x v="0"/>
    <s v="RECURRING ENTRY ENDS 03/44; FV50 NEEDED 04/44"/>
    <s v="20191231"/>
    <x v="1"/>
    <d v="2019-12-31T00:00:00"/>
    <n v="-8710.42"/>
  </r>
  <r>
    <s v="100081846"/>
    <s v="SA"/>
    <s v="40540 PD0028"/>
    <x v="0"/>
    <s v="$230M Bond due 2045"/>
    <s v="20191231"/>
    <x v="19"/>
    <d v="2019-12-31T00:00:00"/>
    <n v="-7028.09"/>
  </r>
  <r>
    <s v="100081896"/>
    <s v="SA"/>
    <s v="40540 PD0034"/>
    <x v="0"/>
    <s v="$350M Notes due 2048 4.3% - Amortization Debt"/>
    <s v="20191231"/>
    <x v="20"/>
    <d v="2019-12-31T00:00:00"/>
    <n v="-8384.43"/>
  </r>
  <r>
    <s v="100081906"/>
    <s v="SA"/>
    <s v="40540 PD0035"/>
    <x v="0"/>
    <s v="$375M Notes due 2049 4.45% - Amortization Debt"/>
    <s v="20191231"/>
    <x v="21"/>
    <d v="2019-12-31T00:00:00"/>
    <n v="-10043.23"/>
  </r>
  <r>
    <s v="9100002568"/>
    <s v="YP"/>
    <s v="89801-20"/>
    <x v="0"/>
    <s v="$300M Notes due 2050 3.625% - Amortization Debt"/>
    <s v="20191231"/>
    <x v="22"/>
    <d v="2019-12-31T00:00:00"/>
    <n v="-10374.64"/>
  </r>
  <r>
    <s v="9100002568"/>
    <s v="YP"/>
    <s v="89801-20"/>
    <x v="0"/>
    <s v="INV#M2072134-000 Reclass"/>
    <s v="20191231"/>
    <x v="22"/>
    <d v="2019-12-31T00:00:00"/>
    <n v="163625"/>
  </r>
  <r>
    <s v="100000000"/>
    <s v="SA"/>
    <s v="DEC CLOSE"/>
    <x v="1"/>
    <s v=""/>
    <s v="20101231"/>
    <x v="18"/>
    <d v="2010-12-31T00:00:00"/>
    <n v="3806202.24"/>
  </r>
  <r>
    <s v="100000001"/>
    <s v="SA"/>
    <s v=""/>
    <x v="1"/>
    <s v=""/>
    <s v="20110131"/>
    <x v="18"/>
    <d v="2011-01-31T00:00:00"/>
    <n v="3791478.75"/>
  </r>
  <r>
    <s v="100000001"/>
    <s v="SA"/>
    <s v=""/>
    <x v="1"/>
    <s v=""/>
    <s v="20110131"/>
    <x v="18"/>
    <d v="2011-01-31T00:00:00"/>
    <n v="-3806202.24"/>
  </r>
  <r>
    <s v="100000002"/>
    <s v="SA"/>
    <s v=""/>
    <x v="1"/>
    <s v=""/>
    <s v="20110228"/>
    <x v="18"/>
    <d v="2011-02-28T00:00:00"/>
    <n v="-3791478.75"/>
  </r>
  <r>
    <s v="100000002"/>
    <s v="SA"/>
    <s v=""/>
    <x v="1"/>
    <s v=""/>
    <s v="20110228"/>
    <x v="18"/>
    <d v="2011-02-28T00:00:00"/>
    <n v="3779261.65"/>
  </r>
  <r>
    <s v="100000004"/>
    <s v="SA"/>
    <s v=""/>
    <x v="1"/>
    <s v=""/>
    <s v="20110331"/>
    <x v="18"/>
    <d v="2011-03-31T00:00:00"/>
    <n v="-3779261.65"/>
  </r>
  <r>
    <s v="100000004"/>
    <s v="SA"/>
    <s v=""/>
    <x v="1"/>
    <s v=""/>
    <s v="20110331"/>
    <x v="18"/>
    <d v="2011-03-31T00:00:00"/>
    <n v="3767044.55"/>
  </r>
  <r>
    <s v="100000005"/>
    <s v="SA"/>
    <s v=""/>
    <x v="1"/>
    <s v=""/>
    <s v="20110430"/>
    <x v="18"/>
    <d v="2011-04-30T00:00:00"/>
    <n v="-3767044.55"/>
  </r>
  <r>
    <s v="100000005"/>
    <s v="SA"/>
    <s v=""/>
    <x v="1"/>
    <s v=""/>
    <s v="20110430"/>
    <x v="18"/>
    <d v="2011-04-30T00:00:00"/>
    <n v="3754839.21"/>
  </r>
  <r>
    <s v="100000006"/>
    <s v="SA"/>
    <s v=""/>
    <x v="1"/>
    <s v=""/>
    <s v="20110531"/>
    <x v="18"/>
    <d v="2011-05-31T00:00:00"/>
    <n v="-3754839.21"/>
  </r>
  <r>
    <s v="100000006"/>
    <s v="SA"/>
    <s v=""/>
    <x v="1"/>
    <s v=""/>
    <s v="20110531"/>
    <x v="18"/>
    <d v="2011-05-31T00:00:00"/>
    <n v="3705568.21"/>
  </r>
  <r>
    <s v="100000007"/>
    <s v="SA"/>
    <s v=""/>
    <x v="1"/>
    <s v=""/>
    <s v="20110630"/>
    <x v="18"/>
    <d v="2011-06-30T00:00:00"/>
    <n v="-3705568.21"/>
  </r>
  <r>
    <s v="100000007"/>
    <s v="SA"/>
    <s v=""/>
    <x v="1"/>
    <s v=""/>
    <s v="20110630"/>
    <x v="18"/>
    <d v="2011-06-30T00:00:00"/>
    <n v="3655097.44"/>
  </r>
  <r>
    <s v="100000008"/>
    <s v="SA"/>
    <s v=""/>
    <x v="1"/>
    <s v=""/>
    <s v="20110731"/>
    <x v="18"/>
    <d v="2011-07-31T00:00:00"/>
    <n v="-3655097.44"/>
  </r>
  <r>
    <s v="100000008"/>
    <s v="SA"/>
    <s v=""/>
    <x v="1"/>
    <s v=""/>
    <s v="20110731"/>
    <x v="18"/>
    <d v="2011-07-31T00:00:00"/>
    <n v="3601819.28"/>
  </r>
  <r>
    <s v="100000009"/>
    <s v="SA"/>
    <s v=""/>
    <x v="1"/>
    <s v=""/>
    <s v="20110831"/>
    <x v="18"/>
    <d v="2011-08-31T00:00:00"/>
    <n v="-3601819.28"/>
  </r>
  <r>
    <s v="100000009"/>
    <s v="SA"/>
    <s v=""/>
    <x v="1"/>
    <s v=""/>
    <s v="20110831"/>
    <x v="18"/>
    <d v="2011-08-31T00:00:00"/>
    <n v="3464317.98"/>
  </r>
  <r>
    <s v="100000010"/>
    <s v="SA"/>
    <s v=""/>
    <x v="1"/>
    <s v=""/>
    <s v="20110930"/>
    <x v="18"/>
    <d v="2011-09-30T00:00:00"/>
    <n v="-3464317.98"/>
  </r>
  <r>
    <s v="100000010"/>
    <s v="SA"/>
    <s v=""/>
    <x v="1"/>
    <s v=""/>
    <s v="20110930"/>
    <x v="18"/>
    <d v="2011-09-30T00:00:00"/>
    <n v="3245825.22"/>
  </r>
  <r>
    <s v="100000011"/>
    <s v="SA"/>
    <s v=""/>
    <x v="1"/>
    <s v=""/>
    <s v="20111031"/>
    <x v="18"/>
    <d v="2011-10-31T00:00:00"/>
    <n v="-3245825.22"/>
  </r>
  <r>
    <s v="100000011"/>
    <s v="SA"/>
    <s v=""/>
    <x v="1"/>
    <s v=""/>
    <s v="20111031"/>
    <x v="18"/>
    <d v="2011-10-31T00:00:00"/>
    <n v="3027332.46"/>
  </r>
  <r>
    <s v="100000012"/>
    <s v="SA"/>
    <s v=""/>
    <x v="1"/>
    <s v=""/>
    <s v="20111130"/>
    <x v="18"/>
    <d v="2011-11-30T00:00:00"/>
    <n v="-3027332.46"/>
  </r>
  <r>
    <s v="100000012"/>
    <s v="SA"/>
    <s v=""/>
    <x v="1"/>
    <s v=""/>
    <s v="20111130"/>
    <x v="18"/>
    <d v="2011-11-30T00:00:00"/>
    <n v="2808839.7"/>
  </r>
  <r>
    <s v="100000013"/>
    <s v="SA"/>
    <s v=""/>
    <x v="1"/>
    <s v=""/>
    <s v="20111231"/>
    <x v="18"/>
    <d v="2011-12-31T00:00:00"/>
    <n v="-2808839.7"/>
  </r>
  <r>
    <s v="100000013"/>
    <s v="SA"/>
    <s v=""/>
    <x v="1"/>
    <s v=""/>
    <s v="20111231"/>
    <x v="18"/>
    <d v="2011-12-31T00:00:00"/>
    <n v="2590346.94"/>
  </r>
  <r>
    <s v="100000003"/>
    <s v="SA"/>
    <s v=""/>
    <x v="1"/>
    <s v=""/>
    <s v="20120131"/>
    <x v="18"/>
    <d v="2012-01-31T00:00:00"/>
    <n v="-2590346.94"/>
  </r>
  <r>
    <s v="100000003"/>
    <s v="SA"/>
    <s v=""/>
    <x v="1"/>
    <s v=""/>
    <s v="20120131"/>
    <x v="18"/>
    <d v="2012-01-31T00:00:00"/>
    <n v="2371854.1800000002"/>
  </r>
  <r>
    <s v="100000004"/>
    <s v="SA"/>
    <s v=""/>
    <x v="1"/>
    <s v=""/>
    <s v="20120229"/>
    <x v="18"/>
    <d v="2012-02-29T00:00:00"/>
    <n v="-2371854.1800000002"/>
  </r>
  <r>
    <s v="100000004"/>
    <s v="SA"/>
    <s v=""/>
    <x v="1"/>
    <s v=""/>
    <s v="20120229"/>
    <x v="18"/>
    <d v="2012-02-29T00:00:00"/>
    <n v="2153361.42"/>
  </r>
  <r>
    <s v="100000005"/>
    <s v="SA"/>
    <s v=""/>
    <x v="1"/>
    <s v=""/>
    <s v="20120331"/>
    <x v="18"/>
    <d v="2012-03-31T00:00:00"/>
    <n v="-2153361.42"/>
  </r>
  <r>
    <s v="100000005"/>
    <s v="SA"/>
    <s v=""/>
    <x v="1"/>
    <s v=""/>
    <s v="20120331"/>
    <x v="18"/>
    <d v="2012-03-31T00:00:00"/>
    <n v="1934868.66"/>
  </r>
  <r>
    <s v="100000006"/>
    <s v="SA"/>
    <s v=""/>
    <x v="1"/>
    <s v=""/>
    <s v="20120430"/>
    <x v="18"/>
    <d v="2012-04-30T00:00:00"/>
    <n v="-1934868.66"/>
  </r>
  <r>
    <s v="100000006"/>
    <s v="SA"/>
    <s v=""/>
    <x v="1"/>
    <s v=""/>
    <s v="20120430"/>
    <x v="18"/>
    <d v="2012-04-30T00:00:00"/>
    <n v="1716364.14"/>
  </r>
  <r>
    <s v="100000007"/>
    <s v="SA"/>
    <s v=""/>
    <x v="1"/>
    <s v=""/>
    <s v="20120531"/>
    <x v="18"/>
    <d v="2012-05-31T00:00:00"/>
    <n v="-1716364.14"/>
  </r>
  <r>
    <s v="100000007"/>
    <s v="SA"/>
    <s v=""/>
    <x v="1"/>
    <s v=""/>
    <s v="20120531"/>
    <x v="18"/>
    <d v="2012-05-31T00:00:00"/>
    <n v="1536775.06"/>
  </r>
  <r>
    <s v="100000263"/>
    <s v="SA"/>
    <s v=""/>
    <x v="1"/>
    <s v=""/>
    <s v="20120630"/>
    <x v="18"/>
    <d v="2012-06-30T00:00:00"/>
    <n v="-1536775.06"/>
  </r>
  <r>
    <s v="100000263"/>
    <s v="SA"/>
    <s v=""/>
    <x v="1"/>
    <s v=""/>
    <s v="20120630"/>
    <x v="18"/>
    <d v="2012-06-30T00:00:00"/>
    <n v="1358385.75"/>
  </r>
  <r>
    <s v="100000701"/>
    <s v="SA"/>
    <s v="40505"/>
    <x v="1"/>
    <s v="Short-Term"/>
    <s v="20120730"/>
    <x v="11"/>
    <d v="2012-07-30T00:00:00"/>
    <n v="1184794.3"/>
  </r>
  <r>
    <s v="100000701"/>
    <s v="SA"/>
    <s v="40505"/>
    <x v="1"/>
    <s v="Short-Term Reversal"/>
    <s v="20120730"/>
    <x v="11"/>
    <d v="2012-07-30T00:00:00"/>
    <n v="-1358385.75"/>
  </r>
  <r>
    <s v="100019344"/>
    <s v="SA"/>
    <s v="40505"/>
    <x v="1"/>
    <s v="Short-term Reversal"/>
    <s v="20120904"/>
    <x v="11"/>
    <d v="2012-08-31T00:00:00"/>
    <n v="-1184794.3"/>
  </r>
  <r>
    <s v="100019344"/>
    <s v="SA"/>
    <s v="40505"/>
    <x v="1"/>
    <s v="Short-term"/>
    <s v="20120904"/>
    <x v="11"/>
    <d v="2012-08-31T00:00:00"/>
    <n v="1103802.8400000001"/>
  </r>
  <r>
    <s v="100036835"/>
    <s v="SA"/>
    <s v="40505"/>
    <x v="1"/>
    <s v="189 Reclass"/>
    <s v="20121001"/>
    <x v="8"/>
    <d v="2012-10-31T00:00:00"/>
    <n v="40089.360000000001"/>
  </r>
  <r>
    <s v="100036835"/>
    <s v="SA"/>
    <s v="40505"/>
    <x v="1"/>
    <s v="189 Reclass"/>
    <s v="20121001"/>
    <x v="7"/>
    <d v="2012-10-31T00:00:00"/>
    <n v="-94310.76"/>
  </r>
  <r>
    <s v="100036835"/>
    <s v="SA"/>
    <s v="40505"/>
    <x v="1"/>
    <s v="189 Reclass"/>
    <s v="20121001"/>
    <x v="8"/>
    <d v="2012-10-31T00:00:00"/>
    <n v="50488.2"/>
  </r>
  <r>
    <s v="100036835"/>
    <s v="SA"/>
    <s v="40505"/>
    <x v="1"/>
    <s v="Conversion Correction"/>
    <s v="20121001"/>
    <x v="18"/>
    <d v="2012-10-31T00:00:00"/>
    <n v="-1358385.75"/>
  </r>
  <r>
    <s v="100036835"/>
    <s v="SA"/>
    <s v="40505"/>
    <x v="1"/>
    <s v="Conversion Correction"/>
    <s v="20121001"/>
    <x v="12"/>
    <d v="2012-10-31T00:00:00"/>
    <n v="14150.52"/>
  </r>
  <r>
    <s v="100036835"/>
    <s v="SA"/>
    <s v="40505"/>
    <x v="1"/>
    <s v="Conversion Correction"/>
    <s v="20121001"/>
    <x v="13"/>
    <d v="2012-10-31T00:00:00"/>
    <n v="12231.96"/>
  </r>
  <r>
    <s v="100036835"/>
    <s v="SA"/>
    <s v="40505"/>
    <x v="1"/>
    <s v="Conversion Correction"/>
    <s v="20121001"/>
    <x v="2"/>
    <d v="2012-10-31T00:00:00"/>
    <n v="297255.24"/>
  </r>
  <r>
    <s v="100036835"/>
    <s v="SA"/>
    <s v="40505"/>
    <x v="1"/>
    <s v="Conversion Correction"/>
    <s v="20121001"/>
    <x v="5"/>
    <d v="2012-10-31T00:00:00"/>
    <n v="489603.24"/>
  </r>
  <r>
    <s v="100036835"/>
    <s v="SA"/>
    <s v="40505"/>
    <x v="1"/>
    <s v="Conversion Correction"/>
    <s v="20121001"/>
    <x v="14"/>
    <d v="2012-10-31T00:00:00"/>
    <n v="57476.4"/>
  </r>
  <r>
    <s v="100036835"/>
    <s v="SA"/>
    <s v="40505"/>
    <x v="1"/>
    <s v="Conversion Correction"/>
    <s v="20121001"/>
    <x v="11"/>
    <d v="2012-10-31T00:00:00"/>
    <n v="487668.39"/>
  </r>
  <r>
    <s v="100037869"/>
    <s v="SA"/>
    <s v="40545 PD0008"/>
    <x v="1"/>
    <s v="$60.685M Unamortized Loss Due 2013 (ST)"/>
    <s v="20121031"/>
    <x v="15"/>
    <d v="2012-10-31T00:00:00"/>
    <n v="-4422.05"/>
  </r>
  <r>
    <s v="100037890"/>
    <s v="SA"/>
    <s v="40550 PD0008"/>
    <x v="1"/>
    <s v="$60.6855M Bond Premium Due 2013 (ST)"/>
    <s v="20121031"/>
    <x v="7"/>
    <d v="2012-10-31T00:00:00"/>
    <n v="7859.23"/>
  </r>
  <r>
    <s v="100044296"/>
    <s v="SA"/>
    <s v="40505"/>
    <x v="1"/>
    <s v=""/>
    <s v="20121101"/>
    <x v="15"/>
    <d v="2012-11-30T00:00:00"/>
    <n v="4422.05"/>
  </r>
  <r>
    <s v="100044296"/>
    <s v="SA"/>
    <s v="40505"/>
    <x v="1"/>
    <s v=""/>
    <s v="20121101"/>
    <x v="7"/>
    <d v="2012-11-30T00:00:00"/>
    <n v="53064.98"/>
  </r>
  <r>
    <s v="100044296"/>
    <s v="SA"/>
    <s v="40505"/>
    <x v="1"/>
    <s v=""/>
    <s v="20121101"/>
    <x v="7"/>
    <d v="2012-11-30T00:00:00"/>
    <n v="-4422.05"/>
  </r>
  <r>
    <s v="100044358"/>
    <s v="SA"/>
    <s v="40550 PD0008"/>
    <x v="1"/>
    <s v="$60.6855M Bond Premium Due 2013 (ST)"/>
    <s v="20121130"/>
    <x v="7"/>
    <d v="2012-11-30T00:00:00"/>
    <n v="7859.23"/>
  </r>
  <r>
    <s v="100044363"/>
    <s v="SA"/>
    <s v="40545 PD0008"/>
    <x v="1"/>
    <s v="$60.6855M Bond Premium Due 2013 (ST)"/>
    <s v="20121130"/>
    <x v="7"/>
    <d v="2012-11-30T00:00:00"/>
    <n v="-4422.05"/>
  </r>
  <r>
    <s v="100051671"/>
    <s v="SA"/>
    <s v="40550 PD0008"/>
    <x v="1"/>
    <s v="$60.6855M Bond Premium Due 2013 (ST)"/>
    <s v="20121231"/>
    <x v="7"/>
    <d v="2012-12-31T00:00:00"/>
    <n v="7859.23"/>
  </r>
  <r>
    <s v="100051676"/>
    <s v="SA"/>
    <s v="40545 PD0008"/>
    <x v="1"/>
    <s v="$60.6855M Bond Premium Due 2013 (ST)"/>
    <s v="20121231"/>
    <x v="7"/>
    <d v="2012-12-31T00:00:00"/>
    <n v="-4422.05"/>
  </r>
  <r>
    <s v="100008102"/>
    <s v="SA"/>
    <s v="89800-15"/>
    <x v="1"/>
    <s v=""/>
    <s v="20130101"/>
    <x v="5"/>
    <d v="2013-01-31T00:00:00"/>
    <n v="-60"/>
  </r>
  <r>
    <s v="100008061"/>
    <s v="SA"/>
    <s v="40550 PD0008"/>
    <x v="1"/>
    <s v="$60.6855M Bond Premium Due 2013 (ST)"/>
    <s v="20130131"/>
    <x v="7"/>
    <d v="2013-01-31T00:00:00"/>
    <n v="7859.23"/>
  </r>
  <r>
    <s v="100008066"/>
    <s v="SA"/>
    <s v="40545 PD0008"/>
    <x v="1"/>
    <s v="$60.6855M Bond Premium Due 2013 (ST)"/>
    <s v="20130131"/>
    <x v="7"/>
    <d v="2013-01-31T00:00:00"/>
    <n v="-4422.05"/>
  </r>
  <r>
    <s v="100010203"/>
    <s v="SA"/>
    <s v="89800-13"/>
    <x v="1"/>
    <s v=""/>
    <s v="20130201"/>
    <x v="7"/>
    <d v="2013-02-28T00:00:00"/>
    <n v="-0.38"/>
  </r>
  <r>
    <s v="100010143"/>
    <s v="SA"/>
    <s v="40550 PD0008"/>
    <x v="1"/>
    <s v="$60.6855M Bond Premium Due 2013 (ST)"/>
    <s v="20130228"/>
    <x v="7"/>
    <d v="2013-02-28T00:00:00"/>
    <n v="7859.23"/>
  </r>
  <r>
    <s v="100010148"/>
    <s v="SA"/>
    <s v="40545 PD0014-B"/>
    <x v="1"/>
    <s v="$82M Unamortized Loss Due 2014 (ST)"/>
    <s v="20130228"/>
    <x v="5"/>
    <d v="2013-02-28T00:00:00"/>
    <n v="-9993"/>
  </r>
  <r>
    <s v="100010149"/>
    <s v="SA"/>
    <s v="40545 PD0008"/>
    <x v="1"/>
    <s v="$60.6855M Bond Premium Due 2013 (ST)"/>
    <s v="20130228"/>
    <x v="7"/>
    <d v="2013-02-28T00:00:00"/>
    <n v="-4422.05"/>
  </r>
  <r>
    <s v="100010184"/>
    <s v="SA"/>
    <s v="40650-PD0014"/>
    <x v="1"/>
    <s v="Int Exp 2011-14 Refunded Bonds"/>
    <s v="20130228"/>
    <x v="5"/>
    <d v="2013-02-28T00:00:00"/>
    <n v="-18392"/>
  </r>
  <r>
    <s v="100022182"/>
    <s v="SA"/>
    <s v="40650-PD0014"/>
    <x v="1"/>
    <s v="Int Exp 2011-14 Refunded Bonds"/>
    <s v="20130331"/>
    <x v="5"/>
    <d v="2013-03-31T00:00:00"/>
    <n v="-18392"/>
  </r>
  <r>
    <s v="100022207"/>
    <s v="SA"/>
    <s v="40546 PD0014"/>
    <x v="1"/>
    <s v="$85.95M Arbitrage Loss Due 2014 (ST)"/>
    <s v="20130331"/>
    <x v="5"/>
    <d v="2013-03-31T00:00:00"/>
    <n v="-603.13"/>
  </r>
  <r>
    <s v="100022209"/>
    <s v="SA"/>
    <s v="40545 PD0014-C"/>
    <x v="1"/>
    <s v="$85.95M Unamortized Loss Due 2014 (ST)"/>
    <s v="20130331"/>
    <x v="5"/>
    <d v="2013-03-31T00:00:00"/>
    <n v="-7091.09"/>
  </r>
  <r>
    <s v="100022210"/>
    <s v="SA"/>
    <s v="40545 PD0014-B"/>
    <x v="1"/>
    <s v="$82M Unamortized Loss Due 2014 (ST)"/>
    <s v="20130331"/>
    <x v="5"/>
    <d v="2013-03-31T00:00:00"/>
    <n v="-9993"/>
  </r>
  <r>
    <s v="100022211"/>
    <s v="SA"/>
    <s v="40545 PD0008"/>
    <x v="1"/>
    <s v="$60.6855M Bond Premium Due 2013 (ST)"/>
    <s v="20130331"/>
    <x v="7"/>
    <d v="2013-03-31T00:00:00"/>
    <n v="-4422.05"/>
  </r>
  <r>
    <s v="100022212"/>
    <s v="SA"/>
    <s v="40550 PD0008"/>
    <x v="1"/>
    <s v="$60.6855M Bond Premium Due 2013 (ST)"/>
    <s v="20130331"/>
    <x v="7"/>
    <d v="2013-03-31T00:00:00"/>
    <n v="7859.23"/>
  </r>
  <r>
    <s v="100031027"/>
    <s v="SA"/>
    <s v="40650-PD0014"/>
    <x v="1"/>
    <s v="Int Exp 2011-14 Refunded Bonds"/>
    <s v="20130430"/>
    <x v="5"/>
    <d v="2013-04-30T00:00:00"/>
    <n v="-18392"/>
  </r>
  <r>
    <s v="100031052"/>
    <s v="SA"/>
    <s v="40546 PD0014"/>
    <x v="1"/>
    <s v="$85.95M Arbitrage Loss Due 2014 (ST)"/>
    <s v="20130430"/>
    <x v="5"/>
    <d v="2013-04-30T00:00:00"/>
    <n v="-603.13"/>
  </r>
  <r>
    <s v="100031054"/>
    <s v="SA"/>
    <s v="40545 PD0014-C"/>
    <x v="1"/>
    <s v="$85.95M Unamortized Loss Due 2014 (ST)"/>
    <s v="20130430"/>
    <x v="5"/>
    <d v="2013-04-30T00:00:00"/>
    <n v="-7091.09"/>
  </r>
  <r>
    <s v="100031055"/>
    <s v="SA"/>
    <s v="40545 PD0014-B"/>
    <x v="1"/>
    <s v="$82M Unamortized Loss Due 2014 (ST)"/>
    <s v="20130430"/>
    <x v="5"/>
    <d v="2013-04-30T00:00:00"/>
    <n v="-9993"/>
  </r>
  <r>
    <s v="100031056"/>
    <s v="SA"/>
    <s v="40545 PD0008"/>
    <x v="1"/>
    <s v="$60.6855M Bond Premium Due 2013 (ST)"/>
    <s v="20130430"/>
    <x v="7"/>
    <d v="2013-04-30T00:00:00"/>
    <n v="-4422.05"/>
  </r>
  <r>
    <s v="100031057"/>
    <s v="SA"/>
    <s v="40550 PD0008"/>
    <x v="1"/>
    <s v="$60.6855M Bond Premium Due 2013 (ST)"/>
    <s v="20130430"/>
    <x v="7"/>
    <d v="2013-04-30T00:00:00"/>
    <n v="7859.23"/>
  </r>
  <r>
    <s v="100039282"/>
    <s v="SA"/>
    <s v="40650-PD0014"/>
    <x v="1"/>
    <s v="Int Exp 2011-14 Refunded Bonds"/>
    <s v="20130531"/>
    <x v="5"/>
    <d v="2013-05-31T00:00:00"/>
    <n v="-18392"/>
  </r>
  <r>
    <s v="100039307"/>
    <s v="SA"/>
    <s v="40546 PD0014"/>
    <x v="1"/>
    <s v="$85.95M Arbitrage Loss Due 2014 (ST)"/>
    <s v="20130531"/>
    <x v="5"/>
    <d v="2013-05-31T00:00:00"/>
    <n v="-603.13"/>
  </r>
  <r>
    <s v="100039309"/>
    <s v="SA"/>
    <s v="40545 PD0014-C"/>
    <x v="1"/>
    <s v="$85.95M Unamortized Loss Due 2014 (ST)"/>
    <s v="20130531"/>
    <x v="5"/>
    <d v="2013-05-31T00:00:00"/>
    <n v="-7091.09"/>
  </r>
  <r>
    <s v="100039310"/>
    <s v="SA"/>
    <s v="40545 PD0014-B"/>
    <x v="1"/>
    <s v="$82M Unamortized Loss Due 2014 (ST)"/>
    <s v="20130531"/>
    <x v="5"/>
    <d v="2013-05-31T00:00:00"/>
    <n v="-9993"/>
  </r>
  <r>
    <s v="100039311"/>
    <s v="SA"/>
    <s v="40550 PD0008"/>
    <x v="1"/>
    <s v="$60.6855M Bond Premium Due 2013 (ST)"/>
    <s v="20130531"/>
    <x v="7"/>
    <d v="2013-05-31T00:00:00"/>
    <n v="7859.23"/>
  </r>
  <r>
    <s v="100039316"/>
    <s v="SA"/>
    <s v="40545 PD0008"/>
    <x v="1"/>
    <s v="$60.685M Unamortized Loss Due 2013 (ST)"/>
    <s v="20130531"/>
    <x v="7"/>
    <d v="2013-05-31T00:00:00"/>
    <n v="-4422.05"/>
  </r>
  <r>
    <s v="100048002"/>
    <s v="SA"/>
    <s v="89800-15"/>
    <x v="1"/>
    <s v="$82M Unamortized Loss Due 2014 (ST)"/>
    <s v="20130601"/>
    <x v="5"/>
    <d v="2013-06-30T00:00:00"/>
    <n v="35.22"/>
  </r>
  <r>
    <s v="100047628"/>
    <s v="SA"/>
    <s v="40650-PD0014"/>
    <x v="1"/>
    <s v="Int Exp 2011-14 Refunded Bonds"/>
    <s v="20130630"/>
    <x v="5"/>
    <d v="2013-06-30T00:00:00"/>
    <n v="-18392"/>
  </r>
  <r>
    <s v="100047653"/>
    <s v="SA"/>
    <s v="40546 PD0014"/>
    <x v="1"/>
    <s v="$85.95M Arbitrage Loss Due 2014 (ST)"/>
    <s v="20130630"/>
    <x v="5"/>
    <d v="2013-06-30T00:00:00"/>
    <n v="-603.13"/>
  </r>
  <r>
    <s v="100047655"/>
    <s v="SA"/>
    <s v="40545 PD0014-C"/>
    <x v="1"/>
    <s v="$85.95M Unamortized Loss Due 2014 (ST)"/>
    <s v="20130630"/>
    <x v="5"/>
    <d v="2013-06-30T00:00:00"/>
    <n v="-7091.09"/>
  </r>
  <r>
    <s v="100047656"/>
    <s v="SA"/>
    <s v="40545 PD0014-B"/>
    <x v="1"/>
    <s v="$82M Unamortized Loss Due 2014 (ST)"/>
    <s v="20130630"/>
    <x v="5"/>
    <d v="2013-06-30T00:00:00"/>
    <n v="-9993"/>
  </r>
  <r>
    <s v="100047657"/>
    <s v="SA"/>
    <s v="40550 PD0008"/>
    <x v="1"/>
    <s v="$60.6855M Bond Premium Due 2013 (ST)"/>
    <s v="20130630"/>
    <x v="7"/>
    <d v="2013-06-30T00:00:00"/>
    <n v="7859.23"/>
  </r>
  <r>
    <s v="100047662"/>
    <s v="SA"/>
    <s v="40545 PD0008"/>
    <x v="1"/>
    <s v="$60.685M Unamortized Loss Due 2013 (ST)"/>
    <s v="20130630"/>
    <x v="7"/>
    <d v="2013-06-30T00:00:00"/>
    <n v="-4422.05"/>
  </r>
  <r>
    <s v="100056908"/>
    <s v="SA"/>
    <s v="40650-PD0014"/>
    <x v="1"/>
    <s v="Int Exp 2011-14 Refunded Bonds"/>
    <s v="20130731"/>
    <x v="5"/>
    <d v="2013-07-31T00:00:00"/>
    <n v="-18392"/>
  </r>
  <r>
    <s v="100056933"/>
    <s v="SA"/>
    <s v="40546 PD0014"/>
    <x v="1"/>
    <s v="$85.95M Arbitrage Loss Due 2014 (ST)"/>
    <s v="20130731"/>
    <x v="5"/>
    <d v="2013-07-31T00:00:00"/>
    <n v="-603.13"/>
  </r>
  <r>
    <s v="100056935"/>
    <s v="SA"/>
    <s v="40545 PD0014-C"/>
    <x v="1"/>
    <s v="$85.95M Unamortized Loss Due 2014 (ST)"/>
    <s v="20130731"/>
    <x v="5"/>
    <d v="2013-07-31T00:00:00"/>
    <n v="-7091.09"/>
  </r>
  <r>
    <s v="100056936"/>
    <s v="SA"/>
    <s v="40545 PD0014-B"/>
    <x v="1"/>
    <s v="$82M Unamortized Loss Due 2014 (ST)"/>
    <s v="20130731"/>
    <x v="5"/>
    <d v="2013-07-31T00:00:00"/>
    <n v="-9993"/>
  </r>
  <r>
    <s v="100056937"/>
    <s v="SA"/>
    <s v="40550 PD0008"/>
    <x v="1"/>
    <s v="$60.6855M Bond Premium Due 2013 (ST)"/>
    <s v="20130731"/>
    <x v="7"/>
    <d v="2013-07-31T00:00:00"/>
    <n v="7859.23"/>
  </r>
  <r>
    <s v="100056942"/>
    <s v="SA"/>
    <s v="40545 PD0008"/>
    <x v="1"/>
    <s v="$60.685M Unamortized Loss Due 2013 (ST)"/>
    <s v="20130731"/>
    <x v="7"/>
    <d v="2013-07-31T00:00:00"/>
    <n v="-4422.05"/>
  </r>
  <r>
    <s v="100067626"/>
    <s v="SA"/>
    <s v="40650-PD0014"/>
    <x v="1"/>
    <s v="Int Exp 2011-14 Refunded Bonds"/>
    <s v="20130831"/>
    <x v="5"/>
    <d v="2013-08-31T00:00:00"/>
    <n v="-18392"/>
  </r>
  <r>
    <s v="100067651"/>
    <s v="SA"/>
    <s v="40546 PD0014"/>
    <x v="1"/>
    <s v="$85.95M Arbitrage Loss Due 2014 (ST)"/>
    <s v="20130831"/>
    <x v="5"/>
    <d v="2013-08-31T00:00:00"/>
    <n v="-603.13"/>
  </r>
  <r>
    <s v="100067653"/>
    <s v="SA"/>
    <s v="40545 PD0014-C"/>
    <x v="1"/>
    <s v="$85.95M Unamortized Loss Due 2014 (ST)"/>
    <s v="20130831"/>
    <x v="5"/>
    <d v="2013-08-31T00:00:00"/>
    <n v="-7091.09"/>
  </r>
  <r>
    <s v="100067654"/>
    <s v="SA"/>
    <s v="40545 PD0014-B"/>
    <x v="1"/>
    <s v="$82M Unamortized Loss Due 2014 (ST)"/>
    <s v="20130831"/>
    <x v="5"/>
    <d v="2013-08-31T00:00:00"/>
    <n v="-9993"/>
  </r>
  <r>
    <s v="100067655"/>
    <s v="SA"/>
    <s v="40550 PD0008"/>
    <x v="1"/>
    <s v="$60.6855M Bond Premium Due 2013 (ST)"/>
    <s v="20130831"/>
    <x v="7"/>
    <d v="2013-08-31T00:00:00"/>
    <n v="7859.23"/>
  </r>
  <r>
    <s v="100067660"/>
    <s v="SA"/>
    <s v="40545 PD0008"/>
    <x v="1"/>
    <s v="$60.685M Unamortized Loss Due 2013 (ST)"/>
    <s v="20130831"/>
    <x v="7"/>
    <d v="2013-08-31T00:00:00"/>
    <n v="-4422.05"/>
  </r>
  <r>
    <s v="100074543"/>
    <s v="SA"/>
    <s v="40650-PD0014"/>
    <x v="1"/>
    <s v="Int Exp 2011-14 Refunded Bonds"/>
    <s v="20130930"/>
    <x v="5"/>
    <d v="2013-09-30T00:00:00"/>
    <n v="-18392"/>
  </r>
  <r>
    <s v="100074568"/>
    <s v="SA"/>
    <s v="40546 PD0014"/>
    <x v="1"/>
    <s v="$85.95M Arbitrage Loss Due 2014 (ST)"/>
    <s v="20130930"/>
    <x v="5"/>
    <d v="2013-09-30T00:00:00"/>
    <n v="-603.13"/>
  </r>
  <r>
    <s v="100074570"/>
    <s v="SA"/>
    <s v="40545 PD0014-C"/>
    <x v="1"/>
    <s v="$85.95M Unamortized Loss Due 2014 (ST)"/>
    <s v="20130930"/>
    <x v="5"/>
    <d v="2013-09-30T00:00:00"/>
    <n v="-7091.09"/>
  </r>
  <r>
    <s v="100074571"/>
    <s v="SA"/>
    <s v="40545 PD0014-B"/>
    <x v="1"/>
    <s v="$82M Unamortized Loss Due 2014 (ST)"/>
    <s v="20130930"/>
    <x v="5"/>
    <d v="2013-09-30T00:00:00"/>
    <n v="-9993"/>
  </r>
  <r>
    <s v="100074572"/>
    <s v="SA"/>
    <s v="40550 PD0008"/>
    <x v="1"/>
    <s v="$60.6855M Bond Premium Due 2013 (ST)"/>
    <s v="20130930"/>
    <x v="7"/>
    <d v="2013-09-30T00:00:00"/>
    <n v="7859.23"/>
  </r>
  <r>
    <s v="100074577"/>
    <s v="SA"/>
    <s v="40545 PD0008"/>
    <x v="1"/>
    <s v="$60.685M Unamortized Loss Due 2013 (ST)"/>
    <s v="20130930"/>
    <x v="7"/>
    <d v="2013-09-30T00:00:00"/>
    <n v="-4422.05"/>
  </r>
  <r>
    <s v="100084220"/>
    <s v="SA"/>
    <s v="40650-PD0014"/>
    <x v="1"/>
    <s v="Int Exp 2011-14 Refunded Bonds"/>
    <s v="20131031"/>
    <x v="5"/>
    <d v="2013-10-31T00:00:00"/>
    <n v="-18392"/>
  </r>
  <r>
    <s v="100084245"/>
    <s v="SA"/>
    <s v="40546 PD0014"/>
    <x v="1"/>
    <s v="$85.95M Arbitrage Loss Due 2014 (ST)"/>
    <s v="20131031"/>
    <x v="5"/>
    <d v="2013-10-31T00:00:00"/>
    <n v="-603.13"/>
  </r>
  <r>
    <s v="100084247"/>
    <s v="SA"/>
    <s v="40545 PD0014-C"/>
    <x v="1"/>
    <s v="$85.95M Unamortized Loss Due 2014 (ST)"/>
    <s v="20131031"/>
    <x v="5"/>
    <d v="2013-10-31T00:00:00"/>
    <n v="-7091.09"/>
  </r>
  <r>
    <s v="100084248"/>
    <s v="SA"/>
    <s v="40545 PD0014-B"/>
    <x v="1"/>
    <s v="$82M Unamortized Loss Due 2014 (ST)"/>
    <s v="20131031"/>
    <x v="5"/>
    <d v="2013-10-31T00:00:00"/>
    <n v="-9993"/>
  </r>
  <r>
    <s v="100090874"/>
    <s v="SA"/>
    <s v="40650-PD0014"/>
    <x v="1"/>
    <s v="Int Exp 2011-14 Refunded Bonds"/>
    <s v="20131130"/>
    <x v="5"/>
    <d v="2013-11-30T00:00:00"/>
    <n v="-18392"/>
  </r>
  <r>
    <s v="100090899"/>
    <s v="SA"/>
    <s v="40546 PD0014"/>
    <x v="1"/>
    <s v="$85.95M Arbitrage Loss Due 2014 (ST)"/>
    <s v="20131130"/>
    <x v="5"/>
    <d v="2013-11-30T00:00:00"/>
    <n v="-603.13"/>
  </r>
  <r>
    <s v="100090901"/>
    <s v="SA"/>
    <s v="40545 PD0014-C"/>
    <x v="1"/>
    <s v="$85.95M Unamortized Loss Due 2014 (ST)"/>
    <s v="20131130"/>
    <x v="5"/>
    <d v="2013-11-30T00:00:00"/>
    <n v="-7091.09"/>
  </r>
  <r>
    <s v="100090902"/>
    <s v="SA"/>
    <s v="40545 PD0014-B"/>
    <x v="1"/>
    <s v="$82M Unamortized Loss Due 2014 (ST)"/>
    <s v="20131130"/>
    <x v="5"/>
    <d v="2013-11-30T00:00:00"/>
    <n v="-9993"/>
  </r>
  <r>
    <s v="100099929"/>
    <s v="SA"/>
    <s v="40650-PD0014"/>
    <x v="1"/>
    <s v="Int Exp 2011-14 Refunded Bonds"/>
    <s v="20131231"/>
    <x v="5"/>
    <d v="2013-12-31T00:00:00"/>
    <n v="-18392"/>
  </r>
  <r>
    <s v="100099954"/>
    <s v="SA"/>
    <s v="40546 PD0014"/>
    <x v="1"/>
    <s v="$85.95M Arbitrage Loss Due 2014 (ST)"/>
    <s v="20131231"/>
    <x v="5"/>
    <d v="2013-12-31T00:00:00"/>
    <n v="-603.13"/>
  </r>
  <r>
    <s v="100099956"/>
    <s v="SA"/>
    <s v="40545 PD0014-C"/>
    <x v="1"/>
    <s v="$85.95M Unamortized Loss Due 2014 (ST)"/>
    <s v="20131231"/>
    <x v="5"/>
    <d v="2013-12-31T00:00:00"/>
    <n v="-7091.09"/>
  </r>
  <r>
    <s v="100099957"/>
    <s v="SA"/>
    <s v="40545 PD0014-B"/>
    <x v="1"/>
    <s v="$82M Unamortized Loss Due 2014 (ST)"/>
    <s v="20131231"/>
    <x v="5"/>
    <d v="2013-12-31T00:00:00"/>
    <n v="-9993"/>
  </r>
  <r>
    <s v="100008605"/>
    <s v="SA"/>
    <s v="40650-PD0014"/>
    <x v="1"/>
    <s v="Int Exp 2011-14 Refunded Bonds"/>
    <s v="20140131"/>
    <x v="5"/>
    <d v="2014-01-31T00:00:00"/>
    <n v="-18332"/>
  </r>
  <r>
    <s v="100008628"/>
    <s v="SA"/>
    <s v="40546 PD0014"/>
    <x v="1"/>
    <s v="$85.95M Arbitrage Loss Due 2014 (ST)"/>
    <s v="20140131"/>
    <x v="5"/>
    <d v="2014-01-31T00:00:00"/>
    <n v="-603.13"/>
  </r>
  <r>
    <s v="100008630"/>
    <s v="SA"/>
    <s v="40545 PD0014-C"/>
    <x v="1"/>
    <s v="$85.95M Unamortized Loss Due 2014 (ST)"/>
    <s v="20140131"/>
    <x v="5"/>
    <d v="2014-01-31T00:00:00"/>
    <n v="-7091.09"/>
  </r>
  <r>
    <s v="100008631"/>
    <s v="SA"/>
    <s v="40545 PD0014-B"/>
    <x v="1"/>
    <s v="$82M Unamortized Loss Due 2014 (ST)"/>
    <s v="20140131"/>
    <x v="5"/>
    <d v="2014-01-31T00:00:00"/>
    <n v="-9993"/>
  </r>
  <r>
    <s v="100016164"/>
    <s v="SA"/>
    <s v="40546 PD0014"/>
    <x v="1"/>
    <s v="$85.95M Arbitrage Loss Due 2014 (ST)"/>
    <s v="20140228"/>
    <x v="5"/>
    <d v="2014-02-28T00:00:00"/>
    <n v="-603.13"/>
  </r>
  <r>
    <s v="100016166"/>
    <s v="SA"/>
    <s v="40545 PD0014-C"/>
    <x v="1"/>
    <s v="$85.95M Unamortized Loss Due 2014 (ST)"/>
    <s v="20140228"/>
    <x v="5"/>
    <d v="2014-02-28T00:00:00"/>
    <n v="-7091.09"/>
  </r>
  <r>
    <s v="100024155"/>
    <s v="SA"/>
    <s v="89800-14"/>
    <x v="1"/>
    <s v=""/>
    <s v="20140403"/>
    <x v="5"/>
    <d v="2014-03-31T00:00:00"/>
    <n v="-36"/>
  </r>
  <r>
    <s v="100024155"/>
    <s v="SA"/>
    <s v="89800-14"/>
    <x v="1"/>
    <s v=""/>
    <s v="20140403"/>
    <x v="5"/>
    <d v="2014-03-31T00:00:00"/>
    <n v="0.1"/>
  </r>
  <r>
    <s v="100024155"/>
    <s v="SA"/>
    <s v="89800-14"/>
    <x v="1"/>
    <s v=""/>
    <s v="20140403"/>
    <x v="5"/>
    <d v="2014-03-31T00:00:00"/>
    <n v="0.68"/>
  </r>
  <r>
    <s v="100006053"/>
    <s v="SA"/>
    <s v="40545 PD0010"/>
    <x v="1"/>
    <s v="$54.2M Unamortized Loss Due 2018 (ST)"/>
    <s v="20170531"/>
    <x v="12"/>
    <d v="2018-01-31T00:00:00"/>
    <n v="-1179.21"/>
  </r>
  <r>
    <s v="100012422"/>
    <s v="SA"/>
    <s v="40545 PD0010"/>
    <x v="1"/>
    <s v="$54.2M Unamortized Loss Due 2018 (ST)"/>
    <s v="20170531"/>
    <x v="12"/>
    <d v="2018-02-28T00:00:00"/>
    <n v="-1179.21"/>
  </r>
  <r>
    <s v="100020447"/>
    <s v="SA"/>
    <s v="40545 PD0010"/>
    <x v="1"/>
    <s v="$54.2M Unamortized Loss Due 2018 (ST)"/>
    <s v="20170531"/>
    <x v="12"/>
    <d v="2018-03-31T00:00:00"/>
    <n v="-1179.21"/>
  </r>
  <r>
    <s v="100027634"/>
    <s v="SA"/>
    <s v="40545 PD0010"/>
    <x v="1"/>
    <s v="$54.2M Unamortized Loss Due 2018 (ST)"/>
    <s v="20170531"/>
    <x v="12"/>
    <d v="2018-04-30T00:00:00"/>
    <n v="-1179.21"/>
  </r>
  <r>
    <s v="100035794"/>
    <s v="SA"/>
    <s v="40545 PD0010"/>
    <x v="1"/>
    <s v="$54.2M Unamortized Loss Due 2018 (ST)"/>
    <s v="20170531"/>
    <x v="12"/>
    <d v="2018-05-31T00:00:00"/>
    <n v="-1179.83"/>
  </r>
  <r>
    <s v="100046542"/>
    <s v="SA"/>
    <s v="40545 PD0010"/>
    <x v="1"/>
    <s v="$54.2M Unamortized Loss Due 2018 (ST)"/>
    <s v="20170531"/>
    <x v="12"/>
    <d v="2017-06-30T00:00:00"/>
    <n v="-1179.21"/>
  </r>
  <r>
    <s v="100052890"/>
    <s v="SA"/>
    <s v="40545 PD0010"/>
    <x v="1"/>
    <s v="$54.2M Unamortized Loss Due 2018 (ST)"/>
    <s v="20170531"/>
    <x v="12"/>
    <d v="2017-07-31T00:00:00"/>
    <n v="-1179.21"/>
  </r>
  <r>
    <s v="100060325"/>
    <s v="SA"/>
    <s v="40545 PD0010"/>
    <x v="1"/>
    <s v="$54.2M Unamortized Loss Due 2018 (ST)"/>
    <s v="20170531"/>
    <x v="12"/>
    <d v="2017-08-31T00:00:00"/>
    <n v="-1179.21"/>
  </r>
  <r>
    <s v="100066839"/>
    <s v="SA"/>
    <s v="40545 PD0010"/>
    <x v="1"/>
    <s v="$54.2M Unamortized Loss Due 2018 (ST)"/>
    <s v="20170531"/>
    <x v="12"/>
    <d v="2017-09-30T00:00:00"/>
    <n v="-1179.21"/>
  </r>
  <r>
    <s v="100074038"/>
    <s v="SA"/>
    <s v="40545 PD0010"/>
    <x v="1"/>
    <s v="$54.2M Unamortized Loss Due 2018 (ST)"/>
    <s v="20170531"/>
    <x v="12"/>
    <d v="2017-10-31T00:00:00"/>
    <n v="-1179.21"/>
  </r>
  <r>
    <s v="100080526"/>
    <s v="SA"/>
    <s v="40545 PD0010"/>
    <x v="1"/>
    <s v="$54.2M Unamortized Loss Due 2018 (ST)"/>
    <s v="20170531"/>
    <x v="12"/>
    <d v="2017-11-30T00:00:00"/>
    <n v="-1179.21"/>
  </r>
  <r>
    <s v="100087607"/>
    <s v="SA"/>
    <s v="40545 PD0010"/>
    <x v="1"/>
    <s v="$54.2M Unamortized Loss Due 2018 (ST)"/>
    <s v="20170531"/>
    <x v="12"/>
    <d v="2017-12-31T00:00:00"/>
    <n v="-1179.21"/>
  </r>
  <r>
    <s v="100041391"/>
    <s v="SA"/>
    <s v="40545 PD0010"/>
    <x v="1"/>
    <s v="$54.2M 2018 Bonds Rounding Adjustment"/>
    <s v="20170630"/>
    <x v="12"/>
    <d v="2017-06-30T00:00:00"/>
    <n v="0.62"/>
  </r>
  <r>
    <s v="100000000"/>
    <s v="SA"/>
    <s v="DEC CLOSE"/>
    <x v="2"/>
    <s v=""/>
    <s v="20101231"/>
    <x v="18"/>
    <d v="2010-12-31T00:00:00"/>
    <n v="-3806202.24"/>
  </r>
  <r>
    <s v="9500000000"/>
    <s v="YZ"/>
    <s v="DEC 31 2010"/>
    <x v="2"/>
    <s v="18246 TEC GL CONV YE 2010"/>
    <s v="20101231"/>
    <x v="6"/>
    <d v="2010-12-31T00:00:00"/>
    <n v="106757.57"/>
  </r>
  <r>
    <s v="9500000000"/>
    <s v="YZ"/>
    <s v="DEC 31 2010"/>
    <x v="2"/>
    <s v="18283 TEC GL CONV YE 2010"/>
    <s v="20101231"/>
    <x v="2"/>
    <d v="2010-12-31T00:00:00"/>
    <n v="2506917.5699999998"/>
  </r>
  <r>
    <s v="9500000000"/>
    <s v="YZ"/>
    <s v="DEC 31 2010"/>
    <x v="2"/>
    <s v="18290 TEC GL CONV YE 2010"/>
    <s v="20101231"/>
    <x v="11"/>
    <d v="2010-12-31T00:00:00"/>
    <n v="996.39"/>
  </r>
  <r>
    <s v="9500000000"/>
    <s v="YZ"/>
    <s v="DEC 31 2010"/>
    <x v="2"/>
    <s v="18293 TEC GL CONV YE 2010"/>
    <s v="20101231"/>
    <x v="2"/>
    <d v="2010-12-31T00:00:00"/>
    <n v="1701839"/>
  </r>
  <r>
    <s v="9500000000"/>
    <s v="YZ"/>
    <s v="DEC 31 2010"/>
    <x v="2"/>
    <s v="18296 TEC GL CONV YE 2010"/>
    <s v="20101231"/>
    <x v="5"/>
    <d v="2010-12-31T00:00:00"/>
    <n v="1354943.62"/>
  </r>
  <r>
    <s v="9500000000"/>
    <s v="YZ"/>
    <s v="DEC 31 2010"/>
    <x v="2"/>
    <s v="18297 TEC GL CONV YE 2010"/>
    <s v="20101231"/>
    <x v="9"/>
    <d v="2010-12-31T00:00:00"/>
    <n v="3379229.01"/>
  </r>
  <r>
    <s v="9500000000"/>
    <s v="YZ"/>
    <s v="DEC 31 2010"/>
    <x v="2"/>
    <s v="18299 TEC GL CONV YE 2010"/>
    <s v="20101231"/>
    <x v="5"/>
    <d v="2010-12-31T00:00:00"/>
    <n v="662686.57999999996"/>
  </r>
  <r>
    <s v="9500000001"/>
    <s v="YZ"/>
    <s v="DEC 31 2010"/>
    <x v="2"/>
    <s v="18246 TEC GL CONV YE 2010"/>
    <s v="20101231"/>
    <x v="6"/>
    <d v="2010-12-31T00:00:00"/>
    <n v="106757.57"/>
  </r>
  <r>
    <s v="9500000001"/>
    <s v="YZ"/>
    <s v="DEC 31 2010"/>
    <x v="2"/>
    <s v="18283 TEC GL CONV YE 2010"/>
    <s v="20101231"/>
    <x v="2"/>
    <d v="2010-12-31T00:00:00"/>
    <n v="2506917.5699999998"/>
  </r>
  <r>
    <s v="9500000001"/>
    <s v="YZ"/>
    <s v="DEC 31 2010"/>
    <x v="2"/>
    <s v="18290 TEC GL CONV YE 2010"/>
    <s v="20101231"/>
    <x v="11"/>
    <d v="2010-12-31T00:00:00"/>
    <n v="996.39"/>
  </r>
  <r>
    <s v="9500000001"/>
    <s v="YZ"/>
    <s v="DEC 31 2010"/>
    <x v="2"/>
    <s v="18293 TEC GL CONV YE 2010"/>
    <s v="20101231"/>
    <x v="2"/>
    <d v="2010-12-31T00:00:00"/>
    <n v="1701839"/>
  </r>
  <r>
    <s v="9500000001"/>
    <s v="YZ"/>
    <s v="DEC 31 2010"/>
    <x v="2"/>
    <s v="18296 TEC GL CONV YE 2010"/>
    <s v="20101231"/>
    <x v="5"/>
    <d v="2010-12-31T00:00:00"/>
    <n v="1354943.62"/>
  </r>
  <r>
    <s v="9500000001"/>
    <s v="YZ"/>
    <s v="DEC 31 2010"/>
    <x v="2"/>
    <s v="18297 TEC GL CONV YE 2010"/>
    <s v="20101231"/>
    <x v="9"/>
    <d v="2010-12-31T00:00:00"/>
    <n v="3379229.01"/>
  </r>
  <r>
    <s v="9500000001"/>
    <s v="YZ"/>
    <s v="DEC 31 2010"/>
    <x v="2"/>
    <s v="18299 TEC GL CONV YE 2010"/>
    <s v="20101231"/>
    <x v="5"/>
    <d v="2010-12-31T00:00:00"/>
    <n v="662686.57999999996"/>
  </r>
  <r>
    <s v="9500000002"/>
    <s v="YZ"/>
    <s v="DEC 31 2010"/>
    <x v="2"/>
    <s v="18246 TEC GL CONV YE 2010"/>
    <s v="20101231"/>
    <x v="6"/>
    <d v="2010-12-31T00:00:00"/>
    <n v="-106757.57"/>
  </r>
  <r>
    <s v="9500000002"/>
    <s v="YZ"/>
    <s v="DEC 31 2010"/>
    <x v="2"/>
    <s v="18283 TEC GL CONV YE 2010"/>
    <s v="20101231"/>
    <x v="2"/>
    <d v="2010-12-31T00:00:00"/>
    <n v="-2506917.5699999998"/>
  </r>
  <r>
    <s v="9500000002"/>
    <s v="YZ"/>
    <s v="DEC 31 2010"/>
    <x v="2"/>
    <s v="18290 TEC GL CONV YE 2010"/>
    <s v="20101231"/>
    <x v="11"/>
    <d v="2010-12-31T00:00:00"/>
    <n v="-996.39"/>
  </r>
  <r>
    <s v="9500000002"/>
    <s v="YZ"/>
    <s v="DEC 31 2010"/>
    <x v="2"/>
    <s v="18293 TEC GL CONV YE 2010"/>
    <s v="20101231"/>
    <x v="2"/>
    <d v="2010-12-31T00:00:00"/>
    <n v="-1701839"/>
  </r>
  <r>
    <s v="9500000002"/>
    <s v="YZ"/>
    <s v="DEC 31 2010"/>
    <x v="2"/>
    <s v="18296 TEC GL CONV YE 2010"/>
    <s v="20101231"/>
    <x v="5"/>
    <d v="2010-12-31T00:00:00"/>
    <n v="-1354943.62"/>
  </r>
  <r>
    <s v="9500000002"/>
    <s v="YZ"/>
    <s v="DEC 31 2010"/>
    <x v="2"/>
    <s v="18297 TEC GL CONV YE 2010"/>
    <s v="20101231"/>
    <x v="9"/>
    <d v="2010-12-31T00:00:00"/>
    <n v="-3379229.01"/>
  </r>
  <r>
    <s v="9500000002"/>
    <s v="YZ"/>
    <s v="DEC 31 2010"/>
    <x v="2"/>
    <s v="18299 TEC GL CONV YE 2010"/>
    <s v="20101231"/>
    <x v="5"/>
    <d v="2010-12-31T00:00:00"/>
    <n v="-662686.57999999996"/>
  </r>
  <r>
    <s v="100000001"/>
    <s v="SA"/>
    <s v=""/>
    <x v="2"/>
    <s v=""/>
    <s v="20110131"/>
    <x v="18"/>
    <d v="2011-01-31T00:00:00"/>
    <n v="-3791478.75"/>
  </r>
  <r>
    <s v="100000001"/>
    <s v="SA"/>
    <s v=""/>
    <x v="2"/>
    <s v=""/>
    <s v="20110131"/>
    <x v="18"/>
    <d v="2011-01-31T00:00:00"/>
    <n v="3806202.24"/>
  </r>
  <r>
    <s v="100000002"/>
    <s v="SA"/>
    <s v=""/>
    <x v="2"/>
    <s v=""/>
    <s v="20110228"/>
    <x v="18"/>
    <d v="2011-02-28T00:00:00"/>
    <n v="3791478.75"/>
  </r>
  <r>
    <s v="100000002"/>
    <s v="SA"/>
    <s v=""/>
    <x v="2"/>
    <s v=""/>
    <s v="20110228"/>
    <x v="18"/>
    <d v="2011-02-28T00:00:00"/>
    <n v="-3779261.65"/>
  </r>
  <r>
    <s v="100000004"/>
    <s v="SA"/>
    <s v=""/>
    <x v="2"/>
    <s v=""/>
    <s v="20110331"/>
    <x v="18"/>
    <d v="2011-03-31T00:00:00"/>
    <n v="3779261.65"/>
  </r>
  <r>
    <s v="100000004"/>
    <s v="SA"/>
    <s v=""/>
    <x v="2"/>
    <s v=""/>
    <s v="20110331"/>
    <x v="18"/>
    <d v="2011-03-31T00:00:00"/>
    <n v="-3767044.55"/>
  </r>
  <r>
    <s v="100000005"/>
    <s v="SA"/>
    <s v=""/>
    <x v="2"/>
    <s v=""/>
    <s v="20110430"/>
    <x v="18"/>
    <d v="2011-04-30T00:00:00"/>
    <n v="3767044.55"/>
  </r>
  <r>
    <s v="100000005"/>
    <s v="SA"/>
    <s v=""/>
    <x v="2"/>
    <s v=""/>
    <s v="20110430"/>
    <x v="18"/>
    <d v="2011-04-30T00:00:00"/>
    <n v="-3754839.21"/>
  </r>
  <r>
    <s v="100000006"/>
    <s v="SA"/>
    <s v=""/>
    <x v="2"/>
    <s v=""/>
    <s v="20110531"/>
    <x v="18"/>
    <d v="2011-05-31T00:00:00"/>
    <n v="3754839.21"/>
  </r>
  <r>
    <s v="100000006"/>
    <s v="SA"/>
    <s v=""/>
    <x v="2"/>
    <s v=""/>
    <s v="20110531"/>
    <x v="18"/>
    <d v="2011-05-31T00:00:00"/>
    <n v="-3705568.21"/>
  </r>
  <r>
    <s v="100000007"/>
    <s v="SA"/>
    <s v=""/>
    <x v="2"/>
    <s v=""/>
    <s v="20110630"/>
    <x v="18"/>
    <d v="2011-06-30T00:00:00"/>
    <n v="3705568.21"/>
  </r>
  <r>
    <s v="100000007"/>
    <s v="SA"/>
    <s v=""/>
    <x v="2"/>
    <s v=""/>
    <s v="20110630"/>
    <x v="18"/>
    <d v="2011-06-30T00:00:00"/>
    <n v="-3655097.44"/>
  </r>
  <r>
    <s v="100000008"/>
    <s v="SA"/>
    <s v=""/>
    <x v="2"/>
    <s v=""/>
    <s v="20110731"/>
    <x v="18"/>
    <d v="2011-07-31T00:00:00"/>
    <n v="3655097.44"/>
  </r>
  <r>
    <s v="100000008"/>
    <s v="SA"/>
    <s v=""/>
    <x v="2"/>
    <s v=""/>
    <s v="20110731"/>
    <x v="18"/>
    <d v="2011-07-31T00:00:00"/>
    <n v="-3601819.28"/>
  </r>
  <r>
    <s v="100000009"/>
    <s v="SA"/>
    <s v=""/>
    <x v="2"/>
    <s v=""/>
    <s v="20110831"/>
    <x v="18"/>
    <d v="2011-08-31T00:00:00"/>
    <n v="3601819.28"/>
  </r>
  <r>
    <s v="100000009"/>
    <s v="SA"/>
    <s v=""/>
    <x v="2"/>
    <s v=""/>
    <s v="20110831"/>
    <x v="18"/>
    <d v="2011-08-31T00:00:00"/>
    <n v="-3464317.98"/>
  </r>
  <r>
    <s v="100000010"/>
    <s v="SA"/>
    <s v=""/>
    <x v="2"/>
    <s v=""/>
    <s v="20110930"/>
    <x v="18"/>
    <d v="2011-09-30T00:00:00"/>
    <n v="3464317.98"/>
  </r>
  <r>
    <s v="100000010"/>
    <s v="SA"/>
    <s v=""/>
    <x v="2"/>
    <s v=""/>
    <s v="20110930"/>
    <x v="18"/>
    <d v="2011-09-30T00:00:00"/>
    <n v="-3245825.22"/>
  </r>
  <r>
    <s v="100000011"/>
    <s v="SA"/>
    <s v=""/>
    <x v="2"/>
    <s v=""/>
    <s v="20111031"/>
    <x v="18"/>
    <d v="2011-10-31T00:00:00"/>
    <n v="3245825.22"/>
  </r>
  <r>
    <s v="100000011"/>
    <s v="SA"/>
    <s v=""/>
    <x v="2"/>
    <s v=""/>
    <s v="20111031"/>
    <x v="18"/>
    <d v="2011-10-31T00:00:00"/>
    <n v="-3027332.46"/>
  </r>
  <r>
    <s v="100000012"/>
    <s v="SA"/>
    <s v=""/>
    <x v="2"/>
    <s v=""/>
    <s v="20111130"/>
    <x v="18"/>
    <d v="2011-11-30T00:00:00"/>
    <n v="3027332.46"/>
  </r>
  <r>
    <s v="100000012"/>
    <s v="SA"/>
    <s v=""/>
    <x v="2"/>
    <s v=""/>
    <s v="20111130"/>
    <x v="18"/>
    <d v="2011-11-30T00:00:00"/>
    <n v="-2808839.7"/>
  </r>
  <r>
    <s v="100000013"/>
    <s v="SA"/>
    <s v=""/>
    <x v="2"/>
    <s v=""/>
    <s v="20111231"/>
    <x v="18"/>
    <d v="2011-12-31T00:00:00"/>
    <n v="2808839.7"/>
  </r>
  <r>
    <s v="100000013"/>
    <s v="SA"/>
    <s v=""/>
    <x v="2"/>
    <s v=""/>
    <s v="20111231"/>
    <x v="18"/>
    <d v="2011-12-31T00:00:00"/>
    <n v="-2590346.94"/>
  </r>
  <r>
    <s v="100000003"/>
    <s v="SA"/>
    <s v=""/>
    <x v="2"/>
    <s v=""/>
    <s v="20120131"/>
    <x v="18"/>
    <d v="2012-01-31T00:00:00"/>
    <n v="2590346.94"/>
  </r>
  <r>
    <s v="100000003"/>
    <s v="SA"/>
    <s v=""/>
    <x v="2"/>
    <s v=""/>
    <s v="20120131"/>
    <x v="18"/>
    <d v="2012-01-31T00:00:00"/>
    <n v="-2371854.1800000002"/>
  </r>
  <r>
    <s v="100000004"/>
    <s v="SA"/>
    <s v=""/>
    <x v="2"/>
    <s v=""/>
    <s v="20120229"/>
    <x v="18"/>
    <d v="2012-02-29T00:00:00"/>
    <n v="2371854.1800000002"/>
  </r>
  <r>
    <s v="100000004"/>
    <s v="SA"/>
    <s v=""/>
    <x v="2"/>
    <s v=""/>
    <s v="20120229"/>
    <x v="18"/>
    <d v="2012-02-29T00:00:00"/>
    <n v="-2153361.42"/>
  </r>
  <r>
    <s v="9500000006"/>
    <s v="YZ"/>
    <s v="201101"/>
    <x v="2"/>
    <s v="18246 TEC CONVERSION ACCOUNT SUMMARY"/>
    <s v="20120326"/>
    <x v="6"/>
    <d v="2011-01-31T00:00:00"/>
    <n v="-5997.63"/>
  </r>
  <r>
    <s v="9500000006"/>
    <s v="YZ"/>
    <s v="201101"/>
    <x v="2"/>
    <s v="18283 TEC CONVERSION ACCOUNT SUMMARY"/>
    <s v="20120326"/>
    <x v="2"/>
    <d v="2011-01-31T00:00:00"/>
    <n v="-17654.330000000002"/>
  </r>
  <r>
    <s v="9500000006"/>
    <s v="YZ"/>
    <s v="201101"/>
    <x v="2"/>
    <s v="18290 TEC CONVERSION ACCOUNT SUMMARY"/>
    <s v="20120326"/>
    <x v="11"/>
    <d v="2011-01-31T00:00:00"/>
    <n v="-996.39"/>
  </r>
  <r>
    <s v="9500000006"/>
    <s v="YZ"/>
    <s v="201101"/>
    <x v="2"/>
    <s v="18293 TEC CONVERSION ACCOUNT SUMMARY"/>
    <s v="20120326"/>
    <x v="2"/>
    <d v="2011-01-31T00:00:00"/>
    <n v="-7116.94"/>
  </r>
  <r>
    <s v="9500000006"/>
    <s v="YZ"/>
    <s v="201101"/>
    <x v="2"/>
    <s v="18296 TEC CONVERSION ACCOUNT SUMMARY"/>
    <s v="20120326"/>
    <x v="5"/>
    <d v="2011-01-31T00:00:00"/>
    <n v="-4721.05"/>
  </r>
  <r>
    <s v="9500000006"/>
    <s v="YZ"/>
    <s v="201101"/>
    <x v="2"/>
    <s v="18297 TEC CONVERSION ACCOUNT SUMMARY"/>
    <s v="20120326"/>
    <x v="9"/>
    <d v="2011-01-31T00:00:00"/>
    <n v="-173591.45"/>
  </r>
  <r>
    <s v="9500000006"/>
    <s v="YZ"/>
    <s v="201101"/>
    <x v="2"/>
    <s v="18299 TEC CONVERSION ACCOUNT SUMMARY"/>
    <s v="20120326"/>
    <x v="5"/>
    <d v="2011-01-31T00:00:00"/>
    <n v="-18217.22"/>
  </r>
  <r>
    <s v="9500000010"/>
    <s v="YZ"/>
    <s v="201102"/>
    <x v="2"/>
    <s v="18246 TEC CONVERSION ACCOUNT SUMMARY"/>
    <s v="20120326"/>
    <x v="6"/>
    <d v="2011-02-28T00:00:00"/>
    <n v="-5997.63"/>
  </r>
  <r>
    <s v="9500000010"/>
    <s v="YZ"/>
    <s v="201102"/>
    <x v="2"/>
    <s v="18283 TEC CONVERSION ACCOUNT SUMMARY"/>
    <s v="20120326"/>
    <x v="2"/>
    <d v="2011-02-28T00:00:00"/>
    <n v="-17654.330000000002"/>
  </r>
  <r>
    <s v="9500000010"/>
    <s v="YZ"/>
    <s v="201102"/>
    <x v="2"/>
    <s v="18293 TEC CONVERSION ACCOUNT SUMMARY"/>
    <s v="20120326"/>
    <x v="2"/>
    <d v="2011-02-28T00:00:00"/>
    <n v="-7116.94"/>
  </r>
  <r>
    <s v="9500000010"/>
    <s v="YZ"/>
    <s v="201102"/>
    <x v="2"/>
    <s v="18296 TEC CONVERSION ACCOUNT SUMMARY"/>
    <s v="20120326"/>
    <x v="5"/>
    <d v="2011-02-28T00:00:00"/>
    <n v="-4721.05"/>
  </r>
  <r>
    <s v="9500000010"/>
    <s v="YZ"/>
    <s v="201102"/>
    <x v="2"/>
    <s v="18297 TEC CONVERSION ACCOUNT SUMMARY"/>
    <s v="20120326"/>
    <x v="9"/>
    <d v="2011-02-28T00:00:00"/>
    <n v="-173591.45"/>
  </r>
  <r>
    <s v="9500000010"/>
    <s v="YZ"/>
    <s v="201102"/>
    <x v="2"/>
    <s v="18299 TEC CONVERSION ACCOUNT SUMMARY"/>
    <s v="20120326"/>
    <x v="5"/>
    <d v="2011-02-28T00:00:00"/>
    <n v="-17687.22"/>
  </r>
  <r>
    <s v="9500000015"/>
    <s v="YZ"/>
    <s v="201103"/>
    <x v="2"/>
    <s v="18246 TEC CONVERSION ACCOUNT SUMMARY"/>
    <s v="20120326"/>
    <x v="6"/>
    <d v="2011-03-31T00:00:00"/>
    <n v="-5997.63"/>
  </r>
  <r>
    <s v="9500000015"/>
    <s v="YZ"/>
    <s v="201103"/>
    <x v="2"/>
    <s v="18283 TEC CONVERSION ACCOUNT SUMMARY"/>
    <s v="20120326"/>
    <x v="2"/>
    <d v="2011-03-31T00:00:00"/>
    <n v="-17654.330000000002"/>
  </r>
  <r>
    <s v="9500000015"/>
    <s v="YZ"/>
    <s v="201103"/>
    <x v="2"/>
    <s v="18293 TEC CONVERSION ACCOUNT SUMMARY"/>
    <s v="20120326"/>
    <x v="2"/>
    <d v="2011-03-31T00:00:00"/>
    <n v="-7116.94"/>
  </r>
  <r>
    <s v="9500000015"/>
    <s v="YZ"/>
    <s v="201103"/>
    <x v="2"/>
    <s v="18296 TEC CONVERSION ACCOUNT SUMMARY"/>
    <s v="20120326"/>
    <x v="5"/>
    <d v="2011-03-31T00:00:00"/>
    <n v="-4721.05"/>
  </r>
  <r>
    <s v="9500000015"/>
    <s v="YZ"/>
    <s v="201103"/>
    <x v="2"/>
    <s v="18297 TEC CONVERSION ACCOUNT SUMMARY"/>
    <s v="20120326"/>
    <x v="9"/>
    <d v="2011-03-31T00:00:00"/>
    <n v="-173591.45"/>
  </r>
  <r>
    <s v="9500000015"/>
    <s v="YZ"/>
    <s v="201103"/>
    <x v="2"/>
    <s v="18299 TEC CONVERSION ACCOUNT SUMMARY"/>
    <s v="20120326"/>
    <x v="5"/>
    <d v="2011-03-31T00:00:00"/>
    <n v="-17687.22"/>
  </r>
  <r>
    <s v="9500000020"/>
    <s v="YZ"/>
    <s v="201104"/>
    <x v="2"/>
    <s v="18246 TEC CONVERSION ACCOUNT SUMMARY"/>
    <s v="20120326"/>
    <x v="6"/>
    <d v="2011-04-30T00:00:00"/>
    <n v="-5997.63"/>
  </r>
  <r>
    <s v="9500000020"/>
    <s v="YZ"/>
    <s v="201104"/>
    <x v="2"/>
    <s v="18283 TEC CONVERSION ACCOUNT SUMMARY"/>
    <s v="20120326"/>
    <x v="2"/>
    <d v="2011-04-30T00:00:00"/>
    <n v="-17654.330000000002"/>
  </r>
  <r>
    <s v="9500000020"/>
    <s v="YZ"/>
    <s v="201104"/>
    <x v="2"/>
    <s v="18293 TEC CONVERSION ACCOUNT SUMMARY"/>
    <s v="20120326"/>
    <x v="2"/>
    <d v="2011-04-30T00:00:00"/>
    <n v="-7116.94"/>
  </r>
  <r>
    <s v="9500000020"/>
    <s v="YZ"/>
    <s v="201104"/>
    <x v="2"/>
    <s v="18296 TEC CONVERSION ACCOUNT SUMMARY"/>
    <s v="20120326"/>
    <x v="5"/>
    <d v="2011-04-30T00:00:00"/>
    <n v="-4721.05"/>
  </r>
  <r>
    <s v="9500000020"/>
    <s v="YZ"/>
    <s v="201104"/>
    <x v="2"/>
    <s v="18297 TEC CONVERSION ACCOUNT SUMMARY"/>
    <s v="20120326"/>
    <x v="9"/>
    <d v="2011-04-30T00:00:00"/>
    <n v="-173591.45"/>
  </r>
  <r>
    <s v="9500000020"/>
    <s v="YZ"/>
    <s v="201104"/>
    <x v="2"/>
    <s v="18299 TEC CONVERSION ACCOUNT SUMMARY"/>
    <s v="20120326"/>
    <x v="5"/>
    <d v="2011-04-30T00:00:00"/>
    <n v="-17687.22"/>
  </r>
  <r>
    <s v="9500000025"/>
    <s v="YZ"/>
    <s v="201105"/>
    <x v="2"/>
    <s v="18283 TEC CONVERSION ACCOUNT SUMMARY"/>
    <s v="20120326"/>
    <x v="2"/>
    <d v="2011-05-31T00:00:00"/>
    <n v="-17654.330000000002"/>
  </r>
  <r>
    <s v="9500000025"/>
    <s v="YZ"/>
    <s v="201105"/>
    <x v="2"/>
    <s v="18293 TEC CONVERSION ACCOUNT SUMMARY"/>
    <s v="20120326"/>
    <x v="2"/>
    <d v="2011-05-31T00:00:00"/>
    <n v="-7116.94"/>
  </r>
  <r>
    <s v="9500000025"/>
    <s v="YZ"/>
    <s v="201105"/>
    <x v="2"/>
    <s v="18297 TEC CONVERSION ACCOUNT SUMMARY"/>
    <s v="20120326"/>
    <x v="9"/>
    <d v="2011-05-31T00:00:00"/>
    <n v="-173591.45"/>
  </r>
  <r>
    <s v="9500000025"/>
    <s v="YZ"/>
    <s v="201105"/>
    <x v="2"/>
    <s v="18299 TEC CONVERSION ACCOUNT SUMMARY"/>
    <s v="20120326"/>
    <x v="5"/>
    <d v="2011-05-31T00:00:00"/>
    <n v="-17687.22"/>
  </r>
  <r>
    <s v="9500000025"/>
    <s v="YZ"/>
    <s v="201105"/>
    <x v="2"/>
    <s v="18246 TEC CONVERSION ACCOUNT SUMMARY"/>
    <s v="20120326"/>
    <x v="6"/>
    <d v="2011-05-31T00:00:00"/>
    <n v="-5997.63"/>
  </r>
  <r>
    <s v="9500000025"/>
    <s v="YZ"/>
    <s v="201105"/>
    <x v="2"/>
    <s v="18296 TEC CONVERSION ACCOUNT SUMMARY"/>
    <s v="20120326"/>
    <x v="5"/>
    <d v="2011-05-31T00:00:00"/>
    <n v="-4721.05"/>
  </r>
  <r>
    <s v="9500000030"/>
    <s v="YZ"/>
    <s v="201106"/>
    <x v="2"/>
    <s v="18246 TEC CONVERSION ACCOUNT SUMMARY"/>
    <s v="20120326"/>
    <x v="6"/>
    <d v="2011-06-30T00:00:00"/>
    <n v="-5997.63"/>
  </r>
  <r>
    <s v="9500000030"/>
    <s v="YZ"/>
    <s v="201106"/>
    <x v="2"/>
    <s v="18283 TEC CONVERSION ACCOUNT SUMMARY"/>
    <s v="20120326"/>
    <x v="2"/>
    <d v="2011-06-30T00:00:00"/>
    <n v="-17654.330000000002"/>
  </r>
  <r>
    <s v="9500000030"/>
    <s v="YZ"/>
    <s v="201106"/>
    <x v="2"/>
    <s v="18293 TEC CONVERSION ACCOUNT SUMMARY"/>
    <s v="20120326"/>
    <x v="2"/>
    <d v="2011-06-30T00:00:00"/>
    <n v="-7116.94"/>
  </r>
  <r>
    <s v="9500000030"/>
    <s v="YZ"/>
    <s v="201106"/>
    <x v="2"/>
    <s v="18296 TEC CONVERSION ACCOUNT SUMMARY"/>
    <s v="20120326"/>
    <x v="5"/>
    <d v="2011-06-30T00:00:00"/>
    <n v="-4721.05"/>
  </r>
  <r>
    <s v="9500000030"/>
    <s v="YZ"/>
    <s v="201106"/>
    <x v="2"/>
    <s v="18297 TEC CONVERSION ACCOUNT SUMMARY"/>
    <s v="20120326"/>
    <x v="9"/>
    <d v="2011-06-30T00:00:00"/>
    <n v="-173591.45"/>
  </r>
  <r>
    <s v="9500000030"/>
    <s v="YZ"/>
    <s v="201106"/>
    <x v="2"/>
    <s v="18299 TEC CONVERSION ACCOUNT SUMMARY"/>
    <s v="20120326"/>
    <x v="5"/>
    <d v="2011-06-30T00:00:00"/>
    <n v="-17687.22"/>
  </r>
  <r>
    <s v="9500000035"/>
    <s v="YZ"/>
    <s v="201107"/>
    <x v="2"/>
    <s v="18246 TEC CONVERSION ACCOUNT SUMMARY"/>
    <s v="20120326"/>
    <x v="6"/>
    <d v="2011-07-31T00:00:00"/>
    <n v="-5997.63"/>
  </r>
  <r>
    <s v="9500000035"/>
    <s v="YZ"/>
    <s v="201107"/>
    <x v="2"/>
    <s v="18283 TEC CONVERSION ACCOUNT SUMMARY"/>
    <s v="20120326"/>
    <x v="2"/>
    <d v="2011-07-31T00:00:00"/>
    <n v="-17654.330000000002"/>
  </r>
  <r>
    <s v="9500000035"/>
    <s v="YZ"/>
    <s v="201107"/>
    <x v="2"/>
    <s v="18293 TEC CONVERSION ACCOUNT SUMMARY"/>
    <s v="20120326"/>
    <x v="2"/>
    <d v="2011-07-31T00:00:00"/>
    <n v="-7116.94"/>
  </r>
  <r>
    <s v="9500000035"/>
    <s v="YZ"/>
    <s v="201107"/>
    <x v="2"/>
    <s v="18296 TEC CONVERSION ACCOUNT SUMMARY"/>
    <s v="20120326"/>
    <x v="5"/>
    <d v="2011-07-31T00:00:00"/>
    <n v="-4721.05"/>
  </r>
  <r>
    <s v="9500000035"/>
    <s v="YZ"/>
    <s v="201107"/>
    <x v="2"/>
    <s v="18297 TEC CONVERSION ACCOUNT SUMMARY"/>
    <s v="20120326"/>
    <x v="9"/>
    <d v="2011-07-31T00:00:00"/>
    <n v="-173591.45"/>
  </r>
  <r>
    <s v="9500000035"/>
    <s v="YZ"/>
    <s v="201107"/>
    <x v="2"/>
    <s v="18299 TEC CONVERSION ACCOUNT SUMMARY"/>
    <s v="20120326"/>
    <x v="5"/>
    <d v="2011-07-31T00:00:00"/>
    <n v="-17687.22"/>
  </r>
  <r>
    <s v="9500000040"/>
    <s v="YZ"/>
    <s v="201108"/>
    <x v="2"/>
    <s v="18293 TEC CONVERSION ACCOUNT SUMMARY"/>
    <s v="20120326"/>
    <x v="2"/>
    <d v="2011-08-31T00:00:00"/>
    <n v="-7116.94"/>
  </r>
  <r>
    <s v="9500000040"/>
    <s v="YZ"/>
    <s v="201108"/>
    <x v="2"/>
    <s v="18246 TEC CONVERSION ACCOUNT SUMMARY"/>
    <s v="20120326"/>
    <x v="6"/>
    <d v="2011-08-31T00:00:00"/>
    <n v="-5997.63"/>
  </r>
  <r>
    <s v="9500000040"/>
    <s v="YZ"/>
    <s v="201108"/>
    <x v="2"/>
    <s v="18283 TEC CONVERSION ACCOUNT SUMMARY"/>
    <s v="20120326"/>
    <x v="2"/>
    <d v="2011-08-31T00:00:00"/>
    <n v="-17654.330000000002"/>
  </r>
  <r>
    <s v="9500000040"/>
    <s v="YZ"/>
    <s v="201108"/>
    <x v="2"/>
    <s v="18296 TEC CONVERSION ACCOUNT SUMMARY"/>
    <s v="20120326"/>
    <x v="5"/>
    <d v="2011-08-31T00:00:00"/>
    <n v="-4721.05"/>
  </r>
  <r>
    <s v="9500000040"/>
    <s v="YZ"/>
    <s v="201108"/>
    <x v="2"/>
    <s v="18297 TEC CONVERSION ACCOUNT SUMMARY"/>
    <s v="20120326"/>
    <x v="9"/>
    <d v="2011-08-31T00:00:00"/>
    <n v="-173591.45"/>
  </r>
  <r>
    <s v="9500000040"/>
    <s v="YZ"/>
    <s v="201108"/>
    <x v="2"/>
    <s v="18299 TEC CONVERSION ACCOUNT SUMMARY"/>
    <s v="20120326"/>
    <x v="5"/>
    <d v="2011-08-31T00:00:00"/>
    <n v="-17687.22"/>
  </r>
  <r>
    <s v="9500000045"/>
    <s v="YZ"/>
    <s v="201109"/>
    <x v="2"/>
    <s v="18246 TEC CONVERSION ACCOUNT SUMMARY"/>
    <s v="20120326"/>
    <x v="6"/>
    <d v="2011-09-30T00:00:00"/>
    <n v="-5997.63"/>
  </r>
  <r>
    <s v="9500000045"/>
    <s v="YZ"/>
    <s v="201109"/>
    <x v="2"/>
    <s v="18283 TEC CONVERSION ACCOUNT SUMMARY"/>
    <s v="20120326"/>
    <x v="2"/>
    <d v="2011-09-30T00:00:00"/>
    <n v="-17654.330000000002"/>
  </r>
  <r>
    <s v="9500000045"/>
    <s v="YZ"/>
    <s v="201109"/>
    <x v="2"/>
    <s v="18293 TEC CONVERSION ACCOUNT SUMMARY"/>
    <s v="20120326"/>
    <x v="2"/>
    <d v="2011-09-30T00:00:00"/>
    <n v="-7116.94"/>
  </r>
  <r>
    <s v="9500000045"/>
    <s v="YZ"/>
    <s v="201109"/>
    <x v="2"/>
    <s v="18296 TEC CONVERSION ACCOUNT SUMMARY"/>
    <s v="20120326"/>
    <x v="5"/>
    <d v="2011-09-30T00:00:00"/>
    <n v="-4721.05"/>
  </r>
  <r>
    <s v="9500000045"/>
    <s v="YZ"/>
    <s v="201109"/>
    <x v="2"/>
    <s v="18297 TEC CONVERSION ACCOUNT SUMMARY"/>
    <s v="20120326"/>
    <x v="9"/>
    <d v="2011-09-30T00:00:00"/>
    <n v="-173591.45"/>
  </r>
  <r>
    <s v="9500000045"/>
    <s v="YZ"/>
    <s v="201109"/>
    <x v="2"/>
    <s v="18299 TEC CONVERSION ACCOUNT SUMMARY"/>
    <s v="20120326"/>
    <x v="5"/>
    <d v="2011-09-30T00:00:00"/>
    <n v="-17687.22"/>
  </r>
  <r>
    <s v="9500000050"/>
    <s v="YZ"/>
    <s v="201110"/>
    <x v="2"/>
    <s v="18283 TEC CONVERSION ACCOUNT SUMMARY"/>
    <s v="20120326"/>
    <x v="2"/>
    <d v="2011-10-31T00:00:00"/>
    <n v="-17654.330000000002"/>
  </r>
  <r>
    <s v="9500000050"/>
    <s v="YZ"/>
    <s v="201110"/>
    <x v="2"/>
    <s v="18293 TEC CONVERSION ACCOUNT SUMMARY"/>
    <s v="20120326"/>
    <x v="2"/>
    <d v="2011-10-31T00:00:00"/>
    <n v="-7116.94"/>
  </r>
  <r>
    <s v="9500000050"/>
    <s v="YZ"/>
    <s v="201110"/>
    <x v="2"/>
    <s v="18297 TEC CONVERSION ACCOUNT SUMMARY"/>
    <s v="20120326"/>
    <x v="9"/>
    <d v="2011-10-31T00:00:00"/>
    <n v="-173591.45"/>
  </r>
  <r>
    <s v="9500000050"/>
    <s v="YZ"/>
    <s v="201110"/>
    <x v="2"/>
    <s v="18299 TEC CONVERSION ACCOUNT SUMMARY"/>
    <s v="20120326"/>
    <x v="5"/>
    <d v="2011-10-31T00:00:00"/>
    <n v="-17687.22"/>
  </r>
  <r>
    <s v="9500000050"/>
    <s v="YZ"/>
    <s v="201110"/>
    <x v="2"/>
    <s v="18246 TEC CONVERSION ACCOUNT SUMMARY"/>
    <s v="20120326"/>
    <x v="6"/>
    <d v="2011-10-31T00:00:00"/>
    <n v="-5997.63"/>
  </r>
  <r>
    <s v="9500000050"/>
    <s v="YZ"/>
    <s v="201110"/>
    <x v="2"/>
    <s v="18296 TEC CONVERSION ACCOUNT SUMMARY"/>
    <s v="20120326"/>
    <x v="5"/>
    <d v="2011-10-31T00:00:00"/>
    <n v="-4721.05"/>
  </r>
  <r>
    <s v="9500000055"/>
    <s v="YZ"/>
    <s v="201111"/>
    <x v="2"/>
    <s v="18246 TEC CONVERSION ACCOUNT SUMMARY"/>
    <s v="20120326"/>
    <x v="6"/>
    <d v="2011-11-30T00:00:00"/>
    <n v="-5997.63"/>
  </r>
  <r>
    <s v="9500000055"/>
    <s v="YZ"/>
    <s v="201111"/>
    <x v="2"/>
    <s v="18283 TEC CONVERSION ACCOUNT SUMMARY"/>
    <s v="20120326"/>
    <x v="2"/>
    <d v="2011-11-30T00:00:00"/>
    <n v="-17654.330000000002"/>
  </r>
  <r>
    <s v="9500000055"/>
    <s v="YZ"/>
    <s v="201111"/>
    <x v="2"/>
    <s v="18293 TEC CONVERSION ACCOUNT SUMMARY"/>
    <s v="20120326"/>
    <x v="2"/>
    <d v="2011-11-30T00:00:00"/>
    <n v="-7116.94"/>
  </r>
  <r>
    <s v="9500000055"/>
    <s v="YZ"/>
    <s v="201111"/>
    <x v="2"/>
    <s v="18296 TEC CONVERSION ACCOUNT SUMMARY"/>
    <s v="20120326"/>
    <x v="5"/>
    <d v="2011-11-30T00:00:00"/>
    <n v="-4721.05"/>
  </r>
  <r>
    <s v="9500000055"/>
    <s v="YZ"/>
    <s v="201111"/>
    <x v="2"/>
    <s v="18297 TEC CONVERSION ACCOUNT SUMMARY"/>
    <s v="20120326"/>
    <x v="9"/>
    <d v="2011-11-30T00:00:00"/>
    <n v="-173591.45"/>
  </r>
  <r>
    <s v="9500000055"/>
    <s v="YZ"/>
    <s v="201111"/>
    <x v="2"/>
    <s v="18299 TEC CONVERSION ACCOUNT SUMMARY"/>
    <s v="20120326"/>
    <x v="5"/>
    <d v="2011-11-30T00:00:00"/>
    <n v="-17687.22"/>
  </r>
  <r>
    <s v="9500000060"/>
    <s v="YZ"/>
    <s v="201112"/>
    <x v="2"/>
    <s v="18246 TEC CONVERSION ACCOUNT SUMMARY"/>
    <s v="20120326"/>
    <x v="6"/>
    <d v="2011-12-31T00:00:00"/>
    <n v="-5997.63"/>
  </r>
  <r>
    <s v="9500000060"/>
    <s v="YZ"/>
    <s v="201112"/>
    <x v="2"/>
    <s v="18283 TEC CONVERSION ACCOUNT SUMMARY"/>
    <s v="20120326"/>
    <x v="2"/>
    <d v="2011-12-31T00:00:00"/>
    <n v="-17654.330000000002"/>
  </r>
  <r>
    <s v="9500000060"/>
    <s v="YZ"/>
    <s v="201112"/>
    <x v="2"/>
    <s v="18293 TEC CONVERSION ACCOUNT SUMMARY"/>
    <s v="20120326"/>
    <x v="2"/>
    <d v="2011-12-31T00:00:00"/>
    <n v="-7116.94"/>
  </r>
  <r>
    <s v="9500000060"/>
    <s v="YZ"/>
    <s v="201112"/>
    <x v="2"/>
    <s v="18296 TEC CONVERSION ACCOUNT SUMMARY"/>
    <s v="20120326"/>
    <x v="5"/>
    <d v="2011-12-31T00:00:00"/>
    <n v="-4721.05"/>
  </r>
  <r>
    <s v="9500000060"/>
    <s v="YZ"/>
    <s v="201112"/>
    <x v="2"/>
    <s v="18297 TEC CONVERSION ACCOUNT SUMMARY"/>
    <s v="20120326"/>
    <x v="9"/>
    <d v="2011-12-31T00:00:00"/>
    <n v="-173591.45"/>
  </r>
  <r>
    <s v="9500000060"/>
    <s v="YZ"/>
    <s v="201112"/>
    <x v="2"/>
    <s v="18299 TEC CONVERSION ACCOUNT SUMMARY"/>
    <s v="20120326"/>
    <x v="5"/>
    <d v="2011-12-31T00:00:00"/>
    <n v="-17687.22"/>
  </r>
  <r>
    <s v="9500000101"/>
    <s v="YZ"/>
    <s v="201201"/>
    <x v="2"/>
    <s v="18246 TEC CONVERSION ACCOUNT SUMMARY"/>
    <s v="20120326"/>
    <x v="6"/>
    <d v="2012-01-31T00:00:00"/>
    <n v="-5997.63"/>
  </r>
  <r>
    <s v="9500000101"/>
    <s v="YZ"/>
    <s v="201201"/>
    <x v="2"/>
    <s v="18283 TEC CONVERSION ACCOUNT SUMMARY"/>
    <s v="20120326"/>
    <x v="2"/>
    <d v="2012-01-31T00:00:00"/>
    <n v="-17654.330000000002"/>
  </r>
  <r>
    <s v="9500000101"/>
    <s v="YZ"/>
    <s v="201201"/>
    <x v="2"/>
    <s v="18293 TEC CONVERSION ACCOUNT SUMMARY"/>
    <s v="20120326"/>
    <x v="2"/>
    <d v="2012-01-31T00:00:00"/>
    <n v="-7116.94"/>
  </r>
  <r>
    <s v="9500000101"/>
    <s v="YZ"/>
    <s v="201201"/>
    <x v="2"/>
    <s v="18296 TEC CONVERSION ACCOUNT SUMMARY"/>
    <s v="20120326"/>
    <x v="5"/>
    <d v="2012-01-31T00:00:00"/>
    <n v="-4721.05"/>
  </r>
  <r>
    <s v="9500000101"/>
    <s v="YZ"/>
    <s v="201201"/>
    <x v="2"/>
    <s v="18297 TEC CONVERSION ACCOUNT SUMMARY"/>
    <s v="20120326"/>
    <x v="9"/>
    <d v="2012-01-31T00:00:00"/>
    <n v="-173591.45"/>
  </r>
  <r>
    <s v="9500000101"/>
    <s v="YZ"/>
    <s v="201201"/>
    <x v="2"/>
    <s v="18299 TEC CONVERSION ACCOUNT SUMMARY"/>
    <s v="20120326"/>
    <x v="5"/>
    <d v="2012-01-31T00:00:00"/>
    <n v="-17687.22"/>
  </r>
  <r>
    <s v="100000005"/>
    <s v="SA"/>
    <s v=""/>
    <x v="2"/>
    <s v=""/>
    <s v="20120331"/>
    <x v="18"/>
    <d v="2012-03-31T00:00:00"/>
    <n v="2153361.42"/>
  </r>
  <r>
    <s v="100000005"/>
    <s v="SA"/>
    <s v=""/>
    <x v="2"/>
    <s v=""/>
    <s v="20120331"/>
    <x v="18"/>
    <d v="2012-03-31T00:00:00"/>
    <n v="-1934868.66"/>
  </r>
  <r>
    <s v="9500000105"/>
    <s v="YZ"/>
    <s v="201202"/>
    <x v="2"/>
    <s v="18246 TEC CONVERSION ACCOUNT SUMMARY"/>
    <s v="20120402"/>
    <x v="6"/>
    <d v="2012-02-29T00:00:00"/>
    <n v="-5997.63"/>
  </r>
  <r>
    <s v="9500000105"/>
    <s v="YZ"/>
    <s v="201202"/>
    <x v="2"/>
    <s v="18283 TEC CONVERSION ACCOUNT SUMMARY"/>
    <s v="20120402"/>
    <x v="2"/>
    <d v="2012-02-29T00:00:00"/>
    <n v="-17654.330000000002"/>
  </r>
  <r>
    <s v="9500000105"/>
    <s v="YZ"/>
    <s v="201202"/>
    <x v="2"/>
    <s v="18293 TEC CONVERSION ACCOUNT SUMMARY"/>
    <s v="20120402"/>
    <x v="2"/>
    <d v="2012-02-29T00:00:00"/>
    <n v="-7116.94"/>
  </r>
  <r>
    <s v="9500000105"/>
    <s v="YZ"/>
    <s v="201202"/>
    <x v="2"/>
    <s v="18296 TEC CONVERSION ACCOUNT SUMMARY"/>
    <s v="20120402"/>
    <x v="5"/>
    <d v="2012-02-29T00:00:00"/>
    <n v="-4721.05"/>
  </r>
  <r>
    <s v="9500000105"/>
    <s v="YZ"/>
    <s v="201202"/>
    <x v="2"/>
    <s v="18297 TEC CONVERSION ACCOUNT SUMMARY"/>
    <s v="20120402"/>
    <x v="9"/>
    <d v="2012-02-29T00:00:00"/>
    <n v="-173591.45"/>
  </r>
  <r>
    <s v="9500000105"/>
    <s v="YZ"/>
    <s v="201202"/>
    <x v="2"/>
    <s v="18299 TEC CONVERSION ACCOUNT SUMMARY"/>
    <s v="20120402"/>
    <x v="5"/>
    <d v="2012-02-29T00:00:00"/>
    <n v="-17687.22"/>
  </r>
  <r>
    <s v="9500000109"/>
    <s v="YZ"/>
    <s v="201203"/>
    <x v="2"/>
    <s v="18246 TEC CONVERSION ACCOUNT SUMMARY"/>
    <s v="20120424"/>
    <x v="6"/>
    <d v="2012-03-31T00:00:00"/>
    <n v="-5997.63"/>
  </r>
  <r>
    <s v="9500000109"/>
    <s v="YZ"/>
    <s v="201203"/>
    <x v="2"/>
    <s v="18283 TEC CONVERSION ACCOUNT SUMMARY"/>
    <s v="20120424"/>
    <x v="2"/>
    <d v="2012-03-31T00:00:00"/>
    <n v="-17654.330000000002"/>
  </r>
  <r>
    <s v="9500000109"/>
    <s v="YZ"/>
    <s v="201203"/>
    <x v="2"/>
    <s v="18293 TEC CONVERSION ACCOUNT SUMMARY"/>
    <s v="20120424"/>
    <x v="2"/>
    <d v="2012-03-31T00:00:00"/>
    <n v="-7116.94"/>
  </r>
  <r>
    <s v="9500000109"/>
    <s v="YZ"/>
    <s v="201203"/>
    <x v="2"/>
    <s v="18296 TEC CONVERSION ACCOUNT SUMMARY"/>
    <s v="20120424"/>
    <x v="5"/>
    <d v="2012-03-31T00:00:00"/>
    <n v="-4721.05"/>
  </r>
  <r>
    <s v="9500000109"/>
    <s v="YZ"/>
    <s v="201203"/>
    <x v="2"/>
    <s v="18297 TEC CONVERSION ACCOUNT SUMMARY"/>
    <s v="20120424"/>
    <x v="9"/>
    <d v="2012-03-31T00:00:00"/>
    <n v="-173591.45"/>
  </r>
  <r>
    <s v="9500000109"/>
    <s v="YZ"/>
    <s v="201203"/>
    <x v="2"/>
    <s v="18299 TEC CONVERSION ACCOUNT SUMMARY"/>
    <s v="20120424"/>
    <x v="5"/>
    <d v="2012-03-31T00:00:00"/>
    <n v="-17687.22"/>
  </r>
  <r>
    <s v="100000006"/>
    <s v="SA"/>
    <s v=""/>
    <x v="2"/>
    <s v=""/>
    <s v="20120430"/>
    <x v="18"/>
    <d v="2012-04-30T00:00:00"/>
    <n v="1934868.66"/>
  </r>
  <r>
    <s v="100000006"/>
    <s v="SA"/>
    <s v=""/>
    <x v="2"/>
    <s v=""/>
    <s v="20120430"/>
    <x v="18"/>
    <d v="2012-04-30T00:00:00"/>
    <n v="-1716364.14"/>
  </r>
  <r>
    <s v="9500000114"/>
    <s v="YZ"/>
    <s v="201204"/>
    <x v="2"/>
    <s v="18283 TEC CONVERSION ACCOUNT SUMMARY"/>
    <s v="20120516"/>
    <x v="2"/>
    <d v="2012-04-30T00:00:00"/>
    <n v="-17654.330000000002"/>
  </r>
  <r>
    <s v="9500000114"/>
    <s v="YZ"/>
    <s v="201204"/>
    <x v="2"/>
    <s v="18293 TEC CONVERSION ACCOUNT SUMMARY"/>
    <s v="20120516"/>
    <x v="2"/>
    <d v="2012-04-30T00:00:00"/>
    <n v="-7116.94"/>
  </r>
  <r>
    <s v="9500000114"/>
    <s v="YZ"/>
    <s v="201204"/>
    <x v="2"/>
    <s v="18297 TEC CONVERSION ACCOUNT SUMMARY"/>
    <s v="20120516"/>
    <x v="9"/>
    <d v="2012-04-30T00:00:00"/>
    <n v="-173591.45"/>
  </r>
  <r>
    <s v="9500000114"/>
    <s v="YZ"/>
    <s v="201204"/>
    <x v="2"/>
    <s v="18299 TEC CONVERSION ACCOUNT SUMMARY"/>
    <s v="20120516"/>
    <x v="5"/>
    <d v="2012-04-30T00:00:00"/>
    <n v="-17687.22"/>
  </r>
  <r>
    <s v="9500000114"/>
    <s v="YZ"/>
    <s v="201204"/>
    <x v="2"/>
    <s v="18246 TEC CONVERSION ACCOUNT SUMMARY"/>
    <s v="20120516"/>
    <x v="6"/>
    <d v="2012-04-30T00:00:00"/>
    <n v="-5997.63"/>
  </r>
  <r>
    <s v="9500000114"/>
    <s v="YZ"/>
    <s v="201204"/>
    <x v="2"/>
    <s v="18296 TEC CONVERSION ACCOUNT SUMMARY"/>
    <s v="20120516"/>
    <x v="5"/>
    <d v="2012-04-30T00:00:00"/>
    <n v="-4721.05"/>
  </r>
  <r>
    <s v="100000007"/>
    <s v="SA"/>
    <s v=""/>
    <x v="2"/>
    <s v=""/>
    <s v="20120531"/>
    <x v="18"/>
    <d v="2012-05-31T00:00:00"/>
    <n v="1716364.14"/>
  </r>
  <r>
    <s v="100000007"/>
    <s v="SA"/>
    <s v=""/>
    <x v="2"/>
    <s v=""/>
    <s v="20120531"/>
    <x v="18"/>
    <d v="2012-05-31T00:00:00"/>
    <n v="-1536775.06"/>
  </r>
  <r>
    <s v="9500000131"/>
    <s v="YZ"/>
    <s v="201205"/>
    <x v="2"/>
    <s v="18246 TEC CONVERSION ACCOUNT SUMMARY"/>
    <s v="20120614"/>
    <x v="6"/>
    <d v="2012-05-31T00:00:00"/>
    <n v="-5997.63"/>
  </r>
  <r>
    <s v="9500000131"/>
    <s v="YZ"/>
    <s v="201205"/>
    <x v="2"/>
    <s v="18283 TEC CONVERSION ACCOUNT SUMMARY"/>
    <s v="20120614"/>
    <x v="2"/>
    <d v="2012-05-31T00:00:00"/>
    <n v="-17654.330000000002"/>
  </r>
  <r>
    <s v="9500000131"/>
    <s v="YZ"/>
    <s v="201205"/>
    <x v="2"/>
    <s v="18293 TEC CONVERSION ACCOUNT SUMMARY"/>
    <s v="20120614"/>
    <x v="2"/>
    <d v="2012-05-31T00:00:00"/>
    <n v="-7116.94"/>
  </r>
  <r>
    <s v="9500000131"/>
    <s v="YZ"/>
    <s v="201205"/>
    <x v="2"/>
    <s v="18296 TEC CONVERSION ACCOUNT SUMMARY"/>
    <s v="20120614"/>
    <x v="5"/>
    <d v="2012-05-31T00:00:00"/>
    <n v="-4721.05"/>
  </r>
  <r>
    <s v="9500000131"/>
    <s v="YZ"/>
    <s v="201205"/>
    <x v="2"/>
    <s v="18297 TEC CONVERSION ACCOUNT SUMMARY"/>
    <s v="20120614"/>
    <x v="9"/>
    <d v="2012-05-31T00:00:00"/>
    <n v="-173591.45"/>
  </r>
  <r>
    <s v="9500000131"/>
    <s v="YZ"/>
    <s v="201205"/>
    <x v="2"/>
    <s v="18299 TEC CONVERSION ACCOUNT SUMMARY"/>
    <s v="20120614"/>
    <x v="5"/>
    <d v="2012-05-31T00:00:00"/>
    <n v="-17687.22"/>
  </r>
  <r>
    <s v="100000263"/>
    <s v="SA"/>
    <s v=""/>
    <x v="2"/>
    <s v=""/>
    <s v="20120630"/>
    <x v="18"/>
    <d v="2012-06-30T00:00:00"/>
    <n v="1536775.06"/>
  </r>
  <r>
    <s v="100000263"/>
    <s v="SA"/>
    <s v=""/>
    <x v="2"/>
    <s v=""/>
    <s v="20120630"/>
    <x v="18"/>
    <d v="2012-06-30T00:00:00"/>
    <n v="-1358385.75"/>
  </r>
  <r>
    <s v="100000051"/>
    <s v="SA"/>
    <s v="40650"/>
    <x v="2"/>
    <s v=""/>
    <s v="20120701"/>
    <x v="5"/>
    <d v="2012-07-23T00:00:00"/>
    <n v="-18392"/>
  </r>
  <r>
    <s v="9500000139"/>
    <s v="YZ"/>
    <s v="201206"/>
    <x v="2"/>
    <s v="18246 TEC CONVERSION ACCOUNT SUMMARY"/>
    <s v="20120722"/>
    <x v="6"/>
    <d v="2012-06-30T00:00:00"/>
    <n v="-4797.8599999999997"/>
  </r>
  <r>
    <s v="9500000139"/>
    <s v="YZ"/>
    <s v="201206"/>
    <x v="2"/>
    <s v="18283 TEC CONVERSION ACCOUNT SUMMARY"/>
    <s v="20120722"/>
    <x v="2"/>
    <d v="2012-06-30T00:00:00"/>
    <n v="-17654.330000000002"/>
  </r>
  <r>
    <s v="9500000139"/>
    <s v="YZ"/>
    <s v="201206"/>
    <x v="2"/>
    <s v="18293 TEC CONVERSION ACCOUNT SUMMARY"/>
    <s v="20120722"/>
    <x v="2"/>
    <d v="2012-06-30T00:00:00"/>
    <n v="-7116.94"/>
  </r>
  <r>
    <s v="9500000139"/>
    <s v="YZ"/>
    <s v="201206"/>
    <x v="2"/>
    <s v="18296 TEC CONVERSION ACCOUNT SUMMARY"/>
    <s v="20120722"/>
    <x v="5"/>
    <d v="2012-06-30T00:00:00"/>
    <n v="-4721.05"/>
  </r>
  <r>
    <s v="9500000139"/>
    <s v="YZ"/>
    <s v="201206"/>
    <x v="2"/>
    <s v="18297 TEC CONVERSION ACCOUNT SUMMARY"/>
    <s v="20120722"/>
    <x v="9"/>
    <d v="2012-06-30T00:00:00"/>
    <n v="-173591.45"/>
  </r>
  <r>
    <s v="9500000139"/>
    <s v="YZ"/>
    <s v="201206"/>
    <x v="2"/>
    <s v="18299 TEC CONVERSION ACCOUNT SUMMARY"/>
    <s v="20120722"/>
    <x v="5"/>
    <d v="2012-06-30T00:00:00"/>
    <n v="-17687.22"/>
  </r>
  <r>
    <s v="9500000147"/>
    <s v="YZ"/>
    <s v="201206"/>
    <x v="2"/>
    <s v="18246 TEC CONVERSION ACCOUNT SUMMARY"/>
    <s v="20120722"/>
    <x v="6"/>
    <d v="2012-06-30T00:00:00"/>
    <n v="4797.8599999999997"/>
  </r>
  <r>
    <s v="9500000147"/>
    <s v="YZ"/>
    <s v="201206"/>
    <x v="2"/>
    <s v="18283 TEC CONVERSION ACCOUNT SUMMARY"/>
    <s v="20120722"/>
    <x v="2"/>
    <d v="2012-06-30T00:00:00"/>
    <n v="17654.330000000002"/>
  </r>
  <r>
    <s v="9500000147"/>
    <s v="YZ"/>
    <s v="201206"/>
    <x v="2"/>
    <s v="18293 TEC CONVERSION ACCOUNT SUMMARY"/>
    <s v="20120722"/>
    <x v="2"/>
    <d v="2012-06-30T00:00:00"/>
    <n v="7116.94"/>
  </r>
  <r>
    <s v="9500000147"/>
    <s v="YZ"/>
    <s v="201206"/>
    <x v="2"/>
    <s v="18296 TEC CONVERSION ACCOUNT SUMMARY"/>
    <s v="20120722"/>
    <x v="5"/>
    <d v="2012-06-30T00:00:00"/>
    <n v="4721.05"/>
  </r>
  <r>
    <s v="9500000147"/>
    <s v="YZ"/>
    <s v="201206"/>
    <x v="2"/>
    <s v="18297 TEC CONVERSION ACCOUNT SUMMARY"/>
    <s v="20120722"/>
    <x v="9"/>
    <d v="2012-06-30T00:00:00"/>
    <n v="173591.45"/>
  </r>
  <r>
    <s v="9500000147"/>
    <s v="YZ"/>
    <s v="201206"/>
    <x v="2"/>
    <s v="18299 TEC CONVERSION ACCOUNT SUMMARY"/>
    <s v="20120722"/>
    <x v="5"/>
    <d v="2012-06-30T00:00:00"/>
    <n v="17687.22"/>
  </r>
  <r>
    <s v="9500000155"/>
    <s v="YZ"/>
    <s v="201206"/>
    <x v="2"/>
    <s v="18293 TEC CONVERSION ACCOUNT SUMMARY"/>
    <s v="20120722"/>
    <x v="2"/>
    <d v="2012-06-30T00:00:00"/>
    <n v="-7116.94"/>
  </r>
  <r>
    <s v="9500000155"/>
    <s v="YZ"/>
    <s v="201206"/>
    <x v="2"/>
    <s v="18246 TEC CONVERSION ACCOUNT SUMMARY"/>
    <s v="20120722"/>
    <x v="6"/>
    <d v="2012-06-30T00:00:00"/>
    <n v="-4797.8599999999997"/>
  </r>
  <r>
    <s v="9500000155"/>
    <s v="YZ"/>
    <s v="201206"/>
    <x v="2"/>
    <s v="18283 TEC CONVERSION ACCOUNT SUMMARY"/>
    <s v="20120722"/>
    <x v="2"/>
    <d v="2012-06-30T00:00:00"/>
    <n v="-17654.330000000002"/>
  </r>
  <r>
    <s v="9500000155"/>
    <s v="YZ"/>
    <s v="201206"/>
    <x v="2"/>
    <s v="18296 TEC CONVERSION ACCOUNT SUMMARY"/>
    <s v="20120722"/>
    <x v="5"/>
    <d v="2012-06-30T00:00:00"/>
    <n v="-4721.05"/>
  </r>
  <r>
    <s v="9500000155"/>
    <s v="YZ"/>
    <s v="201206"/>
    <x v="2"/>
    <s v="18297 TEC CONVERSION ACCOUNT SUMMARY"/>
    <s v="20120722"/>
    <x v="9"/>
    <d v="2012-06-30T00:00:00"/>
    <n v="-173591.45"/>
  </r>
  <r>
    <s v="9500000155"/>
    <s v="YZ"/>
    <s v="201206"/>
    <x v="2"/>
    <s v="18299 TEC CONVERSION ACCOUNT SUMMARY"/>
    <s v="20120722"/>
    <x v="5"/>
    <d v="2012-06-30T00:00:00"/>
    <n v="-17687.22"/>
  </r>
  <r>
    <s v="100000701"/>
    <s v="SA"/>
    <s v="40505"/>
    <x v="2"/>
    <s v="$54.2M 2018 5.65% Refunding Bonds"/>
    <s v="20120730"/>
    <x v="11"/>
    <d v="2012-07-30T00:00:00"/>
    <n v="-1179.21"/>
  </r>
  <r>
    <s v="100000701"/>
    <s v="SA"/>
    <s v="40505"/>
    <x v="2"/>
    <s v="$51.6M 2025 5.15% Refunding Bonds"/>
    <s v="20120730"/>
    <x v="11"/>
    <d v="2012-07-30T00:00:00"/>
    <n v="-1019.33"/>
  </r>
  <r>
    <s v="100000701"/>
    <s v="SA"/>
    <s v="40505"/>
    <x v="2"/>
    <s v="$20M 2020 Bond Purch in Lieu Redemption"/>
    <s v="20120730"/>
    <x v="11"/>
    <d v="2012-07-30T00:00:00"/>
    <n v="-857.57"/>
  </r>
  <r>
    <s v="100000701"/>
    <s v="SA"/>
    <s v="40505"/>
    <x v="2"/>
    <s v="$75M 2030 Variable Rate Bonds"/>
    <s v="20120730"/>
    <x v="2"/>
    <d v="2012-07-30T00:00:00"/>
    <n v="-3125.47"/>
  </r>
  <r>
    <s v="100000701"/>
    <s v="SA"/>
    <s v="40505"/>
    <x v="2"/>
    <s v="$75M 2030 Variable Rate Bonds"/>
    <s v="20120730"/>
    <x v="2"/>
    <d v="2012-07-30T00:00:00"/>
    <n v="-4451.78"/>
  </r>
  <r>
    <s v="100000701"/>
    <s v="SA"/>
    <s v="40505"/>
    <x v="2"/>
    <s v="$75M 2030 Variable Rate Bonds"/>
    <s v="20120730"/>
    <x v="2"/>
    <d v="2012-07-30T00:00:00"/>
    <n v="-10077.08"/>
  </r>
  <r>
    <s v="100000701"/>
    <s v="SA"/>
    <s v="40505"/>
    <x v="2"/>
    <s v="$80M Due 2022"/>
    <s v="20120730"/>
    <x v="11"/>
    <d v="2012-07-30T00:00:00"/>
    <n v="-5589.54"/>
  </r>
  <r>
    <s v="100000701"/>
    <s v="SA"/>
    <s v="40505"/>
    <x v="2"/>
    <s v="$80M Call Premium"/>
    <s v="20120730"/>
    <x v="11"/>
    <d v="2012-07-30T00:00:00"/>
    <n v="-10099.59"/>
  </r>
  <r>
    <s v="100000701"/>
    <s v="SA"/>
    <s v="40505"/>
    <x v="2"/>
    <s v="$20M 2020 Bond Purch in Lieu Redemption"/>
    <s v="20120730"/>
    <x v="14"/>
    <d v="2012-07-30T00:00:00"/>
    <n v="-1407.23"/>
  </r>
  <r>
    <s v="100000701"/>
    <s v="SA"/>
    <s v="40505"/>
    <x v="2"/>
    <s v="$20M 2020 Bond Purch in Lieu Redemption"/>
    <s v="20120730"/>
    <x v="14"/>
    <d v="2012-07-30T00:00:00"/>
    <n v="-2524.9"/>
  </r>
  <r>
    <s v="100000701"/>
    <s v="SA"/>
    <s v="40505"/>
    <x v="2"/>
    <s v="$3.125M Due 2021"/>
    <s v="20120730"/>
    <x v="11"/>
    <d v="2012-07-30T00:00:00"/>
    <n v="-193.73"/>
  </r>
  <r>
    <s v="100000701"/>
    <s v="SA"/>
    <s v="40505"/>
    <x v="2"/>
    <s v="$3.123M Call Premium"/>
    <s v="20120730"/>
    <x v="11"/>
    <d v="2012-07-30T00:00:00"/>
    <n v="-274.12"/>
  </r>
  <r>
    <s v="100000701"/>
    <s v="SA"/>
    <s v="40505"/>
    <x v="2"/>
    <s v="$21.875M Due 2021"/>
    <s v="20120730"/>
    <x v="11"/>
    <d v="2012-07-30T00:00:00"/>
    <n v="-1347.95"/>
  </r>
  <r>
    <s v="100000701"/>
    <s v="SA"/>
    <s v="40505"/>
    <x v="2"/>
    <s v="$21.875M Call Premium"/>
    <s v="20120730"/>
    <x v="11"/>
    <d v="2012-07-30T00:00:00"/>
    <n v="-1918.86"/>
  </r>
  <r>
    <s v="100000701"/>
    <s v="SA"/>
    <s v="40505"/>
    <x v="2"/>
    <s v="$75M 2030 Variable Rate Bonds"/>
    <s v="20120730"/>
    <x v="2"/>
    <d v="2012-07-30T00:00:00"/>
    <n v="-1780.13"/>
  </r>
  <r>
    <s v="100000701"/>
    <s v="SA"/>
    <s v="40505"/>
    <x v="2"/>
    <s v="$75M 2030 Variable Rate Bonds"/>
    <s v="20120730"/>
    <x v="2"/>
    <d v="2012-07-30T00:00:00"/>
    <n v="-5336.81"/>
  </r>
  <r>
    <s v="100000701"/>
    <s v="SA"/>
    <s v="40505"/>
    <x v="2"/>
    <s v="$85.95M 2034 5.0% Refunding Bonds"/>
    <s v="20120730"/>
    <x v="5"/>
    <d v="2012-07-30T00:00:00"/>
    <n v="-2230.71"/>
  </r>
  <r>
    <s v="100000701"/>
    <s v="SA"/>
    <s v="40505"/>
    <x v="2"/>
    <s v="$85.95M 2034 5.0% Refunding Bonds"/>
    <s v="20120730"/>
    <x v="5"/>
    <d v="2012-07-30T00:00:00"/>
    <n v="-2490.34"/>
  </r>
  <r>
    <s v="100000701"/>
    <s v="SA"/>
    <s v="40505"/>
    <x v="2"/>
    <s v="$330M 2012 6.375% Notes"/>
    <s v="20120730"/>
    <x v="9"/>
    <d v="2012-07-30T00:00:00"/>
    <n v="-132123.9"/>
  </r>
  <r>
    <s v="100000701"/>
    <s v="SA"/>
    <s v="40505"/>
    <x v="2"/>
    <s v="$330M 2012 6.375% Notes"/>
    <s v="20120730"/>
    <x v="9"/>
    <d v="2012-07-30T00:00:00"/>
    <n v="-41467.550000000003"/>
  </r>
  <r>
    <s v="100000701"/>
    <s v="SA"/>
    <s v="40505"/>
    <x v="2"/>
    <s v="$85.95M 2034 5.0% Refunding Bonds"/>
    <s v="20120730"/>
    <x v="5"/>
    <d v="2012-07-30T00:00:00"/>
    <n v="-9993"/>
  </r>
  <r>
    <s v="100000701"/>
    <s v="SA"/>
    <s v="40505"/>
    <x v="2"/>
    <s v="$85.95M 2034 5.0% Refunding Bonds"/>
    <s v="20120730"/>
    <x v="5"/>
    <d v="2012-07-30T00:00:00"/>
    <n v="-7091.09"/>
  </r>
  <r>
    <s v="100000701"/>
    <s v="SA"/>
    <s v="40505"/>
    <x v="2"/>
    <s v="$85.95M 2034 5.0% Refunding Bonds"/>
    <s v="20120730"/>
    <x v="5"/>
    <d v="2012-07-30T00:00:00"/>
    <n v="-603.13"/>
  </r>
  <r>
    <s v="100000701"/>
    <s v="SA"/>
    <s v="40505"/>
    <x v="2"/>
    <s v="Short-Term"/>
    <s v="20120730"/>
    <x v="11"/>
    <d v="2012-07-30T00:00:00"/>
    <n v="-1184794.3"/>
  </r>
  <r>
    <s v="100000701"/>
    <s v="SA"/>
    <s v="40505"/>
    <x v="2"/>
    <s v="Short-Term Reversal"/>
    <s v="20120730"/>
    <x v="11"/>
    <d v="2012-07-30T00:00:00"/>
    <n v="1358385.75"/>
  </r>
  <r>
    <s v="100018248"/>
    <s v="SA"/>
    <s v="40650"/>
    <x v="2"/>
    <s v=""/>
    <s v="20120801"/>
    <x v="5"/>
    <d v="2012-08-31T00:00:00"/>
    <n v="-18392"/>
  </r>
  <r>
    <s v="100018934"/>
    <s v="SA"/>
    <s v="40544 PD0013"/>
    <x v="2"/>
    <s v="RECURRING ENTRY ENDS 09/22; FV50 NEEDED 10/22"/>
    <s v="20120831"/>
    <x v="2"/>
    <d v="2012-08-31T00:00:00"/>
    <n v="-10077.08"/>
  </r>
  <r>
    <s v="100018935"/>
    <s v="SA"/>
    <s v="40542 PD0023"/>
    <x v="2"/>
    <s v="RECURRING ENTRY ENDS 03/22; FV50 NEEDED 04/22"/>
    <s v="20120831"/>
    <x v="14"/>
    <d v="2012-08-31T00:00:00"/>
    <n v="-2524.9"/>
  </r>
  <r>
    <s v="100018936"/>
    <s v="SA"/>
    <s v="40542 PD0014"/>
    <x v="2"/>
    <s v="RECURRING ENTRY ENDS 10/34; FV50 NEEDED 11/34"/>
    <s v="20120831"/>
    <x v="5"/>
    <d v="2012-08-31T00:00:00"/>
    <n v="-2490.34"/>
  </r>
  <r>
    <s v="100018937"/>
    <s v="SA"/>
    <s v="40546 PD0014"/>
    <x v="2"/>
    <s v="RECURRING ENTRY ENDS 01/14; FV50 NEEDED 02/14"/>
    <s v="20120831"/>
    <x v="5"/>
    <d v="2012-08-31T00:00:00"/>
    <n v="-603.13"/>
  </r>
  <r>
    <s v="100018943"/>
    <s v="SA"/>
    <s v="40545 PD0013-A"/>
    <x v="2"/>
    <s v="RECURRING ENTRY ENDS 09/22; FV50 NEEDED 10/22"/>
    <s v="20120831"/>
    <x v="2"/>
    <d v="2012-08-31T00:00:00"/>
    <n v="-3125.47"/>
  </r>
  <r>
    <s v="100018944"/>
    <s v="SA"/>
    <s v="40542 PD0013-A"/>
    <x v="2"/>
    <s v="RECURRING ENTRY ENDS 09/22; FV50 NEEDED 10/22"/>
    <s v="20120831"/>
    <x v="2"/>
    <d v="2012-08-31T00:00:00"/>
    <n v="-4451.78"/>
  </r>
  <r>
    <s v="100018945"/>
    <s v="SA"/>
    <s v="40545 PD0900-A"/>
    <x v="2"/>
    <s v="RECURRING ENTRY ENDS 03/22; FV50 NEEDED 04/22"/>
    <s v="20120831"/>
    <x v="11"/>
    <d v="2012-08-31T00:00:00"/>
    <n v="-5589.54"/>
  </r>
  <r>
    <s v="100018946"/>
    <s v="SA"/>
    <s v="40542 PD0900-A"/>
    <x v="2"/>
    <s v="RECURRING ENTRY ENDS 03/22; FV50 NEEDED 04/22"/>
    <s v="20120831"/>
    <x v="11"/>
    <d v="2012-08-31T00:00:00"/>
    <n v="-10099.59"/>
  </r>
  <r>
    <s v="100018947"/>
    <s v="SA"/>
    <s v="40545 PD0023-B"/>
    <x v="2"/>
    <s v="RECURRING ENTRY ENDS 03/22; FV50 NEEDED 04/22"/>
    <s v="20120831"/>
    <x v="14"/>
    <d v="2012-08-31T00:00:00"/>
    <n v="-1407.23"/>
  </r>
  <r>
    <s v="100018948"/>
    <s v="SA"/>
    <s v="40545 PD0900-B"/>
    <x v="2"/>
    <s v="RECURRING ENTRY ENDS 06/21; FV50 NEEDED 07/21"/>
    <s v="20120831"/>
    <x v="11"/>
    <d v="2012-08-31T00:00:00"/>
    <n v="-193.73"/>
  </r>
  <r>
    <s v="100018949"/>
    <s v="SA"/>
    <s v="40542 PD0900-B"/>
    <x v="2"/>
    <s v="RECURRING ENTRY ENDS 06/21; FV50 NEEDED 07/21"/>
    <s v="20120831"/>
    <x v="11"/>
    <d v="2012-08-31T00:00:00"/>
    <n v="-274.12"/>
  </r>
  <r>
    <s v="100018950"/>
    <s v="SA"/>
    <s v="40545 PD0900-C"/>
    <x v="2"/>
    <s v="RECURRING ENTRY ENDS 06/21; FV50 NEEDED 07/21"/>
    <s v="20120831"/>
    <x v="11"/>
    <d v="2012-08-31T00:00:00"/>
    <n v="-1347.95"/>
  </r>
  <r>
    <s v="100018951"/>
    <s v="SA"/>
    <s v="40542 PD0900-C"/>
    <x v="2"/>
    <s v="RECURRING ENTRY ENDS 06/21; FV50 NEEDED 07/21"/>
    <s v="20120831"/>
    <x v="11"/>
    <d v="2012-08-31T00:00:00"/>
    <n v="-1918.86"/>
  </r>
  <r>
    <s v="100018952"/>
    <s v="SA"/>
    <s v="40545 PD0013-B"/>
    <x v="2"/>
    <s v="RECURRING ENTRY ENDS 11/30; FV50 NEEDED 12/30"/>
    <s v="20120831"/>
    <x v="2"/>
    <d v="2012-08-31T00:00:00"/>
    <n v="-1780.13"/>
  </r>
  <r>
    <s v="100018953"/>
    <s v="SA"/>
    <s v="40542 PD0013-B"/>
    <x v="2"/>
    <s v="RECURRING ENTRY ENDS 10/30; FV50 NEEDED 11/30"/>
    <s v="20120831"/>
    <x v="2"/>
    <d v="2012-08-31T00:00:00"/>
    <n v="-5336.81"/>
  </r>
  <r>
    <s v="100018954"/>
    <s v="SA"/>
    <s v="40545 PD0014-A"/>
    <x v="2"/>
    <s v="RECURRING ENTRY ENDS 10/34; FV50 NEEDED 11/34"/>
    <s v="20120831"/>
    <x v="5"/>
    <d v="2012-08-31T00:00:00"/>
    <n v="-2230.71"/>
  </r>
  <r>
    <s v="100018955"/>
    <s v="SA"/>
    <s v="40545 PD0014-B"/>
    <x v="2"/>
    <s v="RECURRING ENTRY ENDS 12/13; FV50 NEEDED 01/14"/>
    <s v="20120831"/>
    <x v="5"/>
    <d v="2012-08-31T00:00:00"/>
    <n v="-9993"/>
  </r>
  <r>
    <s v="100018956"/>
    <s v="SA"/>
    <s v="40545 PD0014-C"/>
    <x v="2"/>
    <s v="RECURRING ENTRY ENDS 01/14; FV50 NEEDED 02/14"/>
    <s v="20120831"/>
    <x v="5"/>
    <d v="2012-08-31T00:00:00"/>
    <n v="-7091.09"/>
  </r>
  <r>
    <s v="100018959"/>
    <s v="SA"/>
    <s v="40545 PD0010"/>
    <x v="2"/>
    <s v="RECURRING ENTRY ENDS 04/18; FV50 NEEDED 05/18"/>
    <s v="20120831"/>
    <x v="11"/>
    <d v="2012-08-31T00:00:00"/>
    <n v="-1179.21"/>
  </r>
  <r>
    <s v="100018960"/>
    <s v="SA"/>
    <s v="40545 PD0012"/>
    <x v="2"/>
    <s v="RECURRING ENTRY ENDS 07/25; FV50 NEEDED 08/25"/>
    <s v="20120831"/>
    <x v="11"/>
    <d v="2012-08-31T00:00:00"/>
    <n v="-1019.33"/>
  </r>
  <r>
    <s v="100018961"/>
    <s v="SA"/>
    <s v="40545 PD0023-A"/>
    <x v="2"/>
    <s v="RECURRING ENTRY ENDS 09/20; FV50 NEEDED 10/20"/>
    <s v="20120831"/>
    <x v="11"/>
    <d v="2012-08-31T00:00:00"/>
    <n v="-857.57"/>
  </r>
  <r>
    <s v="100024355"/>
    <s v="SA"/>
    <s v="40650"/>
    <x v="2"/>
    <s v=""/>
    <s v="20120901"/>
    <x v="5"/>
    <d v="2012-09-27T00:00:00"/>
    <n v="-18392"/>
  </r>
  <r>
    <s v="100019344"/>
    <s v="SA"/>
    <s v="40505"/>
    <x v="2"/>
    <s v="Final Amortization"/>
    <s v="20120904"/>
    <x v="9"/>
    <d v="2012-08-31T00:00:00"/>
    <n v="-61642.11"/>
  </r>
  <r>
    <s v="100019344"/>
    <s v="SA"/>
    <s v="40505"/>
    <x v="2"/>
    <s v="Final Amortization"/>
    <s v="20120904"/>
    <x v="9"/>
    <d v="2012-08-31T00:00:00"/>
    <n v="-19349.349999999999"/>
  </r>
  <r>
    <s v="100019344"/>
    <s v="SA"/>
    <s v="40505"/>
    <x v="2"/>
    <s v="Short-term Reversal"/>
    <s v="20120904"/>
    <x v="11"/>
    <d v="2012-08-31T00:00:00"/>
    <n v="1184794.3"/>
  </r>
  <r>
    <s v="100019344"/>
    <s v="SA"/>
    <s v="40505"/>
    <x v="2"/>
    <s v="Short-term"/>
    <s v="20120904"/>
    <x v="11"/>
    <d v="2012-08-31T00:00:00"/>
    <n v="-1103802.8400000001"/>
  </r>
  <r>
    <s v="100027495"/>
    <s v="SA"/>
    <s v="40544 PD0013"/>
    <x v="2"/>
    <s v="RECURRING ENTRY ENDS 09/22; FV50 NEEDED 10/22"/>
    <s v="20120930"/>
    <x v="2"/>
    <d v="2012-09-30T00:00:00"/>
    <n v="-10077.08"/>
  </r>
  <r>
    <s v="100027496"/>
    <s v="SA"/>
    <s v="40542 PD0023"/>
    <x v="2"/>
    <s v="RECURRING ENTRY ENDS 03/22; FV50 NEEDED 04/22"/>
    <s v="20120930"/>
    <x v="14"/>
    <d v="2012-09-30T00:00:00"/>
    <n v="-2524.9"/>
  </r>
  <r>
    <s v="100027497"/>
    <s v="SA"/>
    <s v="40542 PD0014"/>
    <x v="2"/>
    <s v="RECURRING ENTRY ENDS 10/34; FV50 NEEDED 11/34"/>
    <s v="20120930"/>
    <x v="5"/>
    <d v="2012-09-30T00:00:00"/>
    <n v="-2490.34"/>
  </r>
  <r>
    <s v="100027498"/>
    <s v="SA"/>
    <s v="40546 PD0014"/>
    <x v="2"/>
    <s v="RECURRING ENTRY ENDS 01/14; FV50 NEEDED 02/14"/>
    <s v="20120930"/>
    <x v="5"/>
    <d v="2012-09-30T00:00:00"/>
    <n v="-603.13"/>
  </r>
  <r>
    <s v="100027501"/>
    <s v="SA"/>
    <s v="40545 PD0013-A"/>
    <x v="2"/>
    <s v="RECURRING ENTRY ENDS 09/22; FV50 NEEDED 10/22"/>
    <s v="20120930"/>
    <x v="2"/>
    <d v="2012-09-30T00:00:00"/>
    <n v="-3125.47"/>
  </r>
  <r>
    <s v="100027502"/>
    <s v="SA"/>
    <s v="40542 PD0013-A"/>
    <x v="2"/>
    <s v="RECURRING ENTRY ENDS 09/22; FV50 NEEDED 10/22"/>
    <s v="20120930"/>
    <x v="2"/>
    <d v="2012-09-30T00:00:00"/>
    <n v="-4451.78"/>
  </r>
  <r>
    <s v="100027503"/>
    <s v="SA"/>
    <s v="40545 PD0900-A"/>
    <x v="2"/>
    <s v="RECURRING ENTRY ENDS 03/22; FV50 NEEDED 04/22"/>
    <s v="20120930"/>
    <x v="11"/>
    <d v="2012-09-30T00:00:00"/>
    <n v="-5589.54"/>
  </r>
  <r>
    <s v="100027504"/>
    <s v="SA"/>
    <s v="40542 PD0900-A"/>
    <x v="2"/>
    <s v="RECURRING ENTRY ENDS 03/22; FV50 NEEDED 04/22"/>
    <s v="20120930"/>
    <x v="11"/>
    <d v="2012-09-30T00:00:00"/>
    <n v="-10099.59"/>
  </r>
  <r>
    <s v="100027505"/>
    <s v="SA"/>
    <s v="40545 PD0023-B"/>
    <x v="2"/>
    <s v="RECURRING ENTRY ENDS 03/22; FV50 NEEDED 04/22"/>
    <s v="20120930"/>
    <x v="14"/>
    <d v="2012-09-30T00:00:00"/>
    <n v="-1407.23"/>
  </r>
  <r>
    <s v="100027506"/>
    <s v="SA"/>
    <s v="40545 PD0900-B"/>
    <x v="2"/>
    <s v="RECURRING ENTRY ENDS 06/21; FV50 NEEDED 07/21"/>
    <s v="20120930"/>
    <x v="11"/>
    <d v="2012-09-30T00:00:00"/>
    <n v="-193.73"/>
  </r>
  <r>
    <s v="100027507"/>
    <s v="SA"/>
    <s v="40542 PD0900-B"/>
    <x v="2"/>
    <s v="RECURRING ENTRY ENDS 06/21; FV50 NEEDED 07/21"/>
    <s v="20120930"/>
    <x v="11"/>
    <d v="2012-09-30T00:00:00"/>
    <n v="-274.12"/>
  </r>
  <r>
    <s v="100027508"/>
    <s v="SA"/>
    <s v="40545 PD0900-C"/>
    <x v="2"/>
    <s v="RECURRING ENTRY ENDS 06/21; FV50 NEEDED 07/21"/>
    <s v="20120930"/>
    <x v="11"/>
    <d v="2012-09-30T00:00:00"/>
    <n v="-1347.95"/>
  </r>
  <r>
    <s v="100027509"/>
    <s v="SA"/>
    <s v="40542 PD0900-C"/>
    <x v="2"/>
    <s v="RECURRING ENTRY ENDS 06/21; FV50 NEEDED 07/21"/>
    <s v="20120930"/>
    <x v="11"/>
    <d v="2012-09-30T00:00:00"/>
    <n v="-1918.86"/>
  </r>
  <r>
    <s v="100027510"/>
    <s v="SA"/>
    <s v="40545 PD0013-B"/>
    <x v="2"/>
    <s v="RECURRING ENTRY ENDS 11/30; FV50 NEEDED 12/30"/>
    <s v="20120930"/>
    <x v="2"/>
    <d v="2012-09-30T00:00:00"/>
    <n v="-1780.13"/>
  </r>
  <r>
    <s v="100027511"/>
    <s v="SA"/>
    <s v="40542 PD0013-B"/>
    <x v="2"/>
    <s v="RECURRING ENTRY ENDS 10/30; FV50 NEEDED 11/30"/>
    <s v="20120930"/>
    <x v="2"/>
    <d v="2012-09-30T00:00:00"/>
    <n v="-5336.81"/>
  </r>
  <r>
    <s v="100027512"/>
    <s v="SA"/>
    <s v="40545 PD0014-A"/>
    <x v="2"/>
    <s v="RECURRING ENTRY ENDS 10/34; FV50 NEEDED 11/34"/>
    <s v="20120930"/>
    <x v="5"/>
    <d v="2012-09-30T00:00:00"/>
    <n v="-2230.71"/>
  </r>
  <r>
    <s v="100027513"/>
    <s v="SA"/>
    <s v="40545 PD0014-B"/>
    <x v="2"/>
    <s v="RECURRING ENTRY ENDS 12/13; FV50 NEEDED 01/14"/>
    <s v="20120930"/>
    <x v="5"/>
    <d v="2012-09-30T00:00:00"/>
    <n v="-9993"/>
  </r>
  <r>
    <s v="100027514"/>
    <s v="SA"/>
    <s v="40545 PD0014-C"/>
    <x v="2"/>
    <s v="RECURRING ENTRY ENDS 01/14; FV50 NEEDED 02/14"/>
    <s v="20120930"/>
    <x v="5"/>
    <d v="2012-09-30T00:00:00"/>
    <n v="-7091.09"/>
  </r>
  <r>
    <s v="100027517"/>
    <s v="SA"/>
    <s v="40545 PD0010"/>
    <x v="2"/>
    <s v="RECURRING ENTRY ENDS 04/18; FV50 NEEDED 05/18"/>
    <s v="20120930"/>
    <x v="11"/>
    <d v="2012-09-30T00:00:00"/>
    <n v="-1179.21"/>
  </r>
  <r>
    <s v="100027518"/>
    <s v="SA"/>
    <s v="40545 PD0012"/>
    <x v="2"/>
    <s v="RECURRING ENTRY ENDS 07/25; FV50 NEEDED 08/25"/>
    <s v="20120930"/>
    <x v="11"/>
    <d v="2012-09-30T00:00:00"/>
    <n v="-1019.33"/>
  </r>
  <r>
    <s v="100027519"/>
    <s v="SA"/>
    <s v="40545 PD0023-A"/>
    <x v="2"/>
    <s v="RECURRING ENTRY ENDS 09/20; FV50 NEEDED 10/20"/>
    <s v="20120930"/>
    <x v="11"/>
    <d v="2012-09-30T00:00:00"/>
    <n v="-857.57"/>
  </r>
  <r>
    <s v="100034010"/>
    <s v="SA"/>
    <s v="40650"/>
    <x v="2"/>
    <s v=""/>
    <s v="20121001"/>
    <x v="5"/>
    <d v="2012-10-31T00:00:00"/>
    <n v="-18392"/>
  </r>
  <r>
    <s v="100036835"/>
    <s v="SA"/>
    <s v="40505"/>
    <x v="2"/>
    <s v="189 Reclass"/>
    <s v="20121001"/>
    <x v="7"/>
    <d v="2012-10-31T00:00:00"/>
    <n v="53064.98"/>
  </r>
  <r>
    <s v="100036835"/>
    <s v="SA"/>
    <s v="40505"/>
    <x v="2"/>
    <s v="189 Reclass"/>
    <s v="20121001"/>
    <x v="8"/>
    <d v="2012-10-31T00:00:00"/>
    <n v="400893.57"/>
  </r>
  <r>
    <s v="100036835"/>
    <s v="SA"/>
    <s v="40505"/>
    <x v="2"/>
    <s v="189 Reclass"/>
    <s v="20121001"/>
    <x v="8"/>
    <d v="2012-10-31T00:00:00"/>
    <n v="504882.75"/>
  </r>
  <r>
    <s v="100036835"/>
    <s v="SA"/>
    <s v="40505"/>
    <x v="2"/>
    <s v="Conversion Correction"/>
    <s v="20121001"/>
    <x v="5"/>
    <d v="2012-10-31T00:00:00"/>
    <n v="-489603.24"/>
  </r>
  <r>
    <s v="100036835"/>
    <s v="SA"/>
    <s v="40505"/>
    <x v="2"/>
    <s v="Conversion Correction"/>
    <s v="20121001"/>
    <x v="2"/>
    <d v="2012-10-31T00:00:00"/>
    <n v="-297255.24"/>
  </r>
  <r>
    <s v="100036835"/>
    <s v="SA"/>
    <s v="40505"/>
    <x v="2"/>
    <s v="Conversion Correction"/>
    <s v="20121001"/>
    <x v="11"/>
    <d v="2012-10-31T00:00:00"/>
    <n v="-809033.57"/>
  </r>
  <r>
    <s v="100036835"/>
    <s v="SA"/>
    <s v="40505"/>
    <x v="2"/>
    <s v="Conversion Correction"/>
    <s v="20121001"/>
    <x v="18"/>
    <d v="2012-10-31T00:00:00"/>
    <n v="1358385.75"/>
  </r>
  <r>
    <s v="100036835"/>
    <s v="SA"/>
    <s v="40505"/>
    <x v="2"/>
    <s v="Conversion Correction"/>
    <s v="20121001"/>
    <x v="14"/>
    <d v="2012-10-31T00:00:00"/>
    <n v="25707.61"/>
  </r>
  <r>
    <s v="100036835"/>
    <s v="SA"/>
    <s v="40505"/>
    <x v="2"/>
    <s v="Conversion Correction"/>
    <s v="20121001"/>
    <x v="12"/>
    <d v="2012-10-31T00:00:00"/>
    <n v="66036.38"/>
  </r>
  <r>
    <s v="100036835"/>
    <s v="SA"/>
    <s v="40505"/>
    <x v="2"/>
    <s v="Conversion Correction"/>
    <s v="20121001"/>
    <x v="13"/>
    <d v="2012-10-31T00:00:00"/>
    <n v="145762.31"/>
  </r>
  <r>
    <s v="100036798"/>
    <s v="SA"/>
    <s v="40544 PD0013"/>
    <x v="2"/>
    <s v="RECURRING ENTRY ENDS 09/22; FV50 NEEDED 10/22"/>
    <s v="20121031"/>
    <x v="2"/>
    <d v="2012-10-31T00:00:00"/>
    <n v="-10077.08"/>
  </r>
  <r>
    <s v="100036799"/>
    <s v="SA"/>
    <s v="40542 PD0023"/>
    <x v="2"/>
    <s v="RECURRING ENTRY ENDS 03/22; FV50 NEEDED 04/22"/>
    <s v="20121031"/>
    <x v="14"/>
    <d v="2012-10-31T00:00:00"/>
    <n v="-2524.9"/>
  </r>
  <r>
    <s v="100036800"/>
    <s v="SA"/>
    <s v="40542 PD0014"/>
    <x v="2"/>
    <s v="RECURRING ENTRY ENDS 10/34; FV50 NEEDED 11/34"/>
    <s v="20121031"/>
    <x v="5"/>
    <d v="2012-10-31T00:00:00"/>
    <n v="-2490.34"/>
  </r>
  <r>
    <s v="100036801"/>
    <s v="SA"/>
    <s v="40546 PD0014"/>
    <x v="2"/>
    <s v="RECURRING ENTRY ENDS 01/14; FV50 NEEDED 02/14"/>
    <s v="20121031"/>
    <x v="5"/>
    <d v="2012-10-31T00:00:00"/>
    <n v="-603.13"/>
  </r>
  <r>
    <s v="100036804"/>
    <s v="SA"/>
    <s v="40545 PD0013-A"/>
    <x v="2"/>
    <s v="RECURRING ENTRY ENDS 09/22; FV50 NEEDED 10/22"/>
    <s v="20121031"/>
    <x v="2"/>
    <d v="2012-10-31T00:00:00"/>
    <n v="-3125.47"/>
  </r>
  <r>
    <s v="100036805"/>
    <s v="SA"/>
    <s v="40542 PD0013-A"/>
    <x v="2"/>
    <s v="RECURRING ENTRY ENDS 09/22; FV50 NEEDED 10/22"/>
    <s v="20121031"/>
    <x v="2"/>
    <d v="2012-10-31T00:00:00"/>
    <n v="-4451.78"/>
  </r>
  <r>
    <s v="100036806"/>
    <s v="SA"/>
    <s v="40545 PD0900-A"/>
    <x v="2"/>
    <s v="RECURRING ENTRY ENDS 03/22; FV50 NEEDED 04/22"/>
    <s v="20121031"/>
    <x v="11"/>
    <d v="2012-10-31T00:00:00"/>
    <n v="-5589.54"/>
  </r>
  <r>
    <s v="100036807"/>
    <s v="SA"/>
    <s v="40542 PD0900-A"/>
    <x v="2"/>
    <s v="RECURRING ENTRY ENDS 03/22; FV50 NEEDED 04/22"/>
    <s v="20121031"/>
    <x v="11"/>
    <d v="2012-10-31T00:00:00"/>
    <n v="-10099.59"/>
  </r>
  <r>
    <s v="100036808"/>
    <s v="SA"/>
    <s v="40545 PD0023-B"/>
    <x v="2"/>
    <s v="RECURRING ENTRY ENDS 03/22; FV50 NEEDED 04/22"/>
    <s v="20121031"/>
    <x v="14"/>
    <d v="2012-10-31T00:00:00"/>
    <n v="-1407.23"/>
  </r>
  <r>
    <s v="100036809"/>
    <s v="SA"/>
    <s v="40545 PD0900-B"/>
    <x v="2"/>
    <s v="RECURRING ENTRY ENDS 06/21; FV50 NEEDED 07/21"/>
    <s v="20121031"/>
    <x v="11"/>
    <d v="2012-10-31T00:00:00"/>
    <n v="-193.73"/>
  </r>
  <r>
    <s v="100036810"/>
    <s v="SA"/>
    <s v="40542 PD0900-B"/>
    <x v="2"/>
    <s v="RECURRING ENTRY ENDS 06/21; FV50 NEEDED 07/21"/>
    <s v="20121031"/>
    <x v="11"/>
    <d v="2012-10-31T00:00:00"/>
    <n v="-274.12"/>
  </r>
  <r>
    <s v="100036811"/>
    <s v="SA"/>
    <s v="40545 PD0900-C"/>
    <x v="2"/>
    <s v="RECURRING ENTRY ENDS 06/21; FV50 NEEDED 07/21"/>
    <s v="20121031"/>
    <x v="11"/>
    <d v="2012-10-31T00:00:00"/>
    <n v="-1347.95"/>
  </r>
  <r>
    <s v="100036812"/>
    <s v="SA"/>
    <s v="40542 PD0900-C"/>
    <x v="2"/>
    <s v="RECURRING ENTRY ENDS 06/21; FV50 NEEDED 07/21"/>
    <s v="20121031"/>
    <x v="11"/>
    <d v="2012-10-31T00:00:00"/>
    <n v="-1918.86"/>
  </r>
  <r>
    <s v="100036813"/>
    <s v="SA"/>
    <s v="40545 PD0013-B"/>
    <x v="2"/>
    <s v="RECURRING ENTRY ENDS 11/30; FV50 NEEDED 12/30"/>
    <s v="20121031"/>
    <x v="2"/>
    <d v="2012-10-31T00:00:00"/>
    <n v="-1780.13"/>
  </r>
  <r>
    <s v="100036814"/>
    <s v="SA"/>
    <s v="40542 PD0013-B"/>
    <x v="2"/>
    <s v="RECURRING ENTRY ENDS 10/30; FV50 NEEDED 11/30"/>
    <s v="20121031"/>
    <x v="2"/>
    <d v="2012-10-31T00:00:00"/>
    <n v="-5336.81"/>
  </r>
  <r>
    <s v="100036815"/>
    <s v="SA"/>
    <s v="40545 PD0014-A"/>
    <x v="2"/>
    <s v="RECURRING ENTRY ENDS 10/34; FV50 NEEDED 11/34"/>
    <s v="20121031"/>
    <x v="5"/>
    <d v="2012-10-31T00:00:00"/>
    <n v="-2230.71"/>
  </r>
  <r>
    <s v="100036816"/>
    <s v="SA"/>
    <s v="40545 PD0014-B"/>
    <x v="2"/>
    <s v="RECURRING ENTRY ENDS 12/13; FV50 NEEDED 01/14"/>
    <s v="20121031"/>
    <x v="5"/>
    <d v="2012-10-31T00:00:00"/>
    <n v="-9993"/>
  </r>
  <r>
    <s v="100036817"/>
    <s v="SA"/>
    <s v="40545 PD0014-C"/>
    <x v="2"/>
    <s v="RECURRING ENTRY ENDS 01/14; FV50 NEEDED 02/14"/>
    <s v="20121031"/>
    <x v="5"/>
    <d v="2012-10-31T00:00:00"/>
    <n v="-7091.09"/>
  </r>
  <r>
    <s v="100036820"/>
    <s v="SA"/>
    <s v="40545 PD0010"/>
    <x v="2"/>
    <s v="RECURRING ENTRY ENDS 04/18; FV50 NEEDED 05/18"/>
    <s v="20121031"/>
    <x v="11"/>
    <d v="2012-10-31T00:00:00"/>
    <n v="-1179.21"/>
  </r>
  <r>
    <s v="100036821"/>
    <s v="SA"/>
    <s v="40545 PD0012"/>
    <x v="2"/>
    <s v="RECURRING ENTRY ENDS 07/25; FV50 NEEDED 08/25"/>
    <s v="20121031"/>
    <x v="11"/>
    <d v="2012-10-31T00:00:00"/>
    <n v="-1019.33"/>
  </r>
  <r>
    <s v="100036822"/>
    <s v="SA"/>
    <s v="40545 PD0023-A"/>
    <x v="2"/>
    <s v="RECURRING ENTRY ENDS 09/20; FV50 NEEDED 10/20"/>
    <s v="20121031"/>
    <x v="11"/>
    <d v="2012-10-31T00:00:00"/>
    <n v="-857.57"/>
  </r>
  <r>
    <s v="100036838"/>
    <s v="AB"/>
    <s v="40544 PD0013"/>
    <x v="2"/>
    <s v="RECURRING ENTRY ENDS 09/22; FV50 NEEDED 10/22"/>
    <s v="20121031"/>
    <x v="2"/>
    <d v="2012-10-31T00:00:00"/>
    <n v="10077.08"/>
  </r>
  <r>
    <s v="100036839"/>
    <s v="AB"/>
    <s v="40542 PD0023"/>
    <x v="2"/>
    <s v="RECURRING ENTRY ENDS 03/22; FV50 NEEDED 04/22"/>
    <s v="20121031"/>
    <x v="14"/>
    <d v="2012-10-31T00:00:00"/>
    <n v="2524.9"/>
  </r>
  <r>
    <s v="100036840"/>
    <s v="AB"/>
    <s v="40542 PD0014"/>
    <x v="2"/>
    <s v="RECURRING ENTRY ENDS 10/34; FV50 NEEDED 11/34"/>
    <s v="20121031"/>
    <x v="5"/>
    <d v="2012-10-31T00:00:00"/>
    <n v="2490.34"/>
  </r>
  <r>
    <s v="100036841"/>
    <s v="AB"/>
    <s v="40546 PD0014"/>
    <x v="2"/>
    <s v="RECURRING ENTRY ENDS 01/14; FV50 NEEDED 02/14"/>
    <s v="20121031"/>
    <x v="5"/>
    <d v="2012-10-31T00:00:00"/>
    <n v="603.13"/>
  </r>
  <r>
    <s v="100036843"/>
    <s v="AB"/>
    <s v="40545 PD0013-A"/>
    <x v="2"/>
    <s v="RECURRING ENTRY ENDS 09/22; FV50 NEEDED 10/22"/>
    <s v="20121031"/>
    <x v="2"/>
    <d v="2012-10-31T00:00:00"/>
    <n v="3125.47"/>
  </r>
  <r>
    <s v="100036844"/>
    <s v="AB"/>
    <s v="40542 PD0013-A"/>
    <x v="2"/>
    <s v="RECURRING ENTRY ENDS 09/22; FV50 NEEDED 10/22"/>
    <s v="20121031"/>
    <x v="2"/>
    <d v="2012-10-31T00:00:00"/>
    <n v="4451.78"/>
  </r>
  <r>
    <s v="100036845"/>
    <s v="AB"/>
    <s v="40545 PD0900-A"/>
    <x v="2"/>
    <s v="RECURRING ENTRY ENDS 03/22; FV50 NEEDED 04/22"/>
    <s v="20121031"/>
    <x v="11"/>
    <d v="2012-10-31T00:00:00"/>
    <n v="5589.54"/>
  </r>
  <r>
    <s v="100036846"/>
    <s v="AB"/>
    <s v="40542 PD0900-A"/>
    <x v="2"/>
    <s v="RECURRING ENTRY ENDS 03/22; FV50 NEEDED 04/22"/>
    <s v="20121031"/>
    <x v="11"/>
    <d v="2012-10-31T00:00:00"/>
    <n v="10099.59"/>
  </r>
  <r>
    <s v="100036847"/>
    <s v="AB"/>
    <s v="40545 PD0023-B"/>
    <x v="2"/>
    <s v="RECURRING ENTRY ENDS 03/22; FV50 NEEDED 04/22"/>
    <s v="20121031"/>
    <x v="14"/>
    <d v="2012-10-31T00:00:00"/>
    <n v="1407.23"/>
  </r>
  <r>
    <s v="100036848"/>
    <s v="AB"/>
    <s v="40545 PD0900-B"/>
    <x v="2"/>
    <s v="RECURRING ENTRY ENDS 06/21; FV50 NEEDED 07/21"/>
    <s v="20121031"/>
    <x v="11"/>
    <d v="2012-10-31T00:00:00"/>
    <n v="193.73"/>
  </r>
  <r>
    <s v="100036849"/>
    <s v="AB"/>
    <s v="40542 PD0900-B"/>
    <x v="2"/>
    <s v="RECURRING ENTRY ENDS 06/21; FV50 NEEDED 07/21"/>
    <s v="20121031"/>
    <x v="11"/>
    <d v="2012-10-31T00:00:00"/>
    <n v="274.12"/>
  </r>
  <r>
    <s v="100036850"/>
    <s v="AB"/>
    <s v="40545 PD0900-C"/>
    <x v="2"/>
    <s v="RECURRING ENTRY ENDS 06/21; FV50 NEEDED 07/21"/>
    <s v="20121031"/>
    <x v="11"/>
    <d v="2012-10-31T00:00:00"/>
    <n v="1347.95"/>
  </r>
  <r>
    <s v="100036851"/>
    <s v="AB"/>
    <s v="40542 PD0900-C"/>
    <x v="2"/>
    <s v="RECURRING ENTRY ENDS 06/21; FV50 NEEDED 07/21"/>
    <s v="20121031"/>
    <x v="11"/>
    <d v="2012-10-31T00:00:00"/>
    <n v="1918.86"/>
  </r>
  <r>
    <s v="100036852"/>
    <s v="AB"/>
    <s v="40545 PD0013-B"/>
    <x v="2"/>
    <s v="RECURRING ENTRY ENDS 11/30; FV50 NEEDED 12/30"/>
    <s v="20121031"/>
    <x v="2"/>
    <d v="2012-10-31T00:00:00"/>
    <n v="1780.13"/>
  </r>
  <r>
    <s v="100036853"/>
    <s v="AB"/>
    <s v="40542 PD0013-B"/>
    <x v="2"/>
    <s v="RECURRING ENTRY ENDS 10/30; FV50 NEEDED 11/30"/>
    <s v="20121031"/>
    <x v="2"/>
    <d v="2012-10-31T00:00:00"/>
    <n v="5336.81"/>
  </r>
  <r>
    <s v="100036854"/>
    <s v="AB"/>
    <s v="40545 PD0014-A"/>
    <x v="2"/>
    <s v="RECURRING ENTRY ENDS 10/34; FV50 NEEDED 11/34"/>
    <s v="20121031"/>
    <x v="5"/>
    <d v="2012-10-31T00:00:00"/>
    <n v="2230.71"/>
  </r>
  <r>
    <s v="100036855"/>
    <s v="AB"/>
    <s v="40545 PD0014-B"/>
    <x v="2"/>
    <s v="RECURRING ENTRY ENDS 12/13; FV50 NEEDED 01/14"/>
    <s v="20121031"/>
    <x v="5"/>
    <d v="2012-10-31T00:00:00"/>
    <n v="9993"/>
  </r>
  <r>
    <s v="100036856"/>
    <s v="AB"/>
    <s v="40545 PD0014-C"/>
    <x v="2"/>
    <s v="RECURRING ENTRY ENDS 01/14; FV50 NEEDED 02/14"/>
    <s v="20121031"/>
    <x v="5"/>
    <d v="2012-10-31T00:00:00"/>
    <n v="7091.09"/>
  </r>
  <r>
    <s v="100036859"/>
    <s v="AB"/>
    <s v="40545 PD0010"/>
    <x v="2"/>
    <s v="RECURRING ENTRY ENDS 04/18; FV50 NEEDED 05/18"/>
    <s v="20121031"/>
    <x v="11"/>
    <d v="2012-10-31T00:00:00"/>
    <n v="1179.21"/>
  </r>
  <r>
    <s v="100036860"/>
    <s v="AB"/>
    <s v="40545 PD0012"/>
    <x v="2"/>
    <s v="RECURRING ENTRY ENDS 07/25; FV50 NEEDED 08/25"/>
    <s v="20121031"/>
    <x v="11"/>
    <d v="2012-10-31T00:00:00"/>
    <n v="1019.33"/>
  </r>
  <r>
    <s v="100036861"/>
    <s v="AB"/>
    <s v="40545 PD0023-A"/>
    <x v="2"/>
    <s v="RECURRING ENTRY ENDS 09/20; FV50 NEEDED 10/20"/>
    <s v="20121031"/>
    <x v="11"/>
    <d v="2012-10-31T00:00:00"/>
    <n v="857.57"/>
  </r>
  <r>
    <s v="100037870"/>
    <s v="SA"/>
    <s v="40545 PD0011"/>
    <x v="2"/>
    <s v="$86.4M Unamortized Loss Due 2023 (LT)"/>
    <s v="20121031"/>
    <x v="8"/>
    <d v="2012-10-31T00:00:00"/>
    <n v="-3340.78"/>
  </r>
  <r>
    <s v="100037871"/>
    <s v="SA"/>
    <s v="40545 PD0010"/>
    <x v="2"/>
    <s v="$54.2M Unamortized Loss Due 2018 (LT)"/>
    <s v="20121031"/>
    <x v="12"/>
    <d v="2012-10-31T00:00:00"/>
    <n v="-1179.21"/>
  </r>
  <r>
    <s v="100037872"/>
    <s v="SA"/>
    <s v="40545 PD0012"/>
    <x v="2"/>
    <s v="$51.6M Unamortized Loss Due 2025 (LT)"/>
    <s v="20121031"/>
    <x v="13"/>
    <d v="2012-10-31T00:00:00"/>
    <n v="-1019.33"/>
  </r>
  <r>
    <s v="100037873"/>
    <s v="SA"/>
    <s v="40545 PD0023-A"/>
    <x v="2"/>
    <s v="$20M Unamortized Loss Due 2020 (LT)"/>
    <s v="20121031"/>
    <x v="14"/>
    <d v="2012-10-31T00:00:00"/>
    <n v="-857.57"/>
  </r>
  <r>
    <s v="100037874"/>
    <s v="SA"/>
    <s v="40545 PD0013-A"/>
    <x v="2"/>
    <s v="$75M Unamortized Loss Due 2022 (LT)"/>
    <s v="20121031"/>
    <x v="2"/>
    <d v="2012-10-31T00:00:00"/>
    <n v="-3125.47"/>
  </r>
  <r>
    <s v="100037875"/>
    <s v="SA"/>
    <s v="40542 PD0013-A"/>
    <x v="2"/>
    <s v="$75M Call Premium Due 2022 (LT)"/>
    <s v="20121031"/>
    <x v="2"/>
    <d v="2012-10-31T00:00:00"/>
    <n v="-4451.78"/>
  </r>
  <r>
    <s v="100037876"/>
    <s v="SA"/>
    <s v="40544 PD0013"/>
    <x v="2"/>
    <s v="$75M Bond Discount Due 2022 (LT)"/>
    <s v="20121031"/>
    <x v="2"/>
    <d v="2012-10-31T00:00:00"/>
    <n v="-10077.08"/>
  </r>
  <r>
    <s v="100037877"/>
    <s v="SA"/>
    <s v="40545 PD0900-A"/>
    <x v="2"/>
    <s v="$80M Unamortized Loss Due 2022 (LT)"/>
    <s v="20121031"/>
    <x v="11"/>
    <d v="2012-10-31T00:00:00"/>
    <n v="-5589.54"/>
  </r>
  <r>
    <s v="100037878"/>
    <s v="SA"/>
    <s v="40542 PD0900-A"/>
    <x v="2"/>
    <s v="$80M Call Premium Due 2022 (LT)"/>
    <s v="20121031"/>
    <x v="11"/>
    <d v="2012-10-31T00:00:00"/>
    <n v="-10099.59"/>
  </r>
  <r>
    <s v="100037879"/>
    <s v="SA"/>
    <s v="40545 PD0023-B"/>
    <x v="2"/>
    <s v="$20M Unamortized Loss Due 2022 (LT)"/>
    <s v="20121031"/>
    <x v="14"/>
    <d v="2012-10-31T00:00:00"/>
    <n v="-1407.23"/>
  </r>
  <r>
    <s v="100037880"/>
    <s v="SA"/>
    <s v="40542 PD0023"/>
    <x v="2"/>
    <s v="$20M Call Premium Due 2022 (LT)"/>
    <s v="20121031"/>
    <x v="14"/>
    <d v="2012-10-31T00:00:00"/>
    <n v="-2524.9"/>
  </r>
  <r>
    <s v="100037881"/>
    <s v="SA"/>
    <s v="40545 PD0900-B"/>
    <x v="2"/>
    <s v="$3.125M Unamortized Loss Due 2021 (LT)"/>
    <s v="20121031"/>
    <x v="11"/>
    <d v="2012-10-31T00:00:00"/>
    <n v="-193.73"/>
  </r>
  <r>
    <s v="100037882"/>
    <s v="SA"/>
    <s v="40542 PD0900-B"/>
    <x v="2"/>
    <s v="$3.125M Call Premium Due 2021 (LT)"/>
    <s v="20121031"/>
    <x v="11"/>
    <d v="2012-10-31T00:00:00"/>
    <n v="-274.12"/>
  </r>
  <r>
    <s v="100037883"/>
    <s v="SA"/>
    <s v="40545 PD0900-C"/>
    <x v="2"/>
    <s v="$21.875M Unamortized Loss Due 2021 (LT)"/>
    <s v="20121031"/>
    <x v="11"/>
    <d v="2012-10-31T00:00:00"/>
    <n v="-1347.95"/>
  </r>
  <r>
    <s v="100037884"/>
    <s v="SA"/>
    <s v="40542 PD0900-C"/>
    <x v="2"/>
    <s v="$21.875M Call Premium Due 2021 (LT)"/>
    <s v="20121031"/>
    <x v="11"/>
    <d v="2012-10-31T00:00:00"/>
    <n v="-1918.86"/>
  </r>
  <r>
    <s v="100037885"/>
    <s v="SA"/>
    <s v="40545 PD0013-B"/>
    <x v="2"/>
    <s v="$75M Unamortized Loss Due 2030 (LT)"/>
    <s v="20121031"/>
    <x v="2"/>
    <d v="2012-10-31T00:00:00"/>
    <n v="-1780.13"/>
  </r>
  <r>
    <s v="100037886"/>
    <s v="SA"/>
    <s v="40545 PD0014-A"/>
    <x v="2"/>
    <s v="$85.95M Unamortized Loss Due 2034 (LT)"/>
    <s v="20121031"/>
    <x v="5"/>
    <d v="2012-10-31T00:00:00"/>
    <n v="-2230.71"/>
  </r>
  <r>
    <s v="100037887"/>
    <s v="SA"/>
    <s v="40542 PD0014"/>
    <x v="2"/>
    <s v="$85.95M Call Premium Due 2034 (LT)"/>
    <s v="20121031"/>
    <x v="5"/>
    <d v="2012-10-31T00:00:00"/>
    <n v="-2490.34"/>
  </r>
  <r>
    <s v="100037888"/>
    <s v="SA"/>
    <s v="40545 PD0014-B"/>
    <x v="2"/>
    <s v="$82M Unamortized Loss Due 2014 (LT)"/>
    <s v="20121031"/>
    <x v="5"/>
    <d v="2012-10-31T00:00:00"/>
    <n v="-9993"/>
  </r>
  <r>
    <s v="100037889"/>
    <s v="SA"/>
    <s v="40546 PD0014"/>
    <x v="2"/>
    <s v="$85.95M Arbitrage Loss Due 2014 (LT)"/>
    <s v="20121031"/>
    <x v="5"/>
    <d v="2012-10-31T00:00:00"/>
    <n v="-603.13"/>
  </r>
  <r>
    <s v="100037891"/>
    <s v="SA"/>
    <s v="40543 PD0011"/>
    <x v="2"/>
    <s v="$86.4M Bond Discount Due 2023 (LT)"/>
    <s v="20121031"/>
    <x v="8"/>
    <d v="2012-10-31T00:00:00"/>
    <n v="-4207.3500000000004"/>
  </r>
  <r>
    <s v="100037893"/>
    <s v="SA"/>
    <s v="40542 PD0013-B"/>
    <x v="2"/>
    <s v="$75M Call Premium Due 2030 (LT)"/>
    <s v="20121031"/>
    <x v="2"/>
    <d v="2012-10-31T00:00:00"/>
    <n v="-5336.81"/>
  </r>
  <r>
    <s v="100037894"/>
    <s v="SA"/>
    <s v="40545 PD0014-C"/>
    <x v="2"/>
    <s v="$85.95M Unamortized Loss Due 2014 (LT)"/>
    <s v="20121031"/>
    <x v="5"/>
    <d v="2012-10-31T00:00:00"/>
    <n v="-7091.09"/>
  </r>
  <r>
    <s v="100041200"/>
    <s v="SA"/>
    <s v="40650"/>
    <x v="2"/>
    <s v=""/>
    <s v="20121101"/>
    <x v="5"/>
    <d v="2012-11-30T00:00:00"/>
    <n v="-18392"/>
  </r>
  <r>
    <s v="100044296"/>
    <s v="SA"/>
    <s v="40505"/>
    <x v="2"/>
    <s v=""/>
    <s v="20121101"/>
    <x v="7"/>
    <d v="2012-11-30T00:00:00"/>
    <n v="-53064.98"/>
  </r>
  <r>
    <s v="100044338"/>
    <s v="SA"/>
    <s v="40545 PD0011"/>
    <x v="2"/>
    <s v="$86.4M Unamortized Loss Due 2023 (LT)"/>
    <s v="20121130"/>
    <x v="8"/>
    <d v="2012-11-30T00:00:00"/>
    <n v="-3340.78"/>
  </r>
  <r>
    <s v="100044339"/>
    <s v="SA"/>
    <s v="40545 PD0010"/>
    <x v="2"/>
    <s v="$54.2M Unamortized Loss Due 2018 (LT)"/>
    <s v="20121130"/>
    <x v="12"/>
    <d v="2012-11-30T00:00:00"/>
    <n v="-1179.21"/>
  </r>
  <r>
    <s v="100044340"/>
    <s v="SA"/>
    <s v="40545 PD0012"/>
    <x v="2"/>
    <s v="$51.6M Unamortized Loss Due 2025 (LT)"/>
    <s v="20121130"/>
    <x v="13"/>
    <d v="2012-11-30T00:00:00"/>
    <n v="-1019.33"/>
  </r>
  <r>
    <s v="100044341"/>
    <s v="SA"/>
    <s v="40545 PD0023-A"/>
    <x v="2"/>
    <s v="$20M Unamortized Loss Due 2020 (LT)"/>
    <s v="20121130"/>
    <x v="14"/>
    <d v="2012-11-30T00:00:00"/>
    <n v="-857.57"/>
  </r>
  <r>
    <s v="100044342"/>
    <s v="SA"/>
    <s v="40545 PD0013-A"/>
    <x v="2"/>
    <s v="$75M Unamortized Loss Due 2022 (LT)"/>
    <s v="20121130"/>
    <x v="2"/>
    <d v="2012-11-30T00:00:00"/>
    <n v="-3125.47"/>
  </r>
  <r>
    <s v="100044343"/>
    <s v="SA"/>
    <s v="40542 PD0013-A"/>
    <x v="2"/>
    <s v="$75M Call Premium Due 2022 (LT)"/>
    <s v="20121130"/>
    <x v="2"/>
    <d v="2012-11-30T00:00:00"/>
    <n v="-4451.78"/>
  </r>
  <r>
    <s v="100044344"/>
    <s v="SA"/>
    <s v="40544 PD0013"/>
    <x v="2"/>
    <s v="$75M Bond Discount Due 2022 (LT)"/>
    <s v="20121130"/>
    <x v="2"/>
    <d v="2012-11-30T00:00:00"/>
    <n v="-10077.08"/>
  </r>
  <r>
    <s v="100044345"/>
    <s v="SA"/>
    <s v="40545 PD0900-A"/>
    <x v="2"/>
    <s v="$80M Unamortized Loss Due 2022 (LT)"/>
    <s v="20121130"/>
    <x v="11"/>
    <d v="2012-11-30T00:00:00"/>
    <n v="-5589.54"/>
  </r>
  <r>
    <s v="100044346"/>
    <s v="SA"/>
    <s v="40542 PD0900-A"/>
    <x v="2"/>
    <s v="$80M Call Premium Due 2022 (LT)"/>
    <s v="20121130"/>
    <x v="11"/>
    <d v="2012-11-30T00:00:00"/>
    <n v="-10099.59"/>
  </r>
  <r>
    <s v="100044347"/>
    <s v="SA"/>
    <s v="40545 PD0023-B"/>
    <x v="2"/>
    <s v="$20M Unamortized Loss Due 2022 (LT)"/>
    <s v="20121130"/>
    <x v="14"/>
    <d v="2012-11-30T00:00:00"/>
    <n v="-1407.23"/>
  </r>
  <r>
    <s v="100044348"/>
    <s v="SA"/>
    <s v="40542 PD0023"/>
    <x v="2"/>
    <s v="$20M Call Premium Due 2022 (LT)"/>
    <s v="20121130"/>
    <x v="14"/>
    <d v="2012-11-30T00:00:00"/>
    <n v="-2524.9"/>
  </r>
  <r>
    <s v="100044349"/>
    <s v="SA"/>
    <s v="40545 PD0900-B"/>
    <x v="2"/>
    <s v="$3.125M Unamortized Loss Due 2021 (LT)"/>
    <s v="20121130"/>
    <x v="11"/>
    <d v="2012-11-30T00:00:00"/>
    <n v="-193.73"/>
  </r>
  <r>
    <s v="100044350"/>
    <s v="SA"/>
    <s v="40542 PD0900-B"/>
    <x v="2"/>
    <s v="$3.125M Call Premium Due 2021 (LT)"/>
    <s v="20121130"/>
    <x v="11"/>
    <d v="2012-11-30T00:00:00"/>
    <n v="-274.12"/>
  </r>
  <r>
    <s v="100044351"/>
    <s v="SA"/>
    <s v="40545 PD0900-C"/>
    <x v="2"/>
    <s v="$21.875M Unamortized Loss Due 2021 (LT)"/>
    <s v="20121130"/>
    <x v="11"/>
    <d v="2012-11-30T00:00:00"/>
    <n v="-1347.95"/>
  </r>
  <r>
    <s v="100044352"/>
    <s v="SA"/>
    <s v="40542 PD0900-C"/>
    <x v="2"/>
    <s v="$21.875M Call Premium Due 2021 (LT)"/>
    <s v="20121130"/>
    <x v="11"/>
    <d v="2012-11-30T00:00:00"/>
    <n v="-1918.86"/>
  </r>
  <r>
    <s v="100044353"/>
    <s v="SA"/>
    <s v="40545 PD0013-B"/>
    <x v="2"/>
    <s v="$75M Unamortized Loss Due 2030 (LT)"/>
    <s v="20121130"/>
    <x v="2"/>
    <d v="2012-11-30T00:00:00"/>
    <n v="-1780.13"/>
  </r>
  <r>
    <s v="100044354"/>
    <s v="SA"/>
    <s v="40545 PD0014-A"/>
    <x v="2"/>
    <s v="$85.95M Unamortized Loss Due 2034 (LT)"/>
    <s v="20121130"/>
    <x v="5"/>
    <d v="2012-11-30T00:00:00"/>
    <n v="-2230.71"/>
  </r>
  <r>
    <s v="100044355"/>
    <s v="SA"/>
    <s v="40542 PD0014"/>
    <x v="2"/>
    <s v="$85.95M Call Premium Due 2034 (LT)"/>
    <s v="20121130"/>
    <x v="5"/>
    <d v="2012-11-30T00:00:00"/>
    <n v="-2490.34"/>
  </r>
  <r>
    <s v="100044356"/>
    <s v="SA"/>
    <s v="40545 PD0014-B"/>
    <x v="2"/>
    <s v="$82M Unamortized Loss Due 2014 (LT)"/>
    <s v="20121130"/>
    <x v="5"/>
    <d v="2012-11-30T00:00:00"/>
    <n v="-9993"/>
  </r>
  <r>
    <s v="100044357"/>
    <s v="SA"/>
    <s v="40546 PD0014"/>
    <x v="2"/>
    <s v="$85.95M Arbitrage Loss Due 2014 (LT)"/>
    <s v="20121130"/>
    <x v="5"/>
    <d v="2012-11-30T00:00:00"/>
    <n v="-603.13"/>
  </r>
  <r>
    <s v="100044359"/>
    <s v="SA"/>
    <s v="40543 PD0011"/>
    <x v="2"/>
    <s v="$86.4M Bond Discount Due 2023 (LT)"/>
    <s v="20121130"/>
    <x v="8"/>
    <d v="2012-11-30T00:00:00"/>
    <n v="-4207.3500000000004"/>
  </r>
  <r>
    <s v="100044361"/>
    <s v="SA"/>
    <s v="40542 PD0013-B"/>
    <x v="2"/>
    <s v="$75M Call Premium Due 2030 (LT)"/>
    <s v="20121130"/>
    <x v="2"/>
    <d v="2012-11-30T00:00:00"/>
    <n v="-5336.81"/>
  </r>
  <r>
    <s v="100044362"/>
    <s v="SA"/>
    <s v="40545 PD0014-C"/>
    <x v="2"/>
    <s v="$85.95M Unamortized Loss Due 2014 (LT)"/>
    <s v="20121130"/>
    <x v="5"/>
    <d v="2012-11-30T00:00:00"/>
    <n v="-7091.09"/>
  </r>
  <r>
    <s v="100049143"/>
    <s v="SA"/>
    <s v="40650"/>
    <x v="2"/>
    <s v=""/>
    <s v="20121201"/>
    <x v="5"/>
    <d v="2012-12-31T00:00:00"/>
    <n v="-18392"/>
  </r>
  <r>
    <s v="100051651"/>
    <s v="SA"/>
    <s v="40545 PD0011"/>
    <x v="2"/>
    <s v="$86.4M Unamortized Loss Due 2023 (LT)"/>
    <s v="20121231"/>
    <x v="8"/>
    <d v="2012-12-31T00:00:00"/>
    <n v="-3340.78"/>
  </r>
  <r>
    <s v="100051652"/>
    <s v="SA"/>
    <s v="40545 PD0010"/>
    <x v="2"/>
    <s v="$54.2M Unamortized Loss Due 2018 (LT)"/>
    <s v="20121231"/>
    <x v="12"/>
    <d v="2012-12-31T00:00:00"/>
    <n v="-1179.21"/>
  </r>
  <r>
    <s v="100051653"/>
    <s v="SA"/>
    <s v="40545 PD0012"/>
    <x v="2"/>
    <s v="$51.6M Unamortized Loss Due 2025 (LT)"/>
    <s v="20121231"/>
    <x v="13"/>
    <d v="2012-12-31T00:00:00"/>
    <n v="-1019.33"/>
  </r>
  <r>
    <s v="100051654"/>
    <s v="SA"/>
    <s v="40545 PD0023-A"/>
    <x v="2"/>
    <s v="$20M Unamortized Loss Due 2020 (LT)"/>
    <s v="20121231"/>
    <x v="14"/>
    <d v="2012-12-31T00:00:00"/>
    <n v="-857.57"/>
  </r>
  <r>
    <s v="100051655"/>
    <s v="SA"/>
    <s v="40545 PD0013-A"/>
    <x v="2"/>
    <s v="$75M Unamortized Loss Due 2022 (LT)"/>
    <s v="20121231"/>
    <x v="2"/>
    <d v="2012-12-31T00:00:00"/>
    <n v="-3125.47"/>
  </r>
  <r>
    <s v="100051656"/>
    <s v="SA"/>
    <s v="40542 PD0013-A"/>
    <x v="2"/>
    <s v="$75M Call Premium Due 2022 (LT)"/>
    <s v="20121231"/>
    <x v="2"/>
    <d v="2012-12-31T00:00:00"/>
    <n v="-4451.78"/>
  </r>
  <r>
    <s v="100051657"/>
    <s v="SA"/>
    <s v="40544 PD0013"/>
    <x v="2"/>
    <s v="$75M Bond Discount Due 2022 (LT)"/>
    <s v="20121231"/>
    <x v="2"/>
    <d v="2012-12-31T00:00:00"/>
    <n v="-10077.08"/>
  </r>
  <r>
    <s v="100051658"/>
    <s v="SA"/>
    <s v="40545 PD0900-A"/>
    <x v="2"/>
    <s v="$80M Unamortized Loss Due 2022 (LT)"/>
    <s v="20121231"/>
    <x v="11"/>
    <d v="2012-12-31T00:00:00"/>
    <n v="-5589.54"/>
  </r>
  <r>
    <s v="100051659"/>
    <s v="SA"/>
    <s v="40542 PD0900-A"/>
    <x v="2"/>
    <s v="$80M Call Premium Due 2022 (LT)"/>
    <s v="20121231"/>
    <x v="11"/>
    <d v="2012-12-31T00:00:00"/>
    <n v="-10099.59"/>
  </r>
  <r>
    <s v="100051660"/>
    <s v="SA"/>
    <s v="40545 PD0023-B"/>
    <x v="2"/>
    <s v="$20M Unamortized Loss Due 2022 (LT)"/>
    <s v="20121231"/>
    <x v="14"/>
    <d v="2012-12-31T00:00:00"/>
    <n v="-1407.23"/>
  </r>
  <r>
    <s v="100051661"/>
    <s v="SA"/>
    <s v="40542 PD0023"/>
    <x v="2"/>
    <s v="$20M Call Premium Due 2022 (LT)"/>
    <s v="20121231"/>
    <x v="14"/>
    <d v="2012-12-31T00:00:00"/>
    <n v="-2524.9"/>
  </r>
  <r>
    <s v="100051662"/>
    <s v="SA"/>
    <s v="40545 PD0900-B"/>
    <x v="2"/>
    <s v="$3.125M Unamortized Loss Due 2021 (LT)"/>
    <s v="20121231"/>
    <x v="11"/>
    <d v="2012-12-31T00:00:00"/>
    <n v="-193.73"/>
  </r>
  <r>
    <s v="100051663"/>
    <s v="SA"/>
    <s v="40542 PD0900-B"/>
    <x v="2"/>
    <s v="$3.125M Call Premium Due 2021 (LT)"/>
    <s v="20121231"/>
    <x v="11"/>
    <d v="2012-12-31T00:00:00"/>
    <n v="-274.12"/>
  </r>
  <r>
    <s v="100051664"/>
    <s v="SA"/>
    <s v="40545 PD0900-C"/>
    <x v="2"/>
    <s v="$21.875M Unamortized Loss Due 2021 (LT)"/>
    <s v="20121231"/>
    <x v="11"/>
    <d v="2012-12-31T00:00:00"/>
    <n v="-1347.95"/>
  </r>
  <r>
    <s v="100051665"/>
    <s v="SA"/>
    <s v="40542 PD0900-C"/>
    <x v="2"/>
    <s v="$21.875M Call Premium Due 2021 (LT)"/>
    <s v="20121231"/>
    <x v="11"/>
    <d v="2012-12-31T00:00:00"/>
    <n v="-1918.86"/>
  </r>
  <r>
    <s v="100051666"/>
    <s v="SA"/>
    <s v="40545 PD0013-B"/>
    <x v="2"/>
    <s v="$75M Unamortized Loss Due 2030 (LT)"/>
    <s v="20121231"/>
    <x v="2"/>
    <d v="2012-12-31T00:00:00"/>
    <n v="-1780.13"/>
  </r>
  <r>
    <s v="100051667"/>
    <s v="SA"/>
    <s v="40545 PD0014-A"/>
    <x v="2"/>
    <s v="$85.95M Unamortized Loss Due 2034 (LT)"/>
    <s v="20121231"/>
    <x v="5"/>
    <d v="2012-12-31T00:00:00"/>
    <n v="-2230.71"/>
  </r>
  <r>
    <s v="100051668"/>
    <s v="SA"/>
    <s v="40542 PD0014"/>
    <x v="2"/>
    <s v="$85.95M Call Premium Due 2034 (LT)"/>
    <s v="20121231"/>
    <x v="5"/>
    <d v="2012-12-31T00:00:00"/>
    <n v="-2490.34"/>
  </r>
  <r>
    <s v="100051669"/>
    <s v="SA"/>
    <s v="40545 PD0014-B"/>
    <x v="2"/>
    <s v="$82M Unamortized Loss Due 2014 (LT)"/>
    <s v="20121231"/>
    <x v="5"/>
    <d v="2012-12-31T00:00:00"/>
    <n v="-9993"/>
  </r>
  <r>
    <s v="100051670"/>
    <s v="SA"/>
    <s v="40546 PD0014"/>
    <x v="2"/>
    <s v="$85.95M Arbitrage Loss Due 2014 (LT)"/>
    <s v="20121231"/>
    <x v="5"/>
    <d v="2012-12-31T00:00:00"/>
    <n v="-603.13"/>
  </r>
  <r>
    <s v="100051672"/>
    <s v="SA"/>
    <s v="40543 PD0011"/>
    <x v="2"/>
    <s v="$86.4M Bond Discount Due 2023 (LT)"/>
    <s v="20121231"/>
    <x v="8"/>
    <d v="2012-12-31T00:00:00"/>
    <n v="-4207.3500000000004"/>
  </r>
  <r>
    <s v="100051674"/>
    <s v="SA"/>
    <s v="40542 PD0013-B"/>
    <x v="2"/>
    <s v="$75M Call Premium Due 2030 (LT)"/>
    <s v="20121231"/>
    <x v="2"/>
    <d v="2012-12-31T00:00:00"/>
    <n v="-5336.81"/>
  </r>
  <r>
    <s v="100051675"/>
    <s v="SA"/>
    <s v="40545 PD0014-C"/>
    <x v="2"/>
    <s v="$85.95M Unamortized Loss Due 2014 (LT)"/>
    <s v="20121231"/>
    <x v="5"/>
    <d v="2012-12-31T00:00:00"/>
    <n v="-7091.09"/>
  </r>
  <r>
    <s v="100008102"/>
    <s v="SA"/>
    <s v="89800-15"/>
    <x v="2"/>
    <s v=""/>
    <s v="20130101"/>
    <x v="5"/>
    <d v="2013-01-31T00:00:00"/>
    <n v="-18332"/>
  </r>
  <r>
    <s v="100008041"/>
    <s v="SA"/>
    <s v="40545 PD0011"/>
    <x v="2"/>
    <s v="$86.4M Unamortized Loss Due 2023 (LT)"/>
    <s v="20130131"/>
    <x v="8"/>
    <d v="2013-01-31T00:00:00"/>
    <n v="-3340.78"/>
  </r>
  <r>
    <s v="100008042"/>
    <s v="SA"/>
    <s v="40545 PD0010"/>
    <x v="2"/>
    <s v="$54.2M Unamortized Loss Due 2018 (LT)"/>
    <s v="20130131"/>
    <x v="12"/>
    <d v="2013-01-31T00:00:00"/>
    <n v="-1179.21"/>
  </r>
  <r>
    <s v="100008043"/>
    <s v="SA"/>
    <s v="40545 PD0012"/>
    <x v="2"/>
    <s v="$51.6M Unamortized Loss Due 2025 (LT)"/>
    <s v="20130131"/>
    <x v="13"/>
    <d v="2013-01-31T00:00:00"/>
    <n v="-1019.33"/>
  </r>
  <r>
    <s v="100008044"/>
    <s v="SA"/>
    <s v="40545 PD0023-A"/>
    <x v="2"/>
    <s v="$20M Unamortized Loss Due 2020 (LT)"/>
    <s v="20130131"/>
    <x v="14"/>
    <d v="2013-01-31T00:00:00"/>
    <n v="-857.57"/>
  </r>
  <r>
    <s v="100008045"/>
    <s v="SA"/>
    <s v="40545 PD0013-A"/>
    <x v="2"/>
    <s v="$75M Unamortized Loss Due 2022 (LT)"/>
    <s v="20130131"/>
    <x v="2"/>
    <d v="2013-01-31T00:00:00"/>
    <n v="-3125.47"/>
  </r>
  <r>
    <s v="100008046"/>
    <s v="SA"/>
    <s v="40542 PD0013-A"/>
    <x v="2"/>
    <s v="$75M Call Premium Due 2022 (LT)"/>
    <s v="20130131"/>
    <x v="2"/>
    <d v="2013-01-31T00:00:00"/>
    <n v="-4451.78"/>
  </r>
  <r>
    <s v="100008047"/>
    <s v="SA"/>
    <s v="40544 PD0013"/>
    <x v="2"/>
    <s v="$75M Bond Discount Due 2022 (LT)"/>
    <s v="20130131"/>
    <x v="2"/>
    <d v="2013-01-31T00:00:00"/>
    <n v="-10077.08"/>
  </r>
  <r>
    <s v="100008048"/>
    <s v="SA"/>
    <s v="40545 PD0900-A"/>
    <x v="2"/>
    <s v="$80M Unamortized Loss Due 2022 (LT)"/>
    <s v="20130131"/>
    <x v="11"/>
    <d v="2013-01-31T00:00:00"/>
    <n v="-5589.54"/>
  </r>
  <r>
    <s v="100008049"/>
    <s v="SA"/>
    <s v="40542 PD0900-A"/>
    <x v="2"/>
    <s v="$80M Call Premium Due 2022 (LT)"/>
    <s v="20130131"/>
    <x v="11"/>
    <d v="2013-01-31T00:00:00"/>
    <n v="-10099.59"/>
  </r>
  <r>
    <s v="100008050"/>
    <s v="SA"/>
    <s v="40545 PD0023-B"/>
    <x v="2"/>
    <s v="$20M Unamortized Loss Due 2022 (LT)"/>
    <s v="20130131"/>
    <x v="14"/>
    <d v="2013-01-31T00:00:00"/>
    <n v="-1407.23"/>
  </r>
  <r>
    <s v="100008051"/>
    <s v="SA"/>
    <s v="40542 PD0023"/>
    <x v="2"/>
    <s v="$20M Call Premium Due 2022 (LT)"/>
    <s v="20130131"/>
    <x v="14"/>
    <d v="2013-01-31T00:00:00"/>
    <n v="-2524.9"/>
  </r>
  <r>
    <s v="100008052"/>
    <s v="SA"/>
    <s v="40545 PD0900-B"/>
    <x v="2"/>
    <s v="$3.125M Unamortized Loss Due 2021 (LT)"/>
    <s v="20130131"/>
    <x v="11"/>
    <d v="2013-01-31T00:00:00"/>
    <n v="-193.73"/>
  </r>
  <r>
    <s v="100008053"/>
    <s v="SA"/>
    <s v="40542 PD0900-B"/>
    <x v="2"/>
    <s v="$3.125M Call Premium Due 2021 (LT)"/>
    <s v="20130131"/>
    <x v="11"/>
    <d v="2013-01-31T00:00:00"/>
    <n v="-274.12"/>
  </r>
  <r>
    <s v="100008054"/>
    <s v="SA"/>
    <s v="40545 PD0900-C"/>
    <x v="2"/>
    <s v="$21.875M Unamortized Loss Due 2021 (LT)"/>
    <s v="20130131"/>
    <x v="11"/>
    <d v="2013-01-31T00:00:00"/>
    <n v="-1347.95"/>
  </r>
  <r>
    <s v="100008055"/>
    <s v="SA"/>
    <s v="40542 PD0900-C"/>
    <x v="2"/>
    <s v="$21.875M Call Premium Due 2021 (LT)"/>
    <s v="20130131"/>
    <x v="11"/>
    <d v="2013-01-31T00:00:00"/>
    <n v="-1918.86"/>
  </r>
  <r>
    <s v="100008056"/>
    <s v="SA"/>
    <s v="40545 PD0013-B"/>
    <x v="2"/>
    <s v="$75M Unamortized Loss Due 2030 (LT)"/>
    <s v="20130131"/>
    <x v="2"/>
    <d v="2013-01-31T00:00:00"/>
    <n v="-1780.13"/>
  </r>
  <r>
    <s v="100008057"/>
    <s v="SA"/>
    <s v="40545 PD0014-A"/>
    <x v="2"/>
    <s v="$85.95M Unamortized Loss Due 2034 (LT)"/>
    <s v="20130131"/>
    <x v="5"/>
    <d v="2013-01-31T00:00:00"/>
    <n v="-2230.71"/>
  </r>
  <r>
    <s v="100008058"/>
    <s v="SA"/>
    <s v="40542 PD0014"/>
    <x v="2"/>
    <s v="$85.95M Call Premium Due 2034 (LT)"/>
    <s v="20130131"/>
    <x v="5"/>
    <d v="2013-01-31T00:00:00"/>
    <n v="-2490.34"/>
  </r>
  <r>
    <s v="100008059"/>
    <s v="SA"/>
    <s v="40545 PD0014-B"/>
    <x v="2"/>
    <s v="$82M Unamortized Loss Due 2014 (LT)"/>
    <s v="20130131"/>
    <x v="5"/>
    <d v="2013-01-31T00:00:00"/>
    <n v="-9993"/>
  </r>
  <r>
    <s v="100008060"/>
    <s v="SA"/>
    <s v="40546 PD0014"/>
    <x v="2"/>
    <s v="$85.95M Arbitrage Loss Due 2014 (LT)"/>
    <s v="20130131"/>
    <x v="5"/>
    <d v="2013-01-31T00:00:00"/>
    <n v="-603.13"/>
  </r>
  <r>
    <s v="100008062"/>
    <s v="SA"/>
    <s v="40543 PD0011"/>
    <x v="2"/>
    <s v="$86.4M Bond Discount Due 2023 (LT)"/>
    <s v="20130131"/>
    <x v="8"/>
    <d v="2013-01-31T00:00:00"/>
    <n v="-4207.3500000000004"/>
  </r>
  <r>
    <s v="100008064"/>
    <s v="SA"/>
    <s v="40542 PD0013-B"/>
    <x v="2"/>
    <s v="$75M Call Premium Due 2030 (LT)"/>
    <s v="20130131"/>
    <x v="2"/>
    <d v="2013-01-31T00:00:00"/>
    <n v="-5336.81"/>
  </r>
  <r>
    <s v="100008065"/>
    <s v="SA"/>
    <s v="40545 PD0014-C"/>
    <x v="2"/>
    <s v="$85.95M Unamortized Loss Due 2014 (LT)"/>
    <s v="20130131"/>
    <x v="5"/>
    <d v="2013-01-31T00:00:00"/>
    <n v="-7091.09"/>
  </r>
  <r>
    <s v="100010203"/>
    <s v="SA"/>
    <s v="89800-13"/>
    <x v="2"/>
    <s v=""/>
    <s v="20130201"/>
    <x v="8"/>
    <d v="2013-02-28T00:00:00"/>
    <n v="-0.72"/>
  </r>
  <r>
    <s v="100010124"/>
    <s v="SA"/>
    <s v="40545 PD0011"/>
    <x v="2"/>
    <s v="$86.4M Unamortized Loss Due 2023 (LT)"/>
    <s v="20130228"/>
    <x v="8"/>
    <d v="2013-02-28T00:00:00"/>
    <n v="-3340.78"/>
  </r>
  <r>
    <s v="100010125"/>
    <s v="SA"/>
    <s v="40545 PD0010"/>
    <x v="2"/>
    <s v="$54.2M Unamortized Loss Due 2018 (LT)"/>
    <s v="20130228"/>
    <x v="12"/>
    <d v="2013-02-28T00:00:00"/>
    <n v="-1179.21"/>
  </r>
  <r>
    <s v="100010126"/>
    <s v="SA"/>
    <s v="40545 PD0012"/>
    <x v="2"/>
    <s v="$51.6M Unamortized Loss Due 2025 (LT)"/>
    <s v="20130228"/>
    <x v="13"/>
    <d v="2013-02-28T00:00:00"/>
    <n v="-1019.33"/>
  </r>
  <r>
    <s v="100010127"/>
    <s v="SA"/>
    <s v="40545 PD0023-A"/>
    <x v="2"/>
    <s v="$20M Unamortized Loss Due 2020 (LT)"/>
    <s v="20130228"/>
    <x v="14"/>
    <d v="2013-02-28T00:00:00"/>
    <n v="-857.57"/>
  </r>
  <r>
    <s v="100010128"/>
    <s v="SA"/>
    <s v="40545 PD0013-A"/>
    <x v="2"/>
    <s v="$75M Unamortized Loss Due 2022 (LT)"/>
    <s v="20130228"/>
    <x v="2"/>
    <d v="2013-02-28T00:00:00"/>
    <n v="-3125.47"/>
  </r>
  <r>
    <s v="100010129"/>
    <s v="SA"/>
    <s v="40542 PD0013-A"/>
    <x v="2"/>
    <s v="$75M Call Premium Due 2022 (LT)"/>
    <s v="20130228"/>
    <x v="2"/>
    <d v="2013-02-28T00:00:00"/>
    <n v="-4451.78"/>
  </r>
  <r>
    <s v="100010130"/>
    <s v="SA"/>
    <s v="40544 PD0013"/>
    <x v="2"/>
    <s v="$75M Bond Discount Due 2022 (LT)"/>
    <s v="20130228"/>
    <x v="2"/>
    <d v="2013-02-28T00:00:00"/>
    <n v="-10077.08"/>
  </r>
  <r>
    <s v="100010131"/>
    <s v="SA"/>
    <s v="40545 PD0900-A"/>
    <x v="2"/>
    <s v="$80M Unamortized Loss Due 2022 (LT)"/>
    <s v="20130228"/>
    <x v="11"/>
    <d v="2013-02-28T00:00:00"/>
    <n v="-5589.54"/>
  </r>
  <r>
    <s v="100010132"/>
    <s v="SA"/>
    <s v="40542 PD0900-A"/>
    <x v="2"/>
    <s v="$80M Call Premium Due 2022 (LT)"/>
    <s v="20130228"/>
    <x v="11"/>
    <d v="2013-02-28T00:00:00"/>
    <n v="-10099.59"/>
  </r>
  <r>
    <s v="100010133"/>
    <s v="SA"/>
    <s v="40545 PD0023-B"/>
    <x v="2"/>
    <s v="$20M Unamortized Loss Due 2022 (LT)"/>
    <s v="20130228"/>
    <x v="14"/>
    <d v="2013-02-28T00:00:00"/>
    <n v="-1407.23"/>
  </r>
  <r>
    <s v="100010134"/>
    <s v="SA"/>
    <s v="40542 PD0023"/>
    <x v="2"/>
    <s v="$20M Call Premium Due 2022 (LT)"/>
    <s v="20130228"/>
    <x v="14"/>
    <d v="2013-02-28T00:00:00"/>
    <n v="-2524.9"/>
  </r>
  <r>
    <s v="100010135"/>
    <s v="SA"/>
    <s v="40545 PD0900-B"/>
    <x v="2"/>
    <s v="$3.125M Unamortized Loss Due 2021 (LT)"/>
    <s v="20130228"/>
    <x v="11"/>
    <d v="2013-02-28T00:00:00"/>
    <n v="-193.73"/>
  </r>
  <r>
    <s v="100010136"/>
    <s v="SA"/>
    <s v="40542 PD0900-B"/>
    <x v="2"/>
    <s v="$3.125M Call Premium Due 2021 (LT)"/>
    <s v="20130228"/>
    <x v="11"/>
    <d v="2013-02-28T00:00:00"/>
    <n v="-274.12"/>
  </r>
  <r>
    <s v="100010137"/>
    <s v="SA"/>
    <s v="40545 PD0900-C"/>
    <x v="2"/>
    <s v="$21.875M Unamortized Loss Due 2021 (LT)"/>
    <s v="20130228"/>
    <x v="11"/>
    <d v="2013-02-28T00:00:00"/>
    <n v="-1347.95"/>
  </r>
  <r>
    <s v="100010138"/>
    <s v="SA"/>
    <s v="40542 PD0900-C"/>
    <x v="2"/>
    <s v="$21.875M Call Premium Due 2021 (LT)"/>
    <s v="20130228"/>
    <x v="11"/>
    <d v="2013-02-28T00:00:00"/>
    <n v="-1918.86"/>
  </r>
  <r>
    <s v="100010139"/>
    <s v="SA"/>
    <s v="40545 PD0013-B"/>
    <x v="2"/>
    <s v="$75M Unamortized Loss Due 2030 (LT)"/>
    <s v="20130228"/>
    <x v="2"/>
    <d v="2013-02-28T00:00:00"/>
    <n v="-1780.13"/>
  </r>
  <r>
    <s v="100010140"/>
    <s v="SA"/>
    <s v="40545 PD0014-A"/>
    <x v="2"/>
    <s v="$85.95M Unamortized Loss Due 2034 (LT)"/>
    <s v="20130228"/>
    <x v="5"/>
    <d v="2013-02-28T00:00:00"/>
    <n v="-2230.71"/>
  </r>
  <r>
    <s v="100010141"/>
    <s v="SA"/>
    <s v="40542 PD0014"/>
    <x v="2"/>
    <s v="$85.95M Call Premium Due 2034 (LT)"/>
    <s v="20130228"/>
    <x v="5"/>
    <d v="2013-02-28T00:00:00"/>
    <n v="-2490.34"/>
  </r>
  <r>
    <s v="100010142"/>
    <s v="SA"/>
    <s v="40546 PD0014"/>
    <x v="2"/>
    <s v="$85.95M Arbitrage Loss Due 2014 (LT)"/>
    <s v="20130228"/>
    <x v="5"/>
    <d v="2013-02-28T00:00:00"/>
    <n v="-603.13"/>
  </r>
  <r>
    <s v="100010144"/>
    <s v="SA"/>
    <s v="40543 PD0011"/>
    <x v="2"/>
    <s v="$86.4M Bond Discount Due 2023 (LT)"/>
    <s v="20130228"/>
    <x v="8"/>
    <d v="2013-02-28T00:00:00"/>
    <n v="-4207.3500000000004"/>
  </r>
  <r>
    <s v="100010146"/>
    <s v="SA"/>
    <s v="40542 PD0013-B"/>
    <x v="2"/>
    <s v="$75M Call Premium Due 2030 (LT)"/>
    <s v="20130228"/>
    <x v="2"/>
    <d v="2013-02-28T00:00:00"/>
    <n v="-5336.81"/>
  </r>
  <r>
    <s v="100010147"/>
    <s v="SA"/>
    <s v="40545 PD0014-C"/>
    <x v="2"/>
    <s v="$85.95M Unamortized Loss Due 2014 (LT)"/>
    <s v="20130228"/>
    <x v="5"/>
    <d v="2013-02-28T00:00:00"/>
    <n v="-7091.09"/>
  </r>
  <r>
    <s v="100022189"/>
    <s v="SA"/>
    <s v="40545 PD0011"/>
    <x v="2"/>
    <s v="$86.4M Unamortized Loss Due 2023 (LT)"/>
    <s v="20130331"/>
    <x v="8"/>
    <d v="2013-03-31T00:00:00"/>
    <n v="-3340.78"/>
  </r>
  <r>
    <s v="100022190"/>
    <s v="SA"/>
    <s v="40545 PD0010"/>
    <x v="2"/>
    <s v="$54.2M Unamortized Loss Due 2018 (LT)"/>
    <s v="20130331"/>
    <x v="12"/>
    <d v="2013-03-31T00:00:00"/>
    <n v="-1179.21"/>
  </r>
  <r>
    <s v="100022191"/>
    <s v="SA"/>
    <s v="40545 PD0012"/>
    <x v="2"/>
    <s v="$51.6M Unamortized Loss Due 2025 (LT)"/>
    <s v="20130331"/>
    <x v="13"/>
    <d v="2013-03-31T00:00:00"/>
    <n v="-1019.33"/>
  </r>
  <r>
    <s v="100022192"/>
    <s v="SA"/>
    <s v="40545 PD0023-A"/>
    <x v="2"/>
    <s v="$20M Unamortized Loss Due 2020 (LT)"/>
    <s v="20130331"/>
    <x v="14"/>
    <d v="2013-03-31T00:00:00"/>
    <n v="-857.57"/>
  </r>
  <r>
    <s v="100022193"/>
    <s v="SA"/>
    <s v="40545 PD0013-A"/>
    <x v="2"/>
    <s v="$75M Unamortized Loss Due 2022 (LT)"/>
    <s v="20130331"/>
    <x v="2"/>
    <d v="2013-03-31T00:00:00"/>
    <n v="-3125.47"/>
  </r>
  <r>
    <s v="100022194"/>
    <s v="SA"/>
    <s v="40542 PD0013-A"/>
    <x v="2"/>
    <s v="$75M Call Premium Due 2022 (LT)"/>
    <s v="20130331"/>
    <x v="2"/>
    <d v="2013-03-31T00:00:00"/>
    <n v="-4451.78"/>
  </r>
  <r>
    <s v="100022195"/>
    <s v="SA"/>
    <s v="40544 PD0013"/>
    <x v="2"/>
    <s v="$75M Bond Discount Due 2022 (LT)"/>
    <s v="20130331"/>
    <x v="2"/>
    <d v="2013-03-31T00:00:00"/>
    <n v="-10077.08"/>
  </r>
  <r>
    <s v="100022196"/>
    <s v="SA"/>
    <s v="40545 PD0900-A"/>
    <x v="2"/>
    <s v="$80M Unamortized Loss Due 2022 (LT)"/>
    <s v="20130331"/>
    <x v="11"/>
    <d v="2013-03-31T00:00:00"/>
    <n v="-5589.54"/>
  </r>
  <r>
    <s v="100022197"/>
    <s v="SA"/>
    <s v="40542 PD0900-A"/>
    <x v="2"/>
    <s v="$80M Call Premium Due 2022 (LT)"/>
    <s v="20130331"/>
    <x v="11"/>
    <d v="2013-03-31T00:00:00"/>
    <n v="-10099.59"/>
  </r>
  <r>
    <s v="100022198"/>
    <s v="SA"/>
    <s v="40545 PD0023-B"/>
    <x v="2"/>
    <s v="$20M Unamortized Loss Due 2022 (LT)"/>
    <s v="20130331"/>
    <x v="14"/>
    <d v="2013-03-31T00:00:00"/>
    <n v="-1407.23"/>
  </r>
  <r>
    <s v="100022199"/>
    <s v="SA"/>
    <s v="40542 PD0023"/>
    <x v="2"/>
    <s v="$20M Call Premium Due 2022 (LT)"/>
    <s v="20130331"/>
    <x v="14"/>
    <d v="2013-03-31T00:00:00"/>
    <n v="-2524.9"/>
  </r>
  <r>
    <s v="100022200"/>
    <s v="SA"/>
    <s v="40545 PD0900-B"/>
    <x v="2"/>
    <s v="$3.125M Unamortized Loss Due 2021 (LT)"/>
    <s v="20130331"/>
    <x v="11"/>
    <d v="2013-03-31T00:00:00"/>
    <n v="-193.73"/>
  </r>
  <r>
    <s v="100022201"/>
    <s v="SA"/>
    <s v="40542 PD0900-B"/>
    <x v="2"/>
    <s v="$3.125M Call Premium Due 2021 (LT)"/>
    <s v="20130331"/>
    <x v="11"/>
    <d v="2013-03-31T00:00:00"/>
    <n v="-274.12"/>
  </r>
  <r>
    <s v="100022202"/>
    <s v="SA"/>
    <s v="40545 PD0900-C"/>
    <x v="2"/>
    <s v="$21.875M Unamortized Loss Due 2021 (LT)"/>
    <s v="20130331"/>
    <x v="11"/>
    <d v="2013-03-31T00:00:00"/>
    <n v="-1347.95"/>
  </r>
  <r>
    <s v="100022203"/>
    <s v="SA"/>
    <s v="40542 PD0900-C"/>
    <x v="2"/>
    <s v="$21.875M Call Premium Due 2021 (LT)"/>
    <s v="20130331"/>
    <x v="11"/>
    <d v="2013-03-31T00:00:00"/>
    <n v="-1918.86"/>
  </r>
  <r>
    <s v="100022204"/>
    <s v="SA"/>
    <s v="40545 PD0013-B"/>
    <x v="2"/>
    <s v="$75M Unamortized Loss Due 2030 (LT)"/>
    <s v="20130331"/>
    <x v="2"/>
    <d v="2013-03-31T00:00:00"/>
    <n v="-1780.13"/>
  </r>
  <r>
    <s v="100022205"/>
    <s v="SA"/>
    <s v="40545 PD0014-A"/>
    <x v="2"/>
    <s v="$85.95M Unamortized Loss Due 2034 (LT)"/>
    <s v="20130331"/>
    <x v="5"/>
    <d v="2013-03-31T00:00:00"/>
    <n v="-2230.71"/>
  </r>
  <r>
    <s v="100022206"/>
    <s v="SA"/>
    <s v="40542 PD0014"/>
    <x v="2"/>
    <s v="$85.95M Call Premium Due 2034 (LT)"/>
    <s v="20130331"/>
    <x v="5"/>
    <d v="2013-03-31T00:00:00"/>
    <n v="-2490.34"/>
  </r>
  <r>
    <s v="100022208"/>
    <s v="SA"/>
    <s v="40542 PD0013-B"/>
    <x v="2"/>
    <s v="$75M Call Premium Due 2030 (LT)"/>
    <s v="20130331"/>
    <x v="2"/>
    <d v="2013-03-31T00:00:00"/>
    <n v="-5336.81"/>
  </r>
  <r>
    <s v="100022213"/>
    <s v="SA"/>
    <s v="40543 PD0011"/>
    <x v="2"/>
    <s v="$86.4M Bond Discount Due 2023 (LT)"/>
    <s v="20130331"/>
    <x v="8"/>
    <d v="2013-03-31T00:00:00"/>
    <n v="-4207.3500000000004"/>
  </r>
  <r>
    <s v="100031034"/>
    <s v="SA"/>
    <s v="40545 PD0011"/>
    <x v="2"/>
    <s v="$86.4M Unamortized Loss Due 2023 (LT)"/>
    <s v="20130430"/>
    <x v="8"/>
    <d v="2013-04-30T00:00:00"/>
    <n v="-3340.78"/>
  </r>
  <r>
    <s v="100031035"/>
    <s v="SA"/>
    <s v="40545 PD0010"/>
    <x v="2"/>
    <s v="$54.2M Unamortized Loss Due 2018 (LT)"/>
    <s v="20130430"/>
    <x v="12"/>
    <d v="2013-04-30T00:00:00"/>
    <n v="-1179.21"/>
  </r>
  <r>
    <s v="100031036"/>
    <s v="SA"/>
    <s v="40545 PD0012"/>
    <x v="2"/>
    <s v="$51.6M Unamortized Loss Due 2025 (LT)"/>
    <s v="20130430"/>
    <x v="13"/>
    <d v="2013-04-30T00:00:00"/>
    <n v="-1019.33"/>
  </r>
  <r>
    <s v="100031037"/>
    <s v="SA"/>
    <s v="40545 PD0023-A"/>
    <x v="2"/>
    <s v="$20M Unamortized Loss Due 2020 (LT)"/>
    <s v="20130430"/>
    <x v="14"/>
    <d v="2013-04-30T00:00:00"/>
    <n v="-857.57"/>
  </r>
  <r>
    <s v="100031038"/>
    <s v="SA"/>
    <s v="40545 PD0013-A"/>
    <x v="2"/>
    <s v="$75M Unamortized Loss Due 2022 (LT)"/>
    <s v="20130430"/>
    <x v="2"/>
    <d v="2013-04-30T00:00:00"/>
    <n v="-3125.47"/>
  </r>
  <r>
    <s v="100031039"/>
    <s v="SA"/>
    <s v="40542 PD0013-A"/>
    <x v="2"/>
    <s v="$75M Call Premium Due 2022 (LT)"/>
    <s v="20130430"/>
    <x v="2"/>
    <d v="2013-04-30T00:00:00"/>
    <n v="-4451.78"/>
  </r>
  <r>
    <s v="100031040"/>
    <s v="SA"/>
    <s v="40544 PD0013"/>
    <x v="2"/>
    <s v="$75M Bond Discount Due 2022 (LT)"/>
    <s v="20130430"/>
    <x v="2"/>
    <d v="2013-04-30T00:00:00"/>
    <n v="-10077.08"/>
  </r>
  <r>
    <s v="100031041"/>
    <s v="SA"/>
    <s v="40545 PD0900-A"/>
    <x v="2"/>
    <s v="$80M Unamortized Loss Due 2022 (LT)"/>
    <s v="20130430"/>
    <x v="11"/>
    <d v="2013-04-30T00:00:00"/>
    <n v="-5589.54"/>
  </r>
  <r>
    <s v="100031042"/>
    <s v="SA"/>
    <s v="40542 PD0900-A"/>
    <x v="2"/>
    <s v="$80M Call Premium Due 2022 (LT)"/>
    <s v="20130430"/>
    <x v="11"/>
    <d v="2013-04-30T00:00:00"/>
    <n v="-10099.59"/>
  </r>
  <r>
    <s v="100031043"/>
    <s v="SA"/>
    <s v="40545 PD0023-B"/>
    <x v="2"/>
    <s v="$20M Unamortized Loss Due 2022 (LT)"/>
    <s v="20130430"/>
    <x v="14"/>
    <d v="2013-04-30T00:00:00"/>
    <n v="-1407.23"/>
  </r>
  <r>
    <s v="100031044"/>
    <s v="SA"/>
    <s v="40542 PD0023"/>
    <x v="2"/>
    <s v="$20M Call Premium Due 2022 (LT)"/>
    <s v="20130430"/>
    <x v="14"/>
    <d v="2013-04-30T00:00:00"/>
    <n v="-2524.9"/>
  </r>
  <r>
    <s v="100031045"/>
    <s v="SA"/>
    <s v="40545 PD0900-B"/>
    <x v="2"/>
    <s v="$3.125M Unamortized Loss Due 2021 (LT)"/>
    <s v="20130430"/>
    <x v="11"/>
    <d v="2013-04-30T00:00:00"/>
    <n v="-193.73"/>
  </r>
  <r>
    <s v="100031046"/>
    <s v="SA"/>
    <s v="40542 PD0900-B"/>
    <x v="2"/>
    <s v="$3.125M Call Premium Due 2021 (LT)"/>
    <s v="20130430"/>
    <x v="11"/>
    <d v="2013-04-30T00:00:00"/>
    <n v="-274.12"/>
  </r>
  <r>
    <s v="100031047"/>
    <s v="SA"/>
    <s v="40545 PD0900-C"/>
    <x v="2"/>
    <s v="$21.875M Unamortized Loss Due 2021 (LT)"/>
    <s v="20130430"/>
    <x v="11"/>
    <d v="2013-04-30T00:00:00"/>
    <n v="-1347.95"/>
  </r>
  <r>
    <s v="100031048"/>
    <s v="SA"/>
    <s v="40542 PD0900-C"/>
    <x v="2"/>
    <s v="$21.875M Call Premium Due 2021 (LT)"/>
    <s v="20130430"/>
    <x v="11"/>
    <d v="2013-04-30T00:00:00"/>
    <n v="-1918.86"/>
  </r>
  <r>
    <s v="100031049"/>
    <s v="SA"/>
    <s v="40545 PD0013-B"/>
    <x v="2"/>
    <s v="$75M Unamortized Loss Due 2030 (LT)"/>
    <s v="20130430"/>
    <x v="2"/>
    <d v="2013-04-30T00:00:00"/>
    <n v="-1780.13"/>
  </r>
  <r>
    <s v="100031050"/>
    <s v="SA"/>
    <s v="40545 PD0014-A"/>
    <x v="2"/>
    <s v="$85.95M Unamortized Loss Due 2034 (LT)"/>
    <s v="20130430"/>
    <x v="5"/>
    <d v="2013-04-30T00:00:00"/>
    <n v="-2230.71"/>
  </r>
  <r>
    <s v="100031051"/>
    <s v="SA"/>
    <s v="40542 PD0014"/>
    <x v="2"/>
    <s v="$85.95M Call Premium Due 2034 (LT)"/>
    <s v="20130430"/>
    <x v="5"/>
    <d v="2013-04-30T00:00:00"/>
    <n v="-2490.34"/>
  </r>
  <r>
    <s v="100031053"/>
    <s v="SA"/>
    <s v="40542 PD0013-B"/>
    <x v="2"/>
    <s v="$75M Call Premium Due 2030 (LT)"/>
    <s v="20130430"/>
    <x v="2"/>
    <d v="2013-04-30T00:00:00"/>
    <n v="-5336.81"/>
  </r>
  <r>
    <s v="100031058"/>
    <s v="SA"/>
    <s v="40543 PD0011"/>
    <x v="2"/>
    <s v="$86.4M Bond Discount Due 2023 (LT)"/>
    <s v="20130430"/>
    <x v="8"/>
    <d v="2013-04-30T00:00:00"/>
    <n v="-4207.3500000000004"/>
  </r>
  <r>
    <s v="100039289"/>
    <s v="SA"/>
    <s v="40545 PD0011"/>
    <x v="2"/>
    <s v="$86.4M Unamortized Loss Due 2023 (LT)"/>
    <s v="20130531"/>
    <x v="8"/>
    <d v="2013-05-31T00:00:00"/>
    <n v="-3340.78"/>
  </r>
  <r>
    <s v="100039290"/>
    <s v="SA"/>
    <s v="40545 PD0010"/>
    <x v="2"/>
    <s v="$54.2M Unamortized Loss Due 2018 (LT)"/>
    <s v="20130531"/>
    <x v="12"/>
    <d v="2013-05-31T00:00:00"/>
    <n v="-1179.21"/>
  </r>
  <r>
    <s v="100039291"/>
    <s v="SA"/>
    <s v="40545 PD0012"/>
    <x v="2"/>
    <s v="$51.6M Unamortized Loss Due 2025 (LT)"/>
    <s v="20130531"/>
    <x v="13"/>
    <d v="2013-05-31T00:00:00"/>
    <n v="-1019.33"/>
  </r>
  <r>
    <s v="100039292"/>
    <s v="SA"/>
    <s v="40545 PD0023-A"/>
    <x v="2"/>
    <s v="$20M Unamortized Loss Due 2020 (LT)"/>
    <s v="20130531"/>
    <x v="14"/>
    <d v="2013-05-31T00:00:00"/>
    <n v="-857.57"/>
  </r>
  <r>
    <s v="100039293"/>
    <s v="SA"/>
    <s v="40545 PD0013-A"/>
    <x v="2"/>
    <s v="$75M Unamortized Loss Due 2022 (LT)"/>
    <s v="20130531"/>
    <x v="2"/>
    <d v="2013-05-31T00:00:00"/>
    <n v="-3125.47"/>
  </r>
  <r>
    <s v="100039294"/>
    <s v="SA"/>
    <s v="40542 PD0013-A"/>
    <x v="2"/>
    <s v="$75M Call Premium Due 2022 (LT)"/>
    <s v="20130531"/>
    <x v="2"/>
    <d v="2013-05-31T00:00:00"/>
    <n v="-4451.78"/>
  </r>
  <r>
    <s v="100039295"/>
    <s v="SA"/>
    <s v="40544 PD0013"/>
    <x v="2"/>
    <s v="$75M Bond Discount Due 2022 (LT)"/>
    <s v="20130531"/>
    <x v="2"/>
    <d v="2013-05-31T00:00:00"/>
    <n v="-10077.08"/>
  </r>
  <r>
    <s v="100039296"/>
    <s v="SA"/>
    <s v="40545 PD0900-A"/>
    <x v="2"/>
    <s v="$80M Unamortized Loss Due 2022 (LT)"/>
    <s v="20130531"/>
    <x v="11"/>
    <d v="2013-05-31T00:00:00"/>
    <n v="-5589.54"/>
  </r>
  <r>
    <s v="100039297"/>
    <s v="SA"/>
    <s v="40542 PD0900-A"/>
    <x v="2"/>
    <s v="$80M Call Premium Due 2022 (LT)"/>
    <s v="20130531"/>
    <x v="11"/>
    <d v="2013-05-31T00:00:00"/>
    <n v="-10099.59"/>
  </r>
  <r>
    <s v="100039298"/>
    <s v="SA"/>
    <s v="40545 PD0023-B"/>
    <x v="2"/>
    <s v="$20M Unamortized Loss Due 2022 (LT)"/>
    <s v="20130531"/>
    <x v="14"/>
    <d v="2013-05-31T00:00:00"/>
    <n v="-1407.23"/>
  </r>
  <r>
    <s v="100039299"/>
    <s v="SA"/>
    <s v="40542 PD0023"/>
    <x v="2"/>
    <s v="$20M Call Premium Due 2022 (LT)"/>
    <s v="20130531"/>
    <x v="14"/>
    <d v="2013-05-31T00:00:00"/>
    <n v="-2524.9"/>
  </r>
  <r>
    <s v="100039300"/>
    <s v="SA"/>
    <s v="40545 PD0900-B"/>
    <x v="2"/>
    <s v="$3.125M Unamortized Loss Due 2021 (LT)"/>
    <s v="20130531"/>
    <x v="11"/>
    <d v="2013-05-31T00:00:00"/>
    <n v="-193.73"/>
  </r>
  <r>
    <s v="100039301"/>
    <s v="SA"/>
    <s v="40542 PD0900-B"/>
    <x v="2"/>
    <s v="$3.125M Call Premium Due 2021 (LT)"/>
    <s v="20130531"/>
    <x v="11"/>
    <d v="2013-05-31T00:00:00"/>
    <n v="-274.12"/>
  </r>
  <r>
    <s v="100039302"/>
    <s v="SA"/>
    <s v="40545 PD0900-C"/>
    <x v="2"/>
    <s v="$21.875M Unamortized Loss Due 2021 (LT)"/>
    <s v="20130531"/>
    <x v="11"/>
    <d v="2013-05-31T00:00:00"/>
    <n v="-1347.95"/>
  </r>
  <r>
    <s v="100039303"/>
    <s v="SA"/>
    <s v="40542 PD0900-C"/>
    <x v="2"/>
    <s v="$21.875M Call Premium Due 2021 (LT)"/>
    <s v="20130531"/>
    <x v="11"/>
    <d v="2013-05-31T00:00:00"/>
    <n v="-1918.86"/>
  </r>
  <r>
    <s v="100039304"/>
    <s v="SA"/>
    <s v="40545 PD0013-B"/>
    <x v="2"/>
    <s v="$75M Unamortized Loss Due 2030 (LT)"/>
    <s v="20130531"/>
    <x v="2"/>
    <d v="2013-05-31T00:00:00"/>
    <n v="-1780.13"/>
  </r>
  <r>
    <s v="100039305"/>
    <s v="SA"/>
    <s v="40545 PD0014-A"/>
    <x v="2"/>
    <s v="$85.95M Unamortized Loss Due 2034 (LT)"/>
    <s v="20130531"/>
    <x v="5"/>
    <d v="2013-05-31T00:00:00"/>
    <n v="-2230.71"/>
  </r>
  <r>
    <s v="100039306"/>
    <s v="SA"/>
    <s v="40542 PD0014"/>
    <x v="2"/>
    <s v="$85.95M Call Premium Due 2034 (LT)"/>
    <s v="20130531"/>
    <x v="5"/>
    <d v="2013-05-31T00:00:00"/>
    <n v="-2490.34"/>
  </r>
  <r>
    <s v="100039308"/>
    <s v="SA"/>
    <s v="40542 PD0013-B"/>
    <x v="2"/>
    <s v="$75M Call Premium Due 2030 (LT)"/>
    <s v="20130531"/>
    <x v="2"/>
    <d v="2013-05-31T00:00:00"/>
    <n v="-5336.81"/>
  </r>
  <r>
    <s v="100039312"/>
    <s v="SA"/>
    <s v="40543 PD0011"/>
    <x v="2"/>
    <s v="$86.4M Bond Discount Due 2023 (LT)"/>
    <s v="20130531"/>
    <x v="8"/>
    <d v="2013-05-31T00:00:00"/>
    <n v="-4207.3500000000004"/>
  </r>
  <r>
    <s v="100048002"/>
    <s v="SA"/>
    <s v="89800-15"/>
    <x v="2"/>
    <s v="$82M Unamortized Loss due 2014 (LT)"/>
    <s v="20130601"/>
    <x v="5"/>
    <d v="2013-06-30T00:00:00"/>
    <n v="-35.22"/>
  </r>
  <r>
    <s v="100047635"/>
    <s v="SA"/>
    <s v="40545 PD0011"/>
    <x v="2"/>
    <s v="$86.4M Unamortized Loss Due 2023 (LT)"/>
    <s v="20130630"/>
    <x v="8"/>
    <d v="2013-06-30T00:00:00"/>
    <n v="-3340.78"/>
  </r>
  <r>
    <s v="100047636"/>
    <s v="SA"/>
    <s v="40545 PD0010"/>
    <x v="2"/>
    <s v="$54.2M Unamortized Loss Due 2018 (LT)"/>
    <s v="20130630"/>
    <x v="12"/>
    <d v="2013-06-30T00:00:00"/>
    <n v="-1179.21"/>
  </r>
  <r>
    <s v="100047637"/>
    <s v="SA"/>
    <s v="40545 PD0012"/>
    <x v="2"/>
    <s v="$51.6M Unamortized Loss Due 2025 (LT)"/>
    <s v="20130630"/>
    <x v="13"/>
    <d v="2013-06-30T00:00:00"/>
    <n v="-1019.33"/>
  </r>
  <r>
    <s v="100047638"/>
    <s v="SA"/>
    <s v="40545 PD0023-A"/>
    <x v="2"/>
    <s v="$20M Unamortized Loss Due 2020 (LT)"/>
    <s v="20130630"/>
    <x v="14"/>
    <d v="2013-06-30T00:00:00"/>
    <n v="-857.57"/>
  </r>
  <r>
    <s v="100047639"/>
    <s v="SA"/>
    <s v="40545 PD0013-A"/>
    <x v="2"/>
    <s v="$75M Unamortized Loss Due 2022 (LT)"/>
    <s v="20130630"/>
    <x v="2"/>
    <d v="2013-06-30T00:00:00"/>
    <n v="-3125.47"/>
  </r>
  <r>
    <s v="100047640"/>
    <s v="SA"/>
    <s v="40542 PD0013-A"/>
    <x v="2"/>
    <s v="$75M Call Premium Due 2022 (LT)"/>
    <s v="20130630"/>
    <x v="2"/>
    <d v="2013-06-30T00:00:00"/>
    <n v="-4451.78"/>
  </r>
  <r>
    <s v="100047641"/>
    <s v="SA"/>
    <s v="40544 PD0013"/>
    <x v="2"/>
    <s v="$75M Bond Discount Due 2022 (LT)"/>
    <s v="20130630"/>
    <x v="2"/>
    <d v="2013-06-30T00:00:00"/>
    <n v="-10077.08"/>
  </r>
  <r>
    <s v="100047642"/>
    <s v="SA"/>
    <s v="40545 PD0900-A"/>
    <x v="2"/>
    <s v="$80M Unamortized Loss Due 2022 (LT)"/>
    <s v="20130630"/>
    <x v="11"/>
    <d v="2013-06-30T00:00:00"/>
    <n v="-5589.54"/>
  </r>
  <r>
    <s v="100047643"/>
    <s v="SA"/>
    <s v="40542 PD0900-A"/>
    <x v="2"/>
    <s v="$80M Call Premium Due 2022 (LT)"/>
    <s v="20130630"/>
    <x v="11"/>
    <d v="2013-06-30T00:00:00"/>
    <n v="-10099.59"/>
  </r>
  <r>
    <s v="100047644"/>
    <s v="SA"/>
    <s v="40545 PD0023-B"/>
    <x v="2"/>
    <s v="$20M Unamortized Loss Due 2022 (LT)"/>
    <s v="20130630"/>
    <x v="14"/>
    <d v="2013-06-30T00:00:00"/>
    <n v="-1407.23"/>
  </r>
  <r>
    <s v="100047645"/>
    <s v="SA"/>
    <s v="40542 PD0023"/>
    <x v="2"/>
    <s v="$20M Call Premium Due 2022 (LT)"/>
    <s v="20130630"/>
    <x v="14"/>
    <d v="2013-06-30T00:00:00"/>
    <n v="-2524.9"/>
  </r>
  <r>
    <s v="100047646"/>
    <s v="SA"/>
    <s v="40545 PD0900-B"/>
    <x v="2"/>
    <s v="$3.125M Unamortized Loss Due 2021 (LT)"/>
    <s v="20130630"/>
    <x v="11"/>
    <d v="2013-06-30T00:00:00"/>
    <n v="-193.73"/>
  </r>
  <r>
    <s v="100047647"/>
    <s v="SA"/>
    <s v="40542 PD0900-B"/>
    <x v="2"/>
    <s v="$3.125M Call Premium Due 2021 (LT)"/>
    <s v="20130630"/>
    <x v="11"/>
    <d v="2013-06-30T00:00:00"/>
    <n v="-274.12"/>
  </r>
  <r>
    <s v="100047648"/>
    <s v="SA"/>
    <s v="40545 PD0900-C"/>
    <x v="2"/>
    <s v="$21.875M Unamortized Loss Due 2021 (LT)"/>
    <s v="20130630"/>
    <x v="11"/>
    <d v="2013-06-30T00:00:00"/>
    <n v="-1347.95"/>
  </r>
  <r>
    <s v="100047649"/>
    <s v="SA"/>
    <s v="40542 PD0900-C"/>
    <x v="2"/>
    <s v="$21.875M Call Premium Due 2021 (LT)"/>
    <s v="20130630"/>
    <x v="11"/>
    <d v="2013-06-30T00:00:00"/>
    <n v="-1918.86"/>
  </r>
  <r>
    <s v="100047650"/>
    <s v="SA"/>
    <s v="40545 PD0013-B"/>
    <x v="2"/>
    <s v="$75M Unamortized Loss Due 2030 (LT)"/>
    <s v="20130630"/>
    <x v="2"/>
    <d v="2013-06-30T00:00:00"/>
    <n v="-1780.13"/>
  </r>
  <r>
    <s v="100047651"/>
    <s v="SA"/>
    <s v="40545 PD0014-A"/>
    <x v="2"/>
    <s v="$85.95M Unamortized Loss Due 2034 (LT)"/>
    <s v="20130630"/>
    <x v="5"/>
    <d v="2013-06-30T00:00:00"/>
    <n v="-2230.71"/>
  </r>
  <r>
    <s v="100047652"/>
    <s v="SA"/>
    <s v="40542 PD0014"/>
    <x v="2"/>
    <s v="$85.95M Call Premium Due 2034 (LT)"/>
    <s v="20130630"/>
    <x v="5"/>
    <d v="2013-06-30T00:00:00"/>
    <n v="-2490.34"/>
  </r>
  <r>
    <s v="100047654"/>
    <s v="SA"/>
    <s v="40542 PD0013-B"/>
    <x v="2"/>
    <s v="$75M Call Premium Due 2030 (LT)"/>
    <s v="20130630"/>
    <x v="2"/>
    <d v="2013-06-30T00:00:00"/>
    <n v="-5336.81"/>
  </r>
  <r>
    <s v="100047658"/>
    <s v="SA"/>
    <s v="40543 PD0011"/>
    <x v="2"/>
    <s v="$86.4M Bond Discount Due 2023 (LT)"/>
    <s v="20130630"/>
    <x v="8"/>
    <d v="2013-06-30T00:00:00"/>
    <n v="-4207.3500000000004"/>
  </r>
  <r>
    <s v="100056915"/>
    <s v="SA"/>
    <s v="40545 PD0011"/>
    <x v="2"/>
    <s v="$86.4M Unamortized Loss Due 2023 (LT)"/>
    <s v="20130731"/>
    <x v="8"/>
    <d v="2013-07-31T00:00:00"/>
    <n v="-3340.78"/>
  </r>
  <r>
    <s v="100056916"/>
    <s v="SA"/>
    <s v="40545 PD0010"/>
    <x v="2"/>
    <s v="$54.2M Unamortized Loss Due 2018 (LT)"/>
    <s v="20130731"/>
    <x v="12"/>
    <d v="2013-07-31T00:00:00"/>
    <n v="-1179.21"/>
  </r>
  <r>
    <s v="100056917"/>
    <s v="SA"/>
    <s v="40545 PD0012"/>
    <x v="2"/>
    <s v="$51.6M Unamortized Loss Due 2025 (LT)"/>
    <s v="20130731"/>
    <x v="13"/>
    <d v="2013-07-31T00:00:00"/>
    <n v="-1019.33"/>
  </r>
  <r>
    <s v="100056918"/>
    <s v="SA"/>
    <s v="40545 PD0023-A"/>
    <x v="2"/>
    <s v="$20M Unamortized Loss Due 2020 (LT)"/>
    <s v="20130731"/>
    <x v="14"/>
    <d v="2013-07-31T00:00:00"/>
    <n v="-857.57"/>
  </r>
  <r>
    <s v="100056919"/>
    <s v="SA"/>
    <s v="40545 PD0013-A"/>
    <x v="2"/>
    <s v="$75M Unamortized Loss Due 2022 (LT)"/>
    <s v="20130731"/>
    <x v="2"/>
    <d v="2013-07-31T00:00:00"/>
    <n v="-3125.47"/>
  </r>
  <r>
    <s v="100056920"/>
    <s v="SA"/>
    <s v="40542 PD0013-A"/>
    <x v="2"/>
    <s v="$75M Call Premium Due 2022 (LT)"/>
    <s v="20130731"/>
    <x v="2"/>
    <d v="2013-07-31T00:00:00"/>
    <n v="-4451.78"/>
  </r>
  <r>
    <s v="100056921"/>
    <s v="SA"/>
    <s v="40544 PD0013"/>
    <x v="2"/>
    <s v="$75M Bond Discount Due 2022 (LT)"/>
    <s v="20130731"/>
    <x v="2"/>
    <d v="2013-07-31T00:00:00"/>
    <n v="-10077.08"/>
  </r>
  <r>
    <s v="100056922"/>
    <s v="SA"/>
    <s v="40545 PD0900-A"/>
    <x v="2"/>
    <s v="$80M Unamortized Loss Due 2022 (LT)"/>
    <s v="20130731"/>
    <x v="11"/>
    <d v="2013-07-31T00:00:00"/>
    <n v="-5589.54"/>
  </r>
  <r>
    <s v="100056923"/>
    <s v="SA"/>
    <s v="40542 PD0900-A"/>
    <x v="2"/>
    <s v="$80M Call Premium Due 2022 (LT)"/>
    <s v="20130731"/>
    <x v="11"/>
    <d v="2013-07-31T00:00:00"/>
    <n v="-10099.59"/>
  </r>
  <r>
    <s v="100056924"/>
    <s v="SA"/>
    <s v="40545 PD0023-B"/>
    <x v="2"/>
    <s v="$20M Unamortized Loss Due 2022 (LT)"/>
    <s v="20130731"/>
    <x v="14"/>
    <d v="2013-07-31T00:00:00"/>
    <n v="-1407.23"/>
  </r>
  <r>
    <s v="100056925"/>
    <s v="SA"/>
    <s v="40542 PD0023"/>
    <x v="2"/>
    <s v="$20M Call Premium Due 2022 (LT)"/>
    <s v="20130731"/>
    <x v="14"/>
    <d v="2013-07-31T00:00:00"/>
    <n v="-2524.9"/>
  </r>
  <r>
    <s v="100056926"/>
    <s v="SA"/>
    <s v="40545 PD0900-B"/>
    <x v="2"/>
    <s v="$3.125M Unamortized Loss Due 2021 (LT)"/>
    <s v="20130731"/>
    <x v="11"/>
    <d v="2013-07-31T00:00:00"/>
    <n v="-193.73"/>
  </r>
  <r>
    <s v="100056927"/>
    <s v="SA"/>
    <s v="40542 PD0900-B"/>
    <x v="2"/>
    <s v="$3.125M Call Premium Due 2021 (LT)"/>
    <s v="20130731"/>
    <x v="11"/>
    <d v="2013-07-31T00:00:00"/>
    <n v="-274.12"/>
  </r>
  <r>
    <s v="100056928"/>
    <s v="SA"/>
    <s v="40545 PD0900-C"/>
    <x v="2"/>
    <s v="$21.875M Unamortized Loss Due 2021 (LT)"/>
    <s v="20130731"/>
    <x v="11"/>
    <d v="2013-07-31T00:00:00"/>
    <n v="-1347.95"/>
  </r>
  <r>
    <s v="100056929"/>
    <s v="SA"/>
    <s v="40542 PD0900-C"/>
    <x v="2"/>
    <s v="$21.875M Call Premium Due 2021 (LT)"/>
    <s v="20130731"/>
    <x v="11"/>
    <d v="2013-07-31T00:00:00"/>
    <n v="-1918.86"/>
  </r>
  <r>
    <s v="100056930"/>
    <s v="SA"/>
    <s v="40545 PD0013-B"/>
    <x v="2"/>
    <s v="$75M Unamortized Loss Due 2030 (LT)"/>
    <s v="20130731"/>
    <x v="2"/>
    <d v="2013-07-31T00:00:00"/>
    <n v="-1780.13"/>
  </r>
  <r>
    <s v="100056931"/>
    <s v="SA"/>
    <s v="40545 PD0014-A"/>
    <x v="2"/>
    <s v="$85.95M Unamortized Loss Due 2034 (LT)"/>
    <s v="20130731"/>
    <x v="5"/>
    <d v="2013-07-31T00:00:00"/>
    <n v="-2230.71"/>
  </r>
  <r>
    <s v="100056932"/>
    <s v="SA"/>
    <s v="40542 PD0014"/>
    <x v="2"/>
    <s v="$85.95M Call Premium Due 2034 (LT)"/>
    <s v="20130731"/>
    <x v="5"/>
    <d v="2013-07-31T00:00:00"/>
    <n v="-2490.34"/>
  </r>
  <r>
    <s v="100056934"/>
    <s v="SA"/>
    <s v="40542 PD0013-B"/>
    <x v="2"/>
    <s v="$75M Call Premium Due 2030 (LT)"/>
    <s v="20130731"/>
    <x v="2"/>
    <d v="2013-07-31T00:00:00"/>
    <n v="-5336.81"/>
  </r>
  <r>
    <s v="100056938"/>
    <s v="SA"/>
    <s v="40543 PD0011"/>
    <x v="2"/>
    <s v="$86.4M Bond Discount Due 2023 (LT)"/>
    <s v="20130731"/>
    <x v="8"/>
    <d v="2013-07-31T00:00:00"/>
    <n v="-4207.3500000000004"/>
  </r>
  <r>
    <s v="100067633"/>
    <s v="SA"/>
    <s v="40545 PD0011"/>
    <x v="2"/>
    <s v="$86.4M Unamortized Loss Due 2023 (LT)"/>
    <s v="20130831"/>
    <x v="8"/>
    <d v="2013-08-31T00:00:00"/>
    <n v="-3340.78"/>
  </r>
  <r>
    <s v="100067634"/>
    <s v="SA"/>
    <s v="40545 PD0010"/>
    <x v="2"/>
    <s v="$54.2M Unamortized Loss Due 2018 (LT)"/>
    <s v="20130831"/>
    <x v="12"/>
    <d v="2013-08-31T00:00:00"/>
    <n v="-1179.21"/>
  </r>
  <r>
    <s v="100067635"/>
    <s v="SA"/>
    <s v="40545 PD0012"/>
    <x v="2"/>
    <s v="$51.6M Unamortized Loss Due 2025 (LT)"/>
    <s v="20130831"/>
    <x v="13"/>
    <d v="2013-08-31T00:00:00"/>
    <n v="-1019.33"/>
  </r>
  <r>
    <s v="100067636"/>
    <s v="SA"/>
    <s v="40545 PD0023-A"/>
    <x v="2"/>
    <s v="$20M Unamortized Loss Due 2020 (LT)"/>
    <s v="20130831"/>
    <x v="14"/>
    <d v="2013-08-31T00:00:00"/>
    <n v="-857.57"/>
  </r>
  <r>
    <s v="100067637"/>
    <s v="SA"/>
    <s v="40545 PD0013-A"/>
    <x v="2"/>
    <s v="$75M Unamortized Loss Due 2022 (LT)"/>
    <s v="20130831"/>
    <x v="2"/>
    <d v="2013-08-31T00:00:00"/>
    <n v="-3125.47"/>
  </r>
  <r>
    <s v="100067638"/>
    <s v="SA"/>
    <s v="40542 PD0013-A"/>
    <x v="2"/>
    <s v="$75M Call Premium Due 2022 (LT)"/>
    <s v="20130831"/>
    <x v="2"/>
    <d v="2013-08-31T00:00:00"/>
    <n v="-4451.78"/>
  </r>
  <r>
    <s v="100067639"/>
    <s v="SA"/>
    <s v="40544 PD0013"/>
    <x v="2"/>
    <s v="$75M Bond Discount Due 2022 (LT)"/>
    <s v="20130831"/>
    <x v="2"/>
    <d v="2013-08-31T00:00:00"/>
    <n v="-10077.08"/>
  </r>
  <r>
    <s v="100067640"/>
    <s v="SA"/>
    <s v="40545 PD0900-A"/>
    <x v="2"/>
    <s v="$80M Unamortized Loss Due 2022 (LT)"/>
    <s v="20130831"/>
    <x v="11"/>
    <d v="2013-08-31T00:00:00"/>
    <n v="-5589.54"/>
  </r>
  <r>
    <s v="100067641"/>
    <s v="SA"/>
    <s v="40542 PD0900-A"/>
    <x v="2"/>
    <s v="$80M Call Premium Due 2022 (LT)"/>
    <s v="20130831"/>
    <x v="11"/>
    <d v="2013-08-31T00:00:00"/>
    <n v="-10099.59"/>
  </r>
  <r>
    <s v="100067642"/>
    <s v="SA"/>
    <s v="40545 PD0023-B"/>
    <x v="2"/>
    <s v="$20M Unamortized Loss Due 2022 (LT)"/>
    <s v="20130831"/>
    <x v="14"/>
    <d v="2013-08-31T00:00:00"/>
    <n v="-1407.23"/>
  </r>
  <r>
    <s v="100067643"/>
    <s v="SA"/>
    <s v="40542 PD0023"/>
    <x v="2"/>
    <s v="$20M Call Premium Due 2022 (LT)"/>
    <s v="20130831"/>
    <x v="14"/>
    <d v="2013-08-31T00:00:00"/>
    <n v="-2524.9"/>
  </r>
  <r>
    <s v="100067644"/>
    <s v="SA"/>
    <s v="40545 PD0900-B"/>
    <x v="2"/>
    <s v="$3.125M Unamortized Loss Due 2021 (LT)"/>
    <s v="20130831"/>
    <x v="11"/>
    <d v="2013-08-31T00:00:00"/>
    <n v="-193.73"/>
  </r>
  <r>
    <s v="100067645"/>
    <s v="SA"/>
    <s v="40542 PD0900-B"/>
    <x v="2"/>
    <s v="$3.125M Call Premium Due 2021 (LT)"/>
    <s v="20130831"/>
    <x v="11"/>
    <d v="2013-08-31T00:00:00"/>
    <n v="-274.12"/>
  </r>
  <r>
    <s v="100067646"/>
    <s v="SA"/>
    <s v="40545 PD0900-C"/>
    <x v="2"/>
    <s v="$21.875M Unamortized Loss Due 2021 (LT)"/>
    <s v="20130831"/>
    <x v="11"/>
    <d v="2013-08-31T00:00:00"/>
    <n v="-1347.95"/>
  </r>
  <r>
    <s v="100067647"/>
    <s v="SA"/>
    <s v="40542 PD0900-C"/>
    <x v="2"/>
    <s v="$21.875M Call Premium Due 2021 (LT)"/>
    <s v="20130831"/>
    <x v="11"/>
    <d v="2013-08-31T00:00:00"/>
    <n v="-1918.86"/>
  </r>
  <r>
    <s v="100067648"/>
    <s v="SA"/>
    <s v="40545 PD0013-B"/>
    <x v="2"/>
    <s v="$75M Unamortized Loss Due 2030 (LT)"/>
    <s v="20130831"/>
    <x v="2"/>
    <d v="2013-08-31T00:00:00"/>
    <n v="-1780.13"/>
  </r>
  <r>
    <s v="100067649"/>
    <s v="SA"/>
    <s v="40545 PD0014-A"/>
    <x v="2"/>
    <s v="$85.95M Unamortized Loss Due 2034 (LT)"/>
    <s v="20130831"/>
    <x v="5"/>
    <d v="2013-08-31T00:00:00"/>
    <n v="-2230.71"/>
  </r>
  <r>
    <s v="100067650"/>
    <s v="SA"/>
    <s v="40542 PD0014"/>
    <x v="2"/>
    <s v="$85.95M Call Premium Due 2034 (LT)"/>
    <s v="20130831"/>
    <x v="5"/>
    <d v="2013-08-31T00:00:00"/>
    <n v="-2490.34"/>
  </r>
  <r>
    <s v="100067652"/>
    <s v="SA"/>
    <s v="40542 PD0013-B"/>
    <x v="2"/>
    <s v="$75M Call Premium Due 2030 (LT)"/>
    <s v="20130831"/>
    <x v="2"/>
    <d v="2013-08-31T00:00:00"/>
    <n v="-5336.81"/>
  </r>
  <r>
    <s v="100067656"/>
    <s v="SA"/>
    <s v="40543 PD0011"/>
    <x v="2"/>
    <s v="$86.4M Bond Discount Due 2023 (LT)"/>
    <s v="20130831"/>
    <x v="8"/>
    <d v="2013-08-31T00:00:00"/>
    <n v="-4207.3500000000004"/>
  </r>
  <r>
    <s v="100074550"/>
    <s v="SA"/>
    <s v="40545 PD0011"/>
    <x v="2"/>
    <s v="$86.4M Unamortized Loss Due 2023 (LT)"/>
    <s v="20130930"/>
    <x v="8"/>
    <d v="2013-09-30T00:00:00"/>
    <n v="-3340.78"/>
  </r>
  <r>
    <s v="100074551"/>
    <s v="SA"/>
    <s v="40545 PD0010"/>
    <x v="2"/>
    <s v="$54.2M Unamortized Loss Due 2018 (LT)"/>
    <s v="20130930"/>
    <x v="12"/>
    <d v="2013-09-30T00:00:00"/>
    <n v="-1179.21"/>
  </r>
  <r>
    <s v="100074552"/>
    <s v="SA"/>
    <s v="40545 PD0012"/>
    <x v="2"/>
    <s v="$51.6M Unamortized Loss Due 2025 (LT)"/>
    <s v="20130930"/>
    <x v="13"/>
    <d v="2013-09-30T00:00:00"/>
    <n v="-1019.33"/>
  </r>
  <r>
    <s v="100074553"/>
    <s v="SA"/>
    <s v="40545 PD0023-A"/>
    <x v="2"/>
    <s v="$20M Unamortized Loss Due 2020 (LT)"/>
    <s v="20130930"/>
    <x v="14"/>
    <d v="2013-09-30T00:00:00"/>
    <n v="-857.57"/>
  </r>
  <r>
    <s v="100074554"/>
    <s v="SA"/>
    <s v="40545 PD0013-A"/>
    <x v="2"/>
    <s v="$75M Unamortized Loss Due 2022 (LT)"/>
    <s v="20130930"/>
    <x v="2"/>
    <d v="2013-09-30T00:00:00"/>
    <n v="-3125.47"/>
  </r>
  <r>
    <s v="100074555"/>
    <s v="SA"/>
    <s v="40542 PD0013-A"/>
    <x v="2"/>
    <s v="$75M Call Premium Due 2022 (LT)"/>
    <s v="20130930"/>
    <x v="2"/>
    <d v="2013-09-30T00:00:00"/>
    <n v="-4451.78"/>
  </r>
  <r>
    <s v="100074556"/>
    <s v="SA"/>
    <s v="40544 PD0013"/>
    <x v="2"/>
    <s v="$75M Bond Discount Due 2022 (LT)"/>
    <s v="20130930"/>
    <x v="2"/>
    <d v="2013-09-30T00:00:00"/>
    <n v="-10077.08"/>
  </r>
  <r>
    <s v="100074557"/>
    <s v="SA"/>
    <s v="40545 PD0900-A"/>
    <x v="2"/>
    <s v="$80M Unamortized Loss Due 2022 (LT)"/>
    <s v="20130930"/>
    <x v="11"/>
    <d v="2013-09-30T00:00:00"/>
    <n v="-5589.54"/>
  </r>
  <r>
    <s v="100074558"/>
    <s v="SA"/>
    <s v="40542 PD0900-A"/>
    <x v="2"/>
    <s v="$80M Call Premium Due 2022 (LT)"/>
    <s v="20130930"/>
    <x v="11"/>
    <d v="2013-09-30T00:00:00"/>
    <n v="-10099.59"/>
  </r>
  <r>
    <s v="100074559"/>
    <s v="SA"/>
    <s v="40545 PD0023-B"/>
    <x v="2"/>
    <s v="$20M Unamortized Loss Due 2022 (LT)"/>
    <s v="20130930"/>
    <x v="14"/>
    <d v="2013-09-30T00:00:00"/>
    <n v="-1407.23"/>
  </r>
  <r>
    <s v="100074560"/>
    <s v="SA"/>
    <s v="40542 PD0023"/>
    <x v="2"/>
    <s v="$20M Call Premium Due 2022 (LT)"/>
    <s v="20130930"/>
    <x v="14"/>
    <d v="2013-09-30T00:00:00"/>
    <n v="-2524.9"/>
  </r>
  <r>
    <s v="100074561"/>
    <s v="SA"/>
    <s v="40545 PD0900-B"/>
    <x v="2"/>
    <s v="$3.125M Unamortized Loss Due 2021 (LT)"/>
    <s v="20130930"/>
    <x v="11"/>
    <d v="2013-09-30T00:00:00"/>
    <n v="-193.73"/>
  </r>
  <r>
    <s v="100074562"/>
    <s v="SA"/>
    <s v="40542 PD0900-B"/>
    <x v="2"/>
    <s v="$3.125M Call Premium Due 2021 (LT)"/>
    <s v="20130930"/>
    <x v="11"/>
    <d v="2013-09-30T00:00:00"/>
    <n v="-274.12"/>
  </r>
  <r>
    <s v="100074563"/>
    <s v="SA"/>
    <s v="40545 PD0900-C"/>
    <x v="2"/>
    <s v="$21.875M Unamortized Loss Due 2021 (LT)"/>
    <s v="20130930"/>
    <x v="11"/>
    <d v="2013-09-30T00:00:00"/>
    <n v="-1347.95"/>
  </r>
  <r>
    <s v="100074564"/>
    <s v="SA"/>
    <s v="40542 PD0900-C"/>
    <x v="2"/>
    <s v="$21.875M Call Premium Due 2021 (LT)"/>
    <s v="20130930"/>
    <x v="11"/>
    <d v="2013-09-30T00:00:00"/>
    <n v="-1918.86"/>
  </r>
  <r>
    <s v="100074565"/>
    <s v="SA"/>
    <s v="40545 PD0013-B"/>
    <x v="2"/>
    <s v="$75M Unamortized Loss Due 2030 (LT)"/>
    <s v="20130930"/>
    <x v="2"/>
    <d v="2013-09-30T00:00:00"/>
    <n v="-1780.13"/>
  </r>
  <r>
    <s v="100074566"/>
    <s v="SA"/>
    <s v="40545 PD0014-A"/>
    <x v="2"/>
    <s v="$85.95M Unamortized Loss Due 2034 (LT)"/>
    <s v="20130930"/>
    <x v="5"/>
    <d v="2013-09-30T00:00:00"/>
    <n v="-2230.71"/>
  </r>
  <r>
    <s v="100074567"/>
    <s v="SA"/>
    <s v="40542 PD0014"/>
    <x v="2"/>
    <s v="$85.95M Call Premium Due 2034 (LT)"/>
    <s v="20130930"/>
    <x v="5"/>
    <d v="2013-09-30T00:00:00"/>
    <n v="-2490.34"/>
  </r>
  <r>
    <s v="100074569"/>
    <s v="SA"/>
    <s v="40542 PD0013-B"/>
    <x v="2"/>
    <s v="$75M Call Premium Due 2030 (LT)"/>
    <s v="20130930"/>
    <x v="2"/>
    <d v="2013-09-30T00:00:00"/>
    <n v="-5336.81"/>
  </r>
  <r>
    <s v="100074573"/>
    <s v="SA"/>
    <s v="40543 PD0011"/>
    <x v="2"/>
    <s v="$86.4M Bond Discount Due 2023 (LT)"/>
    <s v="20130930"/>
    <x v="8"/>
    <d v="2013-09-30T00:00:00"/>
    <n v="-4207.3500000000004"/>
  </r>
  <r>
    <s v="100084227"/>
    <s v="SA"/>
    <s v="40545 PD0011"/>
    <x v="2"/>
    <s v="$86.4M Unamortized Loss Due 2023 (LT)"/>
    <s v="20131031"/>
    <x v="8"/>
    <d v="2013-10-31T00:00:00"/>
    <n v="-3340.78"/>
  </r>
  <r>
    <s v="100084228"/>
    <s v="SA"/>
    <s v="40545 PD0010"/>
    <x v="2"/>
    <s v="$54.2M Unamortized Loss Due 2018 (LT)"/>
    <s v="20131031"/>
    <x v="12"/>
    <d v="2013-10-31T00:00:00"/>
    <n v="-1179.21"/>
  </r>
  <r>
    <s v="100084229"/>
    <s v="SA"/>
    <s v="40545 PD0012"/>
    <x v="2"/>
    <s v="$51.6M Unamortized Loss Due 2025 (LT)"/>
    <s v="20131031"/>
    <x v="13"/>
    <d v="2013-10-31T00:00:00"/>
    <n v="-1019.33"/>
  </r>
  <r>
    <s v="100084230"/>
    <s v="SA"/>
    <s v="40545 PD0023-A"/>
    <x v="2"/>
    <s v="$20M Unamortized Loss Due 2020 (LT)"/>
    <s v="20131031"/>
    <x v="14"/>
    <d v="2013-10-31T00:00:00"/>
    <n v="-857.57"/>
  </r>
  <r>
    <s v="100084231"/>
    <s v="SA"/>
    <s v="40545 PD0013-A"/>
    <x v="2"/>
    <s v="$75M Unamortized Loss Due 2022 (LT)"/>
    <s v="20131031"/>
    <x v="2"/>
    <d v="2013-10-31T00:00:00"/>
    <n v="-3125.47"/>
  </r>
  <r>
    <s v="100084232"/>
    <s v="SA"/>
    <s v="40542 PD0013-A"/>
    <x v="2"/>
    <s v="$75M Call Premium Due 2022 (LT)"/>
    <s v="20131031"/>
    <x v="2"/>
    <d v="2013-10-31T00:00:00"/>
    <n v="-4451.78"/>
  </r>
  <r>
    <s v="100084233"/>
    <s v="SA"/>
    <s v="40544 PD0013"/>
    <x v="2"/>
    <s v="$75M Bond Discount Due 2022 (LT)"/>
    <s v="20131031"/>
    <x v="2"/>
    <d v="2013-10-31T00:00:00"/>
    <n v="-10077.08"/>
  </r>
  <r>
    <s v="100084234"/>
    <s v="SA"/>
    <s v="40545 PD0900-A"/>
    <x v="2"/>
    <s v="$80M Unamortized Loss Due 2022 (LT)"/>
    <s v="20131031"/>
    <x v="11"/>
    <d v="2013-10-31T00:00:00"/>
    <n v="-5589.54"/>
  </r>
  <r>
    <s v="100084235"/>
    <s v="SA"/>
    <s v="40542 PD0900-A"/>
    <x v="2"/>
    <s v="$80M Call Premium Due 2022 (LT)"/>
    <s v="20131031"/>
    <x v="11"/>
    <d v="2013-10-31T00:00:00"/>
    <n v="-10099.59"/>
  </r>
  <r>
    <s v="100084236"/>
    <s v="SA"/>
    <s v="40545 PD0023-B"/>
    <x v="2"/>
    <s v="$20M Unamortized Loss Due 2022 (LT)"/>
    <s v="20131031"/>
    <x v="14"/>
    <d v="2013-10-31T00:00:00"/>
    <n v="-1407.23"/>
  </r>
  <r>
    <s v="100084237"/>
    <s v="SA"/>
    <s v="40542 PD0023"/>
    <x v="2"/>
    <s v="$20M Call Premium Due 2022 (LT)"/>
    <s v="20131031"/>
    <x v="14"/>
    <d v="2013-10-31T00:00:00"/>
    <n v="-2524.9"/>
  </r>
  <r>
    <s v="100084238"/>
    <s v="SA"/>
    <s v="40545 PD0900-B"/>
    <x v="2"/>
    <s v="$3.125M Unamortized Loss Due 2021 (LT)"/>
    <s v="20131031"/>
    <x v="11"/>
    <d v="2013-10-31T00:00:00"/>
    <n v="-193.73"/>
  </r>
  <r>
    <s v="100084239"/>
    <s v="SA"/>
    <s v="40542 PD0900-B"/>
    <x v="2"/>
    <s v="$3.125M Call Premium Due 2021 (LT)"/>
    <s v="20131031"/>
    <x v="11"/>
    <d v="2013-10-31T00:00:00"/>
    <n v="-274.12"/>
  </r>
  <r>
    <s v="100084240"/>
    <s v="SA"/>
    <s v="40545 PD0900-C"/>
    <x v="2"/>
    <s v="$21.875M Unamortized Loss Due 2021 (LT)"/>
    <s v="20131031"/>
    <x v="11"/>
    <d v="2013-10-31T00:00:00"/>
    <n v="-1347.95"/>
  </r>
  <r>
    <s v="100084241"/>
    <s v="SA"/>
    <s v="40542 PD0900-C"/>
    <x v="2"/>
    <s v="$21.875M Call Premium Due 2021 (LT)"/>
    <s v="20131031"/>
    <x v="11"/>
    <d v="2013-10-31T00:00:00"/>
    <n v="-1918.86"/>
  </r>
  <r>
    <s v="100084242"/>
    <s v="SA"/>
    <s v="40545 PD0013-B"/>
    <x v="2"/>
    <s v="$75M Unamortized Loss Due 2030 (LT)"/>
    <s v="20131031"/>
    <x v="2"/>
    <d v="2013-10-31T00:00:00"/>
    <n v="-1780.13"/>
  </r>
  <r>
    <s v="100084243"/>
    <s v="SA"/>
    <s v="40545 PD0014-A"/>
    <x v="2"/>
    <s v="$85.95M Unamortized Loss Due 2034 (LT)"/>
    <s v="20131031"/>
    <x v="5"/>
    <d v="2013-10-31T00:00:00"/>
    <n v="-2230.71"/>
  </r>
  <r>
    <s v="100084244"/>
    <s v="SA"/>
    <s v="40542 PD0014"/>
    <x v="2"/>
    <s v="$85.95M Call Premium Due 2034 (LT)"/>
    <s v="20131031"/>
    <x v="5"/>
    <d v="2013-10-31T00:00:00"/>
    <n v="-2490.34"/>
  </r>
  <r>
    <s v="100084246"/>
    <s v="SA"/>
    <s v="40542 PD0013-B"/>
    <x v="2"/>
    <s v="$75M Call Premium Due 2030 (LT)"/>
    <s v="20131031"/>
    <x v="2"/>
    <d v="2013-10-31T00:00:00"/>
    <n v="-5336.81"/>
  </r>
  <r>
    <s v="100084249"/>
    <s v="SA"/>
    <s v="40543 PD0011"/>
    <x v="2"/>
    <s v="$86.4M Bond Discount Due 2023 (LT)"/>
    <s v="20131031"/>
    <x v="8"/>
    <d v="2013-10-31T00:00:00"/>
    <n v="-4207.3500000000004"/>
  </r>
  <r>
    <s v="100090881"/>
    <s v="SA"/>
    <s v="40545 PD0011"/>
    <x v="2"/>
    <s v="$86.4M Unamortized Loss Due 2023 (LT)"/>
    <s v="20131130"/>
    <x v="8"/>
    <d v="2013-11-30T00:00:00"/>
    <n v="-3340.78"/>
  </r>
  <r>
    <s v="100090882"/>
    <s v="SA"/>
    <s v="40545 PD0010"/>
    <x v="2"/>
    <s v="$54.2M Unamortized Loss Due 2018 (LT)"/>
    <s v="20131130"/>
    <x v="12"/>
    <d v="2013-11-30T00:00:00"/>
    <n v="-1179.21"/>
  </r>
  <r>
    <s v="100090883"/>
    <s v="SA"/>
    <s v="40545 PD0012"/>
    <x v="2"/>
    <s v="$51.6M Unamortized Loss Due 2025 (LT)"/>
    <s v="20131130"/>
    <x v="13"/>
    <d v="2013-11-30T00:00:00"/>
    <n v="-1019.33"/>
  </r>
  <r>
    <s v="100090884"/>
    <s v="SA"/>
    <s v="40545 PD0023-A"/>
    <x v="2"/>
    <s v="$20M Unamortized Loss Due 2020 (LT)"/>
    <s v="20131130"/>
    <x v="14"/>
    <d v="2013-11-30T00:00:00"/>
    <n v="-857.57"/>
  </r>
  <r>
    <s v="100090885"/>
    <s v="SA"/>
    <s v="40545 PD0013-A"/>
    <x v="2"/>
    <s v="$75M Unamortized Loss Due 2022 (LT)"/>
    <s v="20131130"/>
    <x v="2"/>
    <d v="2013-11-30T00:00:00"/>
    <n v="-3125.47"/>
  </r>
  <r>
    <s v="100090886"/>
    <s v="SA"/>
    <s v="40542 PD0013-A"/>
    <x v="2"/>
    <s v="$75M Call Premium Due 2022 (LT)"/>
    <s v="20131130"/>
    <x v="2"/>
    <d v="2013-11-30T00:00:00"/>
    <n v="-4451.78"/>
  </r>
  <r>
    <s v="100090887"/>
    <s v="SA"/>
    <s v="40544 PD0013"/>
    <x v="2"/>
    <s v="$75M Bond Discount Due 2022 (LT)"/>
    <s v="20131130"/>
    <x v="2"/>
    <d v="2013-11-30T00:00:00"/>
    <n v="-10077.08"/>
  </r>
  <r>
    <s v="100090888"/>
    <s v="SA"/>
    <s v="40545 PD0900-A"/>
    <x v="2"/>
    <s v="$80M Unamortized Loss Due 2022 (LT)"/>
    <s v="20131130"/>
    <x v="11"/>
    <d v="2013-11-30T00:00:00"/>
    <n v="-5589.54"/>
  </r>
  <r>
    <s v="100090889"/>
    <s v="SA"/>
    <s v="40542 PD0900-A"/>
    <x v="2"/>
    <s v="$80M Call Premium Due 2022 (LT)"/>
    <s v="20131130"/>
    <x v="11"/>
    <d v="2013-11-30T00:00:00"/>
    <n v="-10099.59"/>
  </r>
  <r>
    <s v="100090890"/>
    <s v="SA"/>
    <s v="40545 PD0023-B"/>
    <x v="2"/>
    <s v="$20M Unamortized Loss Due 2022 (LT)"/>
    <s v="20131130"/>
    <x v="14"/>
    <d v="2013-11-30T00:00:00"/>
    <n v="-1407.23"/>
  </r>
  <r>
    <s v="100090891"/>
    <s v="SA"/>
    <s v="40542 PD0023"/>
    <x v="2"/>
    <s v="$20M Call Premium Due 2022 (LT)"/>
    <s v="20131130"/>
    <x v="14"/>
    <d v="2013-11-30T00:00:00"/>
    <n v="-2524.9"/>
  </r>
  <r>
    <s v="100090892"/>
    <s v="SA"/>
    <s v="40545 PD0900-B"/>
    <x v="2"/>
    <s v="$3.125M Unamortized Loss Due 2021 (LT)"/>
    <s v="20131130"/>
    <x v="11"/>
    <d v="2013-11-30T00:00:00"/>
    <n v="-193.73"/>
  </r>
  <r>
    <s v="100090893"/>
    <s v="SA"/>
    <s v="40542 PD0900-B"/>
    <x v="2"/>
    <s v="$3.125M Call Premium Due 2021 (LT)"/>
    <s v="20131130"/>
    <x v="11"/>
    <d v="2013-11-30T00:00:00"/>
    <n v="-274.12"/>
  </r>
  <r>
    <s v="100090894"/>
    <s v="SA"/>
    <s v="40545 PD0900-C"/>
    <x v="2"/>
    <s v="$21.875M Unamortized Loss Due 2021 (LT)"/>
    <s v="20131130"/>
    <x v="11"/>
    <d v="2013-11-30T00:00:00"/>
    <n v="-1347.95"/>
  </r>
  <r>
    <s v="100090895"/>
    <s v="SA"/>
    <s v="40542 PD0900-C"/>
    <x v="2"/>
    <s v="$21.875M Call Premium Due 2021 (LT)"/>
    <s v="20131130"/>
    <x v="11"/>
    <d v="2013-11-30T00:00:00"/>
    <n v="-1918.86"/>
  </r>
  <r>
    <s v="100090896"/>
    <s v="SA"/>
    <s v="40545 PD0013-B"/>
    <x v="2"/>
    <s v="$75M Unamortized Loss Due 2030 (LT)"/>
    <s v="20131130"/>
    <x v="2"/>
    <d v="2013-11-30T00:00:00"/>
    <n v="-1780.13"/>
  </r>
  <r>
    <s v="100090897"/>
    <s v="SA"/>
    <s v="40545 PD0014-A"/>
    <x v="2"/>
    <s v="$85.95M Unamortized Loss Due 2034 (LT)"/>
    <s v="20131130"/>
    <x v="5"/>
    <d v="2013-11-30T00:00:00"/>
    <n v="-2230.71"/>
  </r>
  <r>
    <s v="100090898"/>
    <s v="SA"/>
    <s v="40542 PD0014"/>
    <x v="2"/>
    <s v="$85.95M Call Premium Due 2034 (LT)"/>
    <s v="20131130"/>
    <x v="5"/>
    <d v="2013-11-30T00:00:00"/>
    <n v="-2490.34"/>
  </r>
  <r>
    <s v="100090900"/>
    <s v="SA"/>
    <s v="40542 PD0013-B"/>
    <x v="2"/>
    <s v="$75M Call Premium Due 2030 (LT)"/>
    <s v="20131130"/>
    <x v="2"/>
    <d v="2013-11-30T00:00:00"/>
    <n v="-5336.81"/>
  </r>
  <r>
    <s v="100090903"/>
    <s v="SA"/>
    <s v="40543 PD0011"/>
    <x v="2"/>
    <s v="$86.4M Bond Discount Due 2023 (LT)"/>
    <s v="20131130"/>
    <x v="8"/>
    <d v="2013-11-30T00:00:00"/>
    <n v="-4207.3500000000004"/>
  </r>
  <r>
    <s v="100099936"/>
    <s v="SA"/>
    <s v="40545 PD0011"/>
    <x v="2"/>
    <s v="$86.4M Unamortized Loss Due 2023 (LT)"/>
    <s v="20131231"/>
    <x v="8"/>
    <d v="2013-12-31T00:00:00"/>
    <n v="-3340.78"/>
  </r>
  <r>
    <s v="100099937"/>
    <s v="SA"/>
    <s v="40545 PD0010"/>
    <x v="2"/>
    <s v="$54.2M Unamortized Loss Due 2018 (LT)"/>
    <s v="20131231"/>
    <x v="12"/>
    <d v="2013-12-31T00:00:00"/>
    <n v="-1179.21"/>
  </r>
  <r>
    <s v="100099938"/>
    <s v="SA"/>
    <s v="40545 PD0012"/>
    <x v="2"/>
    <s v="$51.6M Unamortized Loss Due 2025 (LT)"/>
    <s v="20131231"/>
    <x v="13"/>
    <d v="2013-12-31T00:00:00"/>
    <n v="-1019.33"/>
  </r>
  <r>
    <s v="100099939"/>
    <s v="SA"/>
    <s v="40545 PD0023-A"/>
    <x v="2"/>
    <s v="$20M Unamortized Loss Due 2020 (LT)"/>
    <s v="20131231"/>
    <x v="14"/>
    <d v="2013-12-31T00:00:00"/>
    <n v="-857.57"/>
  </r>
  <r>
    <s v="100099940"/>
    <s v="SA"/>
    <s v="40545 PD0013-A"/>
    <x v="2"/>
    <s v="$75M Unamortized Loss Due 2022 (LT)"/>
    <s v="20131231"/>
    <x v="2"/>
    <d v="2013-12-31T00:00:00"/>
    <n v="-3125.47"/>
  </r>
  <r>
    <s v="100099941"/>
    <s v="SA"/>
    <s v="40542 PD0013-A"/>
    <x v="2"/>
    <s v="$75M Call Premium Due 2022 (LT)"/>
    <s v="20131231"/>
    <x v="2"/>
    <d v="2013-12-31T00:00:00"/>
    <n v="-4451.78"/>
  </r>
  <r>
    <s v="100099942"/>
    <s v="SA"/>
    <s v="40544 PD0013"/>
    <x v="2"/>
    <s v="$75M Bond Discount Due 2022 (LT)"/>
    <s v="20131231"/>
    <x v="2"/>
    <d v="2013-12-31T00:00:00"/>
    <n v="-10077.08"/>
  </r>
  <r>
    <s v="100099943"/>
    <s v="SA"/>
    <s v="40545 PD0900-A"/>
    <x v="2"/>
    <s v="$80M Unamortized Loss Due 2022 (LT)"/>
    <s v="20131231"/>
    <x v="11"/>
    <d v="2013-12-31T00:00:00"/>
    <n v="-5589.54"/>
  </r>
  <r>
    <s v="100099944"/>
    <s v="SA"/>
    <s v="40542 PD0900-A"/>
    <x v="2"/>
    <s v="$80M Call Premium Due 2022 (LT)"/>
    <s v="20131231"/>
    <x v="11"/>
    <d v="2013-12-31T00:00:00"/>
    <n v="-10099.59"/>
  </r>
  <r>
    <s v="100099945"/>
    <s v="SA"/>
    <s v="40545 PD0023-B"/>
    <x v="2"/>
    <s v="$20M Unamortized Loss Due 2022 (LT)"/>
    <s v="20131231"/>
    <x v="14"/>
    <d v="2013-12-31T00:00:00"/>
    <n v="-1407.23"/>
  </r>
  <r>
    <s v="100099946"/>
    <s v="SA"/>
    <s v="40542 PD0023"/>
    <x v="2"/>
    <s v="$20M Call Premium Due 2022 (LT)"/>
    <s v="20131231"/>
    <x v="14"/>
    <d v="2013-12-31T00:00:00"/>
    <n v="-2524.9"/>
  </r>
  <r>
    <s v="100099947"/>
    <s v="SA"/>
    <s v="40545 PD0900-B"/>
    <x v="2"/>
    <s v="$3.125M Unamortized Loss Due 2021 (LT)"/>
    <s v="20131231"/>
    <x v="11"/>
    <d v="2013-12-31T00:00:00"/>
    <n v="-193.73"/>
  </r>
  <r>
    <s v="100099948"/>
    <s v="SA"/>
    <s v="40542 PD0900-B"/>
    <x v="2"/>
    <s v="$3.125M Call Premium Due 2021 (LT)"/>
    <s v="20131231"/>
    <x v="11"/>
    <d v="2013-12-31T00:00:00"/>
    <n v="-274.12"/>
  </r>
  <r>
    <s v="100099949"/>
    <s v="SA"/>
    <s v="40545 PD0900-C"/>
    <x v="2"/>
    <s v="$21.875M Unamortized Loss Due 2021 (LT)"/>
    <s v="20131231"/>
    <x v="11"/>
    <d v="2013-12-31T00:00:00"/>
    <n v="-1347.95"/>
  </r>
  <r>
    <s v="100099950"/>
    <s v="SA"/>
    <s v="40542 PD0900-C"/>
    <x v="2"/>
    <s v="$21.875M Call Premium Due 2021 (LT)"/>
    <s v="20131231"/>
    <x v="11"/>
    <d v="2013-12-31T00:00:00"/>
    <n v="-1918.86"/>
  </r>
  <r>
    <s v="100099951"/>
    <s v="SA"/>
    <s v="40545 PD0013-B"/>
    <x v="2"/>
    <s v="$75M Unamortized Loss Due 2030 (LT)"/>
    <s v="20131231"/>
    <x v="2"/>
    <d v="2013-12-31T00:00:00"/>
    <n v="-1780.13"/>
  </r>
  <r>
    <s v="100099952"/>
    <s v="SA"/>
    <s v="40545 PD0014-A"/>
    <x v="2"/>
    <s v="$85.95M Unamortized Loss Due 2034 (LT)"/>
    <s v="20131231"/>
    <x v="5"/>
    <d v="2013-12-31T00:00:00"/>
    <n v="-2230.71"/>
  </r>
  <r>
    <s v="100099953"/>
    <s v="SA"/>
    <s v="40542 PD0014"/>
    <x v="2"/>
    <s v="$85.95M Call Premium Due 2034 (LT)"/>
    <s v="20131231"/>
    <x v="5"/>
    <d v="2013-12-31T00:00:00"/>
    <n v="-2490.34"/>
  </r>
  <r>
    <s v="100099955"/>
    <s v="SA"/>
    <s v="40542 PD0013-B"/>
    <x v="2"/>
    <s v="$75M Call Premium Due 2030 (LT)"/>
    <s v="20131231"/>
    <x v="2"/>
    <d v="2013-12-31T00:00:00"/>
    <n v="-5336.81"/>
  </r>
  <r>
    <s v="100099958"/>
    <s v="SA"/>
    <s v="40543 PD0011"/>
    <x v="2"/>
    <s v="$86.4M Bond Discount Due 2023 (LT)"/>
    <s v="20131231"/>
    <x v="8"/>
    <d v="2013-12-31T00:00:00"/>
    <n v="-4207.3500000000004"/>
  </r>
  <r>
    <s v="100008610"/>
    <s v="SA"/>
    <s v="40545 PD0011"/>
    <x v="2"/>
    <s v="$86.4M Unamortized Loss Due 2023 (LT)"/>
    <s v="20140131"/>
    <x v="8"/>
    <d v="2014-01-31T00:00:00"/>
    <n v="-3340.78"/>
  </r>
  <r>
    <s v="100008611"/>
    <s v="SA"/>
    <s v="40545 PD0010"/>
    <x v="2"/>
    <s v="$54.2M Unamortized Loss Due 2018 (LT)"/>
    <s v="20140131"/>
    <x v="12"/>
    <d v="2014-01-31T00:00:00"/>
    <n v="-1179.21"/>
  </r>
  <r>
    <s v="100008612"/>
    <s v="SA"/>
    <s v="40545 PD0012"/>
    <x v="2"/>
    <s v="$51.6M Unamortized Loss Due 2025 (LT)"/>
    <s v="20140131"/>
    <x v="13"/>
    <d v="2014-01-31T00:00:00"/>
    <n v="-1019.33"/>
  </r>
  <r>
    <s v="100008613"/>
    <s v="SA"/>
    <s v="40545 PD0023-A"/>
    <x v="2"/>
    <s v="$20M Unamortized Loss Due 2020 (LT)"/>
    <s v="20140131"/>
    <x v="14"/>
    <d v="2014-01-31T00:00:00"/>
    <n v="-857.57"/>
  </r>
  <r>
    <s v="100008614"/>
    <s v="SA"/>
    <s v="40545 PD0013-A"/>
    <x v="2"/>
    <s v="$75M Unamortized Loss Due 2022 (LT)"/>
    <s v="20140131"/>
    <x v="2"/>
    <d v="2014-01-31T00:00:00"/>
    <n v="-3125.47"/>
  </r>
  <r>
    <s v="100008615"/>
    <s v="SA"/>
    <s v="40542 PD0013-A"/>
    <x v="2"/>
    <s v="$75M Call Premium Due 2022 (LT)"/>
    <s v="20140131"/>
    <x v="2"/>
    <d v="2014-01-31T00:00:00"/>
    <n v="-4451.78"/>
  </r>
  <r>
    <s v="100008616"/>
    <s v="SA"/>
    <s v="40544 PD0013"/>
    <x v="2"/>
    <s v="$75M Bond Discount Due 2022 (LT)"/>
    <s v="20140131"/>
    <x v="2"/>
    <d v="2014-01-31T00:00:00"/>
    <n v="-10077.08"/>
  </r>
  <r>
    <s v="100008617"/>
    <s v="SA"/>
    <s v="40545 PD0900-A"/>
    <x v="2"/>
    <s v="$80M Unamortized Loss Due 2022 (LT)"/>
    <s v="20140131"/>
    <x v="11"/>
    <d v="2014-01-31T00:00:00"/>
    <n v="-5589.54"/>
  </r>
  <r>
    <s v="100008618"/>
    <s v="SA"/>
    <s v="40542 PD0900-A"/>
    <x v="2"/>
    <s v="$80M Call Premium Due 2022 (LT)"/>
    <s v="20140131"/>
    <x v="11"/>
    <d v="2014-01-31T00:00:00"/>
    <n v="-10099.59"/>
  </r>
  <r>
    <s v="100008619"/>
    <s v="SA"/>
    <s v="40545 PD0023-B"/>
    <x v="2"/>
    <s v="$20M Unamortized Loss Due 2022 (LT)"/>
    <s v="20140131"/>
    <x v="14"/>
    <d v="2014-01-31T00:00:00"/>
    <n v="-1407.23"/>
  </r>
  <r>
    <s v="100008620"/>
    <s v="SA"/>
    <s v="40542 PD0023"/>
    <x v="2"/>
    <s v="$20M Call Premium Due 2022 (LT)"/>
    <s v="20140131"/>
    <x v="14"/>
    <d v="2014-01-31T00:00:00"/>
    <n v="-2524.9"/>
  </r>
  <r>
    <s v="100008621"/>
    <s v="SA"/>
    <s v="40545 PD0900-B"/>
    <x v="2"/>
    <s v="$3.125M Unamortized Loss Due 2021 (LT)"/>
    <s v="20140131"/>
    <x v="11"/>
    <d v="2014-01-31T00:00:00"/>
    <n v="-193.73"/>
  </r>
  <r>
    <s v="100008622"/>
    <s v="SA"/>
    <s v="40542 PD0900-B"/>
    <x v="2"/>
    <s v="$3.125M Call Premium Due 2021 (LT)"/>
    <s v="20140131"/>
    <x v="11"/>
    <d v="2014-01-31T00:00:00"/>
    <n v="-274.12"/>
  </r>
  <r>
    <s v="100008623"/>
    <s v="SA"/>
    <s v="40545 PD0900-C"/>
    <x v="2"/>
    <s v="$21.875M Unamortized Loss Due 2021 (LT)"/>
    <s v="20140131"/>
    <x v="11"/>
    <d v="2014-01-31T00:00:00"/>
    <n v="-1347.95"/>
  </r>
  <r>
    <s v="100008624"/>
    <s v="SA"/>
    <s v="40542 PD0900-C"/>
    <x v="2"/>
    <s v="$21.875M Call Premium Due 2021 (LT)"/>
    <s v="20140131"/>
    <x v="11"/>
    <d v="2014-01-31T00:00:00"/>
    <n v="-1918.86"/>
  </r>
  <r>
    <s v="100008625"/>
    <s v="SA"/>
    <s v="40545 PD0013-B"/>
    <x v="2"/>
    <s v="$75M Unamortized Loss Due 2030 (LT)"/>
    <s v="20140131"/>
    <x v="2"/>
    <d v="2014-01-31T00:00:00"/>
    <n v="-1780.13"/>
  </r>
  <r>
    <s v="100008626"/>
    <s v="SA"/>
    <s v="40545 PD0014-A"/>
    <x v="2"/>
    <s v="$85.95M Unamortized Loss Due 2034 (LT)"/>
    <s v="20140131"/>
    <x v="5"/>
    <d v="2014-01-31T00:00:00"/>
    <n v="-2230.71"/>
  </r>
  <r>
    <s v="100008627"/>
    <s v="SA"/>
    <s v="40542 PD0014"/>
    <x v="2"/>
    <s v="$85.95M Call Premium Due 2034 (LT)"/>
    <s v="20140131"/>
    <x v="5"/>
    <d v="2014-01-31T00:00:00"/>
    <n v="-2490.34"/>
  </r>
  <r>
    <s v="100008629"/>
    <s v="SA"/>
    <s v="40542 PD0013-B"/>
    <x v="2"/>
    <s v="$75M Call Premium Due 2030 (LT)"/>
    <s v="20140131"/>
    <x v="2"/>
    <d v="2014-01-31T00:00:00"/>
    <n v="-5336.81"/>
  </r>
  <r>
    <s v="100008632"/>
    <s v="SA"/>
    <s v="40543 PD0011"/>
    <x v="2"/>
    <s v="$86.4M Bond Discount Due 2023 (LT)"/>
    <s v="20140131"/>
    <x v="8"/>
    <d v="2014-01-31T00:00:00"/>
    <n v="-4207.3500000000004"/>
  </r>
  <r>
    <s v="100016146"/>
    <s v="SA"/>
    <s v="40545 PD0011"/>
    <x v="2"/>
    <s v="$86.4M Unamortized Loss Due 2023 (LT)"/>
    <s v="20140228"/>
    <x v="8"/>
    <d v="2014-02-28T00:00:00"/>
    <n v="-3340.78"/>
  </r>
  <r>
    <s v="100016147"/>
    <s v="SA"/>
    <s v="40545 PD0010"/>
    <x v="2"/>
    <s v="$54.2M Unamortized Loss Due 2018 (LT)"/>
    <s v="20140228"/>
    <x v="12"/>
    <d v="2014-02-28T00:00:00"/>
    <n v="-1179.21"/>
  </r>
  <r>
    <s v="100016148"/>
    <s v="SA"/>
    <s v="40545 PD0012"/>
    <x v="2"/>
    <s v="$51.6M Unamortized Loss Due 2025 (LT)"/>
    <s v="20140228"/>
    <x v="13"/>
    <d v="2014-02-28T00:00:00"/>
    <n v="-1019.33"/>
  </r>
  <r>
    <s v="100016149"/>
    <s v="SA"/>
    <s v="40545 PD0023-A"/>
    <x v="2"/>
    <s v="$20M Unamortized Loss Due 2020 (LT)"/>
    <s v="20140228"/>
    <x v="14"/>
    <d v="2014-02-28T00:00:00"/>
    <n v="-857.57"/>
  </r>
  <r>
    <s v="100016150"/>
    <s v="SA"/>
    <s v="40545 PD0013-A"/>
    <x v="2"/>
    <s v="$75M Unamortized Loss Due 2022 (LT)"/>
    <s v="20140228"/>
    <x v="2"/>
    <d v="2014-02-28T00:00:00"/>
    <n v="-3125.47"/>
  </r>
  <r>
    <s v="100016151"/>
    <s v="SA"/>
    <s v="40542 PD0013-A"/>
    <x v="2"/>
    <s v="$75M Call Premium Due 2022 (LT)"/>
    <s v="20140228"/>
    <x v="2"/>
    <d v="2014-02-28T00:00:00"/>
    <n v="-4451.78"/>
  </r>
  <r>
    <s v="100016152"/>
    <s v="SA"/>
    <s v="40544 PD0013"/>
    <x v="2"/>
    <s v="$75M Bond Discount Due 2022 (LT)"/>
    <s v="20140228"/>
    <x v="2"/>
    <d v="2014-02-28T00:00:00"/>
    <n v="-10077.08"/>
  </r>
  <r>
    <s v="100016153"/>
    <s v="SA"/>
    <s v="40545 PD0900-A"/>
    <x v="2"/>
    <s v="$80M Unamortized Loss Due 2022 (LT)"/>
    <s v="20140228"/>
    <x v="11"/>
    <d v="2014-02-28T00:00:00"/>
    <n v="-5589.54"/>
  </r>
  <r>
    <s v="100016154"/>
    <s v="SA"/>
    <s v="40542 PD0900-A"/>
    <x v="2"/>
    <s v="$80M Call Premium Due 2022 (LT)"/>
    <s v="20140228"/>
    <x v="11"/>
    <d v="2014-02-28T00:00:00"/>
    <n v="-10099.59"/>
  </r>
  <r>
    <s v="100016155"/>
    <s v="SA"/>
    <s v="40545 PD0023-B"/>
    <x v="2"/>
    <s v="$20M Unamortized Loss Due 2022 (LT)"/>
    <s v="20140228"/>
    <x v="14"/>
    <d v="2014-02-28T00:00:00"/>
    <n v="-1407.23"/>
  </r>
  <r>
    <s v="100016156"/>
    <s v="SA"/>
    <s v="40542 PD0023"/>
    <x v="2"/>
    <s v="$20M Call Premium Due 2022 (LT)"/>
    <s v="20140228"/>
    <x v="14"/>
    <d v="2014-02-28T00:00:00"/>
    <n v="-2524.9"/>
  </r>
  <r>
    <s v="100016157"/>
    <s v="SA"/>
    <s v="40545 PD0900-B"/>
    <x v="2"/>
    <s v="$3.125M Unamortized Loss Due 2021 (LT)"/>
    <s v="20140228"/>
    <x v="11"/>
    <d v="2014-02-28T00:00:00"/>
    <n v="-193.73"/>
  </r>
  <r>
    <s v="100016158"/>
    <s v="SA"/>
    <s v="40542 PD0900-B"/>
    <x v="2"/>
    <s v="$3.125M Call Premium Due 2021 (LT)"/>
    <s v="20140228"/>
    <x v="11"/>
    <d v="2014-02-28T00:00:00"/>
    <n v="-274.12"/>
  </r>
  <r>
    <s v="100016159"/>
    <s v="SA"/>
    <s v="40545 PD0900-C"/>
    <x v="2"/>
    <s v="$21.875M Unamortized Loss Due 2021 (LT)"/>
    <s v="20140228"/>
    <x v="11"/>
    <d v="2014-02-28T00:00:00"/>
    <n v="-1347.95"/>
  </r>
  <r>
    <s v="100016160"/>
    <s v="SA"/>
    <s v="40542 PD0900-C"/>
    <x v="2"/>
    <s v="$21.875M Call Premium Due 2021 (LT)"/>
    <s v="20140228"/>
    <x v="11"/>
    <d v="2014-02-28T00:00:00"/>
    <n v="-1918.86"/>
  </r>
  <r>
    <s v="100016161"/>
    <s v="SA"/>
    <s v="40545 PD0013-B"/>
    <x v="2"/>
    <s v="$75M Unamortized Loss Due 2030 (LT)"/>
    <s v="20140228"/>
    <x v="2"/>
    <d v="2014-02-28T00:00:00"/>
    <n v="-1780.13"/>
  </r>
  <r>
    <s v="100016162"/>
    <s v="SA"/>
    <s v="40545 PD0014-A"/>
    <x v="2"/>
    <s v="$85.95M Unamortized Loss Due 2034 (LT)"/>
    <s v="20140228"/>
    <x v="5"/>
    <d v="2014-02-28T00:00:00"/>
    <n v="-2230.71"/>
  </r>
  <r>
    <s v="100016163"/>
    <s v="SA"/>
    <s v="40542 PD0014"/>
    <x v="2"/>
    <s v="$85.95M Call Premium Due 2034 (LT)"/>
    <s v="20140228"/>
    <x v="5"/>
    <d v="2014-02-28T00:00:00"/>
    <n v="-2490.34"/>
  </r>
  <r>
    <s v="100016165"/>
    <s v="SA"/>
    <s v="40542 PD0013-B"/>
    <x v="2"/>
    <s v="$75M Call Premium Due 2030 (LT)"/>
    <s v="20140228"/>
    <x v="2"/>
    <d v="2014-02-28T00:00:00"/>
    <n v="-5336.81"/>
  </r>
  <r>
    <s v="100016167"/>
    <s v="SA"/>
    <s v="40543 PD0011"/>
    <x v="2"/>
    <s v="$86.4M Bond Discount Due 2023 (LT)"/>
    <s v="20140228"/>
    <x v="8"/>
    <d v="2014-02-28T00:00:00"/>
    <n v="-4207.3500000000004"/>
  </r>
  <r>
    <s v="100023513"/>
    <s v="SA"/>
    <s v="40545 PD0011"/>
    <x v="2"/>
    <s v="$86.4M Unamortized Loss Due 2023 (LT)"/>
    <s v="20140331"/>
    <x v="8"/>
    <d v="2014-03-31T00:00:00"/>
    <n v="-3340.78"/>
  </r>
  <r>
    <s v="100023514"/>
    <s v="SA"/>
    <s v="40545 PD0010"/>
    <x v="2"/>
    <s v="$54.2M Unamortized Loss Due 2018 (LT)"/>
    <s v="20140331"/>
    <x v="12"/>
    <d v="2014-03-31T00:00:00"/>
    <n v="-1179.21"/>
  </r>
  <r>
    <s v="100023515"/>
    <s v="SA"/>
    <s v="40545 PD0012"/>
    <x v="2"/>
    <s v="$51.6M Unamortized Loss Due 2025 (LT)"/>
    <s v="20140331"/>
    <x v="13"/>
    <d v="2014-03-31T00:00:00"/>
    <n v="-1019.33"/>
  </r>
  <r>
    <s v="100023516"/>
    <s v="SA"/>
    <s v="40545 PD0023-A"/>
    <x v="2"/>
    <s v="$20M Unamortized Loss Due 2020 (LT)"/>
    <s v="20140331"/>
    <x v="14"/>
    <d v="2014-03-31T00:00:00"/>
    <n v="-857.57"/>
  </r>
  <r>
    <s v="100023517"/>
    <s v="SA"/>
    <s v="40545 PD0013-A"/>
    <x v="2"/>
    <s v="$75M Unamortized Loss Due 2022 (LT)"/>
    <s v="20140331"/>
    <x v="2"/>
    <d v="2014-03-31T00:00:00"/>
    <n v="-3125.47"/>
  </r>
  <r>
    <s v="100023518"/>
    <s v="SA"/>
    <s v="40542 PD0013-A"/>
    <x v="2"/>
    <s v="$75M Call Premium Due 2022 (LT)"/>
    <s v="20140331"/>
    <x v="2"/>
    <d v="2014-03-31T00:00:00"/>
    <n v="-4451.78"/>
  </r>
  <r>
    <s v="100023519"/>
    <s v="SA"/>
    <s v="40544 PD0013"/>
    <x v="2"/>
    <s v="$75M Bond Discount Due 2022 (LT)"/>
    <s v="20140331"/>
    <x v="2"/>
    <d v="2014-03-31T00:00:00"/>
    <n v="-10077.08"/>
  </r>
  <r>
    <s v="100023520"/>
    <s v="SA"/>
    <s v="40545 PD0900-A"/>
    <x v="2"/>
    <s v="$80M Unamortized Loss Due 2022 (LT)"/>
    <s v="20140331"/>
    <x v="11"/>
    <d v="2014-03-31T00:00:00"/>
    <n v="-5589.54"/>
  </r>
  <r>
    <s v="100023521"/>
    <s v="SA"/>
    <s v="40542 PD0900-A"/>
    <x v="2"/>
    <s v="$80M Call Premium Due 2022 (LT)"/>
    <s v="20140331"/>
    <x v="11"/>
    <d v="2014-03-31T00:00:00"/>
    <n v="-10099.59"/>
  </r>
  <r>
    <s v="100023522"/>
    <s v="SA"/>
    <s v="40545 PD0023-B"/>
    <x v="2"/>
    <s v="$20M Unamortized Loss Due 2022 (LT)"/>
    <s v="20140331"/>
    <x v="14"/>
    <d v="2014-03-31T00:00:00"/>
    <n v="-1407.23"/>
  </r>
  <r>
    <s v="100023523"/>
    <s v="SA"/>
    <s v="40542 PD0023"/>
    <x v="2"/>
    <s v="$20M Call Premium Due 2022 (LT)"/>
    <s v="20140331"/>
    <x v="14"/>
    <d v="2014-03-31T00:00:00"/>
    <n v="-2524.9"/>
  </r>
  <r>
    <s v="100023524"/>
    <s v="SA"/>
    <s v="40545 PD0900-B"/>
    <x v="2"/>
    <s v="$3.125M Unamortized Loss Due 2021 (LT)"/>
    <s v="20140331"/>
    <x v="11"/>
    <d v="2014-03-31T00:00:00"/>
    <n v="-193.73"/>
  </r>
  <r>
    <s v="100023525"/>
    <s v="SA"/>
    <s v="40542 PD0900-B"/>
    <x v="2"/>
    <s v="$3.125M Call Premium Due 2021 (LT)"/>
    <s v="20140331"/>
    <x v="11"/>
    <d v="2014-03-31T00:00:00"/>
    <n v="-274.12"/>
  </r>
  <r>
    <s v="100023526"/>
    <s v="SA"/>
    <s v="40545 PD0900-C"/>
    <x v="2"/>
    <s v="$21.875M Unamortized Loss Due 2021 (LT)"/>
    <s v="20140331"/>
    <x v="11"/>
    <d v="2014-03-31T00:00:00"/>
    <n v="-1347.95"/>
  </r>
  <r>
    <s v="100023527"/>
    <s v="SA"/>
    <s v="40542 PD0900-C"/>
    <x v="2"/>
    <s v="$21.875M Call Premium Due 2021 (LT)"/>
    <s v="20140331"/>
    <x v="11"/>
    <d v="2014-03-31T00:00:00"/>
    <n v="-1918.86"/>
  </r>
  <r>
    <s v="100023528"/>
    <s v="SA"/>
    <s v="40545 PD0013-B"/>
    <x v="2"/>
    <s v="$75M Unamortized Loss Due 2030 (LT)"/>
    <s v="20140331"/>
    <x v="2"/>
    <d v="2014-03-31T00:00:00"/>
    <n v="-1780.13"/>
  </r>
  <r>
    <s v="100023529"/>
    <s v="SA"/>
    <s v="40545 PD0014-A"/>
    <x v="2"/>
    <s v="$85.95M Unamortized Loss Due 2034 (LT)"/>
    <s v="20140331"/>
    <x v="5"/>
    <d v="2014-03-31T00:00:00"/>
    <n v="-2230.71"/>
  </r>
  <r>
    <s v="100023530"/>
    <s v="SA"/>
    <s v="40542 PD0014"/>
    <x v="2"/>
    <s v="$85.95M Call Premium Due 2034 (LT)"/>
    <s v="20140331"/>
    <x v="5"/>
    <d v="2014-03-31T00:00:00"/>
    <n v="-2490.34"/>
  </r>
  <r>
    <s v="100023531"/>
    <s v="SA"/>
    <s v="40542 PD0013-B"/>
    <x v="2"/>
    <s v="$75M Call Premium Due 2030 (LT)"/>
    <s v="20140331"/>
    <x v="2"/>
    <d v="2014-03-31T00:00:00"/>
    <n v="-5336.81"/>
  </r>
  <r>
    <s v="100023532"/>
    <s v="SA"/>
    <s v="40543 PD0011"/>
    <x v="2"/>
    <s v="$86.4M Bond Discount Due 2023 (LT)"/>
    <s v="20140331"/>
    <x v="8"/>
    <d v="2014-03-31T00:00:00"/>
    <n v="-4207.3500000000004"/>
  </r>
  <r>
    <s v="100032838"/>
    <s v="SA"/>
    <s v="40545 PD0011"/>
    <x v="2"/>
    <s v="$86.4M Unamortized Loss Due 2023 (LT)"/>
    <s v="20140430"/>
    <x v="8"/>
    <d v="2014-04-30T00:00:00"/>
    <n v="-3340.78"/>
  </r>
  <r>
    <s v="100032839"/>
    <s v="SA"/>
    <s v="40545 PD0010"/>
    <x v="2"/>
    <s v="$54.2M Unamortized Loss Due 2018 (LT)"/>
    <s v="20140430"/>
    <x v="12"/>
    <d v="2014-04-30T00:00:00"/>
    <n v="-1179.21"/>
  </r>
  <r>
    <s v="100032840"/>
    <s v="SA"/>
    <s v="40545 PD0012"/>
    <x v="2"/>
    <s v="$51.6M Unamortized Loss Due 2025 (LT)"/>
    <s v="20140430"/>
    <x v="13"/>
    <d v="2014-04-30T00:00:00"/>
    <n v="-1019.33"/>
  </r>
  <r>
    <s v="100032841"/>
    <s v="SA"/>
    <s v="40545 PD0023-A"/>
    <x v="2"/>
    <s v="$20M Unamortized Loss Due 2020 (LT)"/>
    <s v="20140430"/>
    <x v="14"/>
    <d v="2014-04-30T00:00:00"/>
    <n v="-857.57"/>
  </r>
  <r>
    <s v="100032842"/>
    <s v="SA"/>
    <s v="40545 PD0013-A"/>
    <x v="2"/>
    <s v="$75M Unamortized Loss Due 2022 (LT)"/>
    <s v="20140430"/>
    <x v="2"/>
    <d v="2014-04-30T00:00:00"/>
    <n v="-3125.47"/>
  </r>
  <r>
    <s v="100032843"/>
    <s v="SA"/>
    <s v="40542 PD0013-A"/>
    <x v="2"/>
    <s v="$75M Call Premium Due 2022 (LT)"/>
    <s v="20140430"/>
    <x v="2"/>
    <d v="2014-04-30T00:00:00"/>
    <n v="-4451.78"/>
  </r>
  <r>
    <s v="100032844"/>
    <s v="SA"/>
    <s v="40544 PD0013"/>
    <x v="2"/>
    <s v="$75M Bond Discount Due 2022 (LT)"/>
    <s v="20140430"/>
    <x v="2"/>
    <d v="2014-04-30T00:00:00"/>
    <n v="-10077.08"/>
  </r>
  <r>
    <s v="100032845"/>
    <s v="SA"/>
    <s v="40545 PD0900-A"/>
    <x v="2"/>
    <s v="$80M Unamortized Loss Due 2022 (LT)"/>
    <s v="20140430"/>
    <x v="11"/>
    <d v="2014-04-30T00:00:00"/>
    <n v="-5589.54"/>
  </r>
  <r>
    <s v="100032846"/>
    <s v="SA"/>
    <s v="40542 PD0900-A"/>
    <x v="2"/>
    <s v="$80M Call Premium Due 2022 (LT)"/>
    <s v="20140430"/>
    <x v="11"/>
    <d v="2014-04-30T00:00:00"/>
    <n v="-10099.59"/>
  </r>
  <r>
    <s v="100032847"/>
    <s v="SA"/>
    <s v="40545 PD0023-B"/>
    <x v="2"/>
    <s v="$20M Unamortized Loss Due 2022 (LT)"/>
    <s v="20140430"/>
    <x v="14"/>
    <d v="2014-04-30T00:00:00"/>
    <n v="-1407.23"/>
  </r>
  <r>
    <s v="100032848"/>
    <s v="SA"/>
    <s v="40542 PD0023"/>
    <x v="2"/>
    <s v="$20M Call Premium Due 2022 (LT)"/>
    <s v="20140430"/>
    <x v="14"/>
    <d v="2014-04-30T00:00:00"/>
    <n v="-2524.9"/>
  </r>
  <r>
    <s v="100032849"/>
    <s v="SA"/>
    <s v="40545 PD0900-B"/>
    <x v="2"/>
    <s v="$3.125M Unamortized Loss Due 2021 (LT)"/>
    <s v="20140430"/>
    <x v="11"/>
    <d v="2014-04-30T00:00:00"/>
    <n v="-193.73"/>
  </r>
  <r>
    <s v="100032850"/>
    <s v="SA"/>
    <s v="40542 PD0900-B"/>
    <x v="2"/>
    <s v="$3.125M Call Premium Due 2021 (LT)"/>
    <s v="20140430"/>
    <x v="11"/>
    <d v="2014-04-30T00:00:00"/>
    <n v="-274.12"/>
  </r>
  <r>
    <s v="100032851"/>
    <s v="SA"/>
    <s v="40545 PD0900-C"/>
    <x v="2"/>
    <s v="$21.875M Unamortized Loss Due 2021 (LT)"/>
    <s v="20140430"/>
    <x v="11"/>
    <d v="2014-04-30T00:00:00"/>
    <n v="-1347.95"/>
  </r>
  <r>
    <s v="100032852"/>
    <s v="SA"/>
    <s v="40542 PD0900-C"/>
    <x v="2"/>
    <s v="$21.875M Call Premium Due 2021 (LT)"/>
    <s v="20140430"/>
    <x v="11"/>
    <d v="2014-04-30T00:00:00"/>
    <n v="-1918.86"/>
  </r>
  <r>
    <s v="100032853"/>
    <s v="SA"/>
    <s v="40545 PD0013-B"/>
    <x v="2"/>
    <s v="$75M Unamortized Loss Due 2030 (LT)"/>
    <s v="20140430"/>
    <x v="2"/>
    <d v="2014-04-30T00:00:00"/>
    <n v="-1780.13"/>
  </r>
  <r>
    <s v="100032854"/>
    <s v="SA"/>
    <s v="40545 PD0014-A"/>
    <x v="2"/>
    <s v="$85.95M Unamortized Loss Due 2034 (LT)"/>
    <s v="20140430"/>
    <x v="5"/>
    <d v="2014-04-30T00:00:00"/>
    <n v="-2230.71"/>
  </r>
  <r>
    <s v="100032855"/>
    <s v="SA"/>
    <s v="40542 PD0014"/>
    <x v="2"/>
    <s v="$85.95M Call Premium Due 2034 (LT)"/>
    <s v="20140430"/>
    <x v="5"/>
    <d v="2014-04-30T00:00:00"/>
    <n v="-2490.34"/>
  </r>
  <r>
    <s v="100032856"/>
    <s v="SA"/>
    <s v="40542 PD0013-B"/>
    <x v="2"/>
    <s v="$75M Call Premium Due 2030 (LT)"/>
    <s v="20140430"/>
    <x v="2"/>
    <d v="2014-04-30T00:00:00"/>
    <n v="-5336.81"/>
  </r>
  <r>
    <s v="100032857"/>
    <s v="SA"/>
    <s v="40543 PD0011"/>
    <x v="2"/>
    <s v="$86.4M Bond Discount Due 2023 (LT)"/>
    <s v="20140430"/>
    <x v="8"/>
    <d v="2014-04-30T00:00:00"/>
    <n v="-4207.3500000000004"/>
  </r>
  <r>
    <s v="100041442"/>
    <s v="SA"/>
    <s v="40545 PD0011"/>
    <x v="2"/>
    <s v="$86.4M Unamortized Loss Due 2023 (LT)"/>
    <s v="20140531"/>
    <x v="8"/>
    <d v="2014-05-31T00:00:00"/>
    <n v="-3340.78"/>
  </r>
  <r>
    <s v="100041443"/>
    <s v="SA"/>
    <s v="40545 PD0010"/>
    <x v="2"/>
    <s v="$54.2M Unamortized Loss Due 2018 (LT)"/>
    <s v="20140531"/>
    <x v="12"/>
    <d v="2014-05-31T00:00:00"/>
    <n v="-1179.21"/>
  </r>
  <r>
    <s v="100041444"/>
    <s v="SA"/>
    <s v="40545 PD0012"/>
    <x v="2"/>
    <s v="$51.6M Unamortized Loss Due 2025 (LT)"/>
    <s v="20140531"/>
    <x v="13"/>
    <d v="2014-05-31T00:00:00"/>
    <n v="-1019.33"/>
  </r>
  <r>
    <s v="100041445"/>
    <s v="SA"/>
    <s v="40545 PD0023-A"/>
    <x v="2"/>
    <s v="$20M Unamortized Loss Due 2020 (LT)"/>
    <s v="20140531"/>
    <x v="14"/>
    <d v="2014-05-31T00:00:00"/>
    <n v="-857.57"/>
  </r>
  <r>
    <s v="100041446"/>
    <s v="SA"/>
    <s v="40545 PD0013-A"/>
    <x v="2"/>
    <s v="$75M Unamortized Loss Due 2022 (LT)"/>
    <s v="20140531"/>
    <x v="2"/>
    <d v="2014-05-31T00:00:00"/>
    <n v="-3125.47"/>
  </r>
  <r>
    <s v="100041447"/>
    <s v="SA"/>
    <s v="40542 PD0013-A"/>
    <x v="2"/>
    <s v="$75M Call Premium Due 2022 (LT)"/>
    <s v="20140531"/>
    <x v="2"/>
    <d v="2014-05-31T00:00:00"/>
    <n v="-4451.78"/>
  </r>
  <r>
    <s v="100041448"/>
    <s v="SA"/>
    <s v="40544 PD0013"/>
    <x v="2"/>
    <s v="$75M Bond Discount Due 2022 (LT)"/>
    <s v="20140531"/>
    <x v="2"/>
    <d v="2014-05-31T00:00:00"/>
    <n v="-10077.08"/>
  </r>
  <r>
    <s v="100041449"/>
    <s v="SA"/>
    <s v="40545 PD0900-A"/>
    <x v="2"/>
    <s v="$80M Unamortized Loss Due 2022 (LT)"/>
    <s v="20140531"/>
    <x v="11"/>
    <d v="2014-05-31T00:00:00"/>
    <n v="-5589.54"/>
  </r>
  <r>
    <s v="100041450"/>
    <s v="SA"/>
    <s v="40542 PD0900-A"/>
    <x v="2"/>
    <s v="$80M Call Premium Due 2022 (LT)"/>
    <s v="20140531"/>
    <x v="11"/>
    <d v="2014-05-31T00:00:00"/>
    <n v="-10099.59"/>
  </r>
  <r>
    <s v="100041451"/>
    <s v="SA"/>
    <s v="40545 PD0023-B"/>
    <x v="2"/>
    <s v="$20M Unamortized Loss Due 2022 (LT)"/>
    <s v="20140531"/>
    <x v="14"/>
    <d v="2014-05-31T00:00:00"/>
    <n v="-1407.23"/>
  </r>
  <r>
    <s v="100041452"/>
    <s v="SA"/>
    <s v="40542 PD0023"/>
    <x v="2"/>
    <s v="$20M Call Premium Due 2022 (LT)"/>
    <s v="20140531"/>
    <x v="14"/>
    <d v="2014-05-31T00:00:00"/>
    <n v="-2524.9"/>
  </r>
  <r>
    <s v="100041453"/>
    <s v="SA"/>
    <s v="40545 PD0900-B"/>
    <x v="2"/>
    <s v="$3.125M Unamortized Loss Due 2021 (LT)"/>
    <s v="20140531"/>
    <x v="11"/>
    <d v="2014-05-31T00:00:00"/>
    <n v="-193.73"/>
  </r>
  <r>
    <s v="100041454"/>
    <s v="SA"/>
    <s v="40542 PD0900-B"/>
    <x v="2"/>
    <s v="$3.125M Call Premium Due 2021 (LT)"/>
    <s v="20140531"/>
    <x v="11"/>
    <d v="2014-05-31T00:00:00"/>
    <n v="-274.12"/>
  </r>
  <r>
    <s v="100041455"/>
    <s v="SA"/>
    <s v="40545 PD0900-C"/>
    <x v="2"/>
    <s v="$21.875M Unamortized Loss Due 2021 (LT)"/>
    <s v="20140531"/>
    <x v="11"/>
    <d v="2014-05-31T00:00:00"/>
    <n v="-1347.95"/>
  </r>
  <r>
    <s v="100041456"/>
    <s v="SA"/>
    <s v="40542 PD0900-C"/>
    <x v="2"/>
    <s v="$21.875M Call Premium Due 2021 (LT)"/>
    <s v="20140531"/>
    <x v="11"/>
    <d v="2014-05-31T00:00:00"/>
    <n v="-1918.86"/>
  </r>
  <r>
    <s v="100041457"/>
    <s v="SA"/>
    <s v="40545 PD0013-B"/>
    <x v="2"/>
    <s v="$75M Unamortized Loss Due 2030 (LT)"/>
    <s v="20140531"/>
    <x v="2"/>
    <d v="2014-05-31T00:00:00"/>
    <n v="-1780.13"/>
  </r>
  <r>
    <s v="100041458"/>
    <s v="SA"/>
    <s v="40545 PD0014-A"/>
    <x v="2"/>
    <s v="$85.95M Unamortized Loss Due 2034 (LT)"/>
    <s v="20140531"/>
    <x v="5"/>
    <d v="2014-05-31T00:00:00"/>
    <n v="-2230.71"/>
  </r>
  <r>
    <s v="100041459"/>
    <s v="SA"/>
    <s v="40542 PD0014"/>
    <x v="2"/>
    <s v="$85.95M Call Premium Due 2034 (LT)"/>
    <s v="20140531"/>
    <x v="5"/>
    <d v="2014-05-31T00:00:00"/>
    <n v="-2490.34"/>
  </r>
  <r>
    <s v="100041460"/>
    <s v="SA"/>
    <s v="40542 PD0013-B"/>
    <x v="2"/>
    <s v="$75M Call Premium Due 2030 (LT)"/>
    <s v="20140531"/>
    <x v="2"/>
    <d v="2014-05-31T00:00:00"/>
    <n v="-5336.81"/>
  </r>
  <r>
    <s v="100041461"/>
    <s v="SA"/>
    <s v="40543 PD0011"/>
    <x v="2"/>
    <s v="$86.4M Bond Discount Due 2023 (LT)"/>
    <s v="20140531"/>
    <x v="8"/>
    <d v="2014-05-31T00:00:00"/>
    <n v="-4207.3500000000004"/>
  </r>
  <r>
    <s v="100048879"/>
    <s v="SA"/>
    <s v="40545 PD0011"/>
    <x v="2"/>
    <s v="$86.4M Unamortized Loss Due 2023 (LT)"/>
    <s v="20140630"/>
    <x v="8"/>
    <d v="2014-06-30T00:00:00"/>
    <n v="-3340.78"/>
  </r>
  <r>
    <s v="100048880"/>
    <s v="SA"/>
    <s v="40545 PD0010"/>
    <x v="2"/>
    <s v="$54.2M Unamortized Loss Due 2018 (LT)"/>
    <s v="20140630"/>
    <x v="12"/>
    <d v="2014-06-30T00:00:00"/>
    <n v="-1179.21"/>
  </r>
  <r>
    <s v="100048881"/>
    <s v="SA"/>
    <s v="40545 PD0012"/>
    <x v="2"/>
    <s v="$51.6M Unamortized Loss Due 2025 (LT)"/>
    <s v="20140630"/>
    <x v="13"/>
    <d v="2014-06-30T00:00:00"/>
    <n v="-1019.33"/>
  </r>
  <r>
    <s v="100048882"/>
    <s v="SA"/>
    <s v="40545 PD0023-A"/>
    <x v="2"/>
    <s v="$20M Unamortized Loss Due 2020 (LT)"/>
    <s v="20140630"/>
    <x v="14"/>
    <d v="2014-06-30T00:00:00"/>
    <n v="-857.57"/>
  </r>
  <r>
    <s v="100048883"/>
    <s v="SA"/>
    <s v="40545 PD0013-A"/>
    <x v="2"/>
    <s v="$75M Unamortized Loss Due 2022 (LT)"/>
    <s v="20140630"/>
    <x v="2"/>
    <d v="2014-06-30T00:00:00"/>
    <n v="-3125.47"/>
  </r>
  <r>
    <s v="100048884"/>
    <s v="SA"/>
    <s v="40542 PD0013-A"/>
    <x v="2"/>
    <s v="$75M Call Premium Due 2022 (LT)"/>
    <s v="20140630"/>
    <x v="2"/>
    <d v="2014-06-30T00:00:00"/>
    <n v="-4451.78"/>
  </r>
  <r>
    <s v="100048885"/>
    <s v="SA"/>
    <s v="40544 PD0013"/>
    <x v="2"/>
    <s v="$75M Bond Discount Due 2022 (LT)"/>
    <s v="20140630"/>
    <x v="2"/>
    <d v="2014-06-30T00:00:00"/>
    <n v="-10077.08"/>
  </r>
  <r>
    <s v="100048886"/>
    <s v="SA"/>
    <s v="40545 PD0900-A"/>
    <x v="2"/>
    <s v="$80M Unamortized Loss Due 2022 (LT)"/>
    <s v="20140630"/>
    <x v="11"/>
    <d v="2014-06-30T00:00:00"/>
    <n v="-5589.54"/>
  </r>
  <r>
    <s v="100048887"/>
    <s v="SA"/>
    <s v="40542 PD0900-A"/>
    <x v="2"/>
    <s v="$80M Call Premium Due 2022 (LT)"/>
    <s v="20140630"/>
    <x v="11"/>
    <d v="2014-06-30T00:00:00"/>
    <n v="-10099.59"/>
  </r>
  <r>
    <s v="100048888"/>
    <s v="SA"/>
    <s v="40545 PD0023-B"/>
    <x v="2"/>
    <s v="$20M Unamortized Loss Due 2022 (LT)"/>
    <s v="20140630"/>
    <x v="14"/>
    <d v="2014-06-30T00:00:00"/>
    <n v="-1407.23"/>
  </r>
  <r>
    <s v="100048889"/>
    <s v="SA"/>
    <s v="40542 PD0023"/>
    <x v="2"/>
    <s v="$20M Call Premium Due 2022 (LT)"/>
    <s v="20140630"/>
    <x v="14"/>
    <d v="2014-06-30T00:00:00"/>
    <n v="-2524.9"/>
  </r>
  <r>
    <s v="100048890"/>
    <s v="SA"/>
    <s v="40545 PD0900-B"/>
    <x v="2"/>
    <s v="$3.125M Unamortized Loss Due 2021 (LT)"/>
    <s v="20140630"/>
    <x v="11"/>
    <d v="2014-06-30T00:00:00"/>
    <n v="-193.73"/>
  </r>
  <r>
    <s v="100048891"/>
    <s v="SA"/>
    <s v="40542 PD0900-B"/>
    <x v="2"/>
    <s v="$3.125M Call Premium Due 2021 (LT)"/>
    <s v="20140630"/>
    <x v="11"/>
    <d v="2014-06-30T00:00:00"/>
    <n v="-274.12"/>
  </r>
  <r>
    <s v="100048892"/>
    <s v="SA"/>
    <s v="40545 PD0900-C"/>
    <x v="2"/>
    <s v="$21.875M Unamortized Loss Due 2021 (LT)"/>
    <s v="20140630"/>
    <x v="11"/>
    <d v="2014-06-30T00:00:00"/>
    <n v="-1347.95"/>
  </r>
  <r>
    <s v="100048893"/>
    <s v="SA"/>
    <s v="40542 PD0900-C"/>
    <x v="2"/>
    <s v="$21.875M Call Premium Due 2021 (LT)"/>
    <s v="20140630"/>
    <x v="11"/>
    <d v="2014-06-30T00:00:00"/>
    <n v="-1918.86"/>
  </r>
  <r>
    <s v="100048894"/>
    <s v="SA"/>
    <s v="40545 PD0013-B"/>
    <x v="2"/>
    <s v="$75M Unamortized Loss Due 2030 (LT)"/>
    <s v="20140630"/>
    <x v="2"/>
    <d v="2014-06-30T00:00:00"/>
    <n v="-1780.13"/>
  </r>
  <r>
    <s v="100048895"/>
    <s v="SA"/>
    <s v="40545 PD0014-A"/>
    <x v="2"/>
    <s v="$85.95M Unamortized Loss Due 2034 (LT)"/>
    <s v="20140630"/>
    <x v="5"/>
    <d v="2014-06-30T00:00:00"/>
    <n v="-2230.71"/>
  </r>
  <r>
    <s v="100048896"/>
    <s v="SA"/>
    <s v="40542 PD0014"/>
    <x v="2"/>
    <s v="$85.95M Call Premium Due 2034 (LT)"/>
    <s v="20140630"/>
    <x v="5"/>
    <d v="2014-06-30T00:00:00"/>
    <n v="-2490.34"/>
  </r>
  <r>
    <s v="100048897"/>
    <s v="SA"/>
    <s v="40542 PD0013-B"/>
    <x v="2"/>
    <s v="$75M Call Premium Due 2030 (LT)"/>
    <s v="20140630"/>
    <x v="2"/>
    <d v="2014-06-30T00:00:00"/>
    <n v="-5336.81"/>
  </r>
  <r>
    <s v="100048898"/>
    <s v="SA"/>
    <s v="40543 PD0011"/>
    <x v="2"/>
    <s v="$86.4M Bond Discount Due 2023 (LT)"/>
    <s v="20140630"/>
    <x v="8"/>
    <d v="2014-06-30T00:00:00"/>
    <n v="-4207.3500000000004"/>
  </r>
  <r>
    <s v="100058367"/>
    <s v="SA"/>
    <s v="40545 PD0011"/>
    <x v="2"/>
    <s v="$86.4M Unamortized Loss Due 2023 (LT)"/>
    <s v="20140731"/>
    <x v="8"/>
    <d v="2014-07-31T00:00:00"/>
    <n v="-3340.78"/>
  </r>
  <r>
    <s v="100058368"/>
    <s v="SA"/>
    <s v="40545 PD0010"/>
    <x v="2"/>
    <s v="$54.2M Unamortized Loss Due 2018 (LT)"/>
    <s v="20140731"/>
    <x v="12"/>
    <d v="2014-07-31T00:00:00"/>
    <n v="-1179.21"/>
  </r>
  <r>
    <s v="100058369"/>
    <s v="SA"/>
    <s v="40545 PD0012"/>
    <x v="2"/>
    <s v="$51.6M Unamortized Loss Due 2025 (LT)"/>
    <s v="20140731"/>
    <x v="13"/>
    <d v="2014-07-31T00:00:00"/>
    <n v="-1019.33"/>
  </r>
  <r>
    <s v="100058370"/>
    <s v="SA"/>
    <s v="40545 PD0023-A"/>
    <x v="2"/>
    <s v="$20M Unamortized Loss Due 2020 (LT)"/>
    <s v="20140731"/>
    <x v="14"/>
    <d v="2014-07-31T00:00:00"/>
    <n v="-857.57"/>
  </r>
  <r>
    <s v="100058371"/>
    <s v="SA"/>
    <s v="40545 PD0013-A"/>
    <x v="2"/>
    <s v="$75M Unamortized Loss Due 2022 (LT)"/>
    <s v="20140731"/>
    <x v="2"/>
    <d v="2014-07-31T00:00:00"/>
    <n v="-3125.47"/>
  </r>
  <r>
    <s v="100058372"/>
    <s v="SA"/>
    <s v="40542 PD0013-A"/>
    <x v="2"/>
    <s v="$75M Call Premium Due 2022 (LT)"/>
    <s v="20140731"/>
    <x v="2"/>
    <d v="2014-07-31T00:00:00"/>
    <n v="-4451.78"/>
  </r>
  <r>
    <s v="100058373"/>
    <s v="SA"/>
    <s v="40544 PD0013"/>
    <x v="2"/>
    <s v="$75M Bond Discount Due 2022 (LT)"/>
    <s v="20140731"/>
    <x v="2"/>
    <d v="2014-07-31T00:00:00"/>
    <n v="-10077.08"/>
  </r>
  <r>
    <s v="100058374"/>
    <s v="SA"/>
    <s v="40545 PD0900-A"/>
    <x v="2"/>
    <s v="$80M Unamortized Loss Due 2022 (LT)"/>
    <s v="20140731"/>
    <x v="11"/>
    <d v="2014-07-31T00:00:00"/>
    <n v="-5589.54"/>
  </r>
  <r>
    <s v="100058375"/>
    <s v="SA"/>
    <s v="40542 PD0900-A"/>
    <x v="2"/>
    <s v="$80M Call Premium Due 2022 (LT)"/>
    <s v="20140731"/>
    <x v="11"/>
    <d v="2014-07-31T00:00:00"/>
    <n v="-10099.59"/>
  </r>
  <r>
    <s v="100058376"/>
    <s v="SA"/>
    <s v="40545 PD0023-B"/>
    <x v="2"/>
    <s v="$20M Unamortized Loss Due 2022 (LT)"/>
    <s v="20140731"/>
    <x v="14"/>
    <d v="2014-07-31T00:00:00"/>
    <n v="-1407.23"/>
  </r>
  <r>
    <s v="100058377"/>
    <s v="SA"/>
    <s v="40542 PD0023"/>
    <x v="2"/>
    <s v="$20M Call Premium Due 2022 (LT)"/>
    <s v="20140731"/>
    <x v="14"/>
    <d v="2014-07-31T00:00:00"/>
    <n v="-2524.9"/>
  </r>
  <r>
    <s v="100058378"/>
    <s v="SA"/>
    <s v="40545 PD0900-B"/>
    <x v="2"/>
    <s v="$3.125M Unamortized Loss Due 2021 (LT)"/>
    <s v="20140731"/>
    <x v="11"/>
    <d v="2014-07-31T00:00:00"/>
    <n v="-193.73"/>
  </r>
  <r>
    <s v="100058379"/>
    <s v="SA"/>
    <s v="40542 PD0900-B"/>
    <x v="2"/>
    <s v="$3.125M Call Premium Due 2021 (LT)"/>
    <s v="20140731"/>
    <x v="11"/>
    <d v="2014-07-31T00:00:00"/>
    <n v="-274.12"/>
  </r>
  <r>
    <s v="100058380"/>
    <s v="SA"/>
    <s v="40545 PD0900-C"/>
    <x v="2"/>
    <s v="$21.875M Unamortized Loss Due 2021 (LT)"/>
    <s v="20140731"/>
    <x v="11"/>
    <d v="2014-07-31T00:00:00"/>
    <n v="-1347.95"/>
  </r>
  <r>
    <s v="100058381"/>
    <s v="SA"/>
    <s v="40542 PD0900-C"/>
    <x v="2"/>
    <s v="$21.875M Call Premium Due 2021 (LT)"/>
    <s v="20140731"/>
    <x v="11"/>
    <d v="2014-07-31T00:00:00"/>
    <n v="-1918.86"/>
  </r>
  <r>
    <s v="100058382"/>
    <s v="SA"/>
    <s v="40545 PD0013-B"/>
    <x v="2"/>
    <s v="$75M Unamortized Loss Due 2030 (LT)"/>
    <s v="20140731"/>
    <x v="2"/>
    <d v="2014-07-31T00:00:00"/>
    <n v="-1780.13"/>
  </r>
  <r>
    <s v="100058383"/>
    <s v="SA"/>
    <s v="40545 PD0014-A"/>
    <x v="2"/>
    <s v="$85.95M Unamortized Loss Due 2034 (LT)"/>
    <s v="20140731"/>
    <x v="5"/>
    <d v="2014-07-31T00:00:00"/>
    <n v="-2230.71"/>
  </r>
  <r>
    <s v="100058384"/>
    <s v="SA"/>
    <s v="40542 PD0014"/>
    <x v="2"/>
    <s v="$85.95M Call Premium Due 2034 (LT)"/>
    <s v="20140731"/>
    <x v="5"/>
    <d v="2014-07-31T00:00:00"/>
    <n v="-2490.34"/>
  </r>
  <r>
    <s v="100058385"/>
    <s v="SA"/>
    <s v="40542 PD0013-B"/>
    <x v="2"/>
    <s v="$75M Call Premium Due 2030 (LT)"/>
    <s v="20140731"/>
    <x v="2"/>
    <d v="2014-07-31T00:00:00"/>
    <n v="-5336.81"/>
  </r>
  <r>
    <s v="100058386"/>
    <s v="SA"/>
    <s v="40543 PD0011"/>
    <x v="2"/>
    <s v="$86.4M Bond Discount Due 2023 (LT)"/>
    <s v="20140731"/>
    <x v="8"/>
    <d v="2014-07-31T00:00:00"/>
    <n v="-4207.3500000000004"/>
  </r>
  <r>
    <s v="100068426"/>
    <s v="SA"/>
    <s v="40545 PD0011"/>
    <x v="2"/>
    <s v="$86.4M Unamortized Loss Due 2023 (LT)"/>
    <s v="20140831"/>
    <x v="8"/>
    <d v="2014-08-31T00:00:00"/>
    <n v="-3340.78"/>
  </r>
  <r>
    <s v="100068427"/>
    <s v="SA"/>
    <s v="40545 PD0010"/>
    <x v="2"/>
    <s v="$54.2M Unamortized Loss Due 2018 (LT)"/>
    <s v="20140831"/>
    <x v="12"/>
    <d v="2014-08-31T00:00:00"/>
    <n v="-1179.21"/>
  </r>
  <r>
    <s v="100068428"/>
    <s v="SA"/>
    <s v="40545 PD0012"/>
    <x v="2"/>
    <s v="$51.6M Unamortized Loss Due 2025 (LT)"/>
    <s v="20140831"/>
    <x v="13"/>
    <d v="2014-08-31T00:00:00"/>
    <n v="-1019.33"/>
  </r>
  <r>
    <s v="100068429"/>
    <s v="SA"/>
    <s v="40545 PD0023-A"/>
    <x v="2"/>
    <s v="$20M Unamortized Loss Due 2020 (LT)"/>
    <s v="20140831"/>
    <x v="14"/>
    <d v="2014-08-31T00:00:00"/>
    <n v="-857.57"/>
  </r>
  <r>
    <s v="100068430"/>
    <s v="SA"/>
    <s v="40545 PD0013-A"/>
    <x v="2"/>
    <s v="$75M Unamortized Loss Due 2022 (LT)"/>
    <s v="20140831"/>
    <x v="2"/>
    <d v="2014-08-31T00:00:00"/>
    <n v="-3125.47"/>
  </r>
  <r>
    <s v="100068431"/>
    <s v="SA"/>
    <s v="40542 PD0013-A"/>
    <x v="2"/>
    <s v="$75M Call Premium Due 2022 (LT)"/>
    <s v="20140831"/>
    <x v="2"/>
    <d v="2014-08-31T00:00:00"/>
    <n v="-4451.78"/>
  </r>
  <r>
    <s v="100068432"/>
    <s v="SA"/>
    <s v="40544 PD0013"/>
    <x v="2"/>
    <s v="$75M Bond Discount Due 2022 (LT)"/>
    <s v="20140831"/>
    <x v="2"/>
    <d v="2014-08-31T00:00:00"/>
    <n v="-10077.08"/>
  </r>
  <r>
    <s v="100068433"/>
    <s v="SA"/>
    <s v="40545 PD0900-A"/>
    <x v="2"/>
    <s v="$80M Unamortized Loss Due 2022 (LT)"/>
    <s v="20140831"/>
    <x v="11"/>
    <d v="2014-08-31T00:00:00"/>
    <n v="-5589.54"/>
  </r>
  <r>
    <s v="100068434"/>
    <s v="SA"/>
    <s v="40542 PD0900-A"/>
    <x v="2"/>
    <s v="$80M Call Premium Due 2022 (LT)"/>
    <s v="20140831"/>
    <x v="11"/>
    <d v="2014-08-31T00:00:00"/>
    <n v="-10099.59"/>
  </r>
  <r>
    <s v="100068435"/>
    <s v="SA"/>
    <s v="40545 PD0023-B"/>
    <x v="2"/>
    <s v="$20M Unamortized Loss Due 2022 (LT)"/>
    <s v="20140831"/>
    <x v="14"/>
    <d v="2014-08-31T00:00:00"/>
    <n v="-1407.23"/>
  </r>
  <r>
    <s v="100068436"/>
    <s v="SA"/>
    <s v="40542 PD0023"/>
    <x v="2"/>
    <s v="$20M Call Premium Due 2022 (LT)"/>
    <s v="20140831"/>
    <x v="14"/>
    <d v="2014-08-31T00:00:00"/>
    <n v="-2524.9"/>
  </r>
  <r>
    <s v="100068437"/>
    <s v="SA"/>
    <s v="40545 PD0900-B"/>
    <x v="2"/>
    <s v="$3.125M Unamortized Loss Due 2021 (LT)"/>
    <s v="20140831"/>
    <x v="11"/>
    <d v="2014-08-31T00:00:00"/>
    <n v="-193.73"/>
  </r>
  <r>
    <s v="100068438"/>
    <s v="SA"/>
    <s v="40542 PD0900-B"/>
    <x v="2"/>
    <s v="$3.125M Call Premium Due 2021 (LT)"/>
    <s v="20140831"/>
    <x v="11"/>
    <d v="2014-08-31T00:00:00"/>
    <n v="-274.12"/>
  </r>
  <r>
    <s v="100068439"/>
    <s v="SA"/>
    <s v="40545 PD0900-C"/>
    <x v="2"/>
    <s v="$21.875M Unamortized Loss Due 2021 (LT)"/>
    <s v="20140831"/>
    <x v="11"/>
    <d v="2014-08-31T00:00:00"/>
    <n v="-1347.95"/>
  </r>
  <r>
    <s v="100068440"/>
    <s v="SA"/>
    <s v="40542 PD0900-C"/>
    <x v="2"/>
    <s v="$21.875M Call Premium Due 2021 (LT)"/>
    <s v="20140831"/>
    <x v="11"/>
    <d v="2014-08-31T00:00:00"/>
    <n v="-1918.86"/>
  </r>
  <r>
    <s v="100068441"/>
    <s v="SA"/>
    <s v="40545 PD0013-B"/>
    <x v="2"/>
    <s v="$75M Unamortized Loss Due 2030 (LT)"/>
    <s v="20140831"/>
    <x v="2"/>
    <d v="2014-08-31T00:00:00"/>
    <n v="-1780.13"/>
  </r>
  <r>
    <s v="100068442"/>
    <s v="SA"/>
    <s v="40545 PD0014-A"/>
    <x v="2"/>
    <s v="$85.95M Unamortized Loss Due 2034 (LT)"/>
    <s v="20140831"/>
    <x v="5"/>
    <d v="2014-08-31T00:00:00"/>
    <n v="-2230.71"/>
  </r>
  <r>
    <s v="100068443"/>
    <s v="SA"/>
    <s v="40542 PD0014"/>
    <x v="2"/>
    <s v="$85.95M Call Premium Due 2034 (LT)"/>
    <s v="20140831"/>
    <x v="5"/>
    <d v="2014-08-31T00:00:00"/>
    <n v="-2490.34"/>
  </r>
  <r>
    <s v="100068444"/>
    <s v="SA"/>
    <s v="40542 PD0013-B"/>
    <x v="2"/>
    <s v="$75M Call Premium Due 2030 (LT)"/>
    <s v="20140831"/>
    <x v="2"/>
    <d v="2014-08-31T00:00:00"/>
    <n v="-5336.81"/>
  </r>
  <r>
    <s v="100068445"/>
    <s v="SA"/>
    <s v="40543 PD0011"/>
    <x v="2"/>
    <s v="$86.4M Bond Discount Due 2023 (LT)"/>
    <s v="20140831"/>
    <x v="8"/>
    <d v="2014-08-31T00:00:00"/>
    <n v="-4207.3500000000004"/>
  </r>
  <r>
    <s v="100076065"/>
    <s v="SA"/>
    <s v="40545 PD0011"/>
    <x v="2"/>
    <s v="$86.4M Unamortized Loss Due 2023 (LT)"/>
    <s v="20140930"/>
    <x v="8"/>
    <d v="2014-09-30T00:00:00"/>
    <n v="-3340.78"/>
  </r>
  <r>
    <s v="100076066"/>
    <s v="SA"/>
    <s v="40545 PD0010"/>
    <x v="2"/>
    <s v="$54.2M Unamortized Loss Due 2018 (LT)"/>
    <s v="20140930"/>
    <x v="12"/>
    <d v="2014-09-30T00:00:00"/>
    <n v="-1179.21"/>
  </r>
  <r>
    <s v="100076067"/>
    <s v="SA"/>
    <s v="40545 PD0012"/>
    <x v="2"/>
    <s v="$51.6M Unamortized Loss Due 2025 (LT)"/>
    <s v="20140930"/>
    <x v="13"/>
    <d v="2014-09-30T00:00:00"/>
    <n v="-1019.33"/>
  </r>
  <r>
    <s v="100076068"/>
    <s v="SA"/>
    <s v="40545 PD0023-A"/>
    <x v="2"/>
    <s v="$20M Unamortized Loss Due 2020 (LT)"/>
    <s v="20140930"/>
    <x v="14"/>
    <d v="2014-09-30T00:00:00"/>
    <n v="-857.57"/>
  </r>
  <r>
    <s v="100076069"/>
    <s v="SA"/>
    <s v="40545 PD0013-A"/>
    <x v="2"/>
    <s v="$75M Unamortized Loss Due 2022 (LT)"/>
    <s v="20140930"/>
    <x v="2"/>
    <d v="2014-09-30T00:00:00"/>
    <n v="-3125.47"/>
  </r>
  <r>
    <s v="100076070"/>
    <s v="SA"/>
    <s v="40542 PD0013-A"/>
    <x v="2"/>
    <s v="$75M Call Premium Due 2022 (LT)"/>
    <s v="20140930"/>
    <x v="2"/>
    <d v="2014-09-30T00:00:00"/>
    <n v="-4451.78"/>
  </r>
  <r>
    <s v="100076071"/>
    <s v="SA"/>
    <s v="40544 PD0013"/>
    <x v="2"/>
    <s v="$75M Bond Discount Due 2022 (LT)"/>
    <s v="20140930"/>
    <x v="2"/>
    <d v="2014-09-30T00:00:00"/>
    <n v="-10077.08"/>
  </r>
  <r>
    <s v="100076072"/>
    <s v="SA"/>
    <s v="40545 PD0900-A"/>
    <x v="2"/>
    <s v="$80M Unamortized Loss Due 2022 (LT)"/>
    <s v="20140930"/>
    <x v="11"/>
    <d v="2014-09-30T00:00:00"/>
    <n v="-5589.54"/>
  </r>
  <r>
    <s v="100076073"/>
    <s v="SA"/>
    <s v="40542 PD0900-A"/>
    <x v="2"/>
    <s v="$80M Call Premium Due 2022 (LT)"/>
    <s v="20140930"/>
    <x v="11"/>
    <d v="2014-09-30T00:00:00"/>
    <n v="-10099.59"/>
  </r>
  <r>
    <s v="100076074"/>
    <s v="SA"/>
    <s v="40545 PD0023-B"/>
    <x v="2"/>
    <s v="$20M Unamortized Loss Due 2022 (LT)"/>
    <s v="20140930"/>
    <x v="14"/>
    <d v="2014-09-30T00:00:00"/>
    <n v="-1407.23"/>
  </r>
  <r>
    <s v="100076075"/>
    <s v="SA"/>
    <s v="40542 PD0023"/>
    <x v="2"/>
    <s v="$20M Call Premium Due 2022 (LT)"/>
    <s v="20140930"/>
    <x v="14"/>
    <d v="2014-09-30T00:00:00"/>
    <n v="-2524.9"/>
  </r>
  <r>
    <s v="100076076"/>
    <s v="SA"/>
    <s v="40545 PD0900-B"/>
    <x v="2"/>
    <s v="$3.125M Unamortized Loss Due 2021 (LT)"/>
    <s v="20140930"/>
    <x v="11"/>
    <d v="2014-09-30T00:00:00"/>
    <n v="-193.73"/>
  </r>
  <r>
    <s v="100076077"/>
    <s v="SA"/>
    <s v="40542 PD0900-B"/>
    <x v="2"/>
    <s v="$3.125M Call Premium Due 2021 (LT)"/>
    <s v="20140930"/>
    <x v="11"/>
    <d v="2014-09-30T00:00:00"/>
    <n v="-274.12"/>
  </r>
  <r>
    <s v="100076078"/>
    <s v="SA"/>
    <s v="40545 PD0900-C"/>
    <x v="2"/>
    <s v="$21.875M Unamortized Loss Due 2021 (LT)"/>
    <s v="20140930"/>
    <x v="11"/>
    <d v="2014-09-30T00:00:00"/>
    <n v="-1347.95"/>
  </r>
  <r>
    <s v="100076079"/>
    <s v="SA"/>
    <s v="40542 PD0900-C"/>
    <x v="2"/>
    <s v="$21.875M Call Premium Due 2021 (LT)"/>
    <s v="20140930"/>
    <x v="11"/>
    <d v="2014-09-30T00:00:00"/>
    <n v="-1918.86"/>
  </r>
  <r>
    <s v="100076080"/>
    <s v="SA"/>
    <s v="40545 PD0013-B"/>
    <x v="2"/>
    <s v="$75M Unamortized Loss Due 2030 (LT)"/>
    <s v="20140930"/>
    <x v="2"/>
    <d v="2014-09-30T00:00:00"/>
    <n v="-1780.13"/>
  </r>
  <r>
    <s v="100076081"/>
    <s v="SA"/>
    <s v="40545 PD0014-A"/>
    <x v="2"/>
    <s v="$85.95M Unamortized Loss Due 2034 (LT)"/>
    <s v="20140930"/>
    <x v="5"/>
    <d v="2014-09-30T00:00:00"/>
    <n v="-2230.71"/>
  </r>
  <r>
    <s v="100076082"/>
    <s v="SA"/>
    <s v="40542 PD0014"/>
    <x v="2"/>
    <s v="$85.95M Call Premium Due 2034 (LT)"/>
    <s v="20140930"/>
    <x v="5"/>
    <d v="2014-09-30T00:00:00"/>
    <n v="-2490.34"/>
  </r>
  <r>
    <s v="100076083"/>
    <s v="SA"/>
    <s v="40542 PD0013-B"/>
    <x v="2"/>
    <s v="$75M Call Premium Due 2030 (LT)"/>
    <s v="20140930"/>
    <x v="2"/>
    <d v="2014-09-30T00:00:00"/>
    <n v="-5336.81"/>
  </r>
  <r>
    <s v="100076084"/>
    <s v="SA"/>
    <s v="40543 PD0011"/>
    <x v="2"/>
    <s v="$86.4M Bond Discount Due 2023 (LT)"/>
    <s v="20140930"/>
    <x v="8"/>
    <d v="2014-09-30T00:00:00"/>
    <n v="-4207.3500000000004"/>
  </r>
  <r>
    <s v="100086010"/>
    <s v="SA"/>
    <s v="40545 PD0011"/>
    <x v="2"/>
    <s v="$86.4M Unamortized Loss Due 2023 (LT)"/>
    <s v="20141031"/>
    <x v="8"/>
    <d v="2014-10-31T00:00:00"/>
    <n v="-3340.78"/>
  </r>
  <r>
    <s v="100086011"/>
    <s v="SA"/>
    <s v="40545 PD0010"/>
    <x v="2"/>
    <s v="$54.2M Unamortized Loss Due 2018 (LT)"/>
    <s v="20141031"/>
    <x v="12"/>
    <d v="2014-10-31T00:00:00"/>
    <n v="-1179.21"/>
  </r>
  <r>
    <s v="100086012"/>
    <s v="SA"/>
    <s v="40545 PD0012"/>
    <x v="2"/>
    <s v="$51.6M Unamortized Loss Due 2025 (LT)"/>
    <s v="20141031"/>
    <x v="13"/>
    <d v="2014-10-31T00:00:00"/>
    <n v="-1019.33"/>
  </r>
  <r>
    <s v="100086013"/>
    <s v="SA"/>
    <s v="40545 PD0023-A"/>
    <x v="2"/>
    <s v="$20M Unamortized Loss Due 2020 (LT)"/>
    <s v="20141031"/>
    <x v="14"/>
    <d v="2014-10-31T00:00:00"/>
    <n v="-857.57"/>
  </r>
  <r>
    <s v="100086014"/>
    <s v="SA"/>
    <s v="40545 PD0013-A"/>
    <x v="2"/>
    <s v="$75M Unamortized Loss Due 2022 (LT)"/>
    <s v="20141031"/>
    <x v="2"/>
    <d v="2014-10-31T00:00:00"/>
    <n v="-3125.47"/>
  </r>
  <r>
    <s v="100086015"/>
    <s v="SA"/>
    <s v="40542 PD0013-A"/>
    <x v="2"/>
    <s v="$75M Call Premium Due 2022 (LT)"/>
    <s v="20141031"/>
    <x v="2"/>
    <d v="2014-10-31T00:00:00"/>
    <n v="-4451.78"/>
  </r>
  <r>
    <s v="100086016"/>
    <s v="SA"/>
    <s v="40544 PD0013"/>
    <x v="2"/>
    <s v="$75M Bond Discount Due 2022 (LT)"/>
    <s v="20141031"/>
    <x v="2"/>
    <d v="2014-10-31T00:00:00"/>
    <n v="-10077.08"/>
  </r>
  <r>
    <s v="100086017"/>
    <s v="SA"/>
    <s v="40545 PD0900-A"/>
    <x v="2"/>
    <s v="$80M Unamortized Loss Due 2022 (LT)"/>
    <s v="20141031"/>
    <x v="11"/>
    <d v="2014-10-31T00:00:00"/>
    <n v="-5589.54"/>
  </r>
  <r>
    <s v="100086018"/>
    <s v="SA"/>
    <s v="40542 PD0900-A"/>
    <x v="2"/>
    <s v="$80M Call Premium Due 2022 (LT)"/>
    <s v="20141031"/>
    <x v="11"/>
    <d v="2014-10-31T00:00:00"/>
    <n v="-10099.59"/>
  </r>
  <r>
    <s v="100086019"/>
    <s v="SA"/>
    <s v="40545 PD0023-B"/>
    <x v="2"/>
    <s v="$20M Unamortized Loss Due 2022 (LT)"/>
    <s v="20141031"/>
    <x v="14"/>
    <d v="2014-10-31T00:00:00"/>
    <n v="-1407.23"/>
  </r>
  <r>
    <s v="100086020"/>
    <s v="SA"/>
    <s v="40542 PD0023"/>
    <x v="2"/>
    <s v="$20M Call Premium Due 2022 (LT)"/>
    <s v="20141031"/>
    <x v="14"/>
    <d v="2014-10-31T00:00:00"/>
    <n v="-2524.9"/>
  </r>
  <r>
    <s v="100086021"/>
    <s v="SA"/>
    <s v="40545 PD0900-B"/>
    <x v="2"/>
    <s v="$3.125M Unamortized Loss Due 2021 (LT)"/>
    <s v="20141031"/>
    <x v="11"/>
    <d v="2014-10-31T00:00:00"/>
    <n v="-193.73"/>
  </r>
  <r>
    <s v="100086022"/>
    <s v="SA"/>
    <s v="40542 PD0900-B"/>
    <x v="2"/>
    <s v="$3.125M Call Premium Due 2021 (LT)"/>
    <s v="20141031"/>
    <x v="11"/>
    <d v="2014-10-31T00:00:00"/>
    <n v="-274.12"/>
  </r>
  <r>
    <s v="100086023"/>
    <s v="SA"/>
    <s v="40545 PD0900-C"/>
    <x v="2"/>
    <s v="$21.875M Unamortized Loss Due 2021 (LT)"/>
    <s v="20141031"/>
    <x v="11"/>
    <d v="2014-10-31T00:00:00"/>
    <n v="-1347.95"/>
  </r>
  <r>
    <s v="100086024"/>
    <s v="SA"/>
    <s v="40542 PD0900-C"/>
    <x v="2"/>
    <s v="$21.875M Call Premium Due 2021 (LT)"/>
    <s v="20141031"/>
    <x v="11"/>
    <d v="2014-10-31T00:00:00"/>
    <n v="-1918.86"/>
  </r>
  <r>
    <s v="100086025"/>
    <s v="SA"/>
    <s v="40545 PD0013-B"/>
    <x v="2"/>
    <s v="$75M Unamortized Loss Due 2030 (LT)"/>
    <s v="20141031"/>
    <x v="2"/>
    <d v="2014-10-31T00:00:00"/>
    <n v="-1780.13"/>
  </r>
  <r>
    <s v="100086026"/>
    <s v="SA"/>
    <s v="40545 PD0014-A"/>
    <x v="2"/>
    <s v="$85.95M Unamortized Loss Due 2034 (LT)"/>
    <s v="20141031"/>
    <x v="5"/>
    <d v="2014-10-31T00:00:00"/>
    <n v="-2230.71"/>
  </r>
  <r>
    <s v="100086027"/>
    <s v="SA"/>
    <s v="40542 PD0014"/>
    <x v="2"/>
    <s v="$85.95M Call Premium Due 2034 (LT)"/>
    <s v="20141031"/>
    <x v="5"/>
    <d v="2014-10-31T00:00:00"/>
    <n v="-2490.34"/>
  </r>
  <r>
    <s v="100086028"/>
    <s v="SA"/>
    <s v="40542 PD0013-B"/>
    <x v="2"/>
    <s v="$75M Call Premium Due 2030 (LT)"/>
    <s v="20141031"/>
    <x v="2"/>
    <d v="2014-10-31T00:00:00"/>
    <n v="-5336.81"/>
  </r>
  <r>
    <s v="100086029"/>
    <s v="SA"/>
    <s v="40543 PD0011"/>
    <x v="2"/>
    <s v="$86.4M Bond Discount Due 2023 (LT)"/>
    <s v="20141031"/>
    <x v="8"/>
    <d v="2014-10-31T00:00:00"/>
    <n v="-4207.3500000000004"/>
  </r>
  <r>
    <s v="100093464"/>
    <s v="SA"/>
    <s v="40545 PD0011"/>
    <x v="2"/>
    <s v="$86.4M Unamortized Loss Due 2023 (LT)"/>
    <s v="20141130"/>
    <x v="8"/>
    <d v="2014-11-30T00:00:00"/>
    <n v="-3340.78"/>
  </r>
  <r>
    <s v="100093465"/>
    <s v="SA"/>
    <s v="40545 PD0010"/>
    <x v="2"/>
    <s v="$54.2M Unamortized Loss Due 2018 (LT)"/>
    <s v="20141130"/>
    <x v="12"/>
    <d v="2014-11-30T00:00:00"/>
    <n v="-1179.21"/>
  </r>
  <r>
    <s v="100093466"/>
    <s v="SA"/>
    <s v="40545 PD0012"/>
    <x v="2"/>
    <s v="$51.6M Unamortized Loss Due 2025 (LT)"/>
    <s v="20141130"/>
    <x v="13"/>
    <d v="2014-11-30T00:00:00"/>
    <n v="-1019.33"/>
  </r>
  <r>
    <s v="100093467"/>
    <s v="SA"/>
    <s v="40545 PD0023-A"/>
    <x v="2"/>
    <s v="$20M Unamortized Loss Due 2020 (LT)"/>
    <s v="20141130"/>
    <x v="14"/>
    <d v="2014-11-30T00:00:00"/>
    <n v="-857.57"/>
  </r>
  <r>
    <s v="100093468"/>
    <s v="SA"/>
    <s v="40545 PD0013-A"/>
    <x v="2"/>
    <s v="$75M Unamortized Loss Due 2022 (LT)"/>
    <s v="20141130"/>
    <x v="2"/>
    <d v="2014-11-30T00:00:00"/>
    <n v="-3125.47"/>
  </r>
  <r>
    <s v="100093469"/>
    <s v="SA"/>
    <s v="40542 PD0013-A"/>
    <x v="2"/>
    <s v="$75M Call Premium Due 2022 (LT)"/>
    <s v="20141130"/>
    <x v="2"/>
    <d v="2014-11-30T00:00:00"/>
    <n v="-4451.78"/>
  </r>
  <r>
    <s v="100093470"/>
    <s v="SA"/>
    <s v="40544 PD0013"/>
    <x v="2"/>
    <s v="$75M Bond Discount Due 2022 (LT)"/>
    <s v="20141130"/>
    <x v="2"/>
    <d v="2014-11-30T00:00:00"/>
    <n v="-10077.08"/>
  </r>
  <r>
    <s v="100093471"/>
    <s v="SA"/>
    <s v="40545 PD0900-A"/>
    <x v="2"/>
    <s v="$80M Unamortized Loss Due 2022 (LT)"/>
    <s v="20141130"/>
    <x v="11"/>
    <d v="2014-11-30T00:00:00"/>
    <n v="-5589.54"/>
  </r>
  <r>
    <s v="100093472"/>
    <s v="SA"/>
    <s v="40542 PD0900-A"/>
    <x v="2"/>
    <s v="$80M Call Premium Due 2022 (LT)"/>
    <s v="20141130"/>
    <x v="11"/>
    <d v="2014-11-30T00:00:00"/>
    <n v="-10099.59"/>
  </r>
  <r>
    <s v="100093473"/>
    <s v="SA"/>
    <s v="40545 PD0023-B"/>
    <x v="2"/>
    <s v="$20M Unamortized Loss Due 2022 (LT)"/>
    <s v="20141130"/>
    <x v="14"/>
    <d v="2014-11-30T00:00:00"/>
    <n v="-1407.23"/>
  </r>
  <r>
    <s v="100093474"/>
    <s v="SA"/>
    <s v="40542 PD0023"/>
    <x v="2"/>
    <s v="$20M Call Premium Due 2022 (LT)"/>
    <s v="20141130"/>
    <x v="14"/>
    <d v="2014-11-30T00:00:00"/>
    <n v="-2524.9"/>
  </r>
  <r>
    <s v="100093475"/>
    <s v="SA"/>
    <s v="40545 PD0900-B"/>
    <x v="2"/>
    <s v="$3.125M Unamortized Loss Due 2021 (LT)"/>
    <s v="20141130"/>
    <x v="11"/>
    <d v="2014-11-30T00:00:00"/>
    <n v="-193.73"/>
  </r>
  <r>
    <s v="100093476"/>
    <s v="SA"/>
    <s v="40542 PD0900-B"/>
    <x v="2"/>
    <s v="$3.125M Call Premium Due 2021 (LT)"/>
    <s v="20141130"/>
    <x v="11"/>
    <d v="2014-11-30T00:00:00"/>
    <n v="-274.12"/>
  </r>
  <r>
    <s v="100093477"/>
    <s v="SA"/>
    <s v="40545 PD0900-C"/>
    <x v="2"/>
    <s v="$21.875M Unamortized Loss Due 2021 (LT)"/>
    <s v="20141130"/>
    <x v="11"/>
    <d v="2014-11-30T00:00:00"/>
    <n v="-1347.95"/>
  </r>
  <r>
    <s v="100093478"/>
    <s v="SA"/>
    <s v="40542 PD0900-C"/>
    <x v="2"/>
    <s v="$21.875M Call Premium Due 2021 (LT)"/>
    <s v="20141130"/>
    <x v="11"/>
    <d v="2014-11-30T00:00:00"/>
    <n v="-1918.86"/>
  </r>
  <r>
    <s v="100093479"/>
    <s v="SA"/>
    <s v="40545 PD0013-B"/>
    <x v="2"/>
    <s v="$75M Unamortized Loss Due 2030 (LT)"/>
    <s v="20141130"/>
    <x v="2"/>
    <d v="2014-11-30T00:00:00"/>
    <n v="-1780.13"/>
  </r>
  <r>
    <s v="100093480"/>
    <s v="SA"/>
    <s v="40545 PD0014-A"/>
    <x v="2"/>
    <s v="$85.95M Unamortized Loss Due 2034 (LT)"/>
    <s v="20141130"/>
    <x v="5"/>
    <d v="2014-11-30T00:00:00"/>
    <n v="-2230.71"/>
  </r>
  <r>
    <s v="100093481"/>
    <s v="SA"/>
    <s v="40542 PD0014"/>
    <x v="2"/>
    <s v="$85.95M Call Premium Due 2034 (LT)"/>
    <s v="20141130"/>
    <x v="5"/>
    <d v="2014-11-30T00:00:00"/>
    <n v="-2490.34"/>
  </r>
  <r>
    <s v="100093482"/>
    <s v="SA"/>
    <s v="40542 PD0013-B"/>
    <x v="2"/>
    <s v="$75M Call Premium Due 2030 (LT)"/>
    <s v="20141130"/>
    <x v="2"/>
    <d v="2014-11-30T00:00:00"/>
    <n v="-5336.81"/>
  </r>
  <r>
    <s v="100093483"/>
    <s v="SA"/>
    <s v="40543 PD0011"/>
    <x v="2"/>
    <s v="$86.4M Bond Discount Due 2023 (LT)"/>
    <s v="20141130"/>
    <x v="8"/>
    <d v="2014-11-30T00:00:00"/>
    <n v="-4207.3500000000004"/>
  </r>
  <r>
    <s v="100102819"/>
    <s v="SA"/>
    <s v="40545 PD0011"/>
    <x v="2"/>
    <s v="$86.4M Unamortized Loss Due 2023 (LT)"/>
    <s v="20141231"/>
    <x v="8"/>
    <d v="2014-12-31T00:00:00"/>
    <n v="-3340.78"/>
  </r>
  <r>
    <s v="100102820"/>
    <s v="SA"/>
    <s v="40545 PD0010"/>
    <x v="2"/>
    <s v="$54.2M Unamortized Loss Due 2018 (LT)"/>
    <s v="20141231"/>
    <x v="12"/>
    <d v="2014-12-31T00:00:00"/>
    <n v="-1179.21"/>
  </r>
  <r>
    <s v="100102821"/>
    <s v="SA"/>
    <s v="40545 PD0012"/>
    <x v="2"/>
    <s v="$51.6M Unamortized Loss Due 2025 (LT)"/>
    <s v="20141231"/>
    <x v="13"/>
    <d v="2014-12-31T00:00:00"/>
    <n v="-1019.33"/>
  </r>
  <r>
    <s v="100102822"/>
    <s v="SA"/>
    <s v="40545 PD0023-A"/>
    <x v="2"/>
    <s v="$20M Unamortized Loss Due 2020 (LT)"/>
    <s v="20141231"/>
    <x v="14"/>
    <d v="2014-12-31T00:00:00"/>
    <n v="-857.57"/>
  </r>
  <r>
    <s v="100102823"/>
    <s v="SA"/>
    <s v="40545 PD0013-A"/>
    <x v="2"/>
    <s v="$75M Unamortized Loss Due 2022 (LT)"/>
    <s v="20141231"/>
    <x v="2"/>
    <d v="2014-12-31T00:00:00"/>
    <n v="-3125.47"/>
  </r>
  <r>
    <s v="100102824"/>
    <s v="SA"/>
    <s v="40542 PD0013-A"/>
    <x v="2"/>
    <s v="$75M Call Premium Due 2022 (LT)"/>
    <s v="20141231"/>
    <x v="2"/>
    <d v="2014-12-31T00:00:00"/>
    <n v="-4451.78"/>
  </r>
  <r>
    <s v="100102825"/>
    <s v="SA"/>
    <s v="40544 PD0013"/>
    <x v="2"/>
    <s v="$75M Bond Discount Due 2022 (LT)"/>
    <s v="20141231"/>
    <x v="2"/>
    <d v="2014-12-31T00:00:00"/>
    <n v="-10077.08"/>
  </r>
  <r>
    <s v="100102826"/>
    <s v="SA"/>
    <s v="40545 PD0900-A"/>
    <x v="2"/>
    <s v="$80M Unamortized Loss Due 2022 (LT)"/>
    <s v="20141231"/>
    <x v="11"/>
    <d v="2014-12-31T00:00:00"/>
    <n v="-5589.54"/>
  </r>
  <r>
    <s v="100102827"/>
    <s v="SA"/>
    <s v="40542 PD0900-A"/>
    <x v="2"/>
    <s v="$80M Call Premium Due 2022 (LT)"/>
    <s v="20141231"/>
    <x v="11"/>
    <d v="2014-12-31T00:00:00"/>
    <n v="-10099.59"/>
  </r>
  <r>
    <s v="100102828"/>
    <s v="SA"/>
    <s v="40545 PD0023-B"/>
    <x v="2"/>
    <s v="$20M Unamortized Loss Due 2022 (LT)"/>
    <s v="20141231"/>
    <x v="14"/>
    <d v="2014-12-31T00:00:00"/>
    <n v="-1407.23"/>
  </r>
  <r>
    <s v="100102829"/>
    <s v="SA"/>
    <s v="40542 PD0023"/>
    <x v="2"/>
    <s v="$20M Call Premium Due 2022 (LT)"/>
    <s v="20141231"/>
    <x v="14"/>
    <d v="2014-12-31T00:00:00"/>
    <n v="-2524.9"/>
  </r>
  <r>
    <s v="100102830"/>
    <s v="SA"/>
    <s v="40545 PD0900-B"/>
    <x v="2"/>
    <s v="$3.125M Unamortized Loss Due 2021 (LT)"/>
    <s v="20141231"/>
    <x v="11"/>
    <d v="2014-12-31T00:00:00"/>
    <n v="-193.73"/>
  </r>
  <r>
    <s v="100102831"/>
    <s v="SA"/>
    <s v="40542 PD0900-B"/>
    <x v="2"/>
    <s v="$3.125M Call Premium Due 2021 (LT)"/>
    <s v="20141231"/>
    <x v="11"/>
    <d v="2014-12-31T00:00:00"/>
    <n v="-274.12"/>
  </r>
  <r>
    <s v="100102832"/>
    <s v="SA"/>
    <s v="40545 PD0900-C"/>
    <x v="2"/>
    <s v="$21.875M Unamortized Loss Due 2021 (LT)"/>
    <s v="20141231"/>
    <x v="11"/>
    <d v="2014-12-31T00:00:00"/>
    <n v="-1347.95"/>
  </r>
  <r>
    <s v="100102833"/>
    <s v="SA"/>
    <s v="40542 PD0900-C"/>
    <x v="2"/>
    <s v="$21.875M Call Premium Due 2021 (LT)"/>
    <s v="20141231"/>
    <x v="11"/>
    <d v="2014-12-31T00:00:00"/>
    <n v="-1918.86"/>
  </r>
  <r>
    <s v="100102834"/>
    <s v="SA"/>
    <s v="40545 PD0013-B"/>
    <x v="2"/>
    <s v="$75M Unamortized Loss Due 2030 (LT)"/>
    <s v="20141231"/>
    <x v="2"/>
    <d v="2014-12-31T00:00:00"/>
    <n v="-1780.13"/>
  </r>
  <r>
    <s v="100102835"/>
    <s v="SA"/>
    <s v="40545 PD0014-A"/>
    <x v="2"/>
    <s v="$85.95M Unamortized Loss Due 2034 (LT)"/>
    <s v="20141231"/>
    <x v="5"/>
    <d v="2014-12-31T00:00:00"/>
    <n v="-2230.71"/>
  </r>
  <r>
    <s v="100102836"/>
    <s v="SA"/>
    <s v="40542 PD0014"/>
    <x v="2"/>
    <s v="$85.95M Call Premium Due 2034 (LT)"/>
    <s v="20141231"/>
    <x v="5"/>
    <d v="2014-12-31T00:00:00"/>
    <n v="-2490.34"/>
  </r>
  <r>
    <s v="100102837"/>
    <s v="SA"/>
    <s v="40542 PD0013-B"/>
    <x v="2"/>
    <s v="$75M Call Premium Due 2030 (LT)"/>
    <s v="20141231"/>
    <x v="2"/>
    <d v="2014-12-31T00:00:00"/>
    <n v="-5336.81"/>
  </r>
  <r>
    <s v="100102838"/>
    <s v="SA"/>
    <s v="40543 PD0011"/>
    <x v="2"/>
    <s v="$86.4M Bond Discount Due 2023 (LT)"/>
    <s v="20141231"/>
    <x v="8"/>
    <d v="2014-12-31T00:00:00"/>
    <n v="-4207.3500000000004"/>
  </r>
  <r>
    <s v="100007823"/>
    <s v="SA"/>
    <s v="40545 PD0011"/>
    <x v="2"/>
    <s v="$86.4M Unamortized Loss Due 2023 (LT)"/>
    <s v="20150131"/>
    <x v="8"/>
    <d v="2015-01-31T00:00:00"/>
    <n v="-3340.78"/>
  </r>
  <r>
    <s v="100007824"/>
    <s v="SA"/>
    <s v="40545 PD0010"/>
    <x v="2"/>
    <s v="$54.2M Unamortized Loss Due 2018 (LT)"/>
    <s v="20150131"/>
    <x v="12"/>
    <d v="2015-01-31T00:00:00"/>
    <n v="-1179.21"/>
  </r>
  <r>
    <s v="100007825"/>
    <s v="SA"/>
    <s v="40545 PD0012"/>
    <x v="2"/>
    <s v="$51.6M Unamortized Loss Due 2025 (LT)"/>
    <s v="20150131"/>
    <x v="13"/>
    <d v="2015-01-31T00:00:00"/>
    <n v="-1019.33"/>
  </r>
  <r>
    <s v="100007826"/>
    <s v="SA"/>
    <s v="40545 PD0023-A"/>
    <x v="2"/>
    <s v="$20M Unamortized Loss Due 2020 (LT)"/>
    <s v="20150131"/>
    <x v="14"/>
    <d v="2015-01-31T00:00:00"/>
    <n v="-857.57"/>
  </r>
  <r>
    <s v="100007827"/>
    <s v="SA"/>
    <s v="40545 PD0013-A"/>
    <x v="2"/>
    <s v="$75M Unamortized Loss Due 2022 (LT)"/>
    <s v="20150131"/>
    <x v="2"/>
    <d v="2015-01-31T00:00:00"/>
    <n v="-3125.47"/>
  </r>
  <r>
    <s v="100007828"/>
    <s v="SA"/>
    <s v="40542 PD0013-A"/>
    <x v="2"/>
    <s v="$75M Call Premium Due 2022 (LT)"/>
    <s v="20150131"/>
    <x v="2"/>
    <d v="2015-01-31T00:00:00"/>
    <n v="-4451.78"/>
  </r>
  <r>
    <s v="100007829"/>
    <s v="SA"/>
    <s v="40544 PD0013"/>
    <x v="2"/>
    <s v="$75M Bond Discount Due 2022 (LT)"/>
    <s v="20150131"/>
    <x v="2"/>
    <d v="2015-01-31T00:00:00"/>
    <n v="-10077.08"/>
  </r>
  <r>
    <s v="100007830"/>
    <s v="SA"/>
    <s v="40545 PD0900-A"/>
    <x v="2"/>
    <s v="$80M Unamortized Loss Due 2022 (LT)"/>
    <s v="20150131"/>
    <x v="11"/>
    <d v="2015-01-31T00:00:00"/>
    <n v="-5589.54"/>
  </r>
  <r>
    <s v="100007831"/>
    <s v="SA"/>
    <s v="40542 PD0900-A"/>
    <x v="2"/>
    <s v="$80M Call Premium Due 2022 (LT)"/>
    <s v="20150131"/>
    <x v="11"/>
    <d v="2015-01-31T00:00:00"/>
    <n v="-10099.59"/>
  </r>
  <r>
    <s v="100007832"/>
    <s v="SA"/>
    <s v="40545 PD0023-B"/>
    <x v="2"/>
    <s v="$20M Unamortized Loss Due 2022 (LT)"/>
    <s v="20150131"/>
    <x v="14"/>
    <d v="2015-01-31T00:00:00"/>
    <n v="-1407.23"/>
  </r>
  <r>
    <s v="100007833"/>
    <s v="SA"/>
    <s v="40542 PD0023"/>
    <x v="2"/>
    <s v="$20M Call Premium Due 2022 (LT)"/>
    <s v="20150131"/>
    <x v="14"/>
    <d v="2015-01-31T00:00:00"/>
    <n v="-2524.9"/>
  </r>
  <r>
    <s v="100007834"/>
    <s v="SA"/>
    <s v="40545 PD0900-B"/>
    <x v="2"/>
    <s v="$3.125M Unamortized Loss Due 2021 (LT)"/>
    <s v="20150131"/>
    <x v="11"/>
    <d v="2015-01-31T00:00:00"/>
    <n v="-193.73"/>
  </r>
  <r>
    <s v="100007835"/>
    <s v="SA"/>
    <s v="40542 PD0900-B"/>
    <x v="2"/>
    <s v="$3.125M Call Premium Due 2021 (LT)"/>
    <s v="20150131"/>
    <x v="11"/>
    <d v="2015-01-31T00:00:00"/>
    <n v="-274.12"/>
  </r>
  <r>
    <s v="100007836"/>
    <s v="SA"/>
    <s v="40545 PD0900-C"/>
    <x v="2"/>
    <s v="$21.875M Unamortized Loss Due 2021 (LT)"/>
    <s v="20150131"/>
    <x v="11"/>
    <d v="2015-01-31T00:00:00"/>
    <n v="-1347.95"/>
  </r>
  <r>
    <s v="100007837"/>
    <s v="SA"/>
    <s v="40542 PD0900-C"/>
    <x v="2"/>
    <s v="$21.875M Call Premium Due 2021 (LT)"/>
    <s v="20150131"/>
    <x v="11"/>
    <d v="2015-01-31T00:00:00"/>
    <n v="-1918.86"/>
  </r>
  <r>
    <s v="100007838"/>
    <s v="SA"/>
    <s v="40545 PD0013-B"/>
    <x v="2"/>
    <s v="$75M Unamortized Loss Due 2030 (LT)"/>
    <s v="20150131"/>
    <x v="2"/>
    <d v="2015-01-31T00:00:00"/>
    <n v="-1780.13"/>
  </r>
  <r>
    <s v="100007839"/>
    <s v="SA"/>
    <s v="40545 PD0014-A"/>
    <x v="2"/>
    <s v="$85.95M Unamortized Loss Due 2034 (LT)"/>
    <s v="20150131"/>
    <x v="5"/>
    <d v="2015-01-31T00:00:00"/>
    <n v="-2230.71"/>
  </r>
  <r>
    <s v="100007840"/>
    <s v="SA"/>
    <s v="40542 PD0014"/>
    <x v="2"/>
    <s v="$85.95M Call Premium Due 2034 (LT)"/>
    <s v="20150131"/>
    <x v="5"/>
    <d v="2015-01-31T00:00:00"/>
    <n v="-2490.34"/>
  </r>
  <r>
    <s v="100007841"/>
    <s v="SA"/>
    <s v="40542 PD0013-B"/>
    <x v="2"/>
    <s v="$75M Call Premium Due 2030 (LT)"/>
    <s v="20150131"/>
    <x v="2"/>
    <d v="2015-01-31T00:00:00"/>
    <n v="-5336.81"/>
  </r>
  <r>
    <s v="100007842"/>
    <s v="SA"/>
    <s v="40543 PD0011"/>
    <x v="2"/>
    <s v="$86.4M Bond Discount Due 2023 (LT)"/>
    <s v="20150131"/>
    <x v="8"/>
    <d v="2015-01-31T00:00:00"/>
    <n v="-4207.3500000000004"/>
  </r>
  <r>
    <s v="100015716"/>
    <s v="SA"/>
    <s v="40545 PD0011"/>
    <x v="2"/>
    <s v="$86.4M Unamortized Loss Due 2023 (LT)"/>
    <s v="20150228"/>
    <x v="8"/>
    <d v="2015-02-28T00:00:00"/>
    <n v="-3340.78"/>
  </r>
  <r>
    <s v="100015717"/>
    <s v="SA"/>
    <s v="40545 PD0010"/>
    <x v="2"/>
    <s v="$54.2M Unamortized Loss Due 2018 (LT)"/>
    <s v="20150228"/>
    <x v="12"/>
    <d v="2015-02-28T00:00:00"/>
    <n v="-1179.21"/>
  </r>
  <r>
    <s v="100015718"/>
    <s v="SA"/>
    <s v="40545 PD0012"/>
    <x v="2"/>
    <s v="$51.6M Unamortized Loss Due 2025 (LT)"/>
    <s v="20150228"/>
    <x v="13"/>
    <d v="2015-02-28T00:00:00"/>
    <n v="-1019.33"/>
  </r>
  <r>
    <s v="100015719"/>
    <s v="SA"/>
    <s v="40545 PD0023-A"/>
    <x v="2"/>
    <s v="$20M Unamortized Loss Due 2020 (LT)"/>
    <s v="20150228"/>
    <x v="14"/>
    <d v="2015-02-28T00:00:00"/>
    <n v="-857.57"/>
  </r>
  <r>
    <s v="100015720"/>
    <s v="SA"/>
    <s v="40545 PD0013-A"/>
    <x v="2"/>
    <s v="$75M Unamortized Loss Due 2022 (LT)"/>
    <s v="20150228"/>
    <x v="2"/>
    <d v="2015-02-28T00:00:00"/>
    <n v="-3125.47"/>
  </r>
  <r>
    <s v="100015721"/>
    <s v="SA"/>
    <s v="40542 PD0013-A"/>
    <x v="2"/>
    <s v="$75M Call Premium Due 2022 (LT)"/>
    <s v="20150228"/>
    <x v="2"/>
    <d v="2015-02-28T00:00:00"/>
    <n v="-4451.78"/>
  </r>
  <r>
    <s v="100015722"/>
    <s v="SA"/>
    <s v="40544 PD0013"/>
    <x v="2"/>
    <s v="$75M Bond Discount Due 2022 (LT)"/>
    <s v="20150228"/>
    <x v="2"/>
    <d v="2015-02-28T00:00:00"/>
    <n v="-10077.08"/>
  </r>
  <r>
    <s v="100015723"/>
    <s v="SA"/>
    <s v="40545 PD0900-A"/>
    <x v="2"/>
    <s v="$80M Unamortized Loss Due 2022 (LT)"/>
    <s v="20150228"/>
    <x v="11"/>
    <d v="2015-02-28T00:00:00"/>
    <n v="-5589.54"/>
  </r>
  <r>
    <s v="100015724"/>
    <s v="SA"/>
    <s v="40542 PD0900-A"/>
    <x v="2"/>
    <s v="$80M Call Premium Due 2022 (LT)"/>
    <s v="20150228"/>
    <x v="11"/>
    <d v="2015-02-28T00:00:00"/>
    <n v="-10099.59"/>
  </r>
  <r>
    <s v="100015725"/>
    <s v="SA"/>
    <s v="40545 PD0023-B"/>
    <x v="2"/>
    <s v="$20M Unamortized Loss Due 2022 (LT)"/>
    <s v="20150228"/>
    <x v="14"/>
    <d v="2015-02-28T00:00:00"/>
    <n v="-1407.23"/>
  </r>
  <r>
    <s v="100015726"/>
    <s v="SA"/>
    <s v="40542 PD0023"/>
    <x v="2"/>
    <s v="$20M Call Premium Due 2022 (LT)"/>
    <s v="20150228"/>
    <x v="14"/>
    <d v="2015-02-28T00:00:00"/>
    <n v="-2524.9"/>
  </r>
  <r>
    <s v="100015727"/>
    <s v="SA"/>
    <s v="40545 PD0900-B"/>
    <x v="2"/>
    <s v="$3.125M Unamortized Loss Due 2021 (LT)"/>
    <s v="20150228"/>
    <x v="11"/>
    <d v="2015-02-28T00:00:00"/>
    <n v="-193.73"/>
  </r>
  <r>
    <s v="100015728"/>
    <s v="SA"/>
    <s v="40542 PD0900-B"/>
    <x v="2"/>
    <s v="$3.125M Call Premium Due 2021 (LT)"/>
    <s v="20150228"/>
    <x v="11"/>
    <d v="2015-02-28T00:00:00"/>
    <n v="-274.12"/>
  </r>
  <r>
    <s v="100015729"/>
    <s v="SA"/>
    <s v="40545 PD0900-C"/>
    <x v="2"/>
    <s v="$21.875M Unamortized Loss Due 2021 (LT)"/>
    <s v="20150228"/>
    <x v="11"/>
    <d v="2015-02-28T00:00:00"/>
    <n v="-1347.95"/>
  </r>
  <r>
    <s v="100015730"/>
    <s v="SA"/>
    <s v="40542 PD0900-C"/>
    <x v="2"/>
    <s v="$21.875M Call Premium Due 2021 (LT)"/>
    <s v="20150228"/>
    <x v="11"/>
    <d v="2015-02-28T00:00:00"/>
    <n v="-1918.86"/>
  </r>
  <r>
    <s v="100015731"/>
    <s v="SA"/>
    <s v="40545 PD0013-B"/>
    <x v="2"/>
    <s v="$75M Unamortized Loss Due 2030 (LT)"/>
    <s v="20150228"/>
    <x v="2"/>
    <d v="2015-02-28T00:00:00"/>
    <n v="-1780.13"/>
  </r>
  <r>
    <s v="100015732"/>
    <s v="SA"/>
    <s v="40545 PD0014-A"/>
    <x v="2"/>
    <s v="$85.95M Unamortized Loss Due 2034 (LT)"/>
    <s v="20150228"/>
    <x v="5"/>
    <d v="2015-02-28T00:00:00"/>
    <n v="-2230.71"/>
  </r>
  <r>
    <s v="100015733"/>
    <s v="SA"/>
    <s v="40542 PD0014"/>
    <x v="2"/>
    <s v="$85.95M Call Premium Due 2034 (LT)"/>
    <s v="20150228"/>
    <x v="5"/>
    <d v="2015-02-28T00:00:00"/>
    <n v="-2490.34"/>
  </r>
  <r>
    <s v="100015734"/>
    <s v="SA"/>
    <s v="40542 PD0013-B"/>
    <x v="2"/>
    <s v="$75M Call Premium Due 2030 (LT)"/>
    <s v="20150228"/>
    <x v="2"/>
    <d v="2015-02-28T00:00:00"/>
    <n v="-5336.81"/>
  </r>
  <r>
    <s v="100015735"/>
    <s v="SA"/>
    <s v="40543 PD0011"/>
    <x v="2"/>
    <s v="$86.4M Bond Discount Due 2023 (LT)"/>
    <s v="20150228"/>
    <x v="8"/>
    <d v="2015-02-28T00:00:00"/>
    <n v="-4207.3500000000004"/>
  </r>
  <r>
    <s v="100024498"/>
    <s v="SA"/>
    <s v="40545 PD0011"/>
    <x v="2"/>
    <s v="$86.4M Unamortized Loss Due 2023 (LT)"/>
    <s v="20150331"/>
    <x v="8"/>
    <d v="2015-03-31T00:00:00"/>
    <n v="-3340.78"/>
  </r>
  <r>
    <s v="100024499"/>
    <s v="SA"/>
    <s v="40545 PD0010"/>
    <x v="2"/>
    <s v="$54.2M Unamortized Loss Due 2018 (LT)"/>
    <s v="20150331"/>
    <x v="12"/>
    <d v="2015-03-31T00:00:00"/>
    <n v="-1179.21"/>
  </r>
  <r>
    <s v="100024500"/>
    <s v="SA"/>
    <s v="40545 PD0012"/>
    <x v="2"/>
    <s v="$51.6M Unamortized Loss Due 2025 (LT)"/>
    <s v="20150331"/>
    <x v="13"/>
    <d v="2015-03-31T00:00:00"/>
    <n v="-1019.33"/>
  </r>
  <r>
    <s v="100024501"/>
    <s v="SA"/>
    <s v="40545 PD0023-A"/>
    <x v="2"/>
    <s v="$20M Unamortized Loss Due 2020 (LT)"/>
    <s v="20150331"/>
    <x v="14"/>
    <d v="2015-03-31T00:00:00"/>
    <n v="-857.57"/>
  </r>
  <r>
    <s v="100024502"/>
    <s v="SA"/>
    <s v="40545 PD0013-A"/>
    <x v="2"/>
    <s v="$75M Unamortized Loss Due 2022 (LT)"/>
    <s v="20150331"/>
    <x v="2"/>
    <d v="2015-03-31T00:00:00"/>
    <n v="-3125.47"/>
  </r>
  <r>
    <s v="100024503"/>
    <s v="SA"/>
    <s v="40542 PD0013-A"/>
    <x v="2"/>
    <s v="$75M Call Premium Due 2022 (LT)"/>
    <s v="20150331"/>
    <x v="2"/>
    <d v="2015-03-31T00:00:00"/>
    <n v="-4451.78"/>
  </r>
  <r>
    <s v="100024504"/>
    <s v="SA"/>
    <s v="40544 PD0013"/>
    <x v="2"/>
    <s v="$75M Bond Discount Due 2022 (LT)"/>
    <s v="20150331"/>
    <x v="2"/>
    <d v="2015-03-31T00:00:00"/>
    <n v="-10077.08"/>
  </r>
  <r>
    <s v="100024505"/>
    <s v="SA"/>
    <s v="40545 PD0900-A"/>
    <x v="2"/>
    <s v="$80M Unamortized Loss Due 2022 (LT)"/>
    <s v="20150331"/>
    <x v="11"/>
    <d v="2015-03-31T00:00:00"/>
    <n v="-5589.54"/>
  </r>
  <r>
    <s v="100024506"/>
    <s v="SA"/>
    <s v="40542 PD0900-A"/>
    <x v="2"/>
    <s v="$80M Call Premium Due 2022 (LT)"/>
    <s v="20150331"/>
    <x v="11"/>
    <d v="2015-03-31T00:00:00"/>
    <n v="-10099.59"/>
  </r>
  <r>
    <s v="100024507"/>
    <s v="SA"/>
    <s v="40545 PD0023-B"/>
    <x v="2"/>
    <s v="$20M Unamortized Loss Due 2022 (LT)"/>
    <s v="20150331"/>
    <x v="14"/>
    <d v="2015-03-31T00:00:00"/>
    <n v="-1407.23"/>
  </r>
  <r>
    <s v="100024508"/>
    <s v="SA"/>
    <s v="40542 PD0023"/>
    <x v="2"/>
    <s v="$20M Call Premium Due 2022 (LT)"/>
    <s v="20150331"/>
    <x v="14"/>
    <d v="2015-03-31T00:00:00"/>
    <n v="-2524.9"/>
  </r>
  <r>
    <s v="100024509"/>
    <s v="SA"/>
    <s v="40545 PD0900-B"/>
    <x v="2"/>
    <s v="$3.125M Unamortized Loss Due 2021 (LT)"/>
    <s v="20150331"/>
    <x v="11"/>
    <d v="2015-03-31T00:00:00"/>
    <n v="-193.73"/>
  </r>
  <r>
    <s v="100024510"/>
    <s v="SA"/>
    <s v="40542 PD0900-B"/>
    <x v="2"/>
    <s v="$3.125M Call Premium Due 2021 (LT)"/>
    <s v="20150331"/>
    <x v="11"/>
    <d v="2015-03-31T00:00:00"/>
    <n v="-274.12"/>
  </r>
  <r>
    <s v="100024511"/>
    <s v="SA"/>
    <s v="40545 PD0900-C"/>
    <x v="2"/>
    <s v="$21.875M Unamortized Loss Due 2021 (LT)"/>
    <s v="20150331"/>
    <x v="11"/>
    <d v="2015-03-31T00:00:00"/>
    <n v="-1347.95"/>
  </r>
  <r>
    <s v="100024512"/>
    <s v="SA"/>
    <s v="40542 PD0900-C"/>
    <x v="2"/>
    <s v="$21.875M Call Premium Due 2021 (LT)"/>
    <s v="20150331"/>
    <x v="11"/>
    <d v="2015-03-31T00:00:00"/>
    <n v="-1918.86"/>
  </r>
  <r>
    <s v="100024513"/>
    <s v="SA"/>
    <s v="40545 PD0013-B"/>
    <x v="2"/>
    <s v="$75M Unamortized Loss Due 2030 (LT)"/>
    <s v="20150331"/>
    <x v="2"/>
    <d v="2015-03-31T00:00:00"/>
    <n v="-1780.13"/>
  </r>
  <r>
    <s v="100024514"/>
    <s v="SA"/>
    <s v="40545 PD0014-A"/>
    <x v="2"/>
    <s v="$85.95M Unamortized Loss Due 2034 (LT)"/>
    <s v="20150331"/>
    <x v="5"/>
    <d v="2015-03-31T00:00:00"/>
    <n v="-2230.71"/>
  </r>
  <r>
    <s v="100024515"/>
    <s v="SA"/>
    <s v="40542 PD0014"/>
    <x v="2"/>
    <s v="$85.95M Call Premium Due 2034 (LT)"/>
    <s v="20150331"/>
    <x v="5"/>
    <d v="2015-03-31T00:00:00"/>
    <n v="-2490.34"/>
  </r>
  <r>
    <s v="100024516"/>
    <s v="SA"/>
    <s v="40542 PD0013-B"/>
    <x v="2"/>
    <s v="$75M Call Premium Due 2030 (LT)"/>
    <s v="20150331"/>
    <x v="2"/>
    <d v="2015-03-31T00:00:00"/>
    <n v="-5336.81"/>
  </r>
  <r>
    <s v="100024517"/>
    <s v="SA"/>
    <s v="40543 PD0011"/>
    <x v="2"/>
    <s v="$86.4M Bond Discount Due 2023 (LT)"/>
    <s v="20150331"/>
    <x v="8"/>
    <d v="2015-03-31T00:00:00"/>
    <n v="-4207.3500000000004"/>
  </r>
  <r>
    <s v="100033435"/>
    <s v="SA"/>
    <s v="40545 PD0011"/>
    <x v="2"/>
    <s v="$86.4M Unamortized Loss Due 2023 (LT)"/>
    <s v="20150430"/>
    <x v="8"/>
    <d v="2015-04-30T00:00:00"/>
    <n v="-3340.78"/>
  </r>
  <r>
    <s v="100033436"/>
    <s v="SA"/>
    <s v="40545 PD0010"/>
    <x v="2"/>
    <s v="$54.2M Unamortized Loss Due 2018 (LT)"/>
    <s v="20150430"/>
    <x v="12"/>
    <d v="2015-04-30T00:00:00"/>
    <n v="-1179.21"/>
  </r>
  <r>
    <s v="100033437"/>
    <s v="SA"/>
    <s v="40545 PD0012"/>
    <x v="2"/>
    <s v="$51.6M Unamortized Loss Due 2025 (LT)"/>
    <s v="20150430"/>
    <x v="13"/>
    <d v="2015-04-30T00:00:00"/>
    <n v="-1019.33"/>
  </r>
  <r>
    <s v="100033438"/>
    <s v="SA"/>
    <s v="40545 PD0023-A"/>
    <x v="2"/>
    <s v="$20M Unamortized Loss Due 2020 (LT)"/>
    <s v="20150430"/>
    <x v="14"/>
    <d v="2015-04-30T00:00:00"/>
    <n v="-857.57"/>
  </r>
  <r>
    <s v="100033439"/>
    <s v="SA"/>
    <s v="40545 PD0013-A"/>
    <x v="2"/>
    <s v="$75M Unamortized Loss Due 2022 (LT)"/>
    <s v="20150430"/>
    <x v="2"/>
    <d v="2015-04-30T00:00:00"/>
    <n v="-3125.47"/>
  </r>
  <r>
    <s v="100033440"/>
    <s v="SA"/>
    <s v="40542 PD0013-A"/>
    <x v="2"/>
    <s v="$75M Call Premium Due 2022 (LT)"/>
    <s v="20150430"/>
    <x v="2"/>
    <d v="2015-04-30T00:00:00"/>
    <n v="-4451.78"/>
  </r>
  <r>
    <s v="100033441"/>
    <s v="SA"/>
    <s v="40544 PD0013"/>
    <x v="2"/>
    <s v="$75M Bond Discount Due 2022 (LT)"/>
    <s v="20150430"/>
    <x v="2"/>
    <d v="2015-04-30T00:00:00"/>
    <n v="-10077.08"/>
  </r>
  <r>
    <s v="100033442"/>
    <s v="SA"/>
    <s v="40545 PD0900-A"/>
    <x v="2"/>
    <s v="$80M Unamortized Loss Due 2022 (LT)"/>
    <s v="20150430"/>
    <x v="11"/>
    <d v="2015-04-30T00:00:00"/>
    <n v="-5589.54"/>
  </r>
  <r>
    <s v="100033443"/>
    <s v="SA"/>
    <s v="40542 PD0900-A"/>
    <x v="2"/>
    <s v="$80M Call Premium Due 2022 (LT)"/>
    <s v="20150430"/>
    <x v="11"/>
    <d v="2015-04-30T00:00:00"/>
    <n v="-10099.59"/>
  </r>
  <r>
    <s v="100033444"/>
    <s v="SA"/>
    <s v="40545 PD0023-B"/>
    <x v="2"/>
    <s v="$20M Unamortized Loss Due 2022 (LT)"/>
    <s v="20150430"/>
    <x v="14"/>
    <d v="2015-04-30T00:00:00"/>
    <n v="-1407.23"/>
  </r>
  <r>
    <s v="100033445"/>
    <s v="SA"/>
    <s v="40542 PD0023"/>
    <x v="2"/>
    <s v="$20M Call Premium Due 2022 (LT)"/>
    <s v="20150430"/>
    <x v="14"/>
    <d v="2015-04-30T00:00:00"/>
    <n v="-2524.9"/>
  </r>
  <r>
    <s v="100033446"/>
    <s v="SA"/>
    <s v="40545 PD0900-B"/>
    <x v="2"/>
    <s v="$3.125M Unamortized Loss Due 2021 (LT)"/>
    <s v="20150430"/>
    <x v="11"/>
    <d v="2015-04-30T00:00:00"/>
    <n v="-193.73"/>
  </r>
  <r>
    <s v="100033447"/>
    <s v="SA"/>
    <s v="40542 PD0900-B"/>
    <x v="2"/>
    <s v="$3.125M Call Premium Due 2021 (LT)"/>
    <s v="20150430"/>
    <x v="11"/>
    <d v="2015-04-30T00:00:00"/>
    <n v="-274.12"/>
  </r>
  <r>
    <s v="100033448"/>
    <s v="SA"/>
    <s v="40545 PD0900-C"/>
    <x v="2"/>
    <s v="$21.875M Unamortized Loss Due 2021 (LT)"/>
    <s v="20150430"/>
    <x v="11"/>
    <d v="2015-04-30T00:00:00"/>
    <n v="-1347.95"/>
  </r>
  <r>
    <s v="100033449"/>
    <s v="SA"/>
    <s v="40542 PD0900-C"/>
    <x v="2"/>
    <s v="$21.875M Call Premium Due 2021 (LT)"/>
    <s v="20150430"/>
    <x v="11"/>
    <d v="2015-04-30T00:00:00"/>
    <n v="-1918.86"/>
  </r>
  <r>
    <s v="100033450"/>
    <s v="SA"/>
    <s v="40545 PD0013-B"/>
    <x v="2"/>
    <s v="$75M Unamortized Loss Due 2030 (LT)"/>
    <s v="20150430"/>
    <x v="2"/>
    <d v="2015-04-30T00:00:00"/>
    <n v="-1780.13"/>
  </r>
  <r>
    <s v="100033451"/>
    <s v="SA"/>
    <s v="40545 PD0014-A"/>
    <x v="2"/>
    <s v="$85.95M Unamortized Loss Due 2034 (LT)"/>
    <s v="20150430"/>
    <x v="5"/>
    <d v="2015-04-30T00:00:00"/>
    <n v="-2230.71"/>
  </r>
  <r>
    <s v="100033452"/>
    <s v="SA"/>
    <s v="40542 PD0014"/>
    <x v="2"/>
    <s v="$85.95M Call Premium Due 2034 (LT)"/>
    <s v="20150430"/>
    <x v="5"/>
    <d v="2015-04-30T00:00:00"/>
    <n v="-2490.34"/>
  </r>
  <r>
    <s v="100033453"/>
    <s v="SA"/>
    <s v="40542 PD0013-B"/>
    <x v="2"/>
    <s v="$75M Call Premium Due 2030 (LT)"/>
    <s v="20150430"/>
    <x v="2"/>
    <d v="2015-04-30T00:00:00"/>
    <n v="-5336.81"/>
  </r>
  <r>
    <s v="100033454"/>
    <s v="SA"/>
    <s v="40543 PD0011"/>
    <x v="2"/>
    <s v="$86.4M Bond Discount Due 2023 (LT)"/>
    <s v="20150430"/>
    <x v="8"/>
    <d v="2015-04-30T00:00:00"/>
    <n v="-4207.3500000000004"/>
  </r>
  <r>
    <s v="100041683"/>
    <s v="SA"/>
    <s v="40545 PD0011"/>
    <x v="2"/>
    <s v="$86.4M Unamortized Loss Due 2023 (LT)"/>
    <s v="20150531"/>
    <x v="8"/>
    <d v="2015-05-31T00:00:00"/>
    <n v="-3340.78"/>
  </r>
  <r>
    <s v="100041684"/>
    <s v="SA"/>
    <s v="40545 PD0010"/>
    <x v="2"/>
    <s v="$54.2M Unamortized Loss Due 2018 (LT)"/>
    <s v="20150531"/>
    <x v="12"/>
    <d v="2015-05-31T00:00:00"/>
    <n v="-1179.21"/>
  </r>
  <r>
    <s v="100041685"/>
    <s v="SA"/>
    <s v="40545 PD0012"/>
    <x v="2"/>
    <s v="$51.6M Unamortized Loss Due 2025 (LT)"/>
    <s v="20150531"/>
    <x v="13"/>
    <d v="2015-05-31T00:00:00"/>
    <n v="-1019.33"/>
  </r>
  <r>
    <s v="100041686"/>
    <s v="SA"/>
    <s v="40545 PD0023-A"/>
    <x v="2"/>
    <s v="$20M Unamortized Loss Due 2020 (LT)"/>
    <s v="20150531"/>
    <x v="14"/>
    <d v="2015-05-31T00:00:00"/>
    <n v="-857.57"/>
  </r>
  <r>
    <s v="100041687"/>
    <s v="SA"/>
    <s v="40545 PD0013-A"/>
    <x v="2"/>
    <s v="$75M Unamortized Loss Due 2022 (LT)"/>
    <s v="20150531"/>
    <x v="2"/>
    <d v="2015-05-31T00:00:00"/>
    <n v="-3125.47"/>
  </r>
  <r>
    <s v="100041688"/>
    <s v="SA"/>
    <s v="40542 PD0013-A"/>
    <x v="2"/>
    <s v="$75M Call Premium Due 2022 (LT)"/>
    <s v="20150531"/>
    <x v="2"/>
    <d v="2015-05-31T00:00:00"/>
    <n v="-4451.78"/>
  </r>
  <r>
    <s v="100041689"/>
    <s v="SA"/>
    <s v="40544 PD0013"/>
    <x v="2"/>
    <s v="$75M Bond Discount Due 2022 (LT)"/>
    <s v="20150531"/>
    <x v="2"/>
    <d v="2015-05-31T00:00:00"/>
    <n v="-10077.08"/>
  </r>
  <r>
    <s v="100041690"/>
    <s v="SA"/>
    <s v="40545 PD0900-A"/>
    <x v="2"/>
    <s v="$80M Unamortized Loss Due 2022 (LT)"/>
    <s v="20150531"/>
    <x v="11"/>
    <d v="2015-05-31T00:00:00"/>
    <n v="-5589.54"/>
  </r>
  <r>
    <s v="100041691"/>
    <s v="SA"/>
    <s v="40542 PD0900-A"/>
    <x v="2"/>
    <s v="$80M Call Premium Due 2022 (LT)"/>
    <s v="20150531"/>
    <x v="11"/>
    <d v="2015-05-31T00:00:00"/>
    <n v="-10099.59"/>
  </r>
  <r>
    <s v="100041692"/>
    <s v="SA"/>
    <s v="40545 PD0023-B"/>
    <x v="2"/>
    <s v="$20M Unamortized Loss Due 2022 (LT)"/>
    <s v="20150531"/>
    <x v="14"/>
    <d v="2015-05-31T00:00:00"/>
    <n v="-1407.23"/>
  </r>
  <r>
    <s v="100041693"/>
    <s v="SA"/>
    <s v="40542 PD0023"/>
    <x v="2"/>
    <s v="$20M Call Premium Due 2022 (LT)"/>
    <s v="20150531"/>
    <x v="14"/>
    <d v="2015-05-31T00:00:00"/>
    <n v="-2524.9"/>
  </r>
  <r>
    <s v="100041694"/>
    <s v="SA"/>
    <s v="40545 PD0900-B"/>
    <x v="2"/>
    <s v="$3.125M Unamortized Loss Due 2021 (LT)"/>
    <s v="20150531"/>
    <x v="11"/>
    <d v="2015-05-31T00:00:00"/>
    <n v="-193.73"/>
  </r>
  <r>
    <s v="100041695"/>
    <s v="SA"/>
    <s v="40542 PD0900-B"/>
    <x v="2"/>
    <s v="$3.125M Call Premium Due 2021 (LT)"/>
    <s v="20150531"/>
    <x v="11"/>
    <d v="2015-05-31T00:00:00"/>
    <n v="-274.12"/>
  </r>
  <r>
    <s v="100041696"/>
    <s v="SA"/>
    <s v="40545 PD0900-C"/>
    <x v="2"/>
    <s v="$21.875M Unamortized Loss Due 2021 (LT)"/>
    <s v="20150531"/>
    <x v="11"/>
    <d v="2015-05-31T00:00:00"/>
    <n v="-1347.95"/>
  </r>
  <r>
    <s v="100041697"/>
    <s v="SA"/>
    <s v="40542 PD0900-C"/>
    <x v="2"/>
    <s v="$21.875M Call Premium Due 2021 (LT)"/>
    <s v="20150531"/>
    <x v="11"/>
    <d v="2015-05-31T00:00:00"/>
    <n v="-1918.86"/>
  </r>
  <r>
    <s v="100041698"/>
    <s v="SA"/>
    <s v="40545 PD0013-B"/>
    <x v="2"/>
    <s v="$75M Unamortized Loss Due 2030 (LT)"/>
    <s v="20150531"/>
    <x v="2"/>
    <d v="2015-05-31T00:00:00"/>
    <n v="-1780.13"/>
  </r>
  <r>
    <s v="100041699"/>
    <s v="SA"/>
    <s v="40545 PD0014-A"/>
    <x v="2"/>
    <s v="$85.95M Unamortized Loss Due 2034 (LT)"/>
    <s v="20150531"/>
    <x v="5"/>
    <d v="2015-05-31T00:00:00"/>
    <n v="-2230.71"/>
  </r>
  <r>
    <s v="100041700"/>
    <s v="SA"/>
    <s v="40542 PD0014"/>
    <x v="2"/>
    <s v="$85.95M Call Premium Due 2034 (LT)"/>
    <s v="20150531"/>
    <x v="5"/>
    <d v="2015-05-31T00:00:00"/>
    <n v="-2490.34"/>
  </r>
  <r>
    <s v="100041701"/>
    <s v="SA"/>
    <s v="40542 PD0013-B"/>
    <x v="2"/>
    <s v="$75M Call Premium Due 2030 (LT)"/>
    <s v="20150531"/>
    <x v="2"/>
    <d v="2015-05-31T00:00:00"/>
    <n v="-5336.81"/>
  </r>
  <r>
    <s v="100041702"/>
    <s v="SA"/>
    <s v="40543 PD0011"/>
    <x v="2"/>
    <s v="$86.4M Bond Discount Due 2023 (LT)"/>
    <s v="20150531"/>
    <x v="8"/>
    <d v="2015-05-31T00:00:00"/>
    <n v="-4207.3500000000004"/>
  </r>
  <r>
    <s v="100047117"/>
    <s v="SA"/>
    <s v="40545 PD0011"/>
    <x v="2"/>
    <s v="$86.4M Unamortized Loss Due 2023 (LT)"/>
    <s v="20150630"/>
    <x v="8"/>
    <d v="2015-06-30T00:00:00"/>
    <n v="-3340.78"/>
  </r>
  <r>
    <s v="100047118"/>
    <s v="SA"/>
    <s v="40545 PD0010"/>
    <x v="2"/>
    <s v="$54.2M Unamortized Loss Due 2018 (LT)"/>
    <s v="20150630"/>
    <x v="12"/>
    <d v="2015-06-30T00:00:00"/>
    <n v="-1179.21"/>
  </r>
  <r>
    <s v="100047119"/>
    <s v="SA"/>
    <s v="40545 PD0012"/>
    <x v="2"/>
    <s v="$51.6M Unamortized Loss Due 2025 (LT)"/>
    <s v="20150630"/>
    <x v="13"/>
    <d v="2015-06-30T00:00:00"/>
    <n v="-1019.33"/>
  </r>
  <r>
    <s v="100047120"/>
    <s v="SA"/>
    <s v="40545 PD0023-A"/>
    <x v="2"/>
    <s v="$20M Unamortized Loss Due 2020 (LT)"/>
    <s v="20150630"/>
    <x v="14"/>
    <d v="2015-06-30T00:00:00"/>
    <n v="-857.57"/>
  </r>
  <r>
    <s v="100047121"/>
    <s v="SA"/>
    <s v="40545 PD0013-A"/>
    <x v="2"/>
    <s v="$75M Unamortized Loss Due 2022 (LT)"/>
    <s v="20150630"/>
    <x v="2"/>
    <d v="2015-06-30T00:00:00"/>
    <n v="-3125.47"/>
  </r>
  <r>
    <s v="100047122"/>
    <s v="SA"/>
    <s v="40542 PD0013-A"/>
    <x v="2"/>
    <s v="$75M Call Premium Due 2022 (LT)"/>
    <s v="20150630"/>
    <x v="2"/>
    <d v="2015-06-30T00:00:00"/>
    <n v="-4451.78"/>
  </r>
  <r>
    <s v="100047123"/>
    <s v="SA"/>
    <s v="40544 PD0013"/>
    <x v="2"/>
    <s v="$75M Bond Discount Due 2022 (LT)"/>
    <s v="20150630"/>
    <x v="2"/>
    <d v="2015-06-30T00:00:00"/>
    <n v="-10077.08"/>
  </r>
  <r>
    <s v="100047124"/>
    <s v="SA"/>
    <s v="40545 PD0900-A"/>
    <x v="2"/>
    <s v="$80M Unamortized Loss Due 2022 (LT)"/>
    <s v="20150630"/>
    <x v="11"/>
    <d v="2015-06-30T00:00:00"/>
    <n v="-5589.54"/>
  </r>
  <r>
    <s v="100047125"/>
    <s v="SA"/>
    <s v="40542 PD0900-A"/>
    <x v="2"/>
    <s v="$80M Call Premium Due 2022 (LT)"/>
    <s v="20150630"/>
    <x v="11"/>
    <d v="2015-06-30T00:00:00"/>
    <n v="-10099.59"/>
  </r>
  <r>
    <s v="100047126"/>
    <s v="SA"/>
    <s v="40545 PD0023-B"/>
    <x v="2"/>
    <s v="$20M Unamortized Loss Due 2022 (LT)"/>
    <s v="20150630"/>
    <x v="14"/>
    <d v="2015-06-30T00:00:00"/>
    <n v="-1407.23"/>
  </r>
  <r>
    <s v="100047127"/>
    <s v="SA"/>
    <s v="40542 PD0023"/>
    <x v="2"/>
    <s v="$20M Call Premium Due 2022 (LT)"/>
    <s v="20150630"/>
    <x v="14"/>
    <d v="2015-06-30T00:00:00"/>
    <n v="-2524.9"/>
  </r>
  <r>
    <s v="100047128"/>
    <s v="SA"/>
    <s v="40545 PD0900-B"/>
    <x v="2"/>
    <s v="$3.125M Unamortized Loss Due 2021 (LT)"/>
    <s v="20150630"/>
    <x v="11"/>
    <d v="2015-06-30T00:00:00"/>
    <n v="-193.73"/>
  </r>
  <r>
    <s v="100047129"/>
    <s v="SA"/>
    <s v="40542 PD0900-B"/>
    <x v="2"/>
    <s v="$3.125M Call Premium Due 2021 (LT)"/>
    <s v="20150630"/>
    <x v="11"/>
    <d v="2015-06-30T00:00:00"/>
    <n v="-274.12"/>
  </r>
  <r>
    <s v="100047130"/>
    <s v="SA"/>
    <s v="40545 PD0900-C"/>
    <x v="2"/>
    <s v="$21.875M Unamortized Loss Due 2021 (LT)"/>
    <s v="20150630"/>
    <x v="11"/>
    <d v="2015-06-30T00:00:00"/>
    <n v="-1347.95"/>
  </r>
  <r>
    <s v="100047131"/>
    <s v="SA"/>
    <s v="40542 PD0900-C"/>
    <x v="2"/>
    <s v="$21.875M Call Premium Due 2021 (LT)"/>
    <s v="20150630"/>
    <x v="11"/>
    <d v="2015-06-30T00:00:00"/>
    <n v="-1918.86"/>
  </r>
  <r>
    <s v="100047132"/>
    <s v="SA"/>
    <s v="40545 PD0013-B"/>
    <x v="2"/>
    <s v="$75M Unamortized Loss Due 2030 (LT)"/>
    <s v="20150630"/>
    <x v="2"/>
    <d v="2015-06-30T00:00:00"/>
    <n v="-1780.13"/>
  </r>
  <r>
    <s v="100047133"/>
    <s v="SA"/>
    <s v="40545 PD0014-A"/>
    <x v="2"/>
    <s v="$85.95M Unamortized Loss Due 2034 (LT)"/>
    <s v="20150630"/>
    <x v="5"/>
    <d v="2015-06-30T00:00:00"/>
    <n v="-2230.71"/>
  </r>
  <r>
    <s v="100047134"/>
    <s v="SA"/>
    <s v="40542 PD0014"/>
    <x v="2"/>
    <s v="$85.95M Call Premium Due 2034 (LT)"/>
    <s v="20150630"/>
    <x v="5"/>
    <d v="2015-06-30T00:00:00"/>
    <n v="-2490.34"/>
  </r>
  <r>
    <s v="100047135"/>
    <s v="SA"/>
    <s v="40542 PD0013-B"/>
    <x v="2"/>
    <s v="$75M Call Premium Due 2030 (LT)"/>
    <s v="20150630"/>
    <x v="2"/>
    <d v="2015-06-30T00:00:00"/>
    <n v="-5336.81"/>
  </r>
  <r>
    <s v="100047136"/>
    <s v="SA"/>
    <s v="40543 PD0011"/>
    <x v="2"/>
    <s v="$86.4M Bond Discount Due 2023 (LT)"/>
    <s v="20150630"/>
    <x v="8"/>
    <d v="2015-06-30T00:00:00"/>
    <n v="-4207.3500000000004"/>
  </r>
  <r>
    <s v="100062027"/>
    <s v="SA"/>
    <s v="40545 PD0011"/>
    <x v="2"/>
    <s v="$86.4M Unamortized Loss Due 2023 (LT)"/>
    <s v="20150731"/>
    <x v="8"/>
    <d v="2015-07-31T00:00:00"/>
    <n v="-3340.78"/>
  </r>
  <r>
    <s v="100062028"/>
    <s v="SA"/>
    <s v="40545 PD0010"/>
    <x v="2"/>
    <s v="$54.2M Unamortized Loss Due 2018 (LT)"/>
    <s v="20150731"/>
    <x v="12"/>
    <d v="2015-07-31T00:00:00"/>
    <n v="-1179.21"/>
  </r>
  <r>
    <s v="100062029"/>
    <s v="SA"/>
    <s v="40545 PD0012"/>
    <x v="2"/>
    <s v="$51.6M Unamortized Loss Due 2025 (LT)"/>
    <s v="20150731"/>
    <x v="13"/>
    <d v="2015-07-31T00:00:00"/>
    <n v="-1019.33"/>
  </r>
  <r>
    <s v="100062030"/>
    <s v="SA"/>
    <s v="40545 PD0023-A"/>
    <x v="2"/>
    <s v="$20M Unamortized Loss Due 2020 (LT)"/>
    <s v="20150731"/>
    <x v="14"/>
    <d v="2015-07-31T00:00:00"/>
    <n v="-857.57"/>
  </r>
  <r>
    <s v="100062031"/>
    <s v="SA"/>
    <s v="40545 PD0013-A"/>
    <x v="2"/>
    <s v="$75M Unamortized Loss Due 2022 (LT)"/>
    <s v="20150731"/>
    <x v="2"/>
    <d v="2015-07-31T00:00:00"/>
    <n v="-3125.47"/>
  </r>
  <r>
    <s v="100062032"/>
    <s v="SA"/>
    <s v="40542 PD0013-A"/>
    <x v="2"/>
    <s v="$75M Call Premium Due 2022 (LT)"/>
    <s v="20150731"/>
    <x v="2"/>
    <d v="2015-07-31T00:00:00"/>
    <n v="-4451.78"/>
  </r>
  <r>
    <s v="100062033"/>
    <s v="SA"/>
    <s v="40544 PD0013"/>
    <x v="2"/>
    <s v="$75M Bond Discount Due 2022 (LT)"/>
    <s v="20150731"/>
    <x v="2"/>
    <d v="2015-07-31T00:00:00"/>
    <n v="-10077.08"/>
  </r>
  <r>
    <s v="100062034"/>
    <s v="SA"/>
    <s v="40545 PD0900-A"/>
    <x v="2"/>
    <s v="$80M Unamortized Loss Due 2022 (LT)"/>
    <s v="20150731"/>
    <x v="11"/>
    <d v="2015-07-31T00:00:00"/>
    <n v="-5589.54"/>
  </r>
  <r>
    <s v="100062035"/>
    <s v="SA"/>
    <s v="40542 PD0900-A"/>
    <x v="2"/>
    <s v="$80M Call Premium Due 2022 (LT)"/>
    <s v="20150731"/>
    <x v="11"/>
    <d v="2015-07-31T00:00:00"/>
    <n v="-10099.59"/>
  </r>
  <r>
    <s v="100062036"/>
    <s v="SA"/>
    <s v="40545 PD0023-B"/>
    <x v="2"/>
    <s v="$20M Unamortized Loss Due 2022 (LT)"/>
    <s v="20150731"/>
    <x v="14"/>
    <d v="2015-07-31T00:00:00"/>
    <n v="-1407.23"/>
  </r>
  <r>
    <s v="100062037"/>
    <s v="SA"/>
    <s v="40542 PD0023"/>
    <x v="2"/>
    <s v="$20M Call Premium Due 2022 (LT)"/>
    <s v="20150731"/>
    <x v="14"/>
    <d v="2015-07-31T00:00:00"/>
    <n v="-2524.9"/>
  </r>
  <r>
    <s v="100062038"/>
    <s v="SA"/>
    <s v="40545 PD0900-B"/>
    <x v="2"/>
    <s v="$3.125M Unamortized Loss Due 2021 (LT)"/>
    <s v="20150731"/>
    <x v="11"/>
    <d v="2015-07-31T00:00:00"/>
    <n v="-193.73"/>
  </r>
  <r>
    <s v="100062039"/>
    <s v="SA"/>
    <s v="40542 PD0900-B"/>
    <x v="2"/>
    <s v="$3.125M Call Premium Due 2021 (LT)"/>
    <s v="20150731"/>
    <x v="11"/>
    <d v="2015-07-31T00:00:00"/>
    <n v="-274.12"/>
  </r>
  <r>
    <s v="100062040"/>
    <s v="SA"/>
    <s v="40545 PD0900-C"/>
    <x v="2"/>
    <s v="$21.875M Unamortized Loss Due 2021 (LT)"/>
    <s v="20150731"/>
    <x v="11"/>
    <d v="2015-07-31T00:00:00"/>
    <n v="-1347.95"/>
  </r>
  <r>
    <s v="100062041"/>
    <s v="SA"/>
    <s v="40542 PD0900-C"/>
    <x v="2"/>
    <s v="$21.875M Call Premium Due 2021 (LT)"/>
    <s v="20150731"/>
    <x v="11"/>
    <d v="2015-07-31T00:00:00"/>
    <n v="-1918.86"/>
  </r>
  <r>
    <s v="100062042"/>
    <s v="SA"/>
    <s v="40545 PD0013-B"/>
    <x v="2"/>
    <s v="$75M Unamortized Loss Due 2030 (LT)"/>
    <s v="20150731"/>
    <x v="2"/>
    <d v="2015-07-31T00:00:00"/>
    <n v="-1780.13"/>
  </r>
  <r>
    <s v="100062043"/>
    <s v="SA"/>
    <s v="40545 PD0014-A"/>
    <x v="2"/>
    <s v="$85.95M Unamortized Loss Due 2034 (LT)"/>
    <s v="20150731"/>
    <x v="5"/>
    <d v="2015-07-31T00:00:00"/>
    <n v="-2230.71"/>
  </r>
  <r>
    <s v="100062044"/>
    <s v="SA"/>
    <s v="40542 PD0014"/>
    <x v="2"/>
    <s v="$85.95M Call Premium Due 2034 (LT)"/>
    <s v="20150731"/>
    <x v="5"/>
    <d v="2015-07-31T00:00:00"/>
    <n v="-2490.34"/>
  </r>
  <r>
    <s v="100062045"/>
    <s v="SA"/>
    <s v="40542 PD0013-B"/>
    <x v="2"/>
    <s v="$75M Call Premium Due 2030 (LT)"/>
    <s v="20150731"/>
    <x v="2"/>
    <d v="2015-07-31T00:00:00"/>
    <n v="-5336.81"/>
  </r>
  <r>
    <s v="100062046"/>
    <s v="SA"/>
    <s v="40543 PD0011"/>
    <x v="2"/>
    <s v="$86.4M Bond Discount Due 2023 (LT)"/>
    <s v="20150731"/>
    <x v="8"/>
    <d v="2015-07-31T00:00:00"/>
    <n v="-4207.3500000000004"/>
  </r>
  <r>
    <s v="100070976"/>
    <s v="SA"/>
    <s v="40545 PD0011"/>
    <x v="2"/>
    <s v="$86.4M Unamortized Loss Due 2023 (LT)"/>
    <s v="20150831"/>
    <x v="8"/>
    <d v="2015-08-31T00:00:00"/>
    <n v="-3340.78"/>
  </r>
  <r>
    <s v="100070977"/>
    <s v="SA"/>
    <s v="40545 PD0010"/>
    <x v="2"/>
    <s v="$54.2M Unamortized Loss Due 2018 (LT)"/>
    <s v="20150831"/>
    <x v="12"/>
    <d v="2015-08-31T00:00:00"/>
    <n v="-1179.21"/>
  </r>
  <r>
    <s v="100070978"/>
    <s v="SA"/>
    <s v="40545 PD0012"/>
    <x v="2"/>
    <s v="$51.6M Unamortized Loss Due 2025 (LT)"/>
    <s v="20150831"/>
    <x v="13"/>
    <d v="2015-08-31T00:00:00"/>
    <n v="-1019.33"/>
  </r>
  <r>
    <s v="100070979"/>
    <s v="SA"/>
    <s v="40545 PD0023-A"/>
    <x v="2"/>
    <s v="$20M Unamortized Loss Due 2020 (LT)"/>
    <s v="20150831"/>
    <x v="14"/>
    <d v="2015-08-31T00:00:00"/>
    <n v="-857.57"/>
  </r>
  <r>
    <s v="100070980"/>
    <s v="SA"/>
    <s v="40545 PD0013-A"/>
    <x v="2"/>
    <s v="$75M Unamortized Loss Due 2022 (LT)"/>
    <s v="20150831"/>
    <x v="2"/>
    <d v="2015-08-31T00:00:00"/>
    <n v="-3125.47"/>
  </r>
  <r>
    <s v="100070981"/>
    <s v="SA"/>
    <s v="40542 PD0013-A"/>
    <x v="2"/>
    <s v="$75M Call Premium Due 2022 (LT)"/>
    <s v="20150831"/>
    <x v="2"/>
    <d v="2015-08-31T00:00:00"/>
    <n v="-4451.78"/>
  </r>
  <r>
    <s v="100070982"/>
    <s v="SA"/>
    <s v="40544 PD0013"/>
    <x v="2"/>
    <s v="$75M Bond Discount Due 2022 (LT)"/>
    <s v="20150831"/>
    <x v="2"/>
    <d v="2015-08-31T00:00:00"/>
    <n v="-10077.08"/>
  </r>
  <r>
    <s v="100070983"/>
    <s v="SA"/>
    <s v="40545 PD0900-A"/>
    <x v="2"/>
    <s v="$80M Unamortized Loss Due 2022 (LT)"/>
    <s v="20150831"/>
    <x v="11"/>
    <d v="2015-08-31T00:00:00"/>
    <n v="-5589.54"/>
  </r>
  <r>
    <s v="100070984"/>
    <s v="SA"/>
    <s v="40542 PD0900-A"/>
    <x v="2"/>
    <s v="$80M Call Premium Due 2022 (LT)"/>
    <s v="20150831"/>
    <x v="11"/>
    <d v="2015-08-31T00:00:00"/>
    <n v="-10099.59"/>
  </r>
  <r>
    <s v="100070985"/>
    <s v="SA"/>
    <s v="40545 PD0023-B"/>
    <x v="2"/>
    <s v="$20M Unamortized Loss Due 2022 (LT)"/>
    <s v="20150831"/>
    <x v="14"/>
    <d v="2015-08-31T00:00:00"/>
    <n v="-1407.23"/>
  </r>
  <r>
    <s v="100070986"/>
    <s v="SA"/>
    <s v="40542 PD0023"/>
    <x v="2"/>
    <s v="$20M Call Premium Due 2022 (LT)"/>
    <s v="20150831"/>
    <x v="14"/>
    <d v="2015-08-31T00:00:00"/>
    <n v="-2524.9"/>
  </r>
  <r>
    <s v="100070987"/>
    <s v="SA"/>
    <s v="40545 PD0900-B"/>
    <x v="2"/>
    <s v="$3.125M Unamortized Loss Due 2021 (LT)"/>
    <s v="20150831"/>
    <x v="11"/>
    <d v="2015-08-31T00:00:00"/>
    <n v="-193.73"/>
  </r>
  <r>
    <s v="100070988"/>
    <s v="SA"/>
    <s v="40542 PD0900-B"/>
    <x v="2"/>
    <s v="$3.125M Call Premium Due 2021 (LT)"/>
    <s v="20150831"/>
    <x v="11"/>
    <d v="2015-08-31T00:00:00"/>
    <n v="-274.12"/>
  </r>
  <r>
    <s v="100070989"/>
    <s v="SA"/>
    <s v="40545 PD0900-C"/>
    <x v="2"/>
    <s v="$21.875M Unamortized Loss Due 2021 (LT)"/>
    <s v="20150831"/>
    <x v="11"/>
    <d v="2015-08-31T00:00:00"/>
    <n v="-1347.95"/>
  </r>
  <r>
    <s v="100070990"/>
    <s v="SA"/>
    <s v="40542 PD0900-C"/>
    <x v="2"/>
    <s v="$21.875M Call Premium Due 2021 (LT)"/>
    <s v="20150831"/>
    <x v="11"/>
    <d v="2015-08-31T00:00:00"/>
    <n v="-1918.86"/>
  </r>
  <r>
    <s v="100070991"/>
    <s v="SA"/>
    <s v="40545 PD0013-B"/>
    <x v="2"/>
    <s v="$75M Unamortized Loss Due 2030 (LT)"/>
    <s v="20150831"/>
    <x v="2"/>
    <d v="2015-08-31T00:00:00"/>
    <n v="-1780.13"/>
  </r>
  <r>
    <s v="100070992"/>
    <s v="SA"/>
    <s v="40545 PD0014-A"/>
    <x v="2"/>
    <s v="$85.95M Unamortized Loss Due 2034 (LT)"/>
    <s v="20150831"/>
    <x v="5"/>
    <d v="2015-08-31T00:00:00"/>
    <n v="-2230.71"/>
  </r>
  <r>
    <s v="100070993"/>
    <s v="SA"/>
    <s v="40542 PD0014"/>
    <x v="2"/>
    <s v="$85.95M Call Premium Due 2034 (LT)"/>
    <s v="20150831"/>
    <x v="5"/>
    <d v="2015-08-31T00:00:00"/>
    <n v="-2490.34"/>
  </r>
  <r>
    <s v="100070994"/>
    <s v="SA"/>
    <s v="40542 PD0013-B"/>
    <x v="2"/>
    <s v="$75M Call Premium Due 2030 (LT)"/>
    <s v="20150831"/>
    <x v="2"/>
    <d v="2015-08-31T00:00:00"/>
    <n v="-5336.81"/>
  </r>
  <r>
    <s v="100070995"/>
    <s v="SA"/>
    <s v="40543 PD0011"/>
    <x v="2"/>
    <s v="$86.4M Bond Discount Due 2023 (LT)"/>
    <s v="20150831"/>
    <x v="8"/>
    <d v="2015-08-31T00:00:00"/>
    <n v="-4207.3500000000004"/>
  </r>
  <r>
    <s v="100080788"/>
    <s v="SA"/>
    <s v="40545 PD0011"/>
    <x v="2"/>
    <s v="$86.4M Unamortized Loss Due 2023 (LT)"/>
    <s v="20150930"/>
    <x v="8"/>
    <d v="2015-09-30T00:00:00"/>
    <n v="-3340.78"/>
  </r>
  <r>
    <s v="100080789"/>
    <s v="SA"/>
    <s v="40545 PD0010"/>
    <x v="2"/>
    <s v="$54.2M Unamortized Loss Due 2018 (LT)"/>
    <s v="20150930"/>
    <x v="12"/>
    <d v="2015-09-30T00:00:00"/>
    <n v="-1179.21"/>
  </r>
  <r>
    <s v="100080790"/>
    <s v="SA"/>
    <s v="40545 PD0012"/>
    <x v="2"/>
    <s v="$51.6M Unamortized Loss Due 2025 (LT)"/>
    <s v="20150930"/>
    <x v="13"/>
    <d v="2015-09-30T00:00:00"/>
    <n v="-1019.33"/>
  </r>
  <r>
    <s v="100080791"/>
    <s v="SA"/>
    <s v="40545 PD0023-A"/>
    <x v="2"/>
    <s v="$20M Unamortized Loss Due 2020 (LT)"/>
    <s v="20150930"/>
    <x v="14"/>
    <d v="2015-09-30T00:00:00"/>
    <n v="-857.57"/>
  </r>
  <r>
    <s v="100080792"/>
    <s v="SA"/>
    <s v="40545 PD0013-A"/>
    <x v="2"/>
    <s v="$75M Unamortized Loss Due 2022 (LT)"/>
    <s v="20150930"/>
    <x v="2"/>
    <d v="2015-09-30T00:00:00"/>
    <n v="-3125.47"/>
  </r>
  <r>
    <s v="100080793"/>
    <s v="SA"/>
    <s v="40542 PD0013-A"/>
    <x v="2"/>
    <s v="$75M Call Premium Due 2022 (LT)"/>
    <s v="20150930"/>
    <x v="2"/>
    <d v="2015-09-30T00:00:00"/>
    <n v="-4451.78"/>
  </r>
  <r>
    <s v="100080794"/>
    <s v="SA"/>
    <s v="40544 PD0013"/>
    <x v="2"/>
    <s v="$75M Bond Discount Due 2022 (LT)"/>
    <s v="20150930"/>
    <x v="2"/>
    <d v="2015-09-30T00:00:00"/>
    <n v="-10077.08"/>
  </r>
  <r>
    <s v="100080795"/>
    <s v="SA"/>
    <s v="40545 PD0900-A"/>
    <x v="2"/>
    <s v="$80M Unamortized Loss Due 2022 (LT)"/>
    <s v="20150930"/>
    <x v="11"/>
    <d v="2015-09-30T00:00:00"/>
    <n v="-5589.54"/>
  </r>
  <r>
    <s v="100080796"/>
    <s v="SA"/>
    <s v="40542 PD0900-A"/>
    <x v="2"/>
    <s v="$80M Call Premium Due 2022 (LT)"/>
    <s v="20150930"/>
    <x v="11"/>
    <d v="2015-09-30T00:00:00"/>
    <n v="-10099.59"/>
  </r>
  <r>
    <s v="100080797"/>
    <s v="SA"/>
    <s v="40545 PD0023-B"/>
    <x v="2"/>
    <s v="$20M Unamortized Loss Due 2022 (LT)"/>
    <s v="20150930"/>
    <x v="14"/>
    <d v="2015-09-30T00:00:00"/>
    <n v="-1407.23"/>
  </r>
  <r>
    <s v="100080798"/>
    <s v="SA"/>
    <s v="40542 PD0023"/>
    <x v="2"/>
    <s v="$20M Call Premium Due 2022 (LT)"/>
    <s v="20150930"/>
    <x v="14"/>
    <d v="2015-09-30T00:00:00"/>
    <n v="-2524.9"/>
  </r>
  <r>
    <s v="100080799"/>
    <s v="SA"/>
    <s v="40545 PD0900-B"/>
    <x v="2"/>
    <s v="$3.125M Unamortized Loss Due 2021 (LT)"/>
    <s v="20150930"/>
    <x v="11"/>
    <d v="2015-09-30T00:00:00"/>
    <n v="-193.73"/>
  </r>
  <r>
    <s v="100080800"/>
    <s v="SA"/>
    <s v="40542 PD0900-B"/>
    <x v="2"/>
    <s v="$3.125M Call Premium Due 2021 (LT)"/>
    <s v="20150930"/>
    <x v="11"/>
    <d v="2015-09-30T00:00:00"/>
    <n v="-274.12"/>
  </r>
  <r>
    <s v="100080801"/>
    <s v="SA"/>
    <s v="40545 PD0900-C"/>
    <x v="2"/>
    <s v="$21.875M Unamortized Loss Due 2021 (LT)"/>
    <s v="20150930"/>
    <x v="11"/>
    <d v="2015-09-30T00:00:00"/>
    <n v="-1347.95"/>
  </r>
  <r>
    <s v="100080802"/>
    <s v="SA"/>
    <s v="40542 PD0900-C"/>
    <x v="2"/>
    <s v="$21.875M Call Premium Due 2021 (LT)"/>
    <s v="20150930"/>
    <x v="11"/>
    <d v="2015-09-30T00:00:00"/>
    <n v="-1918.86"/>
  </r>
  <r>
    <s v="100080803"/>
    <s v="SA"/>
    <s v="40545 PD0013-B"/>
    <x v="2"/>
    <s v="$75M Unamortized Loss Due 2030 (LT)"/>
    <s v="20150930"/>
    <x v="2"/>
    <d v="2015-09-30T00:00:00"/>
    <n v="-1780.13"/>
  </r>
  <r>
    <s v="100080804"/>
    <s v="SA"/>
    <s v="40545 PD0014-A"/>
    <x v="2"/>
    <s v="$85.95M Unamortized Loss Due 2034 (LT)"/>
    <s v="20150930"/>
    <x v="5"/>
    <d v="2015-09-30T00:00:00"/>
    <n v="-2230.71"/>
  </r>
  <r>
    <s v="100080805"/>
    <s v="SA"/>
    <s v="40542 PD0014"/>
    <x v="2"/>
    <s v="$85.95M Call Premium Due 2034 (LT)"/>
    <s v="20150930"/>
    <x v="5"/>
    <d v="2015-09-30T00:00:00"/>
    <n v="-2490.34"/>
  </r>
  <r>
    <s v="100080806"/>
    <s v="SA"/>
    <s v="40542 PD0013-B"/>
    <x v="2"/>
    <s v="$75M Call Premium Due 2030 (LT)"/>
    <s v="20150930"/>
    <x v="2"/>
    <d v="2015-09-30T00:00:00"/>
    <n v="-5336.81"/>
  </r>
  <r>
    <s v="100080807"/>
    <s v="SA"/>
    <s v="40543 PD0011"/>
    <x v="2"/>
    <s v="$86.4M Bond Discount Due 2023 (LT)"/>
    <s v="20150930"/>
    <x v="8"/>
    <d v="2015-09-30T00:00:00"/>
    <n v="-4207.3500000000004"/>
  </r>
  <r>
    <s v="100092416"/>
    <s v="SA"/>
    <s v="40545 PD0011"/>
    <x v="2"/>
    <s v="$86.4M Unamortized Loss Due 2023 (LT)"/>
    <s v="20151031"/>
    <x v="8"/>
    <d v="2015-10-31T00:00:00"/>
    <n v="-3340.78"/>
  </r>
  <r>
    <s v="100092417"/>
    <s v="SA"/>
    <s v="40545 PD0010"/>
    <x v="2"/>
    <s v="$54.2M Unamortized Loss Due 2018 (LT)"/>
    <s v="20151031"/>
    <x v="12"/>
    <d v="2015-10-31T00:00:00"/>
    <n v="-1179.21"/>
  </r>
  <r>
    <s v="100092418"/>
    <s v="SA"/>
    <s v="40545 PD0012"/>
    <x v="2"/>
    <s v="$51.6M Unamortized Loss Due 2025 (LT)"/>
    <s v="20151031"/>
    <x v="13"/>
    <d v="2015-10-31T00:00:00"/>
    <n v="-1019.33"/>
  </r>
  <r>
    <s v="100092419"/>
    <s v="SA"/>
    <s v="40545 PD0023-A"/>
    <x v="2"/>
    <s v="$20M Unamortized Loss Due 2020 (LT)"/>
    <s v="20151031"/>
    <x v="14"/>
    <d v="2015-10-31T00:00:00"/>
    <n v="-857.57"/>
  </r>
  <r>
    <s v="100092420"/>
    <s v="SA"/>
    <s v="40545 PD0013-A"/>
    <x v="2"/>
    <s v="$75M Unamortized Loss Due 2022 (LT)"/>
    <s v="20151031"/>
    <x v="2"/>
    <d v="2015-10-31T00:00:00"/>
    <n v="-3125.47"/>
  </r>
  <r>
    <s v="100092421"/>
    <s v="SA"/>
    <s v="40542 PD0013-A"/>
    <x v="2"/>
    <s v="$75M Call Premium Due 2022 (LT)"/>
    <s v="20151031"/>
    <x v="2"/>
    <d v="2015-10-31T00:00:00"/>
    <n v="-4451.78"/>
  </r>
  <r>
    <s v="100092422"/>
    <s v="SA"/>
    <s v="40544 PD0013"/>
    <x v="2"/>
    <s v="$75M Bond Discount Due 2022 (LT)"/>
    <s v="20151031"/>
    <x v="2"/>
    <d v="2015-10-31T00:00:00"/>
    <n v="-10077.08"/>
  </r>
  <r>
    <s v="100092423"/>
    <s v="SA"/>
    <s v="40545 PD0900-A"/>
    <x v="2"/>
    <s v="$80M Unamortized Loss Due 2022 (LT)"/>
    <s v="20151031"/>
    <x v="11"/>
    <d v="2015-10-31T00:00:00"/>
    <n v="-5589.54"/>
  </r>
  <r>
    <s v="100092424"/>
    <s v="SA"/>
    <s v="40542 PD0900-A"/>
    <x v="2"/>
    <s v="$80M Call Premium Due 2022 (LT)"/>
    <s v="20151031"/>
    <x v="11"/>
    <d v="2015-10-31T00:00:00"/>
    <n v="-10099.59"/>
  </r>
  <r>
    <s v="100092425"/>
    <s v="SA"/>
    <s v="40545 PD0023-B"/>
    <x v="2"/>
    <s v="$20M Unamortized Loss Due 2022 (LT)"/>
    <s v="20151031"/>
    <x v="14"/>
    <d v="2015-10-31T00:00:00"/>
    <n v="-1407.23"/>
  </r>
  <r>
    <s v="100092426"/>
    <s v="SA"/>
    <s v="40542 PD0023"/>
    <x v="2"/>
    <s v="$20M Call Premium Due 2022 (LT)"/>
    <s v="20151031"/>
    <x v="14"/>
    <d v="2015-10-31T00:00:00"/>
    <n v="-2524.9"/>
  </r>
  <r>
    <s v="100092427"/>
    <s v="SA"/>
    <s v="40545 PD0900-B"/>
    <x v="2"/>
    <s v="$3.125M Unamortized Loss Due 2021 (LT)"/>
    <s v="20151031"/>
    <x v="11"/>
    <d v="2015-10-31T00:00:00"/>
    <n v="-193.73"/>
  </r>
  <r>
    <s v="100092428"/>
    <s v="SA"/>
    <s v="40542 PD0900-B"/>
    <x v="2"/>
    <s v="$3.125M Call Premium Due 2021 (LT)"/>
    <s v="20151031"/>
    <x v="11"/>
    <d v="2015-10-31T00:00:00"/>
    <n v="-274.12"/>
  </r>
  <r>
    <s v="100092429"/>
    <s v="SA"/>
    <s v="40545 PD0900-C"/>
    <x v="2"/>
    <s v="$21.875M Unamortized Loss Due 2021 (LT)"/>
    <s v="20151031"/>
    <x v="11"/>
    <d v="2015-10-31T00:00:00"/>
    <n v="-1347.95"/>
  </r>
  <r>
    <s v="100092430"/>
    <s v="SA"/>
    <s v="40542 PD0900-C"/>
    <x v="2"/>
    <s v="$21.875M Call Premium Due 2021 (LT)"/>
    <s v="20151031"/>
    <x v="11"/>
    <d v="2015-10-31T00:00:00"/>
    <n v="-1918.86"/>
  </r>
  <r>
    <s v="100092431"/>
    <s v="SA"/>
    <s v="40545 PD0013-B"/>
    <x v="2"/>
    <s v="$75M Unamortized Loss Due 2030 (LT)"/>
    <s v="20151031"/>
    <x v="2"/>
    <d v="2015-10-31T00:00:00"/>
    <n v="-1780.13"/>
  </r>
  <r>
    <s v="100092432"/>
    <s v="SA"/>
    <s v="40545 PD0014-A"/>
    <x v="2"/>
    <s v="$85.95M Unamortized Loss Due 2034 (LT)"/>
    <s v="20151031"/>
    <x v="5"/>
    <d v="2015-10-31T00:00:00"/>
    <n v="-2230.71"/>
  </r>
  <r>
    <s v="100092433"/>
    <s v="SA"/>
    <s v="40542 PD0014"/>
    <x v="2"/>
    <s v="$85.95M Call Premium Due 2034 (LT)"/>
    <s v="20151031"/>
    <x v="5"/>
    <d v="2015-10-31T00:00:00"/>
    <n v="-2490.34"/>
  </r>
  <r>
    <s v="100092434"/>
    <s v="SA"/>
    <s v="40542 PD0013-B"/>
    <x v="2"/>
    <s v="$75M Call Premium Due 2030 (LT)"/>
    <s v="20151031"/>
    <x v="2"/>
    <d v="2015-10-31T00:00:00"/>
    <n v="-5336.81"/>
  </r>
  <r>
    <s v="100092435"/>
    <s v="SA"/>
    <s v="40543 PD0011"/>
    <x v="2"/>
    <s v="$86.4M Bond Discount Due 2023 (LT)"/>
    <s v="20151031"/>
    <x v="8"/>
    <d v="2015-10-31T00:00:00"/>
    <n v="-4207.3500000000004"/>
  </r>
  <r>
    <s v="100102239"/>
    <s v="SA"/>
    <s v="40545 PD0011"/>
    <x v="2"/>
    <s v="$86.4M Unamortized Loss Due 2023 (LT)"/>
    <s v="20151130"/>
    <x v="8"/>
    <d v="2015-11-30T00:00:00"/>
    <n v="-3340.78"/>
  </r>
  <r>
    <s v="100102240"/>
    <s v="SA"/>
    <s v="40545 PD0010"/>
    <x v="2"/>
    <s v="$54.2M Unamortized Loss Due 2018 (LT)"/>
    <s v="20151130"/>
    <x v="12"/>
    <d v="2015-11-30T00:00:00"/>
    <n v="-1179.21"/>
  </r>
  <r>
    <s v="100102241"/>
    <s v="SA"/>
    <s v="40545 PD0012"/>
    <x v="2"/>
    <s v="$51.6M Unamortized Loss Due 2025 (LT)"/>
    <s v="20151130"/>
    <x v="13"/>
    <d v="2015-11-30T00:00:00"/>
    <n v="-1019.33"/>
  </r>
  <r>
    <s v="100102242"/>
    <s v="SA"/>
    <s v="40545 PD0023-A"/>
    <x v="2"/>
    <s v="$20M Unamortized Loss Due 2020 (LT)"/>
    <s v="20151130"/>
    <x v="14"/>
    <d v="2015-11-30T00:00:00"/>
    <n v="-857.57"/>
  </r>
  <r>
    <s v="100102243"/>
    <s v="SA"/>
    <s v="40545 PD0013-A"/>
    <x v="2"/>
    <s v="$75M Unamortized Loss Due 2022 (LT)"/>
    <s v="20151130"/>
    <x v="2"/>
    <d v="2015-11-30T00:00:00"/>
    <n v="-3125.47"/>
  </r>
  <r>
    <s v="100102244"/>
    <s v="SA"/>
    <s v="40542 PD0013-A"/>
    <x v="2"/>
    <s v="$75M Call Premium Due 2022 (LT)"/>
    <s v="20151130"/>
    <x v="2"/>
    <d v="2015-11-30T00:00:00"/>
    <n v="-4451.78"/>
  </r>
  <r>
    <s v="100102245"/>
    <s v="SA"/>
    <s v="40544 PD0013"/>
    <x v="2"/>
    <s v="$75M Bond Discount Due 2022 (LT)"/>
    <s v="20151130"/>
    <x v="2"/>
    <d v="2015-11-30T00:00:00"/>
    <n v="-10077.08"/>
  </r>
  <r>
    <s v="100102246"/>
    <s v="SA"/>
    <s v="40545 PD0900-A"/>
    <x v="2"/>
    <s v="$80M Unamortized Loss Due 2022 (LT)"/>
    <s v="20151130"/>
    <x v="11"/>
    <d v="2015-11-30T00:00:00"/>
    <n v="-5589.54"/>
  </r>
  <r>
    <s v="100102247"/>
    <s v="SA"/>
    <s v="40542 PD0900-A"/>
    <x v="2"/>
    <s v="$80M Call Premium Due 2022 (LT)"/>
    <s v="20151130"/>
    <x v="11"/>
    <d v="2015-11-30T00:00:00"/>
    <n v="-10099.59"/>
  </r>
  <r>
    <s v="100102248"/>
    <s v="SA"/>
    <s v="40545 PD0023-B"/>
    <x v="2"/>
    <s v="$20M Unamortized Loss Due 2022 (LT)"/>
    <s v="20151130"/>
    <x v="14"/>
    <d v="2015-11-30T00:00:00"/>
    <n v="-1407.23"/>
  </r>
  <r>
    <s v="100102249"/>
    <s v="SA"/>
    <s v="40542 PD0023"/>
    <x v="2"/>
    <s v="$20M Call Premium Due 2022 (LT)"/>
    <s v="20151130"/>
    <x v="14"/>
    <d v="2015-11-30T00:00:00"/>
    <n v="-2524.9"/>
  </r>
  <r>
    <s v="100102250"/>
    <s v="SA"/>
    <s v="40545 PD0900-B"/>
    <x v="2"/>
    <s v="$3.125M Unamortized Loss Due 2021 (LT)"/>
    <s v="20151130"/>
    <x v="11"/>
    <d v="2015-11-30T00:00:00"/>
    <n v="-193.73"/>
  </r>
  <r>
    <s v="100102251"/>
    <s v="SA"/>
    <s v="40542 PD0900-B"/>
    <x v="2"/>
    <s v="$3.125M Call Premium Due 2021 (LT)"/>
    <s v="20151130"/>
    <x v="11"/>
    <d v="2015-11-30T00:00:00"/>
    <n v="-274.12"/>
  </r>
  <r>
    <s v="100102252"/>
    <s v="SA"/>
    <s v="40545 PD0900-C"/>
    <x v="2"/>
    <s v="$21.875M Unamortized Loss Due 2021 (LT)"/>
    <s v="20151130"/>
    <x v="11"/>
    <d v="2015-11-30T00:00:00"/>
    <n v="-1347.95"/>
  </r>
  <r>
    <s v="100102253"/>
    <s v="SA"/>
    <s v="40542 PD0900-C"/>
    <x v="2"/>
    <s v="$21.875M Call Premium Due 2021 (LT)"/>
    <s v="20151130"/>
    <x v="11"/>
    <d v="2015-11-30T00:00:00"/>
    <n v="-1918.86"/>
  </r>
  <r>
    <s v="100102254"/>
    <s v="SA"/>
    <s v="40545 PD0013-B"/>
    <x v="2"/>
    <s v="$75M Unamortized Loss Due 2030 (LT)"/>
    <s v="20151130"/>
    <x v="2"/>
    <d v="2015-11-30T00:00:00"/>
    <n v="-1780.13"/>
  </r>
  <r>
    <s v="100102255"/>
    <s v="SA"/>
    <s v="40545 PD0014-A"/>
    <x v="2"/>
    <s v="$85.95M Unamortized Loss Due 2034 (LT)"/>
    <s v="20151130"/>
    <x v="5"/>
    <d v="2015-11-30T00:00:00"/>
    <n v="-2230.71"/>
  </r>
  <r>
    <s v="100102256"/>
    <s v="SA"/>
    <s v="40542 PD0014"/>
    <x v="2"/>
    <s v="$85.95M Call Premium Due 2034 (LT)"/>
    <s v="20151130"/>
    <x v="5"/>
    <d v="2015-11-30T00:00:00"/>
    <n v="-2490.34"/>
  </r>
  <r>
    <s v="100102257"/>
    <s v="SA"/>
    <s v="40542 PD0013-B"/>
    <x v="2"/>
    <s v="$75M Call Premium Due 2030 (LT)"/>
    <s v="20151130"/>
    <x v="2"/>
    <d v="2015-11-30T00:00:00"/>
    <n v="-5336.81"/>
  </r>
  <r>
    <s v="100102258"/>
    <s v="SA"/>
    <s v="40543 PD0011"/>
    <x v="2"/>
    <s v="$86.4M Bond Discount Due 2023 (LT)"/>
    <s v="20151130"/>
    <x v="8"/>
    <d v="2015-11-30T00:00:00"/>
    <n v="-4207.3500000000004"/>
  </r>
  <r>
    <s v="100114788"/>
    <s v="SA"/>
    <s v="40545 PD0011"/>
    <x v="2"/>
    <s v="$86.4M Unamortized Loss Due 2023 (LT)"/>
    <s v="20151231"/>
    <x v="8"/>
    <d v="2015-12-31T00:00:00"/>
    <n v="-3340.78"/>
  </r>
  <r>
    <s v="100114789"/>
    <s v="SA"/>
    <s v="40545 PD0010"/>
    <x v="2"/>
    <s v="$54.2M Unamortized Loss Due 2018 (LT)"/>
    <s v="20151231"/>
    <x v="12"/>
    <d v="2015-12-31T00:00:00"/>
    <n v="-1179.21"/>
  </r>
  <r>
    <s v="100114790"/>
    <s v="SA"/>
    <s v="40545 PD0012"/>
    <x v="2"/>
    <s v="$51.6M Unamortized Loss Due 2025 (LT)"/>
    <s v="20151231"/>
    <x v="13"/>
    <d v="2015-12-31T00:00:00"/>
    <n v="-1019.33"/>
  </r>
  <r>
    <s v="100114791"/>
    <s v="SA"/>
    <s v="40545 PD0023-A"/>
    <x v="2"/>
    <s v="$20M Unamortized Loss Due 2020 (LT)"/>
    <s v="20151231"/>
    <x v="14"/>
    <d v="2015-12-31T00:00:00"/>
    <n v="-857.57"/>
  </r>
  <r>
    <s v="100114792"/>
    <s v="SA"/>
    <s v="40545 PD0013-A"/>
    <x v="2"/>
    <s v="$75M Unamortized Loss Due 2022 (LT)"/>
    <s v="20151231"/>
    <x v="2"/>
    <d v="2015-12-31T00:00:00"/>
    <n v="-3125.47"/>
  </r>
  <r>
    <s v="100114793"/>
    <s v="SA"/>
    <s v="40542 PD0013-A"/>
    <x v="2"/>
    <s v="$75M Call Premium Due 2022 (LT)"/>
    <s v="20151231"/>
    <x v="2"/>
    <d v="2015-12-31T00:00:00"/>
    <n v="-4451.78"/>
  </r>
  <r>
    <s v="100114794"/>
    <s v="SA"/>
    <s v="40544 PD0013"/>
    <x v="2"/>
    <s v="$75M Bond Discount Due 2022 (LT)"/>
    <s v="20151231"/>
    <x v="2"/>
    <d v="2015-12-31T00:00:00"/>
    <n v="-10077.08"/>
  </r>
  <r>
    <s v="100114795"/>
    <s v="SA"/>
    <s v="40545 PD0900-A"/>
    <x v="2"/>
    <s v="$80M Unamortized Loss Due 2022 (LT)"/>
    <s v="20151231"/>
    <x v="11"/>
    <d v="2015-12-31T00:00:00"/>
    <n v="-5589.54"/>
  </r>
  <r>
    <s v="100114796"/>
    <s v="SA"/>
    <s v="40542 PD0900-A"/>
    <x v="2"/>
    <s v="$80M Call Premium Due 2022 (LT)"/>
    <s v="20151231"/>
    <x v="11"/>
    <d v="2015-12-31T00:00:00"/>
    <n v="-10099.59"/>
  </r>
  <r>
    <s v="100114797"/>
    <s v="SA"/>
    <s v="40545 PD0023-B"/>
    <x v="2"/>
    <s v="$20M Unamortized Loss Due 2022 (LT)"/>
    <s v="20151231"/>
    <x v="14"/>
    <d v="2015-12-31T00:00:00"/>
    <n v="-1407.23"/>
  </r>
  <r>
    <s v="100114798"/>
    <s v="SA"/>
    <s v="40542 PD0023"/>
    <x v="2"/>
    <s v="$20M Call Premium Due 2022 (LT)"/>
    <s v="20151231"/>
    <x v="14"/>
    <d v="2015-12-31T00:00:00"/>
    <n v="-2524.9"/>
  </r>
  <r>
    <s v="100114799"/>
    <s v="SA"/>
    <s v="40545 PD0900-B"/>
    <x v="2"/>
    <s v="$3.125M Unamortized Loss Due 2021 (LT)"/>
    <s v="20151231"/>
    <x v="11"/>
    <d v="2015-12-31T00:00:00"/>
    <n v="-193.73"/>
  </r>
  <r>
    <s v="100114800"/>
    <s v="SA"/>
    <s v="40542 PD0900-B"/>
    <x v="2"/>
    <s v="$3.125M Call Premium Due 2021 (LT)"/>
    <s v="20151231"/>
    <x v="11"/>
    <d v="2015-12-31T00:00:00"/>
    <n v="-274.12"/>
  </r>
  <r>
    <s v="100114801"/>
    <s v="SA"/>
    <s v="40545 PD0900-C"/>
    <x v="2"/>
    <s v="$21.875M Unamortized Loss Due 2021 (LT)"/>
    <s v="20151231"/>
    <x v="11"/>
    <d v="2015-12-31T00:00:00"/>
    <n v="-1347.95"/>
  </r>
  <r>
    <s v="100114802"/>
    <s v="SA"/>
    <s v="40542 PD0900-C"/>
    <x v="2"/>
    <s v="$21.875M Call Premium Due 2021 (LT)"/>
    <s v="20151231"/>
    <x v="11"/>
    <d v="2015-12-31T00:00:00"/>
    <n v="-1918.86"/>
  </r>
  <r>
    <s v="100114803"/>
    <s v="SA"/>
    <s v="40545 PD0013-B"/>
    <x v="2"/>
    <s v="$75M Unamortized Loss Due 2030 (LT)"/>
    <s v="20151231"/>
    <x v="2"/>
    <d v="2015-12-31T00:00:00"/>
    <n v="-1780.13"/>
  </r>
  <r>
    <s v="100114804"/>
    <s v="SA"/>
    <s v="40545 PD0014-A"/>
    <x v="2"/>
    <s v="$85.95M Unamortized Loss Due 2034 (LT)"/>
    <s v="20151231"/>
    <x v="5"/>
    <d v="2015-12-31T00:00:00"/>
    <n v="-2230.71"/>
  </r>
  <r>
    <s v="100114805"/>
    <s v="SA"/>
    <s v="40542 PD0014"/>
    <x v="2"/>
    <s v="$85.95M Call Premium Due 2034 (LT)"/>
    <s v="20151231"/>
    <x v="5"/>
    <d v="2015-12-31T00:00:00"/>
    <n v="-2490.34"/>
  </r>
  <r>
    <s v="100114806"/>
    <s v="SA"/>
    <s v="40542 PD0013-B"/>
    <x v="2"/>
    <s v="$75M Call Premium Due 2030 (LT)"/>
    <s v="20151231"/>
    <x v="2"/>
    <d v="2015-12-31T00:00:00"/>
    <n v="-5336.81"/>
  </r>
  <r>
    <s v="100114807"/>
    <s v="SA"/>
    <s v="40543 PD0011"/>
    <x v="2"/>
    <s v="$86.4M Bond Discount Due 2023 (LT)"/>
    <s v="20151231"/>
    <x v="8"/>
    <d v="2015-12-31T00:00:00"/>
    <n v="-4207.3500000000004"/>
  </r>
  <r>
    <s v="100010164"/>
    <s v="SA"/>
    <s v="40545 PD0011"/>
    <x v="2"/>
    <s v="$86.4M Unamortized Loss Due 2023 (LT)"/>
    <s v="20160131"/>
    <x v="8"/>
    <d v="2016-01-31T00:00:00"/>
    <n v="-3340.78"/>
  </r>
  <r>
    <s v="100010165"/>
    <s v="SA"/>
    <s v="40545 PD0010"/>
    <x v="2"/>
    <s v="$54.2M Unamortized Loss Due 2018 (LT)"/>
    <s v="20160131"/>
    <x v="12"/>
    <d v="2016-01-31T00:00:00"/>
    <n v="-1179.21"/>
  </r>
  <r>
    <s v="100010166"/>
    <s v="SA"/>
    <s v="40545 PD0012"/>
    <x v="2"/>
    <s v="$51.6M Unamortized Loss Due 2025 (LT)"/>
    <s v="20160131"/>
    <x v="13"/>
    <d v="2016-01-31T00:00:00"/>
    <n v="-1019.33"/>
  </r>
  <r>
    <s v="100010167"/>
    <s v="SA"/>
    <s v="40545 PD0023-A"/>
    <x v="2"/>
    <s v="$20M Unamortized Loss Due 2020 (LT)"/>
    <s v="20160131"/>
    <x v="14"/>
    <d v="2016-01-31T00:00:00"/>
    <n v="-857.57"/>
  </r>
  <r>
    <s v="100010168"/>
    <s v="SA"/>
    <s v="40545 PD0013-A"/>
    <x v="2"/>
    <s v="$75M Unamortized Loss Due 2022 (LT)"/>
    <s v="20160131"/>
    <x v="2"/>
    <d v="2016-01-31T00:00:00"/>
    <n v="-3125.47"/>
  </r>
  <r>
    <s v="100010169"/>
    <s v="SA"/>
    <s v="40542 PD0013-A"/>
    <x v="2"/>
    <s v="$75M Call Premium Due 2022 (LT)"/>
    <s v="20160131"/>
    <x v="2"/>
    <d v="2016-01-31T00:00:00"/>
    <n v="-4451.78"/>
  </r>
  <r>
    <s v="100010170"/>
    <s v="SA"/>
    <s v="40544 PD0013"/>
    <x v="2"/>
    <s v="$75M Bond Discount Due 2022 (LT)"/>
    <s v="20160131"/>
    <x v="2"/>
    <d v="2016-01-31T00:00:00"/>
    <n v="-10077.08"/>
  </r>
  <r>
    <s v="100010171"/>
    <s v="SA"/>
    <s v="40545 PD0900-A"/>
    <x v="2"/>
    <s v="$80M Unamortized Loss Due 2022 (LT)"/>
    <s v="20160131"/>
    <x v="11"/>
    <d v="2016-01-31T00:00:00"/>
    <n v="-5589.54"/>
  </r>
  <r>
    <s v="100010172"/>
    <s v="SA"/>
    <s v="40542 PD0900-A"/>
    <x v="2"/>
    <s v="$80M Call Premium Due 2022 (LT)"/>
    <s v="20160131"/>
    <x v="11"/>
    <d v="2016-01-31T00:00:00"/>
    <n v="-10099.59"/>
  </r>
  <r>
    <s v="100010173"/>
    <s v="SA"/>
    <s v="40545 PD0023-B"/>
    <x v="2"/>
    <s v="$20M Unamortized Loss Due 2022 (LT)"/>
    <s v="20160131"/>
    <x v="14"/>
    <d v="2016-01-31T00:00:00"/>
    <n v="-1407.23"/>
  </r>
  <r>
    <s v="100010174"/>
    <s v="SA"/>
    <s v="40542 PD0023"/>
    <x v="2"/>
    <s v="$20M Call Premium Due 2022 (LT)"/>
    <s v="20160131"/>
    <x v="14"/>
    <d v="2016-01-31T00:00:00"/>
    <n v="-2524.9"/>
  </r>
  <r>
    <s v="100010175"/>
    <s v="SA"/>
    <s v="40545 PD0900-B"/>
    <x v="2"/>
    <s v="$3.125M Unamortized Loss Due 2021 (LT)"/>
    <s v="20160131"/>
    <x v="11"/>
    <d v="2016-01-31T00:00:00"/>
    <n v="-193.73"/>
  </r>
  <r>
    <s v="100010176"/>
    <s v="SA"/>
    <s v="40542 PD0900-B"/>
    <x v="2"/>
    <s v="$3.125M Call Premium Due 2021 (LT)"/>
    <s v="20160131"/>
    <x v="11"/>
    <d v="2016-01-31T00:00:00"/>
    <n v="-274.12"/>
  </r>
  <r>
    <s v="100010177"/>
    <s v="SA"/>
    <s v="40545 PD0900-C"/>
    <x v="2"/>
    <s v="$21.875M Unamortized Loss Due 2021 (LT)"/>
    <s v="20160131"/>
    <x v="11"/>
    <d v="2016-01-31T00:00:00"/>
    <n v="-1347.95"/>
  </r>
  <r>
    <s v="100010178"/>
    <s v="SA"/>
    <s v="40542 PD0900-C"/>
    <x v="2"/>
    <s v="$21.875M Call Premium Due 2021 (LT)"/>
    <s v="20160131"/>
    <x v="11"/>
    <d v="2016-01-31T00:00:00"/>
    <n v="-1918.86"/>
  </r>
  <r>
    <s v="100010179"/>
    <s v="SA"/>
    <s v="40545 PD0013-B"/>
    <x v="2"/>
    <s v="$75M Unamortized Loss Due 2030 (LT)"/>
    <s v="20160131"/>
    <x v="2"/>
    <d v="2016-01-31T00:00:00"/>
    <n v="-1780.13"/>
  </r>
  <r>
    <s v="100010180"/>
    <s v="SA"/>
    <s v="40545 PD0014-A"/>
    <x v="2"/>
    <s v="$85.95M Unamortized Loss Due 2034 (LT)"/>
    <s v="20160131"/>
    <x v="5"/>
    <d v="2016-01-31T00:00:00"/>
    <n v="-2230.71"/>
  </r>
  <r>
    <s v="100010181"/>
    <s v="SA"/>
    <s v="40542 PD0014"/>
    <x v="2"/>
    <s v="$85.95M Call Premium Due 2034 (LT)"/>
    <s v="20160131"/>
    <x v="5"/>
    <d v="2016-01-31T00:00:00"/>
    <n v="-2490.34"/>
  </r>
  <r>
    <s v="100010182"/>
    <s v="SA"/>
    <s v="40542 PD0013-B"/>
    <x v="2"/>
    <s v="$75M Call Premium Due 2030 (LT)"/>
    <s v="20160131"/>
    <x v="2"/>
    <d v="2016-01-31T00:00:00"/>
    <n v="-5336.81"/>
  </r>
  <r>
    <s v="100010183"/>
    <s v="SA"/>
    <s v="40543 PD0011"/>
    <x v="2"/>
    <s v="$86.4M Bond Discount Due 2023 (LT)"/>
    <s v="20160131"/>
    <x v="8"/>
    <d v="2016-01-31T00:00:00"/>
    <n v="-4207.3500000000004"/>
  </r>
  <r>
    <s v="100019874"/>
    <s v="SA"/>
    <s v="40545 PD0011"/>
    <x v="2"/>
    <s v="$86.4M Unamortized Loss Due 2023 (LT)"/>
    <s v="20160229"/>
    <x v="8"/>
    <d v="2016-02-29T00:00:00"/>
    <n v="-3340.78"/>
  </r>
  <r>
    <s v="100019875"/>
    <s v="SA"/>
    <s v="40545 PD0010"/>
    <x v="2"/>
    <s v="$54.2M Unamortized Loss Due 2018 (LT)"/>
    <s v="20160229"/>
    <x v="12"/>
    <d v="2016-02-29T00:00:00"/>
    <n v="-1179.21"/>
  </r>
  <r>
    <s v="100019876"/>
    <s v="SA"/>
    <s v="40545 PD0012"/>
    <x v="2"/>
    <s v="$51.6M Unamortized Loss Due 2025 (LT)"/>
    <s v="20160229"/>
    <x v="13"/>
    <d v="2016-02-29T00:00:00"/>
    <n v="-1019.33"/>
  </r>
  <r>
    <s v="100019877"/>
    <s v="SA"/>
    <s v="40545 PD0023-A"/>
    <x v="2"/>
    <s v="$20M Unamortized Loss Due 2020 (LT)"/>
    <s v="20160229"/>
    <x v="14"/>
    <d v="2016-02-29T00:00:00"/>
    <n v="-857.57"/>
  </r>
  <r>
    <s v="100019878"/>
    <s v="SA"/>
    <s v="40545 PD0013-A"/>
    <x v="2"/>
    <s v="$75M Unamortized Loss Due 2022 (LT)"/>
    <s v="20160229"/>
    <x v="2"/>
    <d v="2016-02-29T00:00:00"/>
    <n v="-3125.47"/>
  </r>
  <r>
    <s v="100019879"/>
    <s v="SA"/>
    <s v="40542 PD0013-A"/>
    <x v="2"/>
    <s v="$75M Call Premium Due 2022 (LT)"/>
    <s v="20160229"/>
    <x v="2"/>
    <d v="2016-02-29T00:00:00"/>
    <n v="-4451.78"/>
  </r>
  <r>
    <s v="100019880"/>
    <s v="SA"/>
    <s v="40544 PD0013"/>
    <x v="2"/>
    <s v="$75M Bond Discount Due 2022 (LT)"/>
    <s v="20160229"/>
    <x v="2"/>
    <d v="2016-02-29T00:00:00"/>
    <n v="-10077.08"/>
  </r>
  <r>
    <s v="100019881"/>
    <s v="SA"/>
    <s v="40545 PD0900-A"/>
    <x v="2"/>
    <s v="$80M Unamortized Loss Due 2022 (LT)"/>
    <s v="20160229"/>
    <x v="11"/>
    <d v="2016-02-29T00:00:00"/>
    <n v="-5589.54"/>
  </r>
  <r>
    <s v="100019882"/>
    <s v="SA"/>
    <s v="40542 PD0900-A"/>
    <x v="2"/>
    <s v="$80M Call Premium Due 2022 (LT)"/>
    <s v="20160229"/>
    <x v="11"/>
    <d v="2016-02-29T00:00:00"/>
    <n v="-10099.59"/>
  </r>
  <r>
    <s v="100019883"/>
    <s v="SA"/>
    <s v="40545 PD0023-B"/>
    <x v="2"/>
    <s v="$20M Unamortized Loss Due 2022 (LT)"/>
    <s v="20160229"/>
    <x v="14"/>
    <d v="2016-02-29T00:00:00"/>
    <n v="-1407.23"/>
  </r>
  <r>
    <s v="100019884"/>
    <s v="SA"/>
    <s v="40542 PD0023"/>
    <x v="2"/>
    <s v="$20M Call Premium Due 2022 (LT)"/>
    <s v="20160229"/>
    <x v="14"/>
    <d v="2016-02-29T00:00:00"/>
    <n v="-2524.9"/>
  </r>
  <r>
    <s v="100019885"/>
    <s v="SA"/>
    <s v="40545 PD0900-B"/>
    <x v="2"/>
    <s v="$3.125M Unamortized Loss Due 2021 (LT)"/>
    <s v="20160229"/>
    <x v="11"/>
    <d v="2016-02-29T00:00:00"/>
    <n v="-193.73"/>
  </r>
  <r>
    <s v="100019886"/>
    <s v="SA"/>
    <s v="40542 PD0900-B"/>
    <x v="2"/>
    <s v="$3.125M Call Premium Due 2021 (LT)"/>
    <s v="20160229"/>
    <x v="11"/>
    <d v="2016-02-29T00:00:00"/>
    <n v="-274.12"/>
  </r>
  <r>
    <s v="100019887"/>
    <s v="SA"/>
    <s v="40545 PD0900-C"/>
    <x v="2"/>
    <s v="$21.875M Unamortized Loss Due 2021 (LT)"/>
    <s v="20160229"/>
    <x v="11"/>
    <d v="2016-02-29T00:00:00"/>
    <n v="-1347.95"/>
  </r>
  <r>
    <s v="100019888"/>
    <s v="SA"/>
    <s v="40542 PD0900-C"/>
    <x v="2"/>
    <s v="$21.875M Call Premium Due 2021 (LT)"/>
    <s v="20160229"/>
    <x v="11"/>
    <d v="2016-02-29T00:00:00"/>
    <n v="-1918.86"/>
  </r>
  <r>
    <s v="100019889"/>
    <s v="SA"/>
    <s v="40545 PD0013-B"/>
    <x v="2"/>
    <s v="$75M Unamortized Loss Due 2030 (LT)"/>
    <s v="20160229"/>
    <x v="2"/>
    <d v="2016-02-29T00:00:00"/>
    <n v="-1780.13"/>
  </r>
  <r>
    <s v="100019890"/>
    <s v="SA"/>
    <s v="40545 PD0014-A"/>
    <x v="2"/>
    <s v="$85.95M Unamortized Loss Due 2034 (LT)"/>
    <s v="20160229"/>
    <x v="5"/>
    <d v="2016-02-29T00:00:00"/>
    <n v="-2230.71"/>
  </r>
  <r>
    <s v="100019891"/>
    <s v="SA"/>
    <s v="40542 PD0014"/>
    <x v="2"/>
    <s v="$85.95M Call Premium Due 2034 (LT)"/>
    <s v="20160229"/>
    <x v="5"/>
    <d v="2016-02-29T00:00:00"/>
    <n v="-2490.34"/>
  </r>
  <r>
    <s v="100019892"/>
    <s v="SA"/>
    <s v="40542 PD0013-B"/>
    <x v="2"/>
    <s v="$75M Call Premium Due 2030 (LT)"/>
    <s v="20160229"/>
    <x v="2"/>
    <d v="2016-02-29T00:00:00"/>
    <n v="-5336.81"/>
  </r>
  <r>
    <s v="100019893"/>
    <s v="SA"/>
    <s v="40543 PD0011"/>
    <x v="2"/>
    <s v="$86.4M Bond Discount Due 2023 (LT)"/>
    <s v="20160229"/>
    <x v="8"/>
    <d v="2016-02-29T00:00:00"/>
    <n v="-4207.3500000000004"/>
  </r>
  <r>
    <s v="100031931"/>
    <s v="SA"/>
    <s v="40545 PD0011"/>
    <x v="2"/>
    <s v="$86.4M Unamortized Loss Due 2023 (LT)"/>
    <s v="20160331"/>
    <x v="8"/>
    <d v="2016-03-31T00:00:00"/>
    <n v="-3340.78"/>
  </r>
  <r>
    <s v="100031932"/>
    <s v="SA"/>
    <s v="40545 PD0010"/>
    <x v="2"/>
    <s v="$54.2M Unamortized Loss Due 2018 (LT)"/>
    <s v="20160331"/>
    <x v="12"/>
    <d v="2016-03-31T00:00:00"/>
    <n v="-1179.21"/>
  </r>
  <r>
    <s v="100031933"/>
    <s v="SA"/>
    <s v="40545 PD0012"/>
    <x v="2"/>
    <s v="$51.6M Unamortized Loss Due 2025 (LT)"/>
    <s v="20160331"/>
    <x v="13"/>
    <d v="2016-03-31T00:00:00"/>
    <n v="-1019.33"/>
  </r>
  <r>
    <s v="100031934"/>
    <s v="SA"/>
    <s v="40545 PD0023-A"/>
    <x v="2"/>
    <s v="$20M Unamortized Loss Due 2020 (LT)"/>
    <s v="20160331"/>
    <x v="14"/>
    <d v="2016-03-31T00:00:00"/>
    <n v="-857.57"/>
  </r>
  <r>
    <s v="100031935"/>
    <s v="SA"/>
    <s v="40545 PD0013-A"/>
    <x v="2"/>
    <s v="$75M Unamortized Loss Due 2022 (LT)"/>
    <s v="20160331"/>
    <x v="2"/>
    <d v="2016-03-31T00:00:00"/>
    <n v="-3125.47"/>
  </r>
  <r>
    <s v="100031936"/>
    <s v="SA"/>
    <s v="40542 PD0013-A"/>
    <x v="2"/>
    <s v="$75M Call Premium Due 2022 (LT)"/>
    <s v="20160331"/>
    <x v="2"/>
    <d v="2016-03-31T00:00:00"/>
    <n v="-4451.78"/>
  </r>
  <r>
    <s v="100031937"/>
    <s v="SA"/>
    <s v="40544 PD0013"/>
    <x v="2"/>
    <s v="$75M Bond Discount Due 2022 (LT)"/>
    <s v="20160331"/>
    <x v="2"/>
    <d v="2016-03-31T00:00:00"/>
    <n v="-10077.08"/>
  </r>
  <r>
    <s v="100031938"/>
    <s v="SA"/>
    <s v="40545 PD0900-A"/>
    <x v="2"/>
    <s v="$80M Unamortized Loss Due 2022 (LT)"/>
    <s v="20160331"/>
    <x v="11"/>
    <d v="2016-03-31T00:00:00"/>
    <n v="-5589.54"/>
  </r>
  <r>
    <s v="100031939"/>
    <s v="SA"/>
    <s v="40542 PD0900-A"/>
    <x v="2"/>
    <s v="$80M Call Premium Due 2022 (LT)"/>
    <s v="20160331"/>
    <x v="11"/>
    <d v="2016-03-31T00:00:00"/>
    <n v="-10099.59"/>
  </r>
  <r>
    <s v="100031940"/>
    <s v="SA"/>
    <s v="40545 PD0023-B"/>
    <x v="2"/>
    <s v="$20M Unamortized Loss Due 2022 (LT)"/>
    <s v="20160331"/>
    <x v="14"/>
    <d v="2016-03-31T00:00:00"/>
    <n v="-1407.23"/>
  </r>
  <r>
    <s v="100031941"/>
    <s v="SA"/>
    <s v="40542 PD0023"/>
    <x v="2"/>
    <s v="$20M Call Premium Due 2022 (LT)"/>
    <s v="20160331"/>
    <x v="14"/>
    <d v="2016-03-31T00:00:00"/>
    <n v="-2524.9"/>
  </r>
  <r>
    <s v="100031942"/>
    <s v="SA"/>
    <s v="40545 PD0900-B"/>
    <x v="2"/>
    <s v="$3.125M Unamortized Loss Due 2021 (LT)"/>
    <s v="20160331"/>
    <x v="11"/>
    <d v="2016-03-31T00:00:00"/>
    <n v="-193.73"/>
  </r>
  <r>
    <s v="100031943"/>
    <s v="SA"/>
    <s v="40542 PD0900-B"/>
    <x v="2"/>
    <s v="$3.125M Call Premium Due 2021 (LT)"/>
    <s v="20160331"/>
    <x v="11"/>
    <d v="2016-03-31T00:00:00"/>
    <n v="-274.12"/>
  </r>
  <r>
    <s v="100031944"/>
    <s v="SA"/>
    <s v="40545 PD0900-C"/>
    <x v="2"/>
    <s v="$21.875M Unamortized Loss Due 2021 (LT)"/>
    <s v="20160331"/>
    <x v="11"/>
    <d v="2016-03-31T00:00:00"/>
    <n v="-1347.95"/>
  </r>
  <r>
    <s v="100031945"/>
    <s v="SA"/>
    <s v="40542 PD0900-C"/>
    <x v="2"/>
    <s v="$21.875M Call Premium Due 2021 (LT)"/>
    <s v="20160331"/>
    <x v="11"/>
    <d v="2016-03-31T00:00:00"/>
    <n v="-1918.86"/>
  </r>
  <r>
    <s v="100031946"/>
    <s v="SA"/>
    <s v="40545 PD0013-B"/>
    <x v="2"/>
    <s v="$75M Unamortized Loss Due 2030 (LT)"/>
    <s v="20160331"/>
    <x v="2"/>
    <d v="2016-03-31T00:00:00"/>
    <n v="-1780.13"/>
  </r>
  <r>
    <s v="100031947"/>
    <s v="SA"/>
    <s v="40545 PD0014-A"/>
    <x v="2"/>
    <s v="$85.95M Unamortized Loss Due 2034 (LT)"/>
    <s v="20160331"/>
    <x v="5"/>
    <d v="2016-03-31T00:00:00"/>
    <n v="-2230.71"/>
  </r>
  <r>
    <s v="100031948"/>
    <s v="SA"/>
    <s v="40542 PD0014"/>
    <x v="2"/>
    <s v="$85.95M Call Premium Due 2034 (LT)"/>
    <s v="20160331"/>
    <x v="5"/>
    <d v="2016-03-31T00:00:00"/>
    <n v="-2490.34"/>
  </r>
  <r>
    <s v="100031949"/>
    <s v="SA"/>
    <s v="40542 PD0013-B"/>
    <x v="2"/>
    <s v="$75M Call Premium Due 2030 (LT)"/>
    <s v="20160331"/>
    <x v="2"/>
    <d v="2016-03-31T00:00:00"/>
    <n v="-5336.81"/>
  </r>
  <r>
    <s v="100031950"/>
    <s v="SA"/>
    <s v="40543 PD0011"/>
    <x v="2"/>
    <s v="$86.4M Bond Discount Due 2023 (LT)"/>
    <s v="20160331"/>
    <x v="8"/>
    <d v="2016-03-31T00:00:00"/>
    <n v="-4207.3500000000004"/>
  </r>
  <r>
    <s v="100042494"/>
    <s v="SA"/>
    <s v="40545 PD0011"/>
    <x v="2"/>
    <s v="$86.4M Unamortized Loss Due 2023 (LT)"/>
    <s v="20160430"/>
    <x v="8"/>
    <d v="2016-04-30T00:00:00"/>
    <n v="-3340.78"/>
  </r>
  <r>
    <s v="100042495"/>
    <s v="SA"/>
    <s v="40545 PD0010"/>
    <x v="2"/>
    <s v="$54.2M Unamortized Loss Due 2018 (LT)"/>
    <s v="20160430"/>
    <x v="12"/>
    <d v="2016-04-30T00:00:00"/>
    <n v="-1179.21"/>
  </r>
  <r>
    <s v="100042496"/>
    <s v="SA"/>
    <s v="40545 PD0012"/>
    <x v="2"/>
    <s v="$51.6M Unamortized Loss Due 2025 (LT)"/>
    <s v="20160430"/>
    <x v="13"/>
    <d v="2016-04-30T00:00:00"/>
    <n v="-1019.33"/>
  </r>
  <r>
    <s v="100042497"/>
    <s v="SA"/>
    <s v="40545 PD0023-A"/>
    <x v="2"/>
    <s v="$20M Unamortized Loss Due 2020 (LT)"/>
    <s v="20160430"/>
    <x v="14"/>
    <d v="2016-04-30T00:00:00"/>
    <n v="-857.57"/>
  </r>
  <r>
    <s v="100042498"/>
    <s v="SA"/>
    <s v="40545 PD0013-A"/>
    <x v="2"/>
    <s v="$75M Unamortized Loss Due 2022 (LT)"/>
    <s v="20160430"/>
    <x v="2"/>
    <d v="2016-04-30T00:00:00"/>
    <n v="-3125.47"/>
  </r>
  <r>
    <s v="100042499"/>
    <s v="SA"/>
    <s v="40542 PD0013-A"/>
    <x v="2"/>
    <s v="$75M Call Premium Due 2022 (LT)"/>
    <s v="20160430"/>
    <x v="2"/>
    <d v="2016-04-30T00:00:00"/>
    <n v="-4451.78"/>
  </r>
  <r>
    <s v="100042500"/>
    <s v="SA"/>
    <s v="40544 PD0013"/>
    <x v="2"/>
    <s v="$75M Bond Discount Due 2022 (LT)"/>
    <s v="20160430"/>
    <x v="2"/>
    <d v="2016-04-30T00:00:00"/>
    <n v="-10077.08"/>
  </r>
  <r>
    <s v="100042501"/>
    <s v="SA"/>
    <s v="40545 PD0900-A"/>
    <x v="2"/>
    <s v="$80M Unamortized Loss Due 2022 (LT)"/>
    <s v="20160430"/>
    <x v="11"/>
    <d v="2016-04-30T00:00:00"/>
    <n v="-5589.54"/>
  </r>
  <r>
    <s v="100042502"/>
    <s v="SA"/>
    <s v="40542 PD0900-A"/>
    <x v="2"/>
    <s v="$80M Call Premium Due 2022 (LT)"/>
    <s v="20160430"/>
    <x v="11"/>
    <d v="2016-04-30T00:00:00"/>
    <n v="-10099.59"/>
  </r>
  <r>
    <s v="100042503"/>
    <s v="SA"/>
    <s v="40545 PD0023-B"/>
    <x v="2"/>
    <s v="$20M Unamortized Loss Due 2022 (LT)"/>
    <s v="20160430"/>
    <x v="14"/>
    <d v="2016-04-30T00:00:00"/>
    <n v="-1407.23"/>
  </r>
  <r>
    <s v="100042504"/>
    <s v="SA"/>
    <s v="40542 PD0023"/>
    <x v="2"/>
    <s v="$20M Call Premium Due 2022 (LT)"/>
    <s v="20160430"/>
    <x v="14"/>
    <d v="2016-04-30T00:00:00"/>
    <n v="-2524.9"/>
  </r>
  <r>
    <s v="100042505"/>
    <s v="SA"/>
    <s v="40545 PD0900-B"/>
    <x v="2"/>
    <s v="$3.125M Unamortized Loss Due 2021 (LT)"/>
    <s v="20160430"/>
    <x v="11"/>
    <d v="2016-04-30T00:00:00"/>
    <n v="-193.73"/>
  </r>
  <r>
    <s v="100042506"/>
    <s v="SA"/>
    <s v="40542 PD0900-B"/>
    <x v="2"/>
    <s v="$3.125M Call Premium Due 2021 (LT)"/>
    <s v="20160430"/>
    <x v="11"/>
    <d v="2016-04-30T00:00:00"/>
    <n v="-274.12"/>
  </r>
  <r>
    <s v="100042507"/>
    <s v="SA"/>
    <s v="40545 PD0900-C"/>
    <x v="2"/>
    <s v="$21.875M Unamortized Loss Due 2021 (LT)"/>
    <s v="20160430"/>
    <x v="11"/>
    <d v="2016-04-30T00:00:00"/>
    <n v="-1347.95"/>
  </r>
  <r>
    <s v="100042508"/>
    <s v="SA"/>
    <s v="40542 PD0900-C"/>
    <x v="2"/>
    <s v="$21.875M Call Premium Due 2021 (LT)"/>
    <s v="20160430"/>
    <x v="11"/>
    <d v="2016-04-30T00:00:00"/>
    <n v="-1918.86"/>
  </r>
  <r>
    <s v="100042509"/>
    <s v="SA"/>
    <s v="40545 PD0013-B"/>
    <x v="2"/>
    <s v="$75M Unamortized Loss Due 2030 (LT)"/>
    <s v="20160430"/>
    <x v="2"/>
    <d v="2016-04-30T00:00:00"/>
    <n v="-1780.13"/>
  </r>
  <r>
    <s v="100042510"/>
    <s v="SA"/>
    <s v="40545 PD0014-A"/>
    <x v="2"/>
    <s v="$85.95M Unamortized Loss Due 2034 (LT)"/>
    <s v="20160430"/>
    <x v="5"/>
    <d v="2016-04-30T00:00:00"/>
    <n v="-2230.71"/>
  </r>
  <r>
    <s v="100042511"/>
    <s v="SA"/>
    <s v="40542 PD0014"/>
    <x v="2"/>
    <s v="$85.95M Call Premium Due 2034 (LT)"/>
    <s v="20160430"/>
    <x v="5"/>
    <d v="2016-04-30T00:00:00"/>
    <n v="-2490.34"/>
  </r>
  <r>
    <s v="100042512"/>
    <s v="SA"/>
    <s v="40542 PD0013-B"/>
    <x v="2"/>
    <s v="$75M Call Premium Due 2030 (LT)"/>
    <s v="20160430"/>
    <x v="2"/>
    <d v="2016-04-30T00:00:00"/>
    <n v="-5336.81"/>
  </r>
  <r>
    <s v="100042513"/>
    <s v="SA"/>
    <s v="40543 PD0011"/>
    <x v="2"/>
    <s v="$86.4M Bond Discount Due 2023 (LT)"/>
    <s v="20160430"/>
    <x v="8"/>
    <d v="2016-04-30T00:00:00"/>
    <n v="-4207.3500000000004"/>
  </r>
  <r>
    <s v="100053233"/>
    <s v="SA"/>
    <s v="40545 PD0011"/>
    <x v="2"/>
    <s v="$86.4M Unamortized Loss Due 2023 (LT)"/>
    <s v="20160531"/>
    <x v="8"/>
    <d v="2016-05-31T00:00:00"/>
    <n v="-3340.78"/>
  </r>
  <r>
    <s v="100053234"/>
    <s v="SA"/>
    <s v="40545 PD0010"/>
    <x v="2"/>
    <s v="$54.2M Unamortized Loss Due 2018 (LT)"/>
    <s v="20160531"/>
    <x v="12"/>
    <d v="2016-05-31T00:00:00"/>
    <n v="-1179.21"/>
  </r>
  <r>
    <s v="100053235"/>
    <s v="SA"/>
    <s v="40545 PD0012"/>
    <x v="2"/>
    <s v="$51.6M Unamortized Loss Due 2025 (LT)"/>
    <s v="20160531"/>
    <x v="13"/>
    <d v="2016-05-31T00:00:00"/>
    <n v="-1019.33"/>
  </r>
  <r>
    <s v="100053236"/>
    <s v="SA"/>
    <s v="40545 PD0023-A"/>
    <x v="2"/>
    <s v="$20M Unamortized Loss Due 2020 (LT)"/>
    <s v="20160531"/>
    <x v="14"/>
    <d v="2016-05-31T00:00:00"/>
    <n v="-857.57"/>
  </r>
  <r>
    <s v="100053237"/>
    <s v="SA"/>
    <s v="40545 PD0013-A"/>
    <x v="2"/>
    <s v="$75M Unamortized Loss Due 2022 (LT)"/>
    <s v="20160531"/>
    <x v="2"/>
    <d v="2016-05-31T00:00:00"/>
    <n v="-3125.47"/>
  </r>
  <r>
    <s v="100053238"/>
    <s v="SA"/>
    <s v="40542 PD0013-A"/>
    <x v="2"/>
    <s v="$75M Call Premium Due 2022 (LT)"/>
    <s v="20160531"/>
    <x v="2"/>
    <d v="2016-05-31T00:00:00"/>
    <n v="-4451.78"/>
  </r>
  <r>
    <s v="100053239"/>
    <s v="SA"/>
    <s v="40544 PD0013"/>
    <x v="2"/>
    <s v="$75M Bond Discount Due 2022 (LT)"/>
    <s v="20160531"/>
    <x v="2"/>
    <d v="2016-05-31T00:00:00"/>
    <n v="-10077.08"/>
  </r>
  <r>
    <s v="100053240"/>
    <s v="SA"/>
    <s v="40545 PD0900-A"/>
    <x v="2"/>
    <s v="$80M Unamortized Loss Due 2022 (LT)"/>
    <s v="20160531"/>
    <x v="11"/>
    <d v="2016-05-31T00:00:00"/>
    <n v="-5589.54"/>
  </r>
  <r>
    <s v="100053241"/>
    <s v="SA"/>
    <s v="40542 PD0900-A"/>
    <x v="2"/>
    <s v="$80M Call Premium Due 2022 (LT)"/>
    <s v="20160531"/>
    <x v="11"/>
    <d v="2016-05-31T00:00:00"/>
    <n v="-10099.59"/>
  </r>
  <r>
    <s v="100053242"/>
    <s v="SA"/>
    <s v="40545 PD0023-B"/>
    <x v="2"/>
    <s v="$20M Unamortized Loss Due 2022 (LT)"/>
    <s v="20160531"/>
    <x v="14"/>
    <d v="2016-05-31T00:00:00"/>
    <n v="-1407.23"/>
  </r>
  <r>
    <s v="100053243"/>
    <s v="SA"/>
    <s v="40542 PD0023"/>
    <x v="2"/>
    <s v="$20M Call Premium Due 2022 (LT)"/>
    <s v="20160531"/>
    <x v="14"/>
    <d v="2016-05-31T00:00:00"/>
    <n v="-2524.9"/>
  </r>
  <r>
    <s v="100053244"/>
    <s v="SA"/>
    <s v="40545 PD0900-B"/>
    <x v="2"/>
    <s v="$3.125M Unamortized Loss Due 2021 (LT)"/>
    <s v="20160531"/>
    <x v="11"/>
    <d v="2016-05-31T00:00:00"/>
    <n v="-193.73"/>
  </r>
  <r>
    <s v="100053245"/>
    <s v="SA"/>
    <s v="40542 PD0900-B"/>
    <x v="2"/>
    <s v="$3.125M Call Premium Due 2021 (LT)"/>
    <s v="20160531"/>
    <x v="11"/>
    <d v="2016-05-31T00:00:00"/>
    <n v="-274.12"/>
  </r>
  <r>
    <s v="100053246"/>
    <s v="SA"/>
    <s v="40545 PD0900-C"/>
    <x v="2"/>
    <s v="$21.875M Unamortized Loss Due 2021 (LT)"/>
    <s v="20160531"/>
    <x v="11"/>
    <d v="2016-05-31T00:00:00"/>
    <n v="-1347.95"/>
  </r>
  <r>
    <s v="100053247"/>
    <s v="SA"/>
    <s v="40542 PD0900-C"/>
    <x v="2"/>
    <s v="$21.875M Call Premium Due 2021 (LT)"/>
    <s v="20160531"/>
    <x v="11"/>
    <d v="2016-05-31T00:00:00"/>
    <n v="-1918.86"/>
  </r>
  <r>
    <s v="100053248"/>
    <s v="SA"/>
    <s v="40545 PD0013-B"/>
    <x v="2"/>
    <s v="$75M Unamortized Loss Due 2030 (LT)"/>
    <s v="20160531"/>
    <x v="2"/>
    <d v="2016-05-31T00:00:00"/>
    <n v="-1780.13"/>
  </r>
  <r>
    <s v="100053249"/>
    <s v="SA"/>
    <s v="40545 PD0014-A"/>
    <x v="2"/>
    <s v="$85.95M Unamortized Loss Due 2034 (LT)"/>
    <s v="20160531"/>
    <x v="5"/>
    <d v="2016-05-31T00:00:00"/>
    <n v="-2230.71"/>
  </r>
  <r>
    <s v="100053250"/>
    <s v="SA"/>
    <s v="40542 PD0014"/>
    <x v="2"/>
    <s v="$85.95M Call Premium Due 2034 (LT)"/>
    <s v="20160531"/>
    <x v="5"/>
    <d v="2016-05-31T00:00:00"/>
    <n v="-2490.34"/>
  </r>
  <r>
    <s v="100053251"/>
    <s v="SA"/>
    <s v="40542 PD0013-B"/>
    <x v="2"/>
    <s v="$75M Call Premium Due 2030 (LT)"/>
    <s v="20160531"/>
    <x v="2"/>
    <d v="2016-05-31T00:00:00"/>
    <n v="-5336.81"/>
  </r>
  <r>
    <s v="100053252"/>
    <s v="SA"/>
    <s v="40543 PD0011"/>
    <x v="2"/>
    <s v="$86.4M Bond Discount Due 2023 (LT)"/>
    <s v="20160531"/>
    <x v="8"/>
    <d v="2016-05-31T00:00:00"/>
    <n v="-4207.3500000000004"/>
  </r>
  <r>
    <s v="100064213"/>
    <s v="SA"/>
    <s v="40545 PD0011"/>
    <x v="2"/>
    <s v="$86.4M Unamortized Loss Due 2023 (LT)"/>
    <s v="20160630"/>
    <x v="8"/>
    <d v="2016-06-30T00:00:00"/>
    <n v="-3340.78"/>
  </r>
  <r>
    <s v="100064214"/>
    <s v="SA"/>
    <s v="40545 PD0010"/>
    <x v="2"/>
    <s v="$54.2M Unamortized Loss Due 2018 (LT)"/>
    <s v="20160630"/>
    <x v="12"/>
    <d v="2016-06-30T00:00:00"/>
    <n v="-1179.21"/>
  </r>
  <r>
    <s v="100064215"/>
    <s v="SA"/>
    <s v="40545 PD0012"/>
    <x v="2"/>
    <s v="$51.6M Unamortized Loss Due 2025 (LT)"/>
    <s v="20160630"/>
    <x v="13"/>
    <d v="2016-06-30T00:00:00"/>
    <n v="-1019.33"/>
  </r>
  <r>
    <s v="100064216"/>
    <s v="SA"/>
    <s v="40545 PD0023-A"/>
    <x v="2"/>
    <s v="$20M Unamortized Loss Due 2020 (LT)"/>
    <s v="20160630"/>
    <x v="14"/>
    <d v="2016-06-30T00:00:00"/>
    <n v="-857.57"/>
  </r>
  <r>
    <s v="100064217"/>
    <s v="SA"/>
    <s v="40545 PD0013-A"/>
    <x v="2"/>
    <s v="$75M Unamortized Loss Due 2022 (LT)"/>
    <s v="20160630"/>
    <x v="2"/>
    <d v="2016-06-30T00:00:00"/>
    <n v="-3125.47"/>
  </r>
  <r>
    <s v="100064218"/>
    <s v="SA"/>
    <s v="40542 PD0013-A"/>
    <x v="2"/>
    <s v="$75M Call Premium Due 2022 (LT)"/>
    <s v="20160630"/>
    <x v="2"/>
    <d v="2016-06-30T00:00:00"/>
    <n v="-4451.78"/>
  </r>
  <r>
    <s v="100064219"/>
    <s v="SA"/>
    <s v="40544 PD0013"/>
    <x v="2"/>
    <s v="$75M Bond Discount Due 2022 (LT)"/>
    <s v="20160630"/>
    <x v="2"/>
    <d v="2016-06-30T00:00:00"/>
    <n v="-10077.08"/>
  </r>
  <r>
    <s v="100064220"/>
    <s v="SA"/>
    <s v="40545 PD0900-A"/>
    <x v="2"/>
    <s v="$80M Unamortized Loss Due 2022 (LT)"/>
    <s v="20160630"/>
    <x v="11"/>
    <d v="2016-06-30T00:00:00"/>
    <n v="-5589.54"/>
  </r>
  <r>
    <s v="100064221"/>
    <s v="SA"/>
    <s v="40542 PD0900-A"/>
    <x v="2"/>
    <s v="$80M Call Premium Due 2022 (LT)"/>
    <s v="20160630"/>
    <x v="11"/>
    <d v="2016-06-30T00:00:00"/>
    <n v="-10099.59"/>
  </r>
  <r>
    <s v="100064222"/>
    <s v="SA"/>
    <s v="40545 PD0023-B"/>
    <x v="2"/>
    <s v="$20M Unamortized Loss Due 2022 (LT)"/>
    <s v="20160630"/>
    <x v="14"/>
    <d v="2016-06-30T00:00:00"/>
    <n v="-1407.23"/>
  </r>
  <r>
    <s v="100064223"/>
    <s v="SA"/>
    <s v="40542 PD0023"/>
    <x v="2"/>
    <s v="$20M Call Premium Due 2022 (LT)"/>
    <s v="20160630"/>
    <x v="14"/>
    <d v="2016-06-30T00:00:00"/>
    <n v="-2524.9"/>
  </r>
  <r>
    <s v="100064224"/>
    <s v="SA"/>
    <s v="40545 PD0900-B"/>
    <x v="2"/>
    <s v="$3.125M Unamortized Loss Due 2021 (LT)"/>
    <s v="20160630"/>
    <x v="11"/>
    <d v="2016-06-30T00:00:00"/>
    <n v="-193.73"/>
  </r>
  <r>
    <s v="100064225"/>
    <s v="SA"/>
    <s v="40542 PD0900-B"/>
    <x v="2"/>
    <s v="$3.125M Call Premium Due 2021 (LT)"/>
    <s v="20160630"/>
    <x v="11"/>
    <d v="2016-06-30T00:00:00"/>
    <n v="-274.12"/>
  </r>
  <r>
    <s v="100064226"/>
    <s v="SA"/>
    <s v="40545 PD0900-C"/>
    <x v="2"/>
    <s v="$21.875M Unamortized Loss Due 2021 (LT)"/>
    <s v="20160630"/>
    <x v="11"/>
    <d v="2016-06-30T00:00:00"/>
    <n v="-1347.95"/>
  </r>
  <r>
    <s v="100064227"/>
    <s v="SA"/>
    <s v="40542 PD0900-C"/>
    <x v="2"/>
    <s v="$21.875M Call Premium Due 2021 (LT)"/>
    <s v="20160630"/>
    <x v="11"/>
    <d v="2016-06-30T00:00:00"/>
    <n v="-1918.86"/>
  </r>
  <r>
    <s v="100064228"/>
    <s v="SA"/>
    <s v="40545 PD0013-B"/>
    <x v="2"/>
    <s v="$75M Unamortized Loss Due 2030 (LT)"/>
    <s v="20160630"/>
    <x v="2"/>
    <d v="2016-06-30T00:00:00"/>
    <n v="-1780.13"/>
  </r>
  <r>
    <s v="100064229"/>
    <s v="SA"/>
    <s v="40545 PD0014-A"/>
    <x v="2"/>
    <s v="$85.95M Unamortized Loss Due 2034 (LT)"/>
    <s v="20160630"/>
    <x v="5"/>
    <d v="2016-06-30T00:00:00"/>
    <n v="-2230.71"/>
  </r>
  <r>
    <s v="100064230"/>
    <s v="SA"/>
    <s v="40542 PD0014"/>
    <x v="2"/>
    <s v="$85.95M Call Premium Due 2034 (LT)"/>
    <s v="20160630"/>
    <x v="5"/>
    <d v="2016-06-30T00:00:00"/>
    <n v="-2490.34"/>
  </r>
  <r>
    <s v="100064231"/>
    <s v="SA"/>
    <s v="40542 PD0013-B"/>
    <x v="2"/>
    <s v="$75M Call Premium Due 2030 (LT)"/>
    <s v="20160630"/>
    <x v="2"/>
    <d v="2016-06-30T00:00:00"/>
    <n v="-5336.81"/>
  </r>
  <r>
    <s v="100064232"/>
    <s v="SA"/>
    <s v="40543 PD0011"/>
    <x v="2"/>
    <s v="$86.4M Bond Discount Due 2023 (LT)"/>
    <s v="20160630"/>
    <x v="8"/>
    <d v="2016-06-30T00:00:00"/>
    <n v="-4207.3500000000004"/>
  </r>
  <r>
    <s v="100074850"/>
    <s v="SA"/>
    <s v="40545 PD0011"/>
    <x v="2"/>
    <s v="$86.4M Unamortized Loss Due 2023 (LT)"/>
    <s v="20160731"/>
    <x v="8"/>
    <d v="2016-07-31T00:00:00"/>
    <n v="-3340.78"/>
  </r>
  <r>
    <s v="100074851"/>
    <s v="SA"/>
    <s v="40545 PD0010"/>
    <x v="2"/>
    <s v="$54.2M Unamortized Loss Due 2018 (LT)"/>
    <s v="20160731"/>
    <x v="12"/>
    <d v="2016-07-31T00:00:00"/>
    <n v="-1179.21"/>
  </r>
  <r>
    <s v="100074852"/>
    <s v="SA"/>
    <s v="40545 PD0012"/>
    <x v="2"/>
    <s v="$51.6M Unamortized Loss Due 2025 (LT)"/>
    <s v="20160731"/>
    <x v="13"/>
    <d v="2016-07-31T00:00:00"/>
    <n v="-1019.33"/>
  </r>
  <r>
    <s v="100074853"/>
    <s v="SA"/>
    <s v="40545 PD0023-A"/>
    <x v="2"/>
    <s v="$20M Unamortized Loss Due 2020 (LT)"/>
    <s v="20160731"/>
    <x v="14"/>
    <d v="2016-07-31T00:00:00"/>
    <n v="-857.57"/>
  </r>
  <r>
    <s v="100074854"/>
    <s v="SA"/>
    <s v="40545 PD0013-A"/>
    <x v="2"/>
    <s v="$75M Unamortized Loss Due 2022 (LT)"/>
    <s v="20160731"/>
    <x v="2"/>
    <d v="2016-07-31T00:00:00"/>
    <n v="-3125.47"/>
  </r>
  <r>
    <s v="100074855"/>
    <s v="SA"/>
    <s v="40542 PD0013-A"/>
    <x v="2"/>
    <s v="$75M Call Premium Due 2022 (LT)"/>
    <s v="20160731"/>
    <x v="2"/>
    <d v="2016-07-31T00:00:00"/>
    <n v="-4451.78"/>
  </r>
  <r>
    <s v="100074856"/>
    <s v="SA"/>
    <s v="40544 PD0013"/>
    <x v="2"/>
    <s v="$75M Bond Discount Due 2022 (LT)"/>
    <s v="20160731"/>
    <x v="2"/>
    <d v="2016-07-31T00:00:00"/>
    <n v="-10077.08"/>
  </r>
  <r>
    <s v="100074857"/>
    <s v="SA"/>
    <s v="40545 PD0900-A"/>
    <x v="2"/>
    <s v="$80M Unamortized Loss Due 2022 (LT)"/>
    <s v="20160731"/>
    <x v="11"/>
    <d v="2016-07-31T00:00:00"/>
    <n v="-5589.54"/>
  </r>
  <r>
    <s v="100074858"/>
    <s v="SA"/>
    <s v="40542 PD0900-A"/>
    <x v="2"/>
    <s v="$80M Call Premium Due 2022 (LT)"/>
    <s v="20160731"/>
    <x v="11"/>
    <d v="2016-07-31T00:00:00"/>
    <n v="-10099.59"/>
  </r>
  <r>
    <s v="100074859"/>
    <s v="SA"/>
    <s v="40545 PD0023-B"/>
    <x v="2"/>
    <s v="$20M Unamortized Loss Due 2022 (LT)"/>
    <s v="20160731"/>
    <x v="14"/>
    <d v="2016-07-31T00:00:00"/>
    <n v="-1407.23"/>
  </r>
  <r>
    <s v="100074860"/>
    <s v="SA"/>
    <s v="40542 PD0023"/>
    <x v="2"/>
    <s v="$20M Call Premium Due 2022 (LT)"/>
    <s v="20160731"/>
    <x v="14"/>
    <d v="2016-07-31T00:00:00"/>
    <n v="-2524.9"/>
  </r>
  <r>
    <s v="100074861"/>
    <s v="SA"/>
    <s v="40545 PD0900-B"/>
    <x v="2"/>
    <s v="$3.125M Unamortized Loss Due 2021 (LT)"/>
    <s v="20160731"/>
    <x v="11"/>
    <d v="2016-07-31T00:00:00"/>
    <n v="-193.73"/>
  </r>
  <r>
    <s v="100074862"/>
    <s v="SA"/>
    <s v="40542 PD0900-B"/>
    <x v="2"/>
    <s v="$3.125M Call Premium Due 2021 (LT)"/>
    <s v="20160731"/>
    <x v="11"/>
    <d v="2016-07-31T00:00:00"/>
    <n v="-274.12"/>
  </r>
  <r>
    <s v="100074863"/>
    <s v="SA"/>
    <s v="40545 PD0900-C"/>
    <x v="2"/>
    <s v="$21.875M Unamortized Loss Due 2021 (LT)"/>
    <s v="20160731"/>
    <x v="11"/>
    <d v="2016-07-31T00:00:00"/>
    <n v="-1347.95"/>
  </r>
  <r>
    <s v="100074864"/>
    <s v="SA"/>
    <s v="40542 PD0900-C"/>
    <x v="2"/>
    <s v="$21.875M Call Premium Due 2021 (LT)"/>
    <s v="20160731"/>
    <x v="11"/>
    <d v="2016-07-31T00:00:00"/>
    <n v="-1918.86"/>
  </r>
  <r>
    <s v="100074865"/>
    <s v="SA"/>
    <s v="40545 PD0013-B"/>
    <x v="2"/>
    <s v="$75M Unamortized Loss Due 2030 (LT)"/>
    <s v="20160731"/>
    <x v="2"/>
    <d v="2016-07-31T00:00:00"/>
    <n v="-1780.13"/>
  </r>
  <r>
    <s v="100074866"/>
    <s v="SA"/>
    <s v="40545 PD0014-A"/>
    <x v="2"/>
    <s v="$85.95M Unamortized Loss Due 2034 (LT)"/>
    <s v="20160731"/>
    <x v="5"/>
    <d v="2016-07-31T00:00:00"/>
    <n v="-2230.71"/>
  </r>
  <r>
    <s v="100074867"/>
    <s v="SA"/>
    <s v="40542 PD0014"/>
    <x v="2"/>
    <s v="$85.95M Call Premium Due 2034 (LT)"/>
    <s v="20160731"/>
    <x v="5"/>
    <d v="2016-07-31T00:00:00"/>
    <n v="-2490.34"/>
  </r>
  <r>
    <s v="100074868"/>
    <s v="SA"/>
    <s v="40542 PD0013-B"/>
    <x v="2"/>
    <s v="$75M Call Premium Due 2030 (LT)"/>
    <s v="20160731"/>
    <x v="2"/>
    <d v="2016-07-31T00:00:00"/>
    <n v="-5336.81"/>
  </r>
  <r>
    <s v="100074869"/>
    <s v="SA"/>
    <s v="40543 PD0011"/>
    <x v="2"/>
    <s v="$86.4M Bond Discount Due 2023 (LT)"/>
    <s v="20160731"/>
    <x v="8"/>
    <d v="2016-07-31T00:00:00"/>
    <n v="-4207.3500000000004"/>
  </r>
  <r>
    <s v="100086909"/>
    <s v="SA"/>
    <s v="40545 PD0011"/>
    <x v="2"/>
    <s v="$86.4M Unamortized Loss Due 2023 (LT)"/>
    <s v="20160831"/>
    <x v="8"/>
    <d v="2016-08-31T00:00:00"/>
    <n v="-3340.78"/>
  </r>
  <r>
    <s v="100086910"/>
    <s v="SA"/>
    <s v="40545 PD0010"/>
    <x v="2"/>
    <s v="$54.2M Unamortized Loss Due 2018 (LT)"/>
    <s v="20160831"/>
    <x v="12"/>
    <d v="2016-08-31T00:00:00"/>
    <n v="-1179.21"/>
  </r>
  <r>
    <s v="100086911"/>
    <s v="SA"/>
    <s v="40545 PD0012"/>
    <x v="2"/>
    <s v="$51.6M Unamortized Loss Due 2025 (LT)"/>
    <s v="20160831"/>
    <x v="13"/>
    <d v="2016-08-31T00:00:00"/>
    <n v="-1019.33"/>
  </r>
  <r>
    <s v="100086912"/>
    <s v="SA"/>
    <s v="40545 PD0023-A"/>
    <x v="2"/>
    <s v="$20M Unamortized Loss Due 2020 (LT)"/>
    <s v="20160831"/>
    <x v="14"/>
    <d v="2016-08-31T00:00:00"/>
    <n v="-857.57"/>
  </r>
  <r>
    <s v="100086913"/>
    <s v="SA"/>
    <s v="40545 PD0013-A"/>
    <x v="2"/>
    <s v="$75M Unamortized Loss Due 2022 (LT)"/>
    <s v="20160831"/>
    <x v="2"/>
    <d v="2016-08-31T00:00:00"/>
    <n v="-3125.47"/>
  </r>
  <r>
    <s v="100086914"/>
    <s v="SA"/>
    <s v="40542 PD0013-A"/>
    <x v="2"/>
    <s v="$75M Call Premium Due 2022 (LT)"/>
    <s v="20160831"/>
    <x v="2"/>
    <d v="2016-08-31T00:00:00"/>
    <n v="-4451.78"/>
  </r>
  <r>
    <s v="100086915"/>
    <s v="SA"/>
    <s v="40544 PD0013"/>
    <x v="2"/>
    <s v="$75M Bond Discount Due 2022 (LT)"/>
    <s v="20160831"/>
    <x v="2"/>
    <d v="2016-08-31T00:00:00"/>
    <n v="-10077.08"/>
  </r>
  <r>
    <s v="100086916"/>
    <s v="SA"/>
    <s v="40545 PD0900-A"/>
    <x v="2"/>
    <s v="$80M Unamortized Loss Due 2022 (LT)"/>
    <s v="20160831"/>
    <x v="11"/>
    <d v="2016-08-31T00:00:00"/>
    <n v="-5589.54"/>
  </r>
  <r>
    <s v="100086917"/>
    <s v="SA"/>
    <s v="40542 PD0900-A"/>
    <x v="2"/>
    <s v="$80M Call Premium Due 2022 (LT)"/>
    <s v="20160831"/>
    <x v="11"/>
    <d v="2016-08-31T00:00:00"/>
    <n v="-10099.59"/>
  </r>
  <r>
    <s v="100086918"/>
    <s v="SA"/>
    <s v="40545 PD0023-B"/>
    <x v="2"/>
    <s v="$20M Unamortized Loss Due 2022 (LT)"/>
    <s v="20160831"/>
    <x v="14"/>
    <d v="2016-08-31T00:00:00"/>
    <n v="-1407.23"/>
  </r>
  <r>
    <s v="100086919"/>
    <s v="SA"/>
    <s v="40542 PD0023"/>
    <x v="2"/>
    <s v="$20M Call Premium Due 2022 (LT)"/>
    <s v="20160831"/>
    <x v="14"/>
    <d v="2016-08-31T00:00:00"/>
    <n v="-2524.9"/>
  </r>
  <r>
    <s v="100086920"/>
    <s v="SA"/>
    <s v="40545 PD0900-B"/>
    <x v="2"/>
    <s v="$3.125M Unamortized Loss Due 2021 (LT)"/>
    <s v="20160831"/>
    <x v="11"/>
    <d v="2016-08-31T00:00:00"/>
    <n v="-193.73"/>
  </r>
  <r>
    <s v="100086921"/>
    <s v="SA"/>
    <s v="40542 PD0900-B"/>
    <x v="2"/>
    <s v="$3.125M Call Premium Due 2021 (LT)"/>
    <s v="20160831"/>
    <x v="11"/>
    <d v="2016-08-31T00:00:00"/>
    <n v="-274.12"/>
  </r>
  <r>
    <s v="100086922"/>
    <s v="SA"/>
    <s v="40545 PD0900-C"/>
    <x v="2"/>
    <s v="$21.875M Unamortized Loss Due 2021 (LT)"/>
    <s v="20160831"/>
    <x v="11"/>
    <d v="2016-08-31T00:00:00"/>
    <n v="-1347.95"/>
  </r>
  <r>
    <s v="100086923"/>
    <s v="SA"/>
    <s v="40542 PD0900-C"/>
    <x v="2"/>
    <s v="$21.875M Call Premium Due 2021 (LT)"/>
    <s v="20160831"/>
    <x v="11"/>
    <d v="2016-08-31T00:00:00"/>
    <n v="-1918.86"/>
  </r>
  <r>
    <s v="100086924"/>
    <s v="SA"/>
    <s v="40545 PD0013-B"/>
    <x v="2"/>
    <s v="$75M Unamortized Loss Due 2030 (LT)"/>
    <s v="20160831"/>
    <x v="2"/>
    <d v="2016-08-31T00:00:00"/>
    <n v="-1780.13"/>
  </r>
  <r>
    <s v="100086925"/>
    <s v="SA"/>
    <s v="40545 PD0014-A"/>
    <x v="2"/>
    <s v="$85.95M Unamortized Loss Due 2034 (LT)"/>
    <s v="20160831"/>
    <x v="5"/>
    <d v="2016-08-31T00:00:00"/>
    <n v="-2230.71"/>
  </r>
  <r>
    <s v="100086926"/>
    <s v="SA"/>
    <s v="40542 PD0014"/>
    <x v="2"/>
    <s v="$85.95M Call Premium Due 2034 (LT)"/>
    <s v="20160831"/>
    <x v="5"/>
    <d v="2016-08-31T00:00:00"/>
    <n v="-2490.34"/>
  </r>
  <r>
    <s v="100086927"/>
    <s v="SA"/>
    <s v="40542 PD0013-B"/>
    <x v="2"/>
    <s v="$75M Call Premium Due 2030 (LT)"/>
    <s v="20160831"/>
    <x v="2"/>
    <d v="2016-08-31T00:00:00"/>
    <n v="-5336.81"/>
  </r>
  <r>
    <s v="100086928"/>
    <s v="SA"/>
    <s v="40543 PD0011"/>
    <x v="2"/>
    <s v="$86.4M Bond Discount Due 2023 (LT)"/>
    <s v="20160831"/>
    <x v="8"/>
    <d v="2016-08-31T00:00:00"/>
    <n v="-4207.3500000000004"/>
  </r>
  <r>
    <s v="100098210"/>
    <s v="SA"/>
    <s v="40545 PD0011"/>
    <x v="2"/>
    <s v="$86.4M Unamortized Loss Due 2023 (LT)"/>
    <s v="20160930"/>
    <x v="8"/>
    <d v="2016-09-30T00:00:00"/>
    <n v="-3340.78"/>
  </r>
  <r>
    <s v="100098211"/>
    <s v="SA"/>
    <s v="40545 PD0010"/>
    <x v="2"/>
    <s v="$54.2M Unamortized Loss Due 2018 (LT)"/>
    <s v="20160930"/>
    <x v="12"/>
    <d v="2016-09-30T00:00:00"/>
    <n v="-1179.21"/>
  </r>
  <r>
    <s v="100098212"/>
    <s v="SA"/>
    <s v="40545 PD0012"/>
    <x v="2"/>
    <s v="$51.6M Unamortized Loss Due 2025 (LT)"/>
    <s v="20160930"/>
    <x v="13"/>
    <d v="2016-09-30T00:00:00"/>
    <n v="-1019.33"/>
  </r>
  <r>
    <s v="100098213"/>
    <s v="SA"/>
    <s v="40545 PD0023-A"/>
    <x v="2"/>
    <s v="$20M Unamortized Loss Due 2020 (LT)"/>
    <s v="20160930"/>
    <x v="14"/>
    <d v="2016-09-30T00:00:00"/>
    <n v="-857.57"/>
  </r>
  <r>
    <s v="100098214"/>
    <s v="SA"/>
    <s v="40545 PD0013-A"/>
    <x v="2"/>
    <s v="$75M Unamortized Loss Due 2022 (LT)"/>
    <s v="20160930"/>
    <x v="2"/>
    <d v="2016-09-30T00:00:00"/>
    <n v="-3125.47"/>
  </r>
  <r>
    <s v="100098215"/>
    <s v="SA"/>
    <s v="40542 PD0013-A"/>
    <x v="2"/>
    <s v="$75M Call Premium Due 2022 (LT)"/>
    <s v="20160930"/>
    <x v="2"/>
    <d v="2016-09-30T00:00:00"/>
    <n v="-4451.78"/>
  </r>
  <r>
    <s v="100098216"/>
    <s v="SA"/>
    <s v="40544 PD0013"/>
    <x v="2"/>
    <s v="$75M Bond Discount Due 2022 (LT)"/>
    <s v="20160930"/>
    <x v="2"/>
    <d v="2016-09-30T00:00:00"/>
    <n v="-10077.08"/>
  </r>
  <r>
    <s v="100098217"/>
    <s v="SA"/>
    <s v="40545 PD0900-A"/>
    <x v="2"/>
    <s v="$80M Unamortized Loss Due 2022 (LT)"/>
    <s v="20160930"/>
    <x v="11"/>
    <d v="2016-09-30T00:00:00"/>
    <n v="-5589.54"/>
  </r>
  <r>
    <s v="100098218"/>
    <s v="SA"/>
    <s v="40542 PD0900-A"/>
    <x v="2"/>
    <s v="$80M Call Premium Due 2022 (LT)"/>
    <s v="20160930"/>
    <x v="11"/>
    <d v="2016-09-30T00:00:00"/>
    <n v="-10099.59"/>
  </r>
  <r>
    <s v="100098219"/>
    <s v="SA"/>
    <s v="40545 PD0023-B"/>
    <x v="2"/>
    <s v="$20M Unamortized Loss Due 2022 (LT)"/>
    <s v="20160930"/>
    <x v="14"/>
    <d v="2016-09-30T00:00:00"/>
    <n v="-1407.23"/>
  </r>
  <r>
    <s v="100098220"/>
    <s v="SA"/>
    <s v="40542 PD0023"/>
    <x v="2"/>
    <s v="$20M Call Premium Due 2022 (LT)"/>
    <s v="20160930"/>
    <x v="14"/>
    <d v="2016-09-30T00:00:00"/>
    <n v="-2524.9"/>
  </r>
  <r>
    <s v="100098221"/>
    <s v="SA"/>
    <s v="40545 PD0900-B"/>
    <x v="2"/>
    <s v="$3.125M Unamortized Loss Due 2021 (LT)"/>
    <s v="20160930"/>
    <x v="11"/>
    <d v="2016-09-30T00:00:00"/>
    <n v="-193.73"/>
  </r>
  <r>
    <s v="100098222"/>
    <s v="SA"/>
    <s v="40542 PD0900-B"/>
    <x v="2"/>
    <s v="$3.125M Call Premium Due 2021 (LT)"/>
    <s v="20160930"/>
    <x v="11"/>
    <d v="2016-09-30T00:00:00"/>
    <n v="-274.12"/>
  </r>
  <r>
    <s v="100098223"/>
    <s v="SA"/>
    <s v="40545 PD0900-C"/>
    <x v="2"/>
    <s v="$21.875M Unamortized Loss Due 2021 (LT)"/>
    <s v="20160930"/>
    <x v="11"/>
    <d v="2016-09-30T00:00:00"/>
    <n v="-1347.95"/>
  </r>
  <r>
    <s v="100098224"/>
    <s v="SA"/>
    <s v="40542 PD0900-C"/>
    <x v="2"/>
    <s v="$21.875M Call Premium Due 2021 (LT)"/>
    <s v="20160930"/>
    <x v="11"/>
    <d v="2016-09-30T00:00:00"/>
    <n v="-1918.86"/>
  </r>
  <r>
    <s v="100098225"/>
    <s v="SA"/>
    <s v="40545 PD0013-B"/>
    <x v="2"/>
    <s v="$75M Unamortized Loss Due 2030 (LT)"/>
    <s v="20160930"/>
    <x v="2"/>
    <d v="2016-09-30T00:00:00"/>
    <n v="-1780.13"/>
  </r>
  <r>
    <s v="100098226"/>
    <s v="SA"/>
    <s v="40545 PD0014-A"/>
    <x v="2"/>
    <s v="$85.95M Unamortized Loss Due 2034 (LT)"/>
    <s v="20160930"/>
    <x v="5"/>
    <d v="2016-09-30T00:00:00"/>
    <n v="-2230.71"/>
  </r>
  <r>
    <s v="100098227"/>
    <s v="SA"/>
    <s v="40542 PD0014"/>
    <x v="2"/>
    <s v="$85.95M Call Premium Due 2034 (LT)"/>
    <s v="20160930"/>
    <x v="5"/>
    <d v="2016-09-30T00:00:00"/>
    <n v="-2490.34"/>
  </r>
  <r>
    <s v="100098228"/>
    <s v="SA"/>
    <s v="40542 PD0013-B"/>
    <x v="2"/>
    <s v="$75M Call Premium Due 2030 (LT)"/>
    <s v="20160930"/>
    <x v="2"/>
    <d v="2016-09-30T00:00:00"/>
    <n v="-5336.81"/>
  </r>
  <r>
    <s v="100098229"/>
    <s v="SA"/>
    <s v="40543 PD0011"/>
    <x v="2"/>
    <s v="$86.4M Bond Discount Due 2023 (LT)"/>
    <s v="20160930"/>
    <x v="8"/>
    <d v="2016-09-30T00:00:00"/>
    <n v="-4207.3500000000004"/>
  </r>
  <r>
    <s v="100109745"/>
    <s v="SA"/>
    <s v="40545 PD0011"/>
    <x v="2"/>
    <s v="$86.4M Unamortized Loss Due 2023 (LT)"/>
    <s v="20161031"/>
    <x v="8"/>
    <d v="2016-10-31T00:00:00"/>
    <n v="-3340.78"/>
  </r>
  <r>
    <s v="100109746"/>
    <s v="SA"/>
    <s v="40545 PD0010"/>
    <x v="2"/>
    <s v="$54.2M Unamortized Loss Due 2018 (LT)"/>
    <s v="20161031"/>
    <x v="12"/>
    <d v="2016-10-31T00:00:00"/>
    <n v="-1179.21"/>
  </r>
  <r>
    <s v="100109747"/>
    <s v="SA"/>
    <s v="40545 PD0012"/>
    <x v="2"/>
    <s v="$51.6M Unamortized Loss Due 2025 (LT)"/>
    <s v="20161031"/>
    <x v="13"/>
    <d v="2016-10-31T00:00:00"/>
    <n v="-1019.33"/>
  </r>
  <r>
    <s v="100109748"/>
    <s v="SA"/>
    <s v="40545 PD0023-A"/>
    <x v="2"/>
    <s v="$20M Unamortized Loss Due 2020 (LT)"/>
    <s v="20161031"/>
    <x v="14"/>
    <d v="2016-10-31T00:00:00"/>
    <n v="-857.57"/>
  </r>
  <r>
    <s v="100109749"/>
    <s v="SA"/>
    <s v="40545 PD0013-A"/>
    <x v="2"/>
    <s v="$75M Unamortized Loss Due 2022 (LT)"/>
    <s v="20161031"/>
    <x v="2"/>
    <d v="2016-10-31T00:00:00"/>
    <n v="-3125.47"/>
  </r>
  <r>
    <s v="100109750"/>
    <s v="SA"/>
    <s v="40542 PD0013-A"/>
    <x v="2"/>
    <s v="$75M Call Premium Due 2022 (LT)"/>
    <s v="20161031"/>
    <x v="2"/>
    <d v="2016-10-31T00:00:00"/>
    <n v="-4451.78"/>
  </r>
  <r>
    <s v="100109751"/>
    <s v="SA"/>
    <s v="40544 PD0013"/>
    <x v="2"/>
    <s v="$75M Bond Discount Due 2022 (LT)"/>
    <s v="20161031"/>
    <x v="2"/>
    <d v="2016-10-31T00:00:00"/>
    <n v="-10077.08"/>
  </r>
  <r>
    <s v="100109752"/>
    <s v="SA"/>
    <s v="40545 PD0900-A"/>
    <x v="2"/>
    <s v="$80M Unamortized Loss Due 2022 (LT)"/>
    <s v="20161031"/>
    <x v="11"/>
    <d v="2016-10-31T00:00:00"/>
    <n v="-5589.54"/>
  </r>
  <r>
    <s v="100109753"/>
    <s v="SA"/>
    <s v="40542 PD0900-A"/>
    <x v="2"/>
    <s v="$80M Call Premium Due 2022 (LT)"/>
    <s v="20161031"/>
    <x v="11"/>
    <d v="2016-10-31T00:00:00"/>
    <n v="-10099.59"/>
  </r>
  <r>
    <s v="100109754"/>
    <s v="SA"/>
    <s v="40545 PD0023-B"/>
    <x v="2"/>
    <s v="$20M Unamortized Loss Due 2022 (LT)"/>
    <s v="20161031"/>
    <x v="14"/>
    <d v="2016-10-31T00:00:00"/>
    <n v="-1407.23"/>
  </r>
  <r>
    <s v="100109755"/>
    <s v="SA"/>
    <s v="40542 PD0023"/>
    <x v="2"/>
    <s v="$20M Call Premium Due 2022 (LT)"/>
    <s v="20161031"/>
    <x v="14"/>
    <d v="2016-10-31T00:00:00"/>
    <n v="-2524.9"/>
  </r>
  <r>
    <s v="100109756"/>
    <s v="SA"/>
    <s v="40545 PD0900-B"/>
    <x v="2"/>
    <s v="$3.125M Unamortized Loss Due 2021 (LT)"/>
    <s v="20161031"/>
    <x v="11"/>
    <d v="2016-10-31T00:00:00"/>
    <n v="-193.73"/>
  </r>
  <r>
    <s v="100109757"/>
    <s v="SA"/>
    <s v="40542 PD0900-B"/>
    <x v="2"/>
    <s v="$3.125M Call Premium Due 2021 (LT)"/>
    <s v="20161031"/>
    <x v="11"/>
    <d v="2016-10-31T00:00:00"/>
    <n v="-274.12"/>
  </r>
  <r>
    <s v="100109758"/>
    <s v="SA"/>
    <s v="40545 PD0900-C"/>
    <x v="2"/>
    <s v="$21.875M Unamortized Loss Due 2021 (LT)"/>
    <s v="20161031"/>
    <x v="11"/>
    <d v="2016-10-31T00:00:00"/>
    <n v="-1347.95"/>
  </r>
  <r>
    <s v="100109759"/>
    <s v="SA"/>
    <s v="40542 PD0900-C"/>
    <x v="2"/>
    <s v="$21.875M Call Premium Due 2021 (LT)"/>
    <s v="20161031"/>
    <x v="11"/>
    <d v="2016-10-31T00:00:00"/>
    <n v="-1918.86"/>
  </r>
  <r>
    <s v="100109760"/>
    <s v="SA"/>
    <s v="40545 PD0013-B"/>
    <x v="2"/>
    <s v="$75M Unamortized Loss Due 2030 (LT)"/>
    <s v="20161031"/>
    <x v="2"/>
    <d v="2016-10-31T00:00:00"/>
    <n v="-1780.13"/>
  </r>
  <r>
    <s v="100109761"/>
    <s v="SA"/>
    <s v="40545 PD0014-A"/>
    <x v="2"/>
    <s v="$85.95M Unamortized Loss Due 2034 (LT)"/>
    <s v="20161031"/>
    <x v="5"/>
    <d v="2016-10-31T00:00:00"/>
    <n v="-2230.71"/>
  </r>
  <r>
    <s v="100109762"/>
    <s v="SA"/>
    <s v="40542 PD0014"/>
    <x v="2"/>
    <s v="$85.95M Call Premium Due 2034 (LT)"/>
    <s v="20161031"/>
    <x v="5"/>
    <d v="2016-10-31T00:00:00"/>
    <n v="-2490.34"/>
  </r>
  <r>
    <s v="100109763"/>
    <s v="SA"/>
    <s v="40542 PD0013-B"/>
    <x v="2"/>
    <s v="$75M Call Premium Due 2030 (LT)"/>
    <s v="20161031"/>
    <x v="2"/>
    <d v="2016-10-31T00:00:00"/>
    <n v="-5336.81"/>
  </r>
  <r>
    <s v="100109764"/>
    <s v="SA"/>
    <s v="40543 PD0011"/>
    <x v="2"/>
    <s v="$86.4M Bond Discount Due 2023 (LT)"/>
    <s v="20161031"/>
    <x v="8"/>
    <d v="2016-10-31T00:00:00"/>
    <n v="-4207.3500000000004"/>
  </r>
  <r>
    <s v="100121774"/>
    <s v="SA"/>
    <s v="40545 PD0011"/>
    <x v="2"/>
    <s v="$86.4M Unamortized Loss Due 2023 (LT)"/>
    <s v="20161130"/>
    <x v="8"/>
    <d v="2016-11-30T00:00:00"/>
    <n v="-3340.78"/>
  </r>
  <r>
    <s v="100121775"/>
    <s v="SA"/>
    <s v="40545 PD0010"/>
    <x v="2"/>
    <s v="$54.2M Unamortized Loss Due 2018 (LT)"/>
    <s v="20161130"/>
    <x v="12"/>
    <d v="2016-11-30T00:00:00"/>
    <n v="-1179.21"/>
  </r>
  <r>
    <s v="100121776"/>
    <s v="SA"/>
    <s v="40545 PD0012"/>
    <x v="2"/>
    <s v="$51.6M Unamortized Loss Due 2025 (LT)"/>
    <s v="20161130"/>
    <x v="13"/>
    <d v="2016-11-30T00:00:00"/>
    <n v="-1019.33"/>
  </r>
  <r>
    <s v="100121777"/>
    <s v="SA"/>
    <s v="40545 PD0023-A"/>
    <x v="2"/>
    <s v="$20M Unamortized Loss Due 2020 (LT)"/>
    <s v="20161130"/>
    <x v="14"/>
    <d v="2016-11-30T00:00:00"/>
    <n v="-857.57"/>
  </r>
  <r>
    <s v="100121778"/>
    <s v="SA"/>
    <s v="40545 PD0013-A"/>
    <x v="2"/>
    <s v="$75M Unamortized Loss Due 2022 (LT)"/>
    <s v="20161130"/>
    <x v="2"/>
    <d v="2016-11-30T00:00:00"/>
    <n v="-3125.47"/>
  </r>
  <r>
    <s v="100121779"/>
    <s v="SA"/>
    <s v="40542 PD0013-A"/>
    <x v="2"/>
    <s v="$75M Call Premium Due 2022 (LT)"/>
    <s v="20161130"/>
    <x v="2"/>
    <d v="2016-11-30T00:00:00"/>
    <n v="-4451.78"/>
  </r>
  <r>
    <s v="100121780"/>
    <s v="SA"/>
    <s v="40544 PD0013"/>
    <x v="2"/>
    <s v="$75M Bond Discount Due 2022 (LT)"/>
    <s v="20161130"/>
    <x v="2"/>
    <d v="2016-11-30T00:00:00"/>
    <n v="-10077.08"/>
  </r>
  <r>
    <s v="100121781"/>
    <s v="SA"/>
    <s v="40545 PD0900-A"/>
    <x v="2"/>
    <s v="$80M Unamortized Loss Due 2022 (LT)"/>
    <s v="20161130"/>
    <x v="11"/>
    <d v="2016-11-30T00:00:00"/>
    <n v="-5589.54"/>
  </r>
  <r>
    <s v="100121782"/>
    <s v="SA"/>
    <s v="40542 PD0900-A"/>
    <x v="2"/>
    <s v="$80M Call Premium Due 2022 (LT)"/>
    <s v="20161130"/>
    <x v="11"/>
    <d v="2016-11-30T00:00:00"/>
    <n v="-10099.59"/>
  </r>
  <r>
    <s v="100121783"/>
    <s v="SA"/>
    <s v="40545 PD0023-B"/>
    <x v="2"/>
    <s v="$20M Unamortized Loss Due 2022 (LT)"/>
    <s v="20161130"/>
    <x v="14"/>
    <d v="2016-11-30T00:00:00"/>
    <n v="-1407.23"/>
  </r>
  <r>
    <s v="100121784"/>
    <s v="SA"/>
    <s v="40542 PD0023"/>
    <x v="2"/>
    <s v="$20M Call Premium Due 2022 (LT)"/>
    <s v="20161130"/>
    <x v="14"/>
    <d v="2016-11-30T00:00:00"/>
    <n v="-2524.9"/>
  </r>
  <r>
    <s v="100121785"/>
    <s v="SA"/>
    <s v="40545 PD0900-B"/>
    <x v="2"/>
    <s v="$3.125M Unamortized Loss Due 2021 (LT)"/>
    <s v="20161130"/>
    <x v="11"/>
    <d v="2016-11-30T00:00:00"/>
    <n v="-193.73"/>
  </r>
  <r>
    <s v="100121786"/>
    <s v="SA"/>
    <s v="40542 PD0900-B"/>
    <x v="2"/>
    <s v="$3.125M Call Premium Due 2021 (LT)"/>
    <s v="20161130"/>
    <x v="11"/>
    <d v="2016-11-30T00:00:00"/>
    <n v="-274.12"/>
  </r>
  <r>
    <s v="100121787"/>
    <s v="SA"/>
    <s v="40545 PD0900-C"/>
    <x v="2"/>
    <s v="$21.875M Unamortized Loss Due 2021 (LT)"/>
    <s v="20161130"/>
    <x v="11"/>
    <d v="2016-11-30T00:00:00"/>
    <n v="-1347.95"/>
  </r>
  <r>
    <s v="100121788"/>
    <s v="SA"/>
    <s v="40542 PD0900-C"/>
    <x v="2"/>
    <s v="$21.875M Call Premium Due 2021 (LT)"/>
    <s v="20161130"/>
    <x v="11"/>
    <d v="2016-11-30T00:00:00"/>
    <n v="-1918.86"/>
  </r>
  <r>
    <s v="100121789"/>
    <s v="SA"/>
    <s v="40545 PD0013-B"/>
    <x v="2"/>
    <s v="$75M Unamortized Loss Due 2030 (LT)"/>
    <s v="20161130"/>
    <x v="2"/>
    <d v="2016-11-30T00:00:00"/>
    <n v="-1780.13"/>
  </r>
  <r>
    <s v="100121790"/>
    <s v="SA"/>
    <s v="40545 PD0014-A"/>
    <x v="2"/>
    <s v="$85.95M Unamortized Loss Due 2034 (LT)"/>
    <s v="20161130"/>
    <x v="5"/>
    <d v="2016-11-30T00:00:00"/>
    <n v="-2230.71"/>
  </r>
  <r>
    <s v="100121791"/>
    <s v="SA"/>
    <s v="40542 PD0014"/>
    <x v="2"/>
    <s v="$85.95M Call Premium Due 2034 (LT)"/>
    <s v="20161130"/>
    <x v="5"/>
    <d v="2016-11-30T00:00:00"/>
    <n v="-2490.34"/>
  </r>
  <r>
    <s v="100121792"/>
    <s v="SA"/>
    <s v="40542 PD0013-B"/>
    <x v="2"/>
    <s v="$75M Call Premium Due 2030 (LT)"/>
    <s v="20161130"/>
    <x v="2"/>
    <d v="2016-11-30T00:00:00"/>
    <n v="-5336.81"/>
  </r>
  <r>
    <s v="100121793"/>
    <s v="SA"/>
    <s v="40543 PD0011"/>
    <x v="2"/>
    <s v="$86.4M Bond Discount Due 2023 (LT)"/>
    <s v="20161130"/>
    <x v="8"/>
    <d v="2016-11-30T00:00:00"/>
    <n v="-4207.3500000000004"/>
  </r>
  <r>
    <s v="100133481"/>
    <s v="SA"/>
    <s v="40545 PD0011"/>
    <x v="2"/>
    <s v="$86.4M Unamortized Loss Due 2023 (LT)"/>
    <s v="20161231"/>
    <x v="8"/>
    <d v="2016-12-31T00:00:00"/>
    <n v="-3340.78"/>
  </r>
  <r>
    <s v="100133482"/>
    <s v="SA"/>
    <s v="40545 PD0010"/>
    <x v="2"/>
    <s v="$54.2M Unamortized Loss Due 2018 (LT)"/>
    <s v="20161231"/>
    <x v="12"/>
    <d v="2016-12-31T00:00:00"/>
    <n v="-1179.21"/>
  </r>
  <r>
    <s v="100133483"/>
    <s v="SA"/>
    <s v="40545 PD0012"/>
    <x v="2"/>
    <s v="$51.6M Unamortized Loss Due 2025 (LT)"/>
    <s v="20161231"/>
    <x v="13"/>
    <d v="2016-12-31T00:00:00"/>
    <n v="-1019.33"/>
  </r>
  <r>
    <s v="100133484"/>
    <s v="SA"/>
    <s v="40545 PD0023-A"/>
    <x v="2"/>
    <s v="$20M Unamortized Loss Due 2020 (LT)"/>
    <s v="20161231"/>
    <x v="14"/>
    <d v="2016-12-31T00:00:00"/>
    <n v="-857.57"/>
  </r>
  <r>
    <s v="100133485"/>
    <s v="SA"/>
    <s v="40545 PD0013-A"/>
    <x v="2"/>
    <s v="$75M Unamortized Loss Due 2022 (LT)"/>
    <s v="20161231"/>
    <x v="2"/>
    <d v="2016-12-31T00:00:00"/>
    <n v="-3125.47"/>
  </r>
  <r>
    <s v="100133486"/>
    <s v="SA"/>
    <s v="40542 PD0013-A"/>
    <x v="2"/>
    <s v="$75M Call Premium Due 2022 (LT)"/>
    <s v="20161231"/>
    <x v="2"/>
    <d v="2016-12-31T00:00:00"/>
    <n v="-4451.78"/>
  </r>
  <r>
    <s v="100133487"/>
    <s v="SA"/>
    <s v="40544 PD0013"/>
    <x v="2"/>
    <s v="$75M Bond Discount Due 2022 (LT)"/>
    <s v="20161231"/>
    <x v="2"/>
    <d v="2016-12-31T00:00:00"/>
    <n v="-10077.08"/>
  </r>
  <r>
    <s v="100133488"/>
    <s v="SA"/>
    <s v="40545 PD0900-A"/>
    <x v="2"/>
    <s v="$80M Unamortized Loss Due 2022 (LT)"/>
    <s v="20161231"/>
    <x v="11"/>
    <d v="2016-12-31T00:00:00"/>
    <n v="-5589.54"/>
  </r>
  <r>
    <s v="100133489"/>
    <s v="SA"/>
    <s v="40542 PD0900-A"/>
    <x v="2"/>
    <s v="$80M Call Premium Due 2022 (LT)"/>
    <s v="20161231"/>
    <x v="11"/>
    <d v="2016-12-31T00:00:00"/>
    <n v="-10099.59"/>
  </r>
  <r>
    <s v="100133490"/>
    <s v="SA"/>
    <s v="40545 PD0023-B"/>
    <x v="2"/>
    <s v="$20M Unamortized Loss Due 2022 (LT)"/>
    <s v="20161231"/>
    <x v="14"/>
    <d v="2016-12-31T00:00:00"/>
    <n v="-1407.23"/>
  </r>
  <r>
    <s v="100133491"/>
    <s v="SA"/>
    <s v="40542 PD0023"/>
    <x v="2"/>
    <s v="$20M Call Premium Due 2022 (LT)"/>
    <s v="20161231"/>
    <x v="14"/>
    <d v="2016-12-31T00:00:00"/>
    <n v="-2524.9"/>
  </r>
  <r>
    <s v="100133492"/>
    <s v="SA"/>
    <s v="40545 PD0900-B"/>
    <x v="2"/>
    <s v="$3.125M Unamortized Loss Due 2021 (LT)"/>
    <s v="20161231"/>
    <x v="11"/>
    <d v="2016-12-31T00:00:00"/>
    <n v="-193.73"/>
  </r>
  <r>
    <s v="100133493"/>
    <s v="SA"/>
    <s v="40542 PD0900-B"/>
    <x v="2"/>
    <s v="$3.125M Call Premium Due 2021 (LT)"/>
    <s v="20161231"/>
    <x v="11"/>
    <d v="2016-12-31T00:00:00"/>
    <n v="-274.12"/>
  </r>
  <r>
    <s v="100133494"/>
    <s v="SA"/>
    <s v="40545 PD0900-C"/>
    <x v="2"/>
    <s v="$21.875M Unamortized Loss Due 2021 (LT)"/>
    <s v="20161231"/>
    <x v="11"/>
    <d v="2016-12-31T00:00:00"/>
    <n v="-1347.95"/>
  </r>
  <r>
    <s v="100133495"/>
    <s v="SA"/>
    <s v="40542 PD0900-C"/>
    <x v="2"/>
    <s v="$21.875M Call Premium Due 2021 (LT)"/>
    <s v="20161231"/>
    <x v="11"/>
    <d v="2016-12-31T00:00:00"/>
    <n v="-1918.86"/>
  </r>
  <r>
    <s v="100133496"/>
    <s v="SA"/>
    <s v="40545 PD0013-B"/>
    <x v="2"/>
    <s v="$75M Unamortized Loss Due 2030 (LT)"/>
    <s v="20161231"/>
    <x v="2"/>
    <d v="2016-12-31T00:00:00"/>
    <n v="-1780.13"/>
  </r>
  <r>
    <s v="100133497"/>
    <s v="SA"/>
    <s v="40545 PD0014-A"/>
    <x v="2"/>
    <s v="$85.95M Unamortized Loss Due 2034 (LT)"/>
    <s v="20161231"/>
    <x v="5"/>
    <d v="2016-12-31T00:00:00"/>
    <n v="-2230.71"/>
  </r>
  <r>
    <s v="100133498"/>
    <s v="SA"/>
    <s v="40542 PD0014"/>
    <x v="2"/>
    <s v="$85.95M Call Premium Due 2034 (LT)"/>
    <s v="20161231"/>
    <x v="5"/>
    <d v="2016-12-31T00:00:00"/>
    <n v="-2490.34"/>
  </r>
  <r>
    <s v="100133499"/>
    <s v="SA"/>
    <s v="40542 PD0013-B"/>
    <x v="2"/>
    <s v="$75M Call Premium Due 2030 (LT)"/>
    <s v="20161231"/>
    <x v="2"/>
    <d v="2016-12-31T00:00:00"/>
    <n v="-5336.81"/>
  </r>
  <r>
    <s v="100133500"/>
    <s v="SA"/>
    <s v="40543 PD0011"/>
    <x v="2"/>
    <s v="$86.4M Bond Discount Due 2023 (LT)"/>
    <s v="20161231"/>
    <x v="8"/>
    <d v="2016-12-31T00:00:00"/>
    <n v="-4207.3500000000004"/>
  </r>
  <r>
    <s v="100007963"/>
    <s v="SA"/>
    <s v="40545 PD0011"/>
    <x v="2"/>
    <s v="$86.4M Unamortized Loss Due 2023 (LT)"/>
    <s v="20170131"/>
    <x v="8"/>
    <d v="2017-01-31T00:00:00"/>
    <n v="-3340.78"/>
  </r>
  <r>
    <s v="100007964"/>
    <s v="SA"/>
    <s v="40545 PD0010"/>
    <x v="2"/>
    <s v="$54.2M Unamortized Loss Due 2018 (LT)"/>
    <s v="20170131"/>
    <x v="12"/>
    <d v="2017-01-31T00:00:00"/>
    <n v="-1179.21"/>
  </r>
  <r>
    <s v="100007965"/>
    <s v="SA"/>
    <s v="40545 PD0012"/>
    <x v="2"/>
    <s v="$51.6M Unamortized Loss Due 2025 (LT)"/>
    <s v="20170131"/>
    <x v="13"/>
    <d v="2017-01-31T00:00:00"/>
    <n v="-1019.33"/>
  </r>
  <r>
    <s v="100007966"/>
    <s v="SA"/>
    <s v="40545 PD0023-A"/>
    <x v="2"/>
    <s v="$20M Unamortized Loss Due 2020 (LT)"/>
    <s v="20170131"/>
    <x v="14"/>
    <d v="2017-01-31T00:00:00"/>
    <n v="-857.57"/>
  </r>
  <r>
    <s v="100007967"/>
    <s v="SA"/>
    <s v="40545 PD0013-A"/>
    <x v="2"/>
    <s v="$75M Unamortized Loss Due 2022 (LT)"/>
    <s v="20170131"/>
    <x v="2"/>
    <d v="2017-01-31T00:00:00"/>
    <n v="-3125.47"/>
  </r>
  <r>
    <s v="100007968"/>
    <s v="SA"/>
    <s v="40542 PD0013-A"/>
    <x v="2"/>
    <s v="$75M Call Premium Due 2022 (LT)"/>
    <s v="20170131"/>
    <x v="2"/>
    <d v="2017-01-31T00:00:00"/>
    <n v="-4451.78"/>
  </r>
  <r>
    <s v="100007969"/>
    <s v="SA"/>
    <s v="40544 PD0013"/>
    <x v="2"/>
    <s v="$75M Bond Discount Due 2022 (LT)"/>
    <s v="20170131"/>
    <x v="2"/>
    <d v="2017-01-31T00:00:00"/>
    <n v="-10077.08"/>
  </r>
  <r>
    <s v="100007970"/>
    <s v="SA"/>
    <s v="40545 PD0900-A"/>
    <x v="2"/>
    <s v="$80M Unamortized Loss Due 2022 (LT)"/>
    <s v="20170131"/>
    <x v="11"/>
    <d v="2017-01-31T00:00:00"/>
    <n v="-5589.54"/>
  </r>
  <r>
    <s v="100007971"/>
    <s v="SA"/>
    <s v="40542 PD0900-A"/>
    <x v="2"/>
    <s v="$80M Call Premium Due 2022 (LT)"/>
    <s v="20170131"/>
    <x v="11"/>
    <d v="2017-01-31T00:00:00"/>
    <n v="-10099.59"/>
  </r>
  <r>
    <s v="100007972"/>
    <s v="SA"/>
    <s v="40545 PD0023-B"/>
    <x v="2"/>
    <s v="$20M Unamortized Loss Due 2022 (LT)"/>
    <s v="20170131"/>
    <x v="14"/>
    <d v="2017-01-31T00:00:00"/>
    <n v="-1407.23"/>
  </r>
  <r>
    <s v="100007973"/>
    <s v="SA"/>
    <s v="40542 PD0023"/>
    <x v="2"/>
    <s v="$20M Call Premium Due 2022 (LT)"/>
    <s v="20170131"/>
    <x v="14"/>
    <d v="2017-01-31T00:00:00"/>
    <n v="-2524.9"/>
  </r>
  <r>
    <s v="100007974"/>
    <s v="SA"/>
    <s v="40545 PD0900-B"/>
    <x v="2"/>
    <s v="$3.125M Unamortized Loss Due 2021 (LT)"/>
    <s v="20170131"/>
    <x v="11"/>
    <d v="2017-01-31T00:00:00"/>
    <n v="-193.73"/>
  </r>
  <r>
    <s v="100007975"/>
    <s v="SA"/>
    <s v="40542 PD0900-B"/>
    <x v="2"/>
    <s v="$3.125M Call Premium Due 2021 (LT)"/>
    <s v="20170131"/>
    <x v="11"/>
    <d v="2017-01-31T00:00:00"/>
    <n v="-274.12"/>
  </r>
  <r>
    <s v="100007976"/>
    <s v="SA"/>
    <s v="40545 PD0900-C"/>
    <x v="2"/>
    <s v="$21.875M Unamortized Loss Due 2021 (LT)"/>
    <s v="20170131"/>
    <x v="11"/>
    <d v="2017-01-31T00:00:00"/>
    <n v="-1347.95"/>
  </r>
  <r>
    <s v="100007977"/>
    <s v="SA"/>
    <s v="40542 PD0900-C"/>
    <x v="2"/>
    <s v="$21.875M Call Premium Due 2021 (LT)"/>
    <s v="20170131"/>
    <x v="11"/>
    <d v="2017-01-31T00:00:00"/>
    <n v="-1918.86"/>
  </r>
  <r>
    <s v="100007978"/>
    <s v="SA"/>
    <s v="40545 PD0013-B"/>
    <x v="2"/>
    <s v="$75M Unamortized Loss Due 2030 (LT)"/>
    <s v="20170131"/>
    <x v="2"/>
    <d v="2017-01-31T00:00:00"/>
    <n v="-1780.13"/>
  </r>
  <r>
    <s v="100007979"/>
    <s v="SA"/>
    <s v="40545 PD0014-A"/>
    <x v="2"/>
    <s v="$85.95M Unamortized Loss Due 2034 (LT)"/>
    <s v="20170131"/>
    <x v="5"/>
    <d v="2017-01-31T00:00:00"/>
    <n v="-2230.71"/>
  </r>
  <r>
    <s v="100007980"/>
    <s v="SA"/>
    <s v="40542 PD0014"/>
    <x v="2"/>
    <s v="$85.95M Call Premium Due 2034 (LT)"/>
    <s v="20170131"/>
    <x v="5"/>
    <d v="2017-01-31T00:00:00"/>
    <n v="-2490.34"/>
  </r>
  <r>
    <s v="100007981"/>
    <s v="SA"/>
    <s v="40542 PD0013-B"/>
    <x v="2"/>
    <s v="$75M Call Premium Due 2030 (LT)"/>
    <s v="20170131"/>
    <x v="2"/>
    <d v="2017-01-31T00:00:00"/>
    <n v="-5336.81"/>
  </r>
  <r>
    <s v="100007982"/>
    <s v="SA"/>
    <s v="40543 PD0011"/>
    <x v="2"/>
    <s v="$86.4M Bond Discount Due 2023 (LT)"/>
    <s v="20170131"/>
    <x v="8"/>
    <d v="2017-01-31T00:00:00"/>
    <n v="-4207.3500000000004"/>
  </r>
  <r>
    <s v="100016439"/>
    <s v="SA"/>
    <s v="40545 PD0011"/>
    <x v="2"/>
    <s v="$86.4M Unamortized Loss Due 2023 (LT)"/>
    <s v="20170228"/>
    <x v="8"/>
    <d v="2017-02-28T00:00:00"/>
    <n v="-3340.78"/>
  </r>
  <r>
    <s v="100016440"/>
    <s v="SA"/>
    <s v="40545 PD0010"/>
    <x v="2"/>
    <s v="$54.2M Unamortized Loss Due 2018 (LT)"/>
    <s v="20170228"/>
    <x v="12"/>
    <d v="2017-02-28T00:00:00"/>
    <n v="-1179.21"/>
  </r>
  <r>
    <s v="100016441"/>
    <s v="SA"/>
    <s v="40545 PD0012"/>
    <x v="2"/>
    <s v="$51.6M Unamortized Loss Due 2025 (LT)"/>
    <s v="20170228"/>
    <x v="13"/>
    <d v="2017-02-28T00:00:00"/>
    <n v="-1019.33"/>
  </r>
  <r>
    <s v="100016442"/>
    <s v="SA"/>
    <s v="40545 PD0023-A"/>
    <x v="2"/>
    <s v="$20M Unamortized Loss Due 2020 (LT)"/>
    <s v="20170228"/>
    <x v="14"/>
    <d v="2017-02-28T00:00:00"/>
    <n v="-857.57"/>
  </r>
  <r>
    <s v="100016443"/>
    <s v="SA"/>
    <s v="40545 PD0013-A"/>
    <x v="2"/>
    <s v="$75M Unamortized Loss Due 2022 (LT)"/>
    <s v="20170228"/>
    <x v="2"/>
    <d v="2017-02-28T00:00:00"/>
    <n v="-3125.47"/>
  </r>
  <r>
    <s v="100016444"/>
    <s v="SA"/>
    <s v="40542 PD0013-A"/>
    <x v="2"/>
    <s v="$75M Call Premium Due 2022 (LT)"/>
    <s v="20170228"/>
    <x v="2"/>
    <d v="2017-02-28T00:00:00"/>
    <n v="-4451.78"/>
  </r>
  <r>
    <s v="100016445"/>
    <s v="SA"/>
    <s v="40544 PD0013"/>
    <x v="2"/>
    <s v="$75M Bond Discount Due 2022 (LT)"/>
    <s v="20170228"/>
    <x v="2"/>
    <d v="2017-02-28T00:00:00"/>
    <n v="-10077.08"/>
  </r>
  <r>
    <s v="100016446"/>
    <s v="SA"/>
    <s v="40545 PD0900-A"/>
    <x v="2"/>
    <s v="$80M Unamortized Loss Due 2022 (LT)"/>
    <s v="20170228"/>
    <x v="11"/>
    <d v="2017-02-28T00:00:00"/>
    <n v="-5589.54"/>
  </r>
  <r>
    <s v="100016447"/>
    <s v="SA"/>
    <s v="40542 PD0900-A"/>
    <x v="2"/>
    <s v="$80M Call Premium Due 2022 (LT)"/>
    <s v="20170228"/>
    <x v="11"/>
    <d v="2017-02-28T00:00:00"/>
    <n v="-10099.59"/>
  </r>
  <r>
    <s v="100016448"/>
    <s v="SA"/>
    <s v="40545 PD0023-B"/>
    <x v="2"/>
    <s v="$20M Unamortized Loss Due 2022 (LT)"/>
    <s v="20170228"/>
    <x v="14"/>
    <d v="2017-02-28T00:00:00"/>
    <n v="-1407.23"/>
  </r>
  <r>
    <s v="100016449"/>
    <s v="SA"/>
    <s v="40542 PD0023"/>
    <x v="2"/>
    <s v="$20M Call Premium Due 2022 (LT)"/>
    <s v="20170228"/>
    <x v="14"/>
    <d v="2017-02-28T00:00:00"/>
    <n v="-2524.9"/>
  </r>
  <r>
    <s v="100016450"/>
    <s v="SA"/>
    <s v="40545 PD0900-B"/>
    <x v="2"/>
    <s v="$3.125M Unamortized Loss Due 2021 (LT)"/>
    <s v="20170228"/>
    <x v="11"/>
    <d v="2017-02-28T00:00:00"/>
    <n v="-193.73"/>
  </r>
  <r>
    <s v="100016451"/>
    <s v="SA"/>
    <s v="40542 PD0900-B"/>
    <x v="2"/>
    <s v="$3.125M Call Premium Due 2021 (LT)"/>
    <s v="20170228"/>
    <x v="11"/>
    <d v="2017-02-28T00:00:00"/>
    <n v="-274.12"/>
  </r>
  <r>
    <s v="100016452"/>
    <s v="SA"/>
    <s v="40545 PD0900-C"/>
    <x v="2"/>
    <s v="$21.875M Unamortized Loss Due 2021 (LT)"/>
    <s v="20170228"/>
    <x v="11"/>
    <d v="2017-02-28T00:00:00"/>
    <n v="-1347.95"/>
  </r>
  <r>
    <s v="100016453"/>
    <s v="SA"/>
    <s v="40542 PD0900-C"/>
    <x v="2"/>
    <s v="$21.875M Call Premium Due 2021 (LT)"/>
    <s v="20170228"/>
    <x v="11"/>
    <d v="2017-02-28T00:00:00"/>
    <n v="-1918.86"/>
  </r>
  <r>
    <s v="100016454"/>
    <s v="SA"/>
    <s v="40545 PD0013-B"/>
    <x v="2"/>
    <s v="$75M Unamortized Loss Due 2030 (LT)"/>
    <s v="20170228"/>
    <x v="2"/>
    <d v="2017-02-28T00:00:00"/>
    <n v="-1780.13"/>
  </r>
  <r>
    <s v="100016455"/>
    <s v="SA"/>
    <s v="40545 PD0014-A"/>
    <x v="2"/>
    <s v="$85.95M Unamortized Loss Due 2034 (LT)"/>
    <s v="20170228"/>
    <x v="5"/>
    <d v="2017-02-28T00:00:00"/>
    <n v="-2230.71"/>
  </r>
  <r>
    <s v="100016456"/>
    <s v="SA"/>
    <s v="40542 PD0014"/>
    <x v="2"/>
    <s v="$85.95M Call Premium Due 2034 (LT)"/>
    <s v="20170228"/>
    <x v="5"/>
    <d v="2017-02-28T00:00:00"/>
    <n v="-2490.34"/>
  </r>
  <r>
    <s v="100016457"/>
    <s v="SA"/>
    <s v="40542 PD0013-B"/>
    <x v="2"/>
    <s v="$75M Call Premium Due 2030 (LT)"/>
    <s v="20170228"/>
    <x v="2"/>
    <d v="2017-02-28T00:00:00"/>
    <n v="-5336.81"/>
  </r>
  <r>
    <s v="100016458"/>
    <s v="SA"/>
    <s v="40543 PD0011"/>
    <x v="2"/>
    <s v="$86.4M Bond Discount Due 2023 (LT)"/>
    <s v="20170228"/>
    <x v="8"/>
    <d v="2017-02-28T00:00:00"/>
    <n v="-4207.3500000000004"/>
  </r>
  <r>
    <s v="100024821"/>
    <s v="SA"/>
    <s v="40545 PD0011"/>
    <x v="2"/>
    <s v="$86.4M Unamortized Loss Due 2023 (LT)"/>
    <s v="20170331"/>
    <x v="8"/>
    <d v="2017-03-31T00:00:00"/>
    <n v="-3340.78"/>
  </r>
  <r>
    <s v="100024822"/>
    <s v="SA"/>
    <s v="40545 PD0010"/>
    <x v="2"/>
    <s v="$54.2M Unamortized Loss Due 2018 (LT)"/>
    <s v="20170331"/>
    <x v="12"/>
    <d v="2017-03-31T00:00:00"/>
    <n v="-1179.21"/>
  </r>
  <r>
    <s v="100024823"/>
    <s v="SA"/>
    <s v="40545 PD0012"/>
    <x v="2"/>
    <s v="$51.6M Unamortized Loss Due 2025 (LT)"/>
    <s v="20170331"/>
    <x v="13"/>
    <d v="2017-03-31T00:00:00"/>
    <n v="-1019.33"/>
  </r>
  <r>
    <s v="100024824"/>
    <s v="SA"/>
    <s v="40545 PD0023-A"/>
    <x v="2"/>
    <s v="$20M Unamortized Loss Due 2020 (LT)"/>
    <s v="20170331"/>
    <x v="14"/>
    <d v="2017-03-31T00:00:00"/>
    <n v="-857.57"/>
  </r>
  <r>
    <s v="100024825"/>
    <s v="SA"/>
    <s v="40545 PD0013-A"/>
    <x v="2"/>
    <s v="$75M Unamortized Loss Due 2022 (LT)"/>
    <s v="20170331"/>
    <x v="2"/>
    <d v="2017-03-31T00:00:00"/>
    <n v="-3125.47"/>
  </r>
  <r>
    <s v="100024826"/>
    <s v="SA"/>
    <s v="40542 PD0013-A"/>
    <x v="2"/>
    <s v="$75M Call Premium Due 2022 (LT)"/>
    <s v="20170331"/>
    <x v="2"/>
    <d v="2017-03-31T00:00:00"/>
    <n v="-4451.78"/>
  </r>
  <r>
    <s v="100024827"/>
    <s v="SA"/>
    <s v="40544 PD0013"/>
    <x v="2"/>
    <s v="$75M Bond Discount Due 2022 (LT)"/>
    <s v="20170331"/>
    <x v="2"/>
    <d v="2017-03-31T00:00:00"/>
    <n v="-10077.08"/>
  </r>
  <r>
    <s v="100024828"/>
    <s v="SA"/>
    <s v="40545 PD0900-A"/>
    <x v="2"/>
    <s v="$80M Unamortized Loss Due 2022 (LT)"/>
    <s v="20170331"/>
    <x v="11"/>
    <d v="2017-03-31T00:00:00"/>
    <n v="-5589.54"/>
  </r>
  <r>
    <s v="100024829"/>
    <s v="SA"/>
    <s v="40542 PD0900-A"/>
    <x v="2"/>
    <s v="$80M Call Premium Due 2022 (LT)"/>
    <s v="20170331"/>
    <x v="11"/>
    <d v="2017-03-31T00:00:00"/>
    <n v="-10099.59"/>
  </r>
  <r>
    <s v="100024830"/>
    <s v="SA"/>
    <s v="40545 PD0023-B"/>
    <x v="2"/>
    <s v="$20M Unamortized Loss Due 2022 (LT)"/>
    <s v="20170331"/>
    <x v="14"/>
    <d v="2017-03-31T00:00:00"/>
    <n v="-1407.23"/>
  </r>
  <r>
    <s v="100024831"/>
    <s v="SA"/>
    <s v="40542 PD0023"/>
    <x v="2"/>
    <s v="$20M Call Premium Due 2022 (LT)"/>
    <s v="20170331"/>
    <x v="14"/>
    <d v="2017-03-31T00:00:00"/>
    <n v="-2524.9"/>
  </r>
  <r>
    <s v="100024832"/>
    <s v="SA"/>
    <s v="40545 PD0900-B"/>
    <x v="2"/>
    <s v="$3.125M Unamortized Loss Due 2021 (LT)"/>
    <s v="20170331"/>
    <x v="11"/>
    <d v="2017-03-31T00:00:00"/>
    <n v="-193.73"/>
  </r>
  <r>
    <s v="100024833"/>
    <s v="SA"/>
    <s v="40542 PD0900-B"/>
    <x v="2"/>
    <s v="$3.125M Call Premium Due 2021 (LT)"/>
    <s v="20170331"/>
    <x v="11"/>
    <d v="2017-03-31T00:00:00"/>
    <n v="-274.12"/>
  </r>
  <r>
    <s v="100024834"/>
    <s v="SA"/>
    <s v="40545 PD0900-C"/>
    <x v="2"/>
    <s v="$21.875M Unamortized Loss Due 2021 (LT)"/>
    <s v="20170331"/>
    <x v="11"/>
    <d v="2017-03-31T00:00:00"/>
    <n v="-1347.95"/>
  </r>
  <r>
    <s v="100024835"/>
    <s v="SA"/>
    <s v="40542 PD0900-C"/>
    <x v="2"/>
    <s v="$21.875M Call Premium Due 2021 (LT)"/>
    <s v="20170331"/>
    <x v="11"/>
    <d v="2017-03-31T00:00:00"/>
    <n v="-1918.86"/>
  </r>
  <r>
    <s v="100024836"/>
    <s v="SA"/>
    <s v="40545 PD0013-B"/>
    <x v="2"/>
    <s v="$75M Unamortized Loss Due 2030 (LT)"/>
    <s v="20170331"/>
    <x v="2"/>
    <d v="2017-03-31T00:00:00"/>
    <n v="-1780.13"/>
  </r>
  <r>
    <s v="100024837"/>
    <s v="SA"/>
    <s v="40545 PD0014-A"/>
    <x v="2"/>
    <s v="$85.95M Unamortized Loss Due 2034 (LT)"/>
    <s v="20170331"/>
    <x v="5"/>
    <d v="2017-03-31T00:00:00"/>
    <n v="-2230.71"/>
  </r>
  <r>
    <s v="100024838"/>
    <s v="SA"/>
    <s v="40542 PD0014"/>
    <x v="2"/>
    <s v="$85.95M Call Premium Due 2034 (LT)"/>
    <s v="20170331"/>
    <x v="5"/>
    <d v="2017-03-31T00:00:00"/>
    <n v="-2490.34"/>
  </r>
  <r>
    <s v="100024839"/>
    <s v="SA"/>
    <s v="40542 PD0013-B"/>
    <x v="2"/>
    <s v="$75M Call Premium Due 2030 (LT)"/>
    <s v="20170331"/>
    <x v="2"/>
    <d v="2017-03-31T00:00:00"/>
    <n v="-5336.81"/>
  </r>
  <r>
    <s v="100024840"/>
    <s v="SA"/>
    <s v="40543 PD0011"/>
    <x v="2"/>
    <s v="$86.4M Bond Discount Due 2023 (LT)"/>
    <s v="20170331"/>
    <x v="8"/>
    <d v="2017-03-31T00:00:00"/>
    <n v="-4207.3500000000004"/>
  </r>
  <r>
    <s v="100030754"/>
    <s v="SA"/>
    <s v="40545 PD0011"/>
    <x v="2"/>
    <s v="$86.4M Unamortized Loss Due 2023 (LT)"/>
    <s v="20170430"/>
    <x v="8"/>
    <d v="2017-04-30T00:00:00"/>
    <n v="-3340.78"/>
  </r>
  <r>
    <s v="100030755"/>
    <s v="SA"/>
    <s v="40545 PD0010"/>
    <x v="2"/>
    <s v="$54.2M Unamortized Loss Due 2018 (LT)"/>
    <s v="20170430"/>
    <x v="12"/>
    <d v="2017-04-30T00:00:00"/>
    <n v="-1179.21"/>
  </r>
  <r>
    <s v="100030756"/>
    <s v="SA"/>
    <s v="40545 PD0012"/>
    <x v="2"/>
    <s v="$51.6M Unamortized Loss Due 2025 (LT)"/>
    <s v="20170430"/>
    <x v="13"/>
    <d v="2017-04-30T00:00:00"/>
    <n v="-1019.33"/>
  </r>
  <r>
    <s v="100030757"/>
    <s v="SA"/>
    <s v="40545 PD0023-A"/>
    <x v="2"/>
    <s v="$20M Unamortized Loss Due 2020 (LT)"/>
    <s v="20170430"/>
    <x v="14"/>
    <d v="2017-04-30T00:00:00"/>
    <n v="-857.57"/>
  </r>
  <r>
    <s v="100030758"/>
    <s v="SA"/>
    <s v="40545 PD0013-A"/>
    <x v="2"/>
    <s v="$75M Unamortized Loss Due 2022 (LT)"/>
    <s v="20170430"/>
    <x v="2"/>
    <d v="2017-04-30T00:00:00"/>
    <n v="-3125.47"/>
  </r>
  <r>
    <s v="100030759"/>
    <s v="SA"/>
    <s v="40542 PD0013-A"/>
    <x v="2"/>
    <s v="$75M Call Premium Due 2022 (LT)"/>
    <s v="20170430"/>
    <x v="2"/>
    <d v="2017-04-30T00:00:00"/>
    <n v="-4451.78"/>
  </r>
  <r>
    <s v="100030760"/>
    <s v="SA"/>
    <s v="40544 PD0013"/>
    <x v="2"/>
    <s v="$75M Bond Discount Due 2022 (LT)"/>
    <s v="20170430"/>
    <x v="2"/>
    <d v="2017-04-30T00:00:00"/>
    <n v="-10077.08"/>
  </r>
  <r>
    <s v="100030761"/>
    <s v="SA"/>
    <s v="40545 PD0900-A"/>
    <x v="2"/>
    <s v="$80M Unamortized Loss Due 2022 (LT)"/>
    <s v="20170430"/>
    <x v="11"/>
    <d v="2017-04-30T00:00:00"/>
    <n v="-5589.54"/>
  </r>
  <r>
    <s v="100030762"/>
    <s v="SA"/>
    <s v="40542 PD0900-A"/>
    <x v="2"/>
    <s v="$80M Call Premium Due 2022 (LT)"/>
    <s v="20170430"/>
    <x v="11"/>
    <d v="2017-04-30T00:00:00"/>
    <n v="-10099.59"/>
  </r>
  <r>
    <s v="100030763"/>
    <s v="SA"/>
    <s v="40545 PD0023-B"/>
    <x v="2"/>
    <s v="$20M Unamortized Loss Due 2022 (LT)"/>
    <s v="20170430"/>
    <x v="14"/>
    <d v="2017-04-30T00:00:00"/>
    <n v="-1407.23"/>
  </r>
  <r>
    <s v="100030764"/>
    <s v="SA"/>
    <s v="40542 PD0023"/>
    <x v="2"/>
    <s v="$20M Call Premium Due 2022 (LT)"/>
    <s v="20170430"/>
    <x v="14"/>
    <d v="2017-04-30T00:00:00"/>
    <n v="-2524.9"/>
  </r>
  <r>
    <s v="100030765"/>
    <s v="SA"/>
    <s v="40545 PD0900-B"/>
    <x v="2"/>
    <s v="$3.125M Unamortized Loss Due 2021 (LT)"/>
    <s v="20170430"/>
    <x v="11"/>
    <d v="2017-04-30T00:00:00"/>
    <n v="-193.73"/>
  </r>
  <r>
    <s v="100030766"/>
    <s v="SA"/>
    <s v="40542 PD0900-B"/>
    <x v="2"/>
    <s v="$3.125M Call Premium Due 2021 (LT)"/>
    <s v="20170430"/>
    <x v="11"/>
    <d v="2017-04-30T00:00:00"/>
    <n v="-274.12"/>
  </r>
  <r>
    <s v="100030767"/>
    <s v="SA"/>
    <s v="40545 PD0900-C"/>
    <x v="2"/>
    <s v="$21.875M Unamortized Loss Due 2021 (LT)"/>
    <s v="20170430"/>
    <x v="11"/>
    <d v="2017-04-30T00:00:00"/>
    <n v="-1347.95"/>
  </r>
  <r>
    <s v="100030768"/>
    <s v="SA"/>
    <s v="40542 PD0900-C"/>
    <x v="2"/>
    <s v="$21.875M Call Premium Due 2021 (LT)"/>
    <s v="20170430"/>
    <x v="11"/>
    <d v="2017-04-30T00:00:00"/>
    <n v="-1918.86"/>
  </r>
  <r>
    <s v="100030769"/>
    <s v="SA"/>
    <s v="40545 PD0013-B"/>
    <x v="2"/>
    <s v="$75M Unamortized Loss Due 2030 (LT)"/>
    <s v="20170430"/>
    <x v="2"/>
    <d v="2017-04-30T00:00:00"/>
    <n v="-1780.13"/>
  </r>
  <r>
    <s v="100030770"/>
    <s v="SA"/>
    <s v="40545 PD0014-A"/>
    <x v="2"/>
    <s v="$85.95M Unamortized Loss Due 2034 (LT)"/>
    <s v="20170430"/>
    <x v="5"/>
    <d v="2017-04-30T00:00:00"/>
    <n v="-2230.71"/>
  </r>
  <r>
    <s v="100030771"/>
    <s v="SA"/>
    <s v="40542 PD0014"/>
    <x v="2"/>
    <s v="$85.95M Call Premium Due 2034 (LT)"/>
    <s v="20170430"/>
    <x v="5"/>
    <d v="2017-04-30T00:00:00"/>
    <n v="-2490.34"/>
  </r>
  <r>
    <s v="100030772"/>
    <s v="SA"/>
    <s v="40542 PD0013-B"/>
    <x v="2"/>
    <s v="$75M Call Premium Due 2030 (LT)"/>
    <s v="20170430"/>
    <x v="2"/>
    <d v="2017-04-30T00:00:00"/>
    <n v="-5336.81"/>
  </r>
  <r>
    <s v="100030773"/>
    <s v="SA"/>
    <s v="40543 PD0011"/>
    <x v="2"/>
    <s v="$86.4M Bond Discount Due 2023 (LT)"/>
    <s v="20170430"/>
    <x v="8"/>
    <d v="2017-04-30T00:00:00"/>
    <n v="-4207.3500000000004"/>
  </r>
  <r>
    <s v="100038962"/>
    <s v="SA"/>
    <s v="40545 PD0011"/>
    <x v="2"/>
    <s v="$86.4M Unamortized Loss Due 2023 (LT)"/>
    <s v="20170531"/>
    <x v="8"/>
    <d v="2017-05-31T00:00:00"/>
    <n v="-3340.78"/>
  </r>
  <r>
    <s v="100038963"/>
    <s v="SA"/>
    <s v="40545 PD0010"/>
    <x v="2"/>
    <s v="$54.2M Unamortized Loss Due 2018 (LT)"/>
    <s v="20170531"/>
    <x v="12"/>
    <d v="2017-05-31T00:00:00"/>
    <n v="-1179.21"/>
  </r>
  <r>
    <s v="100038964"/>
    <s v="SA"/>
    <s v="40545 PD0012"/>
    <x v="2"/>
    <s v="$51.6M Unamortized Loss Due 2025 (LT)"/>
    <s v="20170531"/>
    <x v="13"/>
    <d v="2017-05-31T00:00:00"/>
    <n v="-1019.33"/>
  </r>
  <r>
    <s v="100038965"/>
    <s v="SA"/>
    <s v="40545 PD0023-A"/>
    <x v="2"/>
    <s v="$20M Unamortized Loss Due 2020 (LT)"/>
    <s v="20170531"/>
    <x v="14"/>
    <d v="2017-05-31T00:00:00"/>
    <n v="-857.57"/>
  </r>
  <r>
    <s v="100038966"/>
    <s v="SA"/>
    <s v="40545 PD0013-A"/>
    <x v="2"/>
    <s v="$75M Unamortized Loss Due 2022 (LT)"/>
    <s v="20170531"/>
    <x v="2"/>
    <d v="2017-05-31T00:00:00"/>
    <n v="-3125.47"/>
  </r>
  <r>
    <s v="100038967"/>
    <s v="SA"/>
    <s v="40542 PD0013-A"/>
    <x v="2"/>
    <s v="$75M Call Premium Due 2022 (LT)"/>
    <s v="20170531"/>
    <x v="2"/>
    <d v="2017-05-31T00:00:00"/>
    <n v="-4451.78"/>
  </r>
  <r>
    <s v="100038968"/>
    <s v="SA"/>
    <s v="40544 PD0013"/>
    <x v="2"/>
    <s v="$75M Bond Discount Due 2022 (LT)"/>
    <s v="20170531"/>
    <x v="2"/>
    <d v="2017-05-31T00:00:00"/>
    <n v="-10077.08"/>
  </r>
  <r>
    <s v="100038969"/>
    <s v="SA"/>
    <s v="40545 PD0900-A"/>
    <x v="2"/>
    <s v="$80M Unamortized Loss Due 2022 (LT)"/>
    <s v="20170531"/>
    <x v="11"/>
    <d v="2017-05-31T00:00:00"/>
    <n v="-5589.54"/>
  </r>
  <r>
    <s v="100038970"/>
    <s v="SA"/>
    <s v="40542 PD0900-A"/>
    <x v="2"/>
    <s v="$80M Call Premium Due 2022 (LT)"/>
    <s v="20170531"/>
    <x v="11"/>
    <d v="2017-05-31T00:00:00"/>
    <n v="-10099.59"/>
  </r>
  <r>
    <s v="100038971"/>
    <s v="SA"/>
    <s v="40545 PD0023-B"/>
    <x v="2"/>
    <s v="$20M Unamortized Loss Due 2022 (LT)"/>
    <s v="20170531"/>
    <x v="14"/>
    <d v="2017-05-31T00:00:00"/>
    <n v="-1407.23"/>
  </r>
  <r>
    <s v="100038972"/>
    <s v="SA"/>
    <s v="40542 PD0023"/>
    <x v="2"/>
    <s v="$20M Call Premium Due 2022 (LT)"/>
    <s v="20170531"/>
    <x v="14"/>
    <d v="2017-05-31T00:00:00"/>
    <n v="-2524.9"/>
  </r>
  <r>
    <s v="100038973"/>
    <s v="SA"/>
    <s v="40545 PD0900-B"/>
    <x v="2"/>
    <s v="$3.125M Unamortized Loss Due 2021 (LT)"/>
    <s v="20170531"/>
    <x v="11"/>
    <d v="2017-05-31T00:00:00"/>
    <n v="-193.73"/>
  </r>
  <r>
    <s v="100038974"/>
    <s v="SA"/>
    <s v="40542 PD0900-B"/>
    <x v="2"/>
    <s v="$3.125M Call Premium Due 2021 (LT)"/>
    <s v="20170531"/>
    <x v="11"/>
    <d v="2017-05-31T00:00:00"/>
    <n v="-274.12"/>
  </r>
  <r>
    <s v="100038975"/>
    <s v="SA"/>
    <s v="40545 PD0900-C"/>
    <x v="2"/>
    <s v="$21.875M Unamortized Loss Due 2021 (LT)"/>
    <s v="20170531"/>
    <x v="11"/>
    <d v="2017-05-31T00:00:00"/>
    <n v="-1347.95"/>
  </r>
  <r>
    <s v="100038976"/>
    <s v="SA"/>
    <s v="40542 PD0900-C"/>
    <x v="2"/>
    <s v="$21.875M Call Premium Due 2021 (LT)"/>
    <s v="20170531"/>
    <x v="11"/>
    <d v="2017-05-31T00:00:00"/>
    <n v="-1918.86"/>
  </r>
  <r>
    <s v="100038977"/>
    <s v="SA"/>
    <s v="40545 PD0013-B"/>
    <x v="2"/>
    <s v="$75M Unamortized Loss Due 2030 (LT)"/>
    <s v="20170531"/>
    <x v="2"/>
    <d v="2017-05-31T00:00:00"/>
    <n v="-1780.13"/>
  </r>
  <r>
    <s v="100038978"/>
    <s v="SA"/>
    <s v="40545 PD0014-A"/>
    <x v="2"/>
    <s v="$85.95M Unamortized Loss Due 2034 (LT)"/>
    <s v="20170531"/>
    <x v="5"/>
    <d v="2017-05-31T00:00:00"/>
    <n v="-2230.71"/>
  </r>
  <r>
    <s v="100038979"/>
    <s v="SA"/>
    <s v="40542 PD0014"/>
    <x v="2"/>
    <s v="$85.95M Call Premium Due 2034 (LT)"/>
    <s v="20170531"/>
    <x v="5"/>
    <d v="2017-05-31T00:00:00"/>
    <n v="-2490.34"/>
  </r>
  <r>
    <s v="100038980"/>
    <s v="SA"/>
    <s v="40542 PD0013-B"/>
    <x v="2"/>
    <s v="$75M Call Premium Due 2030 (LT)"/>
    <s v="20170531"/>
    <x v="2"/>
    <d v="2017-05-31T00:00:00"/>
    <n v="-5336.81"/>
  </r>
  <r>
    <s v="100038981"/>
    <s v="SA"/>
    <s v="40543 PD0011"/>
    <x v="2"/>
    <s v="$86.4M Bond Discount Due 2023 (LT)"/>
    <s v="20170531"/>
    <x v="8"/>
    <d v="2017-05-31T00:00:00"/>
    <n v="-4207.3500000000004"/>
  </r>
  <r>
    <s v="100041391"/>
    <s v="SA"/>
    <s v="40545 PD0010"/>
    <x v="2"/>
    <s v="$54.2M 2018 Bonds Rounding Adjustment"/>
    <s v="20170630"/>
    <x v="12"/>
    <d v="2017-06-30T00:00:00"/>
    <n v="-0.62"/>
  </r>
  <r>
    <s v="100046443"/>
    <s v="SA"/>
    <s v="40545 PD0011"/>
    <x v="2"/>
    <s v="$86.4M Unamortized Loss Due 2023 (LT)"/>
    <s v="20170630"/>
    <x v="8"/>
    <d v="2017-06-30T00:00:00"/>
    <n v="-3340.78"/>
  </r>
  <r>
    <s v="100046444"/>
    <s v="SA"/>
    <s v="40545 PD0012"/>
    <x v="2"/>
    <s v="$51.6M Unamortized Loss Due 2025 (LT)"/>
    <s v="20170630"/>
    <x v="13"/>
    <d v="2017-06-30T00:00:00"/>
    <n v="-1019.33"/>
  </r>
  <r>
    <s v="100046445"/>
    <s v="SA"/>
    <s v="40545 PD0023-A"/>
    <x v="2"/>
    <s v="$20M Unamortized Loss Due 2020 (LT)"/>
    <s v="20170630"/>
    <x v="14"/>
    <d v="2017-06-30T00:00:00"/>
    <n v="-857.57"/>
  </r>
  <r>
    <s v="100046446"/>
    <s v="SA"/>
    <s v="40545 PD0013-A"/>
    <x v="2"/>
    <s v="$75M Unamortized Loss Due 2022 (LT)"/>
    <s v="20170630"/>
    <x v="2"/>
    <d v="2017-06-30T00:00:00"/>
    <n v="-3125.47"/>
  </r>
  <r>
    <s v="100046447"/>
    <s v="SA"/>
    <s v="40542 PD0013-A"/>
    <x v="2"/>
    <s v="$75M Call Premium Due 2022 (LT)"/>
    <s v="20170630"/>
    <x v="2"/>
    <d v="2017-06-30T00:00:00"/>
    <n v="-4451.78"/>
  </r>
  <r>
    <s v="100046448"/>
    <s v="SA"/>
    <s v="40544 PD0013"/>
    <x v="2"/>
    <s v="$75M Bond Discount Due 2022 (LT)"/>
    <s v="20170630"/>
    <x v="2"/>
    <d v="2017-06-30T00:00:00"/>
    <n v="-10077.08"/>
  </r>
  <r>
    <s v="100046449"/>
    <s v="SA"/>
    <s v="40545 PD0900-A"/>
    <x v="2"/>
    <s v="$80M Unamortized Loss Due 2022 (LT)"/>
    <s v="20170630"/>
    <x v="11"/>
    <d v="2017-06-30T00:00:00"/>
    <n v="-5589.54"/>
  </r>
  <r>
    <s v="100046450"/>
    <s v="SA"/>
    <s v="40542 PD0900-A"/>
    <x v="2"/>
    <s v="$80M Call Premium Due 2022 (LT)"/>
    <s v="20170630"/>
    <x v="11"/>
    <d v="2017-06-30T00:00:00"/>
    <n v="-10099.59"/>
  </r>
  <r>
    <s v="100046451"/>
    <s v="SA"/>
    <s v="40545 PD0023-B"/>
    <x v="2"/>
    <s v="$20M Unamortized Loss Due 2022 (LT)"/>
    <s v="20170630"/>
    <x v="14"/>
    <d v="2017-06-30T00:00:00"/>
    <n v="-1407.23"/>
  </r>
  <r>
    <s v="100046452"/>
    <s v="SA"/>
    <s v="40542 PD0023"/>
    <x v="2"/>
    <s v="$20M Call Premium Due 2022 (LT)"/>
    <s v="20170630"/>
    <x v="14"/>
    <d v="2017-06-30T00:00:00"/>
    <n v="-2524.9"/>
  </r>
  <r>
    <s v="100046453"/>
    <s v="SA"/>
    <s v="40545 PD0900-B"/>
    <x v="2"/>
    <s v="$3.125M Unamortized Loss Due 2021 (LT)"/>
    <s v="20170630"/>
    <x v="11"/>
    <d v="2017-06-30T00:00:00"/>
    <n v="-193.73"/>
  </r>
  <r>
    <s v="100046454"/>
    <s v="SA"/>
    <s v="40542 PD0900-B"/>
    <x v="2"/>
    <s v="$3.125M Call Premium Due 2021 (LT)"/>
    <s v="20170630"/>
    <x v="11"/>
    <d v="2017-06-30T00:00:00"/>
    <n v="-274.12"/>
  </r>
  <r>
    <s v="100046455"/>
    <s v="SA"/>
    <s v="40545 PD0900-C"/>
    <x v="2"/>
    <s v="$21.875M Unamortized Loss Due 2021 (LT)"/>
    <s v="20170630"/>
    <x v="11"/>
    <d v="2017-06-30T00:00:00"/>
    <n v="-1347.95"/>
  </r>
  <r>
    <s v="100046456"/>
    <s v="SA"/>
    <s v="40542 PD0900-C"/>
    <x v="2"/>
    <s v="$21.875M Call Premium Due 2021 (LT)"/>
    <s v="20170630"/>
    <x v="11"/>
    <d v="2017-06-30T00:00:00"/>
    <n v="-1918.86"/>
  </r>
  <r>
    <s v="100046457"/>
    <s v="SA"/>
    <s v="40545 PD0013-B"/>
    <x v="2"/>
    <s v="$75M Unamortized Loss Due 2030 (LT)"/>
    <s v="20170630"/>
    <x v="2"/>
    <d v="2017-06-30T00:00:00"/>
    <n v="-1780.13"/>
  </r>
  <r>
    <s v="100046458"/>
    <s v="SA"/>
    <s v="40545 PD0014-A"/>
    <x v="2"/>
    <s v="$85.95M Unamortized Loss Due 2034 (LT)"/>
    <s v="20170630"/>
    <x v="5"/>
    <d v="2017-06-30T00:00:00"/>
    <n v="-2230.71"/>
  </r>
  <r>
    <s v="100046459"/>
    <s v="SA"/>
    <s v="40542 PD0014"/>
    <x v="2"/>
    <s v="$85.95M Call Premium Due 2034 (LT)"/>
    <s v="20170630"/>
    <x v="5"/>
    <d v="2017-06-30T00:00:00"/>
    <n v="-2490.34"/>
  </r>
  <r>
    <s v="100046460"/>
    <s v="SA"/>
    <s v="40542 PD0013-B"/>
    <x v="2"/>
    <s v="$75M Call Premium Due 2030 (LT)"/>
    <s v="20170630"/>
    <x v="2"/>
    <d v="2017-06-30T00:00:00"/>
    <n v="-5336.81"/>
  </r>
  <r>
    <s v="100046461"/>
    <s v="SA"/>
    <s v="40543 PD0011"/>
    <x v="2"/>
    <s v="$86.4M Bond Discount Due 2023 (LT)"/>
    <s v="20170630"/>
    <x v="8"/>
    <d v="2017-06-30T00:00:00"/>
    <n v="-4207.3500000000004"/>
  </r>
  <r>
    <s v="100052800"/>
    <s v="SA"/>
    <s v="40545 PD0011"/>
    <x v="2"/>
    <s v="$86.4M Unamortized Loss Due 2023 (LT)"/>
    <s v="20170731"/>
    <x v="8"/>
    <d v="2017-07-31T00:00:00"/>
    <n v="-3340.78"/>
  </r>
  <r>
    <s v="100052801"/>
    <s v="SA"/>
    <s v="40545 PD0012"/>
    <x v="2"/>
    <s v="$51.6M Unamortized Loss Due 2025 (LT)"/>
    <s v="20170731"/>
    <x v="13"/>
    <d v="2017-07-31T00:00:00"/>
    <n v="-1019.33"/>
  </r>
  <r>
    <s v="100052802"/>
    <s v="SA"/>
    <s v="40545 PD0023-A"/>
    <x v="2"/>
    <s v="$20M Unamortized Loss Due 2020 (LT)"/>
    <s v="20170731"/>
    <x v="14"/>
    <d v="2017-07-31T00:00:00"/>
    <n v="-857.57"/>
  </r>
  <r>
    <s v="100052803"/>
    <s v="SA"/>
    <s v="40545 PD0013-A"/>
    <x v="2"/>
    <s v="$75M Unamortized Loss Due 2022 (LT)"/>
    <s v="20170731"/>
    <x v="2"/>
    <d v="2017-07-31T00:00:00"/>
    <n v="-3125.47"/>
  </r>
  <r>
    <s v="100052804"/>
    <s v="SA"/>
    <s v="40542 PD0013-A"/>
    <x v="2"/>
    <s v="$75M Call Premium Due 2022 (LT)"/>
    <s v="20170731"/>
    <x v="2"/>
    <d v="2017-07-31T00:00:00"/>
    <n v="-4451.78"/>
  </r>
  <r>
    <s v="100052805"/>
    <s v="SA"/>
    <s v="40544 PD0013"/>
    <x v="2"/>
    <s v="$75M Bond Discount Due 2022 (LT)"/>
    <s v="20170731"/>
    <x v="2"/>
    <d v="2017-07-31T00:00:00"/>
    <n v="-10077.08"/>
  </r>
  <r>
    <s v="100052806"/>
    <s v="SA"/>
    <s v="40545 PD0900-A"/>
    <x v="2"/>
    <s v="$80M Unamortized Loss Due 2022 (LT)"/>
    <s v="20170731"/>
    <x v="11"/>
    <d v="2017-07-31T00:00:00"/>
    <n v="-5589.54"/>
  </r>
  <r>
    <s v="100052807"/>
    <s v="SA"/>
    <s v="40542 PD0900-A"/>
    <x v="2"/>
    <s v="$80M Call Premium Due 2022 (LT)"/>
    <s v="20170731"/>
    <x v="11"/>
    <d v="2017-07-31T00:00:00"/>
    <n v="-10099.59"/>
  </r>
  <r>
    <s v="100052808"/>
    <s v="SA"/>
    <s v="40545 PD0023-B"/>
    <x v="2"/>
    <s v="$20M Unamortized Loss Due 2022 (LT)"/>
    <s v="20170731"/>
    <x v="14"/>
    <d v="2017-07-31T00:00:00"/>
    <n v="-1407.23"/>
  </r>
  <r>
    <s v="100052809"/>
    <s v="SA"/>
    <s v="40542 PD0023"/>
    <x v="2"/>
    <s v="$20M Call Premium Due 2022 (LT)"/>
    <s v="20170731"/>
    <x v="14"/>
    <d v="2017-07-31T00:00:00"/>
    <n v="-2524.9"/>
  </r>
  <r>
    <s v="100052810"/>
    <s v="SA"/>
    <s v="40545 PD0900-B"/>
    <x v="2"/>
    <s v="$3.125M Unamortized Loss Due 2021 (LT)"/>
    <s v="20170731"/>
    <x v="11"/>
    <d v="2017-07-31T00:00:00"/>
    <n v="-193.73"/>
  </r>
  <r>
    <s v="100052811"/>
    <s v="SA"/>
    <s v="40542 PD0900-B"/>
    <x v="2"/>
    <s v="$3.125M Call Premium Due 2021 (LT)"/>
    <s v="20170731"/>
    <x v="11"/>
    <d v="2017-07-31T00:00:00"/>
    <n v="-274.12"/>
  </r>
  <r>
    <s v="100052812"/>
    <s v="SA"/>
    <s v="40545 PD0900-C"/>
    <x v="2"/>
    <s v="$21.875M Unamortized Loss Due 2021 (LT)"/>
    <s v="20170731"/>
    <x v="11"/>
    <d v="2017-07-31T00:00:00"/>
    <n v="-1347.95"/>
  </r>
  <r>
    <s v="100052813"/>
    <s v="SA"/>
    <s v="40542 PD0900-C"/>
    <x v="2"/>
    <s v="$21.875M Call Premium Due 2021 (LT)"/>
    <s v="20170731"/>
    <x v="11"/>
    <d v="2017-07-31T00:00:00"/>
    <n v="-1918.86"/>
  </r>
  <r>
    <s v="100052814"/>
    <s v="SA"/>
    <s v="40545 PD0013-B"/>
    <x v="2"/>
    <s v="$75M Unamortized Loss Due 2030 (LT)"/>
    <s v="20170731"/>
    <x v="2"/>
    <d v="2017-07-31T00:00:00"/>
    <n v="-1780.13"/>
  </r>
  <r>
    <s v="100052815"/>
    <s v="SA"/>
    <s v="40545 PD0014-A"/>
    <x v="2"/>
    <s v="$85.95M Unamortized Loss Due 2034 (LT)"/>
    <s v="20170731"/>
    <x v="5"/>
    <d v="2017-07-31T00:00:00"/>
    <n v="-2230.71"/>
  </r>
  <r>
    <s v="100052816"/>
    <s v="SA"/>
    <s v="40542 PD0014"/>
    <x v="2"/>
    <s v="$85.95M Call Premium Due 2034 (LT)"/>
    <s v="20170731"/>
    <x v="5"/>
    <d v="2017-07-31T00:00:00"/>
    <n v="-2490.34"/>
  </r>
  <r>
    <s v="100052817"/>
    <s v="SA"/>
    <s v="40542 PD0013-B"/>
    <x v="2"/>
    <s v="$75M Call Premium Due 2030 (LT)"/>
    <s v="20170731"/>
    <x v="2"/>
    <d v="2017-07-31T00:00:00"/>
    <n v="-5336.81"/>
  </r>
  <r>
    <s v="100052818"/>
    <s v="SA"/>
    <s v="40543 PD0011"/>
    <x v="2"/>
    <s v="$86.4M Bond Discount Due 2023 (LT)"/>
    <s v="20170731"/>
    <x v="8"/>
    <d v="2017-07-31T00:00:00"/>
    <n v="-4207.3500000000004"/>
  </r>
  <r>
    <s v="100060236"/>
    <s v="SA"/>
    <s v="40545 PD0011"/>
    <x v="2"/>
    <s v="$86.4M Unamortized Loss Due 2023 (LT)"/>
    <s v="20170831"/>
    <x v="8"/>
    <d v="2017-08-31T00:00:00"/>
    <n v="-3340.78"/>
  </r>
  <r>
    <s v="100060237"/>
    <s v="SA"/>
    <s v="40545 PD0012"/>
    <x v="2"/>
    <s v="$51.6M Unamortized Loss Due 2025 (LT)"/>
    <s v="20170831"/>
    <x v="13"/>
    <d v="2017-08-31T00:00:00"/>
    <n v="-1019.33"/>
  </r>
  <r>
    <s v="100060238"/>
    <s v="SA"/>
    <s v="40545 PD0023-A"/>
    <x v="2"/>
    <s v="$20M Unamortized Loss Due 2020 (LT)"/>
    <s v="20170831"/>
    <x v="14"/>
    <d v="2017-08-31T00:00:00"/>
    <n v="-857.57"/>
  </r>
  <r>
    <s v="100060239"/>
    <s v="SA"/>
    <s v="40545 PD0013-A"/>
    <x v="2"/>
    <s v="$75M Unamortized Loss Due 2022 (LT)"/>
    <s v="20170831"/>
    <x v="2"/>
    <d v="2017-08-31T00:00:00"/>
    <n v="-3125.47"/>
  </r>
  <r>
    <s v="100060240"/>
    <s v="SA"/>
    <s v="40542 PD0013-A"/>
    <x v="2"/>
    <s v="$75M Call Premium Due 2022 (LT)"/>
    <s v="20170831"/>
    <x v="2"/>
    <d v="2017-08-31T00:00:00"/>
    <n v="-4451.78"/>
  </r>
  <r>
    <s v="100060241"/>
    <s v="SA"/>
    <s v="40544 PD0013"/>
    <x v="2"/>
    <s v="$75M Bond Discount Due 2022 (LT)"/>
    <s v="20170831"/>
    <x v="2"/>
    <d v="2017-08-31T00:00:00"/>
    <n v="-10077.08"/>
  </r>
  <r>
    <s v="100060242"/>
    <s v="SA"/>
    <s v="40545 PD0900-A"/>
    <x v="2"/>
    <s v="$80M Unamortized Loss Due 2022 (LT)"/>
    <s v="20170831"/>
    <x v="11"/>
    <d v="2017-08-31T00:00:00"/>
    <n v="-5589.54"/>
  </r>
  <r>
    <s v="100060243"/>
    <s v="SA"/>
    <s v="40542 PD0900-A"/>
    <x v="2"/>
    <s v="$80M Call Premium Due 2022 (LT)"/>
    <s v="20170831"/>
    <x v="11"/>
    <d v="2017-08-31T00:00:00"/>
    <n v="-10099.59"/>
  </r>
  <r>
    <s v="100060244"/>
    <s v="SA"/>
    <s v="40545 PD0023-B"/>
    <x v="2"/>
    <s v="$20M Unamortized Loss Due 2022 (LT)"/>
    <s v="20170831"/>
    <x v="14"/>
    <d v="2017-08-31T00:00:00"/>
    <n v="-1407.23"/>
  </r>
  <r>
    <s v="100060245"/>
    <s v="SA"/>
    <s v="40542 PD0023"/>
    <x v="2"/>
    <s v="$20M Call Premium Due 2022 (LT)"/>
    <s v="20170831"/>
    <x v="14"/>
    <d v="2017-08-31T00:00:00"/>
    <n v="-2524.9"/>
  </r>
  <r>
    <s v="100060246"/>
    <s v="SA"/>
    <s v="40545 PD0900-B"/>
    <x v="2"/>
    <s v="$3.125M Unamortized Loss Due 2021 (LT)"/>
    <s v="20170831"/>
    <x v="11"/>
    <d v="2017-08-31T00:00:00"/>
    <n v="-193.73"/>
  </r>
  <r>
    <s v="100060247"/>
    <s v="SA"/>
    <s v="40542 PD0900-B"/>
    <x v="2"/>
    <s v="$3.125M Call Premium Due 2021 (LT)"/>
    <s v="20170831"/>
    <x v="11"/>
    <d v="2017-08-31T00:00:00"/>
    <n v="-274.12"/>
  </r>
  <r>
    <s v="100060248"/>
    <s v="SA"/>
    <s v="40545 PD0900-C"/>
    <x v="2"/>
    <s v="$21.875M Unamortized Loss Due 2021 (LT)"/>
    <s v="20170831"/>
    <x v="11"/>
    <d v="2017-08-31T00:00:00"/>
    <n v="-1347.95"/>
  </r>
  <r>
    <s v="100060249"/>
    <s v="SA"/>
    <s v="40542 PD0900-C"/>
    <x v="2"/>
    <s v="$21.875M Call Premium Due 2021 (LT)"/>
    <s v="20170831"/>
    <x v="11"/>
    <d v="2017-08-31T00:00:00"/>
    <n v="-1918.86"/>
  </r>
  <r>
    <s v="100060250"/>
    <s v="SA"/>
    <s v="40545 PD0013-B"/>
    <x v="2"/>
    <s v="$75M Unamortized Loss Due 2030 (LT)"/>
    <s v="20170831"/>
    <x v="2"/>
    <d v="2017-08-31T00:00:00"/>
    <n v="-1780.13"/>
  </r>
  <r>
    <s v="100060251"/>
    <s v="SA"/>
    <s v="40545 PD0014-A"/>
    <x v="2"/>
    <s v="$85.95M Unamortized Loss Due 2034 (LT)"/>
    <s v="20170831"/>
    <x v="5"/>
    <d v="2017-08-31T00:00:00"/>
    <n v="-2230.71"/>
  </r>
  <r>
    <s v="100060252"/>
    <s v="SA"/>
    <s v="40542 PD0014"/>
    <x v="2"/>
    <s v="$85.95M Call Premium Due 2034 (LT)"/>
    <s v="20170831"/>
    <x v="5"/>
    <d v="2017-08-31T00:00:00"/>
    <n v="-2490.34"/>
  </r>
  <r>
    <s v="100060253"/>
    <s v="SA"/>
    <s v="40542 PD0013-B"/>
    <x v="2"/>
    <s v="$75M Call Premium Due 2030 (LT)"/>
    <s v="20170831"/>
    <x v="2"/>
    <d v="2017-08-31T00:00:00"/>
    <n v="-5336.81"/>
  </r>
  <r>
    <s v="100060254"/>
    <s v="SA"/>
    <s v="40543 PD0011"/>
    <x v="2"/>
    <s v="$86.4M Bond Discount Due 2023 (LT)"/>
    <s v="20170831"/>
    <x v="8"/>
    <d v="2017-08-31T00:00:00"/>
    <n v="-4207.3500000000004"/>
  </r>
  <r>
    <s v="100066751"/>
    <s v="SA"/>
    <s v="40545 PD0011"/>
    <x v="2"/>
    <s v="$86.4M Unamortized Loss Due 2023 (LT)"/>
    <s v="20170930"/>
    <x v="8"/>
    <d v="2017-09-30T00:00:00"/>
    <n v="-3340.78"/>
  </r>
  <r>
    <s v="100066752"/>
    <s v="SA"/>
    <s v="40545 PD0012"/>
    <x v="2"/>
    <s v="$51.6M Unamortized Loss Due 2025 (LT)"/>
    <s v="20170930"/>
    <x v="13"/>
    <d v="2017-09-30T00:00:00"/>
    <n v="-1019.33"/>
  </r>
  <r>
    <s v="100066753"/>
    <s v="SA"/>
    <s v="40545 PD0023-A"/>
    <x v="2"/>
    <s v="$20M Unamortized Loss Due 2020 (LT)"/>
    <s v="20170930"/>
    <x v="14"/>
    <d v="2017-09-30T00:00:00"/>
    <n v="-857.57"/>
  </r>
  <r>
    <s v="100066754"/>
    <s v="SA"/>
    <s v="40545 PD0013-A"/>
    <x v="2"/>
    <s v="$75M Unamortized Loss Due 2022 (LT)"/>
    <s v="20170930"/>
    <x v="2"/>
    <d v="2017-09-30T00:00:00"/>
    <n v="-3125.47"/>
  </r>
  <r>
    <s v="100066755"/>
    <s v="SA"/>
    <s v="40542 PD0013-A"/>
    <x v="2"/>
    <s v="$75M Call Premium Due 2022 (LT)"/>
    <s v="20170930"/>
    <x v="2"/>
    <d v="2017-09-30T00:00:00"/>
    <n v="-4451.78"/>
  </r>
  <r>
    <s v="100066756"/>
    <s v="SA"/>
    <s v="40544 PD0013"/>
    <x v="2"/>
    <s v="$75M Bond Discount Due 2022 (LT)"/>
    <s v="20170930"/>
    <x v="2"/>
    <d v="2017-09-30T00:00:00"/>
    <n v="-10077.08"/>
  </r>
  <r>
    <s v="100066757"/>
    <s v="SA"/>
    <s v="40545 PD0900-A"/>
    <x v="2"/>
    <s v="$80M Unamortized Loss Due 2022 (LT)"/>
    <s v="20170930"/>
    <x v="11"/>
    <d v="2017-09-30T00:00:00"/>
    <n v="-5589.54"/>
  </r>
  <r>
    <s v="100066758"/>
    <s v="SA"/>
    <s v="40542 PD0900-A"/>
    <x v="2"/>
    <s v="$80M Call Premium Due 2022 (LT)"/>
    <s v="20170930"/>
    <x v="11"/>
    <d v="2017-09-30T00:00:00"/>
    <n v="-10099.59"/>
  </r>
  <r>
    <s v="100066759"/>
    <s v="SA"/>
    <s v="40545 PD0023-B"/>
    <x v="2"/>
    <s v="$20M Unamortized Loss Due 2022 (LT)"/>
    <s v="20170930"/>
    <x v="14"/>
    <d v="2017-09-30T00:00:00"/>
    <n v="-1407.23"/>
  </r>
  <r>
    <s v="100066760"/>
    <s v="SA"/>
    <s v="40542 PD0023"/>
    <x v="2"/>
    <s v="$20M Call Premium Due 2022 (LT)"/>
    <s v="20170930"/>
    <x v="14"/>
    <d v="2017-09-30T00:00:00"/>
    <n v="-2524.9"/>
  </r>
  <r>
    <s v="100066761"/>
    <s v="SA"/>
    <s v="40545 PD0900-B"/>
    <x v="2"/>
    <s v="$3.125M Unamortized Loss Due 2021 (LT)"/>
    <s v="20170930"/>
    <x v="11"/>
    <d v="2017-09-30T00:00:00"/>
    <n v="-193.73"/>
  </r>
  <r>
    <s v="100066762"/>
    <s v="SA"/>
    <s v="40542 PD0900-B"/>
    <x v="2"/>
    <s v="$3.125M Call Premium Due 2021 (LT)"/>
    <s v="20170930"/>
    <x v="11"/>
    <d v="2017-09-30T00:00:00"/>
    <n v="-274.12"/>
  </r>
  <r>
    <s v="100066763"/>
    <s v="SA"/>
    <s v="40545 PD0900-C"/>
    <x v="2"/>
    <s v="$21.875M Unamortized Loss Due 2021 (LT)"/>
    <s v="20170930"/>
    <x v="11"/>
    <d v="2017-09-30T00:00:00"/>
    <n v="-1347.95"/>
  </r>
  <r>
    <s v="100066764"/>
    <s v="SA"/>
    <s v="40542 PD0900-C"/>
    <x v="2"/>
    <s v="$21.875M Call Premium Due 2021 (LT)"/>
    <s v="20170930"/>
    <x v="11"/>
    <d v="2017-09-30T00:00:00"/>
    <n v="-1918.86"/>
  </r>
  <r>
    <s v="100066765"/>
    <s v="SA"/>
    <s v="40545 PD0013-B"/>
    <x v="2"/>
    <s v="$75M Unamortized Loss Due 2030 (LT)"/>
    <s v="20170930"/>
    <x v="2"/>
    <d v="2017-09-30T00:00:00"/>
    <n v="-1780.13"/>
  </r>
  <r>
    <s v="100066766"/>
    <s v="SA"/>
    <s v="40545 PD0014-A"/>
    <x v="2"/>
    <s v="$85.95M Unamortized Loss Due 2034 (LT)"/>
    <s v="20170930"/>
    <x v="5"/>
    <d v="2017-09-30T00:00:00"/>
    <n v="-2230.71"/>
  </r>
  <r>
    <s v="100066767"/>
    <s v="SA"/>
    <s v="40542 PD0014"/>
    <x v="2"/>
    <s v="$85.95M Call Premium Due 2034 (LT)"/>
    <s v="20170930"/>
    <x v="5"/>
    <d v="2017-09-30T00:00:00"/>
    <n v="-2490.34"/>
  </r>
  <r>
    <s v="100066768"/>
    <s v="SA"/>
    <s v="40542 PD0013-B"/>
    <x v="2"/>
    <s v="$75M Call Premium Due 2030 (LT)"/>
    <s v="20170930"/>
    <x v="2"/>
    <d v="2017-09-30T00:00:00"/>
    <n v="-5336.81"/>
  </r>
  <r>
    <s v="100066769"/>
    <s v="SA"/>
    <s v="40543 PD0011"/>
    <x v="2"/>
    <s v="$86.4M Bond Discount Due 2023 (LT)"/>
    <s v="20170930"/>
    <x v="8"/>
    <d v="2017-09-30T00:00:00"/>
    <n v="-4207.3500000000004"/>
  </r>
  <r>
    <s v="100073951"/>
    <s v="SA"/>
    <s v="40545 PD0011"/>
    <x v="2"/>
    <s v="$86.4M Unamortized Loss Due 2023 (LT)"/>
    <s v="20171031"/>
    <x v="8"/>
    <d v="2017-10-31T00:00:00"/>
    <n v="-3340.78"/>
  </r>
  <r>
    <s v="100073952"/>
    <s v="SA"/>
    <s v="40545 PD0012"/>
    <x v="2"/>
    <s v="$51.6M Unamortized Loss Due 2025 (LT)"/>
    <s v="20171031"/>
    <x v="13"/>
    <d v="2017-10-31T00:00:00"/>
    <n v="-1019.33"/>
  </r>
  <r>
    <s v="100073953"/>
    <s v="SA"/>
    <s v="40545 PD0023-A"/>
    <x v="2"/>
    <s v="$20M Unamortized Loss Due 2020 (LT)"/>
    <s v="20171031"/>
    <x v="14"/>
    <d v="2017-10-31T00:00:00"/>
    <n v="-857.57"/>
  </r>
  <r>
    <s v="100073954"/>
    <s v="SA"/>
    <s v="40545 PD0013-A"/>
    <x v="2"/>
    <s v="$75M Unamortized Loss Due 2022 (LT)"/>
    <s v="20171031"/>
    <x v="2"/>
    <d v="2017-10-31T00:00:00"/>
    <n v="-3125.47"/>
  </r>
  <r>
    <s v="100073955"/>
    <s v="SA"/>
    <s v="40542 PD0013-A"/>
    <x v="2"/>
    <s v="$75M Call Premium Due 2022 (LT)"/>
    <s v="20171031"/>
    <x v="2"/>
    <d v="2017-10-31T00:00:00"/>
    <n v="-4451.78"/>
  </r>
  <r>
    <s v="100073956"/>
    <s v="SA"/>
    <s v="40544 PD0013"/>
    <x v="2"/>
    <s v="$75M Bond Discount Due 2022 (LT)"/>
    <s v="20171031"/>
    <x v="2"/>
    <d v="2017-10-31T00:00:00"/>
    <n v="-10077.08"/>
  </r>
  <r>
    <s v="100073957"/>
    <s v="SA"/>
    <s v="40545 PD0900-A"/>
    <x v="2"/>
    <s v="$80M Unamortized Loss Due 2022 (LT)"/>
    <s v="20171031"/>
    <x v="11"/>
    <d v="2017-10-31T00:00:00"/>
    <n v="-5589.54"/>
  </r>
  <r>
    <s v="100073958"/>
    <s v="SA"/>
    <s v="40542 PD0900-A"/>
    <x v="2"/>
    <s v="$80M Call Premium Due 2022 (LT)"/>
    <s v="20171031"/>
    <x v="11"/>
    <d v="2017-10-31T00:00:00"/>
    <n v="-10099.59"/>
  </r>
  <r>
    <s v="100073959"/>
    <s v="SA"/>
    <s v="40545 PD0023-B"/>
    <x v="2"/>
    <s v="$20M Unamortized Loss Due 2022 (LT)"/>
    <s v="20171031"/>
    <x v="14"/>
    <d v="2017-10-31T00:00:00"/>
    <n v="-1407.23"/>
  </r>
  <r>
    <s v="100073960"/>
    <s v="SA"/>
    <s v="40542 PD0023"/>
    <x v="2"/>
    <s v="$20M Call Premium Due 2022 (LT)"/>
    <s v="20171031"/>
    <x v="14"/>
    <d v="2017-10-31T00:00:00"/>
    <n v="-2524.9"/>
  </r>
  <r>
    <s v="100073961"/>
    <s v="SA"/>
    <s v="40545 PD0900-B"/>
    <x v="2"/>
    <s v="$3.125M Unamortized Loss Due 2021 (LT)"/>
    <s v="20171031"/>
    <x v="11"/>
    <d v="2017-10-31T00:00:00"/>
    <n v="-193.73"/>
  </r>
  <r>
    <s v="100073962"/>
    <s v="SA"/>
    <s v="40542 PD0900-B"/>
    <x v="2"/>
    <s v="$3.125M Call Premium Due 2021 (LT)"/>
    <s v="20171031"/>
    <x v="11"/>
    <d v="2017-10-31T00:00:00"/>
    <n v="-274.12"/>
  </r>
  <r>
    <s v="100073963"/>
    <s v="SA"/>
    <s v="40545 PD0900-C"/>
    <x v="2"/>
    <s v="$21.875M Unamortized Loss Due 2021 (LT)"/>
    <s v="20171031"/>
    <x v="11"/>
    <d v="2017-10-31T00:00:00"/>
    <n v="-1347.95"/>
  </r>
  <r>
    <s v="100073964"/>
    <s v="SA"/>
    <s v="40542 PD0900-C"/>
    <x v="2"/>
    <s v="$21.875M Call Premium Due 2021 (LT)"/>
    <s v="20171031"/>
    <x v="11"/>
    <d v="2017-10-31T00:00:00"/>
    <n v="-1918.86"/>
  </r>
  <r>
    <s v="100073965"/>
    <s v="SA"/>
    <s v="40545 PD0013-B"/>
    <x v="2"/>
    <s v="$75M Unamortized Loss Due 2030 (LT)"/>
    <s v="20171031"/>
    <x v="2"/>
    <d v="2017-10-31T00:00:00"/>
    <n v="-1780.13"/>
  </r>
  <r>
    <s v="100073966"/>
    <s v="SA"/>
    <s v="40545 PD0014-A"/>
    <x v="2"/>
    <s v="$85.95M Unamortized Loss Due 2034 (LT)"/>
    <s v="20171031"/>
    <x v="5"/>
    <d v="2017-10-31T00:00:00"/>
    <n v="-2230.71"/>
  </r>
  <r>
    <s v="100073967"/>
    <s v="SA"/>
    <s v="40542 PD0014"/>
    <x v="2"/>
    <s v="$85.95M Call Premium Due 2034 (LT)"/>
    <s v="20171031"/>
    <x v="5"/>
    <d v="2017-10-31T00:00:00"/>
    <n v="-2490.34"/>
  </r>
  <r>
    <s v="100073968"/>
    <s v="SA"/>
    <s v="40542 PD0013-B"/>
    <x v="2"/>
    <s v="$75M Call Premium Due 2030 (LT)"/>
    <s v="20171031"/>
    <x v="2"/>
    <d v="2017-10-31T00:00:00"/>
    <n v="-5336.81"/>
  </r>
  <r>
    <s v="100073969"/>
    <s v="SA"/>
    <s v="40543 PD0011"/>
    <x v="2"/>
    <s v="$86.4M Bond Discount Due 2023 (LT)"/>
    <s v="20171031"/>
    <x v="8"/>
    <d v="2017-10-31T00:00:00"/>
    <n v="-4207.3500000000004"/>
  </r>
  <r>
    <s v="100080439"/>
    <s v="SA"/>
    <s v="40545 PD0011"/>
    <x v="2"/>
    <s v="$86.4M Unamortized Loss Due 2023 (LT)"/>
    <s v="20171130"/>
    <x v="8"/>
    <d v="2017-11-30T00:00:00"/>
    <n v="-3340.78"/>
  </r>
  <r>
    <s v="100080440"/>
    <s v="SA"/>
    <s v="40545 PD0012"/>
    <x v="2"/>
    <s v="$51.6M Unamortized Loss Due 2025 (LT)"/>
    <s v="20171130"/>
    <x v="13"/>
    <d v="2017-11-30T00:00:00"/>
    <n v="-1019.33"/>
  </r>
  <r>
    <s v="100080441"/>
    <s v="SA"/>
    <s v="40545 PD0023-A"/>
    <x v="2"/>
    <s v="$20M Unamortized Loss Due 2020 (LT)"/>
    <s v="20171130"/>
    <x v="14"/>
    <d v="2017-11-30T00:00:00"/>
    <n v="-857.57"/>
  </r>
  <r>
    <s v="100080442"/>
    <s v="SA"/>
    <s v="40545 PD0013-A"/>
    <x v="2"/>
    <s v="$75M Unamortized Loss Due 2022 (LT)"/>
    <s v="20171130"/>
    <x v="2"/>
    <d v="2017-11-30T00:00:00"/>
    <n v="-3125.47"/>
  </r>
  <r>
    <s v="100080443"/>
    <s v="SA"/>
    <s v="40542 PD0013-A"/>
    <x v="2"/>
    <s v="$75M Call Premium Due 2022 (LT)"/>
    <s v="20171130"/>
    <x v="2"/>
    <d v="2017-11-30T00:00:00"/>
    <n v="-4451.78"/>
  </r>
  <r>
    <s v="100080444"/>
    <s v="SA"/>
    <s v="40544 PD0013"/>
    <x v="2"/>
    <s v="$75M Bond Discount Due 2022 (LT)"/>
    <s v="20171130"/>
    <x v="2"/>
    <d v="2017-11-30T00:00:00"/>
    <n v="-10077.08"/>
  </r>
  <r>
    <s v="100080445"/>
    <s v="SA"/>
    <s v="40545 PD0900-A"/>
    <x v="2"/>
    <s v="$80M Unamortized Loss Due 2022 (LT)"/>
    <s v="20171130"/>
    <x v="11"/>
    <d v="2017-11-30T00:00:00"/>
    <n v="-5589.54"/>
  </r>
  <r>
    <s v="100080446"/>
    <s v="SA"/>
    <s v="40542 PD0900-A"/>
    <x v="2"/>
    <s v="$80M Call Premium Due 2022 (LT)"/>
    <s v="20171130"/>
    <x v="11"/>
    <d v="2017-11-30T00:00:00"/>
    <n v="-10099.59"/>
  </r>
  <r>
    <s v="100080447"/>
    <s v="SA"/>
    <s v="40545 PD0023-B"/>
    <x v="2"/>
    <s v="$20M Unamortized Loss Due 2022 (LT)"/>
    <s v="20171130"/>
    <x v="14"/>
    <d v="2017-11-30T00:00:00"/>
    <n v="-1407.23"/>
  </r>
  <r>
    <s v="100080448"/>
    <s v="SA"/>
    <s v="40542 PD0023"/>
    <x v="2"/>
    <s v="$20M Call Premium Due 2022 (LT)"/>
    <s v="20171130"/>
    <x v="14"/>
    <d v="2017-11-30T00:00:00"/>
    <n v="-2524.9"/>
  </r>
  <r>
    <s v="100080449"/>
    <s v="SA"/>
    <s v="40545 PD0900-B"/>
    <x v="2"/>
    <s v="$3.125M Unamortized Loss Due 2021 (LT)"/>
    <s v="20171130"/>
    <x v="11"/>
    <d v="2017-11-30T00:00:00"/>
    <n v="-193.73"/>
  </r>
  <r>
    <s v="100080450"/>
    <s v="SA"/>
    <s v="40542 PD0900-B"/>
    <x v="2"/>
    <s v="$3.125M Call Premium Due 2021 (LT)"/>
    <s v="20171130"/>
    <x v="11"/>
    <d v="2017-11-30T00:00:00"/>
    <n v="-274.12"/>
  </r>
  <r>
    <s v="100080451"/>
    <s v="SA"/>
    <s v="40545 PD0900-C"/>
    <x v="2"/>
    <s v="$21.875M Unamortized Loss Due 2021 (LT)"/>
    <s v="20171130"/>
    <x v="11"/>
    <d v="2017-11-30T00:00:00"/>
    <n v="-1347.95"/>
  </r>
  <r>
    <s v="100080452"/>
    <s v="SA"/>
    <s v="40542 PD0900-C"/>
    <x v="2"/>
    <s v="$21.875M Call Premium Due 2021 (LT)"/>
    <s v="20171130"/>
    <x v="11"/>
    <d v="2017-11-30T00:00:00"/>
    <n v="-1918.86"/>
  </r>
  <r>
    <s v="100080453"/>
    <s v="SA"/>
    <s v="40545 PD0013-B"/>
    <x v="2"/>
    <s v="$75M Unamortized Loss Due 2030 (LT)"/>
    <s v="20171130"/>
    <x v="2"/>
    <d v="2017-11-30T00:00:00"/>
    <n v="-1780.13"/>
  </r>
  <r>
    <s v="100080454"/>
    <s v="SA"/>
    <s v="40545 PD0014-A"/>
    <x v="2"/>
    <s v="$85.95M Unamortized Loss Due 2034 (LT)"/>
    <s v="20171130"/>
    <x v="5"/>
    <d v="2017-11-30T00:00:00"/>
    <n v="-2230.71"/>
  </r>
  <r>
    <s v="100080455"/>
    <s v="SA"/>
    <s v="40542 PD0014"/>
    <x v="2"/>
    <s v="$85.95M Call Premium Due 2034 (LT)"/>
    <s v="20171130"/>
    <x v="5"/>
    <d v="2017-11-30T00:00:00"/>
    <n v="-2490.34"/>
  </r>
  <r>
    <s v="100080456"/>
    <s v="SA"/>
    <s v="40542 PD0013-B"/>
    <x v="2"/>
    <s v="$75M Call Premium Due 2030 (LT)"/>
    <s v="20171130"/>
    <x v="2"/>
    <d v="2017-11-30T00:00:00"/>
    <n v="-5336.81"/>
  </r>
  <r>
    <s v="100080457"/>
    <s v="SA"/>
    <s v="40543 PD0011"/>
    <x v="2"/>
    <s v="$86.4M Bond Discount Due 2023 (LT)"/>
    <s v="20171130"/>
    <x v="8"/>
    <d v="2017-11-30T00:00:00"/>
    <n v="-4207.3500000000004"/>
  </r>
  <r>
    <s v="100088073"/>
    <s v="SA"/>
    <s v="40545 PD0011"/>
    <x v="2"/>
    <s v="$86.4M Unamortized Loss Due 2023 (LT)"/>
    <s v="20171231"/>
    <x v="8"/>
    <d v="2017-12-31T00:00:00"/>
    <n v="-3340.78"/>
  </r>
  <r>
    <s v="100088074"/>
    <s v="SA"/>
    <s v="40545 PD0012"/>
    <x v="2"/>
    <s v="$51.6M Unamortized Loss Due 2025 (LT)"/>
    <s v="20171231"/>
    <x v="13"/>
    <d v="2017-12-31T00:00:00"/>
    <n v="-1019.33"/>
  </r>
  <r>
    <s v="100088075"/>
    <s v="SA"/>
    <s v="40545 PD0023-A"/>
    <x v="2"/>
    <s v="$20M Unamortized Loss Due 2020 (LT)"/>
    <s v="20171231"/>
    <x v="14"/>
    <d v="2017-12-31T00:00:00"/>
    <n v="-857.57"/>
  </r>
  <r>
    <s v="100088076"/>
    <s v="SA"/>
    <s v="40545 PD0013-A"/>
    <x v="2"/>
    <s v="$75M Unamortized Loss Due 2022 (LT)"/>
    <s v="20171231"/>
    <x v="2"/>
    <d v="2017-12-31T00:00:00"/>
    <n v="-3125.47"/>
  </r>
  <r>
    <s v="100088077"/>
    <s v="SA"/>
    <s v="40542 PD0013-A"/>
    <x v="2"/>
    <s v="$75M Call Premium Due 2022 (LT)"/>
    <s v="20171231"/>
    <x v="2"/>
    <d v="2017-12-31T00:00:00"/>
    <n v="-4451.78"/>
  </r>
  <r>
    <s v="100088078"/>
    <s v="SA"/>
    <s v="40544 PD0013"/>
    <x v="2"/>
    <s v="$75M Bond Discount Due 2022 (LT)"/>
    <s v="20171231"/>
    <x v="2"/>
    <d v="2017-12-31T00:00:00"/>
    <n v="-10077.08"/>
  </r>
  <r>
    <s v="100088079"/>
    <s v="SA"/>
    <s v="40545 PD0900-A"/>
    <x v="2"/>
    <s v="$80M Unamortized Loss Due 2022 (LT)"/>
    <s v="20171231"/>
    <x v="11"/>
    <d v="2017-12-31T00:00:00"/>
    <n v="-5589.54"/>
  </r>
  <r>
    <s v="100088080"/>
    <s v="SA"/>
    <s v="40542 PD0900-A"/>
    <x v="2"/>
    <s v="$80M Call Premium Due 2022 (LT)"/>
    <s v="20171231"/>
    <x v="11"/>
    <d v="2017-12-31T00:00:00"/>
    <n v="-10099.59"/>
  </r>
  <r>
    <s v="100088081"/>
    <s v="SA"/>
    <s v="40545 PD0023-B"/>
    <x v="2"/>
    <s v="$20M Unamortized Loss Due 2022 (LT)"/>
    <s v="20171231"/>
    <x v="14"/>
    <d v="2017-12-31T00:00:00"/>
    <n v="-1407.23"/>
  </r>
  <r>
    <s v="100088082"/>
    <s v="SA"/>
    <s v="40542 PD0023"/>
    <x v="2"/>
    <s v="$20M Call Premium Due 2022 (LT)"/>
    <s v="20171231"/>
    <x v="14"/>
    <d v="2017-12-31T00:00:00"/>
    <n v="-2524.9"/>
  </r>
  <r>
    <s v="100088083"/>
    <s v="SA"/>
    <s v="40545 PD0900-B"/>
    <x v="2"/>
    <s v="$3.125M Unamortized Loss Due 2021 (LT)"/>
    <s v="20171231"/>
    <x v="11"/>
    <d v="2017-12-31T00:00:00"/>
    <n v="-193.73"/>
  </r>
  <r>
    <s v="100088084"/>
    <s v="SA"/>
    <s v="40542 PD0900-B"/>
    <x v="2"/>
    <s v="$3.125M Call Premium Due 2021 (LT)"/>
    <s v="20171231"/>
    <x v="11"/>
    <d v="2017-12-31T00:00:00"/>
    <n v="-274.12"/>
  </r>
  <r>
    <s v="100088085"/>
    <s v="SA"/>
    <s v="40545 PD0900-C"/>
    <x v="2"/>
    <s v="$21.875M Unamortized Loss Due 2021 (LT)"/>
    <s v="20171231"/>
    <x v="11"/>
    <d v="2017-12-31T00:00:00"/>
    <n v="-1347.95"/>
  </r>
  <r>
    <s v="100088086"/>
    <s v="SA"/>
    <s v="40542 PD0900-C"/>
    <x v="2"/>
    <s v="$21.875M Call Premium Due 2021 (LT)"/>
    <s v="20171231"/>
    <x v="11"/>
    <d v="2017-12-31T00:00:00"/>
    <n v="-1918.86"/>
  </r>
  <r>
    <s v="100088087"/>
    <s v="SA"/>
    <s v="40545 PD0013-B"/>
    <x v="2"/>
    <s v="$75M Unamortized Loss Due 2030 (LT)"/>
    <s v="20171231"/>
    <x v="2"/>
    <d v="2017-12-31T00:00:00"/>
    <n v="-1780.13"/>
  </r>
  <r>
    <s v="100088088"/>
    <s v="SA"/>
    <s v="40545 PD0014-A"/>
    <x v="2"/>
    <s v="$85.95M Unamortized Loss Due 2034 (LT)"/>
    <s v="20171231"/>
    <x v="5"/>
    <d v="2017-12-31T00:00:00"/>
    <n v="-2230.71"/>
  </r>
  <r>
    <s v="100088089"/>
    <s v="SA"/>
    <s v="40542 PD0014"/>
    <x v="2"/>
    <s v="$85.95M Call Premium Due 2034 (LT)"/>
    <s v="20171231"/>
    <x v="5"/>
    <d v="2017-12-31T00:00:00"/>
    <n v="-2490.34"/>
  </r>
  <r>
    <s v="100088090"/>
    <s v="SA"/>
    <s v="40542 PD0013-B"/>
    <x v="2"/>
    <s v="$75M Call Premium Due 2030 (LT)"/>
    <s v="20171231"/>
    <x v="2"/>
    <d v="2017-12-31T00:00:00"/>
    <n v="-5336.81"/>
  </r>
  <r>
    <s v="100088091"/>
    <s v="SA"/>
    <s v="40543 PD0011"/>
    <x v="2"/>
    <s v="$86.4M Bond Discount Due 2023 (LT)"/>
    <s v="20171231"/>
    <x v="8"/>
    <d v="2017-12-31T00:00:00"/>
    <n v="-4207.3500000000004"/>
  </r>
  <r>
    <s v="100006013"/>
    <s v="SA"/>
    <s v="40545 PD0011"/>
    <x v="2"/>
    <s v="$86.4M Unamortized Loss Due 2023 (LT)"/>
    <s v="20180131"/>
    <x v="8"/>
    <d v="2018-01-31T00:00:00"/>
    <n v="-3340.78"/>
  </r>
  <r>
    <s v="100006014"/>
    <s v="SA"/>
    <s v="40545 PD0012"/>
    <x v="2"/>
    <s v="$51.6M Unamortized Loss Due 2025 (LT)"/>
    <s v="20180131"/>
    <x v="13"/>
    <d v="2018-01-31T00:00:00"/>
    <n v="-1019.33"/>
  </r>
  <r>
    <s v="100006015"/>
    <s v="SA"/>
    <s v="40545 PD0023-A"/>
    <x v="2"/>
    <s v="$20M Unamortized Loss Due 2020 (LT)"/>
    <s v="20180131"/>
    <x v="14"/>
    <d v="2018-01-31T00:00:00"/>
    <n v="-857.57"/>
  </r>
  <r>
    <s v="100006016"/>
    <s v="SA"/>
    <s v="40545 PD0013-A"/>
    <x v="2"/>
    <s v="$75M Unamortized Loss Due 2022 (LT)"/>
    <s v="20180131"/>
    <x v="2"/>
    <d v="2018-01-31T00:00:00"/>
    <n v="-3125.47"/>
  </r>
  <r>
    <s v="100006017"/>
    <s v="SA"/>
    <s v="40542 PD0013-A"/>
    <x v="2"/>
    <s v="$75M Call Premium Due 2022 (LT)"/>
    <s v="20180131"/>
    <x v="2"/>
    <d v="2018-01-31T00:00:00"/>
    <n v="-4451.78"/>
  </r>
  <r>
    <s v="100006018"/>
    <s v="SA"/>
    <s v="40544 PD0013"/>
    <x v="2"/>
    <s v="$75M Bond Discount Due 2022 (LT)"/>
    <s v="20180131"/>
    <x v="2"/>
    <d v="2018-01-31T00:00:00"/>
    <n v="-10077.08"/>
  </r>
  <r>
    <s v="100006019"/>
    <s v="SA"/>
    <s v="40545 PD0900-A"/>
    <x v="2"/>
    <s v="$80M Unamortized Loss Due 2022 (LT)"/>
    <s v="20180131"/>
    <x v="11"/>
    <d v="2018-01-31T00:00:00"/>
    <n v="-5589.54"/>
  </r>
  <r>
    <s v="100006020"/>
    <s v="SA"/>
    <s v="40542 PD0900-A"/>
    <x v="2"/>
    <s v="$80M Call Premium Due 2022 (LT)"/>
    <s v="20180131"/>
    <x v="11"/>
    <d v="2018-01-31T00:00:00"/>
    <n v="-10099.59"/>
  </r>
  <r>
    <s v="100006021"/>
    <s v="SA"/>
    <s v="40545 PD0023-B"/>
    <x v="2"/>
    <s v="$20M Unamortized Loss Due 2022 (LT)"/>
    <s v="20180131"/>
    <x v="14"/>
    <d v="2018-01-31T00:00:00"/>
    <n v="-1407.23"/>
  </r>
  <r>
    <s v="100006022"/>
    <s v="SA"/>
    <s v="40542 PD0023"/>
    <x v="2"/>
    <s v="$20M Call Premium Due 2022 (LT)"/>
    <s v="20180131"/>
    <x v="14"/>
    <d v="2018-01-31T00:00:00"/>
    <n v="-2524.9"/>
  </r>
  <r>
    <s v="100006023"/>
    <s v="SA"/>
    <s v="40545 PD0900-B"/>
    <x v="2"/>
    <s v="$3.125M Unamortized Loss Due 2021 (LT)"/>
    <s v="20180131"/>
    <x v="11"/>
    <d v="2018-01-31T00:00:00"/>
    <n v="-193.73"/>
  </r>
  <r>
    <s v="100006024"/>
    <s v="SA"/>
    <s v="40542 PD0900-B"/>
    <x v="2"/>
    <s v="$3.125M Call Premium Due 2021 (LT)"/>
    <s v="20180131"/>
    <x v="11"/>
    <d v="2018-01-31T00:00:00"/>
    <n v="-274.12"/>
  </r>
  <r>
    <s v="100006025"/>
    <s v="SA"/>
    <s v="40545 PD0900-C"/>
    <x v="2"/>
    <s v="$21.875M Unamortized Loss Due 2021 (LT)"/>
    <s v="20180131"/>
    <x v="11"/>
    <d v="2018-01-31T00:00:00"/>
    <n v="-1347.95"/>
  </r>
  <r>
    <s v="100006026"/>
    <s v="SA"/>
    <s v="40542 PD0900-C"/>
    <x v="2"/>
    <s v="$21.875M Call Premium Due 2021 (LT)"/>
    <s v="20180131"/>
    <x v="11"/>
    <d v="2018-01-31T00:00:00"/>
    <n v="-1918.86"/>
  </r>
  <r>
    <s v="100006027"/>
    <s v="SA"/>
    <s v="40545 PD0013-B"/>
    <x v="2"/>
    <s v="$75M Unamortized Loss Due 2030 (LT)"/>
    <s v="20180131"/>
    <x v="2"/>
    <d v="2018-01-31T00:00:00"/>
    <n v="-1780.13"/>
  </r>
  <r>
    <s v="100006028"/>
    <s v="SA"/>
    <s v="40545 PD0014-A"/>
    <x v="2"/>
    <s v="$85.95M Unamortized Loss Due 2034 (LT)"/>
    <s v="20180131"/>
    <x v="5"/>
    <d v="2018-01-31T00:00:00"/>
    <n v="-2230.71"/>
  </r>
  <r>
    <s v="100006029"/>
    <s v="SA"/>
    <s v="40542 PD0014"/>
    <x v="2"/>
    <s v="$85.95M Call Premium Due 2034 (LT)"/>
    <s v="20180131"/>
    <x v="5"/>
    <d v="2018-01-31T00:00:00"/>
    <n v="-2490.34"/>
  </r>
  <r>
    <s v="100006030"/>
    <s v="SA"/>
    <s v="40542 PD0013-B"/>
    <x v="2"/>
    <s v="$75M Call Premium Due 2030 (LT)"/>
    <s v="20180131"/>
    <x v="2"/>
    <d v="2018-01-31T00:00:00"/>
    <n v="-5336.81"/>
  </r>
  <r>
    <s v="100006031"/>
    <s v="SA"/>
    <s v="40543 PD0011"/>
    <x v="2"/>
    <s v="$86.4M Bond Discount Due 2023 (LT)"/>
    <s v="20180131"/>
    <x v="8"/>
    <d v="2018-01-31T00:00:00"/>
    <n v="-4207.3500000000004"/>
  </r>
  <r>
    <s v="100012383"/>
    <s v="SA"/>
    <s v="40545 PD0011"/>
    <x v="2"/>
    <s v="$86.4M Unamortized Loss Due 2023 (LT)"/>
    <s v="20180228"/>
    <x v="8"/>
    <d v="2018-02-28T00:00:00"/>
    <n v="-3340.78"/>
  </r>
  <r>
    <s v="100012384"/>
    <s v="SA"/>
    <s v="40545 PD0012"/>
    <x v="2"/>
    <s v="$51.6M Unamortized Loss Due 2025 (LT)"/>
    <s v="20180228"/>
    <x v="13"/>
    <d v="2018-02-28T00:00:00"/>
    <n v="-1019.33"/>
  </r>
  <r>
    <s v="100012385"/>
    <s v="SA"/>
    <s v="40545 PD0023-A"/>
    <x v="2"/>
    <s v="$20M Unamortized Loss Due 2020 (LT)"/>
    <s v="20180228"/>
    <x v="14"/>
    <d v="2018-02-28T00:00:00"/>
    <n v="-857.57"/>
  </r>
  <r>
    <s v="100012386"/>
    <s v="SA"/>
    <s v="40545 PD0013-A"/>
    <x v="2"/>
    <s v="$75M Unamortized Loss Due 2022 (LT)"/>
    <s v="20180228"/>
    <x v="2"/>
    <d v="2018-02-28T00:00:00"/>
    <n v="-3125.47"/>
  </r>
  <r>
    <s v="100012387"/>
    <s v="SA"/>
    <s v="40542 PD0013-A"/>
    <x v="2"/>
    <s v="$75M Call Premium Due 2022 (LT)"/>
    <s v="20180228"/>
    <x v="2"/>
    <d v="2018-02-28T00:00:00"/>
    <n v="-4451.78"/>
  </r>
  <r>
    <s v="100012388"/>
    <s v="SA"/>
    <s v="40544 PD0013"/>
    <x v="2"/>
    <s v="$75M Bond Discount Due 2022 (LT)"/>
    <s v="20180228"/>
    <x v="2"/>
    <d v="2018-02-28T00:00:00"/>
    <n v="-10077.08"/>
  </r>
  <r>
    <s v="100012389"/>
    <s v="SA"/>
    <s v="40545 PD0900-A"/>
    <x v="2"/>
    <s v="$80M Unamortized Loss Due 2022 (LT)"/>
    <s v="20180228"/>
    <x v="11"/>
    <d v="2018-02-28T00:00:00"/>
    <n v="-5589.54"/>
  </r>
  <r>
    <s v="100012390"/>
    <s v="SA"/>
    <s v="40542 PD0900-A"/>
    <x v="2"/>
    <s v="$80M Call Premium Due 2022 (LT)"/>
    <s v="20180228"/>
    <x v="11"/>
    <d v="2018-02-28T00:00:00"/>
    <n v="-10099.59"/>
  </r>
  <r>
    <s v="100012391"/>
    <s v="SA"/>
    <s v="40545 PD0023-B"/>
    <x v="2"/>
    <s v="$20M Unamortized Loss Due 2022 (LT)"/>
    <s v="20180228"/>
    <x v="14"/>
    <d v="2018-02-28T00:00:00"/>
    <n v="-1407.23"/>
  </r>
  <r>
    <s v="100012392"/>
    <s v="SA"/>
    <s v="40542 PD0023"/>
    <x v="2"/>
    <s v="$20M Call Premium Due 2022 (LT)"/>
    <s v="20180228"/>
    <x v="14"/>
    <d v="2018-02-28T00:00:00"/>
    <n v="-2524.9"/>
  </r>
  <r>
    <s v="100012393"/>
    <s v="SA"/>
    <s v="40545 PD0900-B"/>
    <x v="2"/>
    <s v="$3.125M Unamortized Loss Due 2021 (LT)"/>
    <s v="20180228"/>
    <x v="11"/>
    <d v="2018-02-28T00:00:00"/>
    <n v="-193.73"/>
  </r>
  <r>
    <s v="100012394"/>
    <s v="SA"/>
    <s v="40542 PD0900-B"/>
    <x v="2"/>
    <s v="$3.125M Call Premium Due 2021 (LT)"/>
    <s v="20180228"/>
    <x v="11"/>
    <d v="2018-02-28T00:00:00"/>
    <n v="-274.12"/>
  </r>
  <r>
    <s v="100012395"/>
    <s v="SA"/>
    <s v="40545 PD0900-C"/>
    <x v="2"/>
    <s v="$21.875M Unamortized Loss Due 2021 (LT)"/>
    <s v="20180228"/>
    <x v="11"/>
    <d v="2018-02-28T00:00:00"/>
    <n v="-1347.95"/>
  </r>
  <r>
    <s v="100012396"/>
    <s v="SA"/>
    <s v="40542 PD0900-C"/>
    <x v="2"/>
    <s v="$21.875M Call Premium Due 2021 (LT)"/>
    <s v="20180228"/>
    <x v="11"/>
    <d v="2018-02-28T00:00:00"/>
    <n v="-1918.86"/>
  </r>
  <r>
    <s v="100012397"/>
    <s v="SA"/>
    <s v="40545 PD0013-B"/>
    <x v="2"/>
    <s v="$75M Unamortized Loss Due 2030 (LT)"/>
    <s v="20180228"/>
    <x v="2"/>
    <d v="2018-02-28T00:00:00"/>
    <n v="-1780.13"/>
  </r>
  <r>
    <s v="100012398"/>
    <s v="SA"/>
    <s v="40545 PD0014-A"/>
    <x v="2"/>
    <s v="$85.95M Unamortized Loss Due 2034 (LT)"/>
    <s v="20180228"/>
    <x v="5"/>
    <d v="2018-02-28T00:00:00"/>
    <n v="-2230.71"/>
  </r>
  <r>
    <s v="100012399"/>
    <s v="SA"/>
    <s v="40542 PD0014"/>
    <x v="2"/>
    <s v="$85.95M Call Premium Due 2034 (LT)"/>
    <s v="20180228"/>
    <x v="5"/>
    <d v="2018-02-28T00:00:00"/>
    <n v="-2490.34"/>
  </r>
  <r>
    <s v="100012400"/>
    <s v="SA"/>
    <s v="40542 PD0013-B"/>
    <x v="2"/>
    <s v="$75M Call Premium Due 2030 (LT)"/>
    <s v="20180228"/>
    <x v="2"/>
    <d v="2018-02-28T00:00:00"/>
    <n v="-5336.81"/>
  </r>
  <r>
    <s v="100012401"/>
    <s v="SA"/>
    <s v="40543 PD0011"/>
    <x v="2"/>
    <s v="$86.4M Bond Discount Due 2023 (LT)"/>
    <s v="20180228"/>
    <x v="8"/>
    <d v="2018-02-28T00:00:00"/>
    <n v="-4207.3500000000004"/>
  </r>
  <r>
    <s v="100020409"/>
    <s v="SA"/>
    <s v="40545 PD0011"/>
    <x v="2"/>
    <s v="$86.4M Unamortized Loss Due 2023 (LT)"/>
    <s v="20180331"/>
    <x v="8"/>
    <d v="2018-03-31T00:00:00"/>
    <n v="-3340.78"/>
  </r>
  <r>
    <s v="100020410"/>
    <s v="SA"/>
    <s v="40545 PD0012"/>
    <x v="2"/>
    <s v="$51.6M Unamortized Loss Due 2025 (LT)"/>
    <s v="20180331"/>
    <x v="13"/>
    <d v="2018-03-31T00:00:00"/>
    <n v="-1019.33"/>
  </r>
  <r>
    <s v="100020411"/>
    <s v="SA"/>
    <s v="40545 PD0023-A"/>
    <x v="2"/>
    <s v="$20M Unamortized Loss Due 2020 (LT)"/>
    <s v="20180331"/>
    <x v="14"/>
    <d v="2018-03-31T00:00:00"/>
    <n v="-857.57"/>
  </r>
  <r>
    <s v="100020412"/>
    <s v="SA"/>
    <s v="40545 PD0013-A"/>
    <x v="2"/>
    <s v="$75M Unamortized Loss Due 2022 (LT)"/>
    <s v="20180331"/>
    <x v="2"/>
    <d v="2018-03-31T00:00:00"/>
    <n v="-3125.47"/>
  </r>
  <r>
    <s v="100020413"/>
    <s v="SA"/>
    <s v="40542 PD0013-A"/>
    <x v="2"/>
    <s v="$75M Call Premium Due 2022 (LT)"/>
    <s v="20180331"/>
    <x v="2"/>
    <d v="2018-03-31T00:00:00"/>
    <n v="-4451.78"/>
  </r>
  <r>
    <s v="100020414"/>
    <s v="SA"/>
    <s v="40544 PD0013"/>
    <x v="2"/>
    <s v="$75M Bond Discount Due 2022 (LT)"/>
    <s v="20180331"/>
    <x v="2"/>
    <d v="2018-03-31T00:00:00"/>
    <n v="-10077.08"/>
  </r>
  <r>
    <s v="100020415"/>
    <s v="SA"/>
    <s v="40545 PD0900-A"/>
    <x v="2"/>
    <s v="$80M Unamortized Loss Due 2022 (LT)"/>
    <s v="20180331"/>
    <x v="11"/>
    <d v="2018-03-31T00:00:00"/>
    <n v="-5589.54"/>
  </r>
  <r>
    <s v="100020416"/>
    <s v="SA"/>
    <s v="40542 PD0900-A"/>
    <x v="2"/>
    <s v="$80M Call Premium Due 2022 (LT)"/>
    <s v="20180331"/>
    <x v="11"/>
    <d v="2018-03-31T00:00:00"/>
    <n v="-10099.59"/>
  </r>
  <r>
    <s v="100020417"/>
    <s v="SA"/>
    <s v="40545 PD0023-B"/>
    <x v="2"/>
    <s v="$20M Unamortized Loss Due 2022 (LT)"/>
    <s v="20180331"/>
    <x v="14"/>
    <d v="2018-03-31T00:00:00"/>
    <n v="-1407.23"/>
  </r>
  <r>
    <s v="100020418"/>
    <s v="SA"/>
    <s v="40542 PD0023"/>
    <x v="2"/>
    <s v="$20M Call Premium Due 2022 (LT)"/>
    <s v="20180331"/>
    <x v="14"/>
    <d v="2018-03-31T00:00:00"/>
    <n v="-2524.9"/>
  </r>
  <r>
    <s v="100020419"/>
    <s v="SA"/>
    <s v="40545 PD0900-B"/>
    <x v="2"/>
    <s v="$3.125M Unamortized Loss Due 2021 (LT)"/>
    <s v="20180331"/>
    <x v="11"/>
    <d v="2018-03-31T00:00:00"/>
    <n v="-193.73"/>
  </r>
  <r>
    <s v="100020420"/>
    <s v="SA"/>
    <s v="40542 PD0900-B"/>
    <x v="2"/>
    <s v="$3.125M Call Premium Due 2021 (LT)"/>
    <s v="20180331"/>
    <x v="11"/>
    <d v="2018-03-31T00:00:00"/>
    <n v="-274.12"/>
  </r>
  <r>
    <s v="100020421"/>
    <s v="SA"/>
    <s v="40545 PD0900-C"/>
    <x v="2"/>
    <s v="$21.875M Unamortized Loss Due 2021 (LT)"/>
    <s v="20180331"/>
    <x v="11"/>
    <d v="2018-03-31T00:00:00"/>
    <n v="-1347.95"/>
  </r>
  <r>
    <s v="100020422"/>
    <s v="SA"/>
    <s v="40542 PD0900-C"/>
    <x v="2"/>
    <s v="$21.875M Call Premium Due 2021 (LT)"/>
    <s v="20180331"/>
    <x v="11"/>
    <d v="2018-03-31T00:00:00"/>
    <n v="-1918.86"/>
  </r>
  <r>
    <s v="100020423"/>
    <s v="SA"/>
    <s v="40545 PD0013-B"/>
    <x v="2"/>
    <s v="$75M Unamortized Loss Due 2030 (LT)"/>
    <s v="20180331"/>
    <x v="2"/>
    <d v="2018-03-31T00:00:00"/>
    <n v="-1780.13"/>
  </r>
  <r>
    <s v="100020424"/>
    <s v="SA"/>
    <s v="40545 PD0014-A"/>
    <x v="2"/>
    <s v="$85.95M Unamortized Loss Due 2034 (LT)"/>
    <s v="20180331"/>
    <x v="5"/>
    <d v="2018-03-31T00:00:00"/>
    <n v="-2230.71"/>
  </r>
  <r>
    <s v="100020425"/>
    <s v="SA"/>
    <s v="40542 PD0014"/>
    <x v="2"/>
    <s v="$85.95M Call Premium Due 2034 (LT)"/>
    <s v="20180331"/>
    <x v="5"/>
    <d v="2018-03-31T00:00:00"/>
    <n v="-2490.34"/>
  </r>
  <r>
    <s v="100020426"/>
    <s v="SA"/>
    <s v="40542 PD0013-B"/>
    <x v="2"/>
    <s v="$75M Call Premium Due 2030 (LT)"/>
    <s v="20180331"/>
    <x v="2"/>
    <d v="2018-03-31T00:00:00"/>
    <n v="-5336.81"/>
  </r>
  <r>
    <s v="100020427"/>
    <s v="SA"/>
    <s v="40543 PD0011"/>
    <x v="2"/>
    <s v="$86.4M Bond Discount Due 2023 (LT)"/>
    <s v="20180331"/>
    <x v="8"/>
    <d v="2018-03-31T00:00:00"/>
    <n v="-4207.3500000000004"/>
  </r>
  <r>
    <s v="100027570"/>
    <s v="SA"/>
    <s v="40545 PD0011"/>
    <x v="2"/>
    <s v="$86.4M Unamortized Loss Due 2023 (LT)"/>
    <s v="20180430"/>
    <x v="8"/>
    <d v="2018-04-30T00:00:00"/>
    <n v="-3340.78"/>
  </r>
  <r>
    <s v="100027571"/>
    <s v="SA"/>
    <s v="40545 PD0012"/>
    <x v="2"/>
    <s v="$51.6M Unamortized Loss Due 2025 (LT)"/>
    <s v="20180430"/>
    <x v="13"/>
    <d v="2018-04-30T00:00:00"/>
    <n v="-1019.33"/>
  </r>
  <r>
    <s v="100027572"/>
    <s v="SA"/>
    <s v="40545 PD0023-A"/>
    <x v="2"/>
    <s v="$20M Unamortized Loss Due 2020 (LT)"/>
    <s v="20180430"/>
    <x v="14"/>
    <d v="2018-04-30T00:00:00"/>
    <n v="-857.57"/>
  </r>
  <r>
    <s v="100027573"/>
    <s v="SA"/>
    <s v="40545 PD0013-A"/>
    <x v="2"/>
    <s v="$75M Unamortized Loss Due 2022 (LT)"/>
    <s v="20180430"/>
    <x v="2"/>
    <d v="2018-04-30T00:00:00"/>
    <n v="-3125.47"/>
  </r>
  <r>
    <s v="100027574"/>
    <s v="SA"/>
    <s v="40542 PD0013-A"/>
    <x v="2"/>
    <s v="$75M Call Premium Due 2022 (LT)"/>
    <s v="20180430"/>
    <x v="2"/>
    <d v="2018-04-30T00:00:00"/>
    <n v="-4451.78"/>
  </r>
  <r>
    <s v="100027575"/>
    <s v="SA"/>
    <s v="40544 PD0013"/>
    <x v="2"/>
    <s v="$75M Bond Discount Due 2022 (LT)"/>
    <s v="20180430"/>
    <x v="2"/>
    <d v="2018-04-30T00:00:00"/>
    <n v="-10077.08"/>
  </r>
  <r>
    <s v="100027576"/>
    <s v="SA"/>
    <s v="40545 PD0900-A"/>
    <x v="2"/>
    <s v="$80M Unamortized Loss Due 2022 (LT)"/>
    <s v="20180430"/>
    <x v="11"/>
    <d v="2018-04-30T00:00:00"/>
    <n v="-5589.54"/>
  </r>
  <r>
    <s v="100027577"/>
    <s v="SA"/>
    <s v="40542 PD0900-A"/>
    <x v="2"/>
    <s v="$80M Call Premium Due 2022 (LT)"/>
    <s v="20180430"/>
    <x v="11"/>
    <d v="2018-04-30T00:00:00"/>
    <n v="-10099.59"/>
  </r>
  <r>
    <s v="100027578"/>
    <s v="SA"/>
    <s v="40545 PD0023-B"/>
    <x v="2"/>
    <s v="$20M Unamortized Loss Due 2022 (LT)"/>
    <s v="20180430"/>
    <x v="14"/>
    <d v="2018-04-30T00:00:00"/>
    <n v="-1407.23"/>
  </r>
  <r>
    <s v="100027579"/>
    <s v="SA"/>
    <s v="40542 PD0023"/>
    <x v="2"/>
    <s v="$20M Call Premium Due 2022 (LT)"/>
    <s v="20180430"/>
    <x v="14"/>
    <d v="2018-04-30T00:00:00"/>
    <n v="-2524.9"/>
  </r>
  <r>
    <s v="100027580"/>
    <s v="SA"/>
    <s v="40545 PD0900-B"/>
    <x v="2"/>
    <s v="$3.125M Unamortized Loss Due 2021 (LT)"/>
    <s v="20180430"/>
    <x v="11"/>
    <d v="2018-04-30T00:00:00"/>
    <n v="-193.73"/>
  </r>
  <r>
    <s v="100027581"/>
    <s v="SA"/>
    <s v="40542 PD0900-B"/>
    <x v="2"/>
    <s v="$3.125M Call Premium Due 2021 (LT)"/>
    <s v="20180430"/>
    <x v="11"/>
    <d v="2018-04-30T00:00:00"/>
    <n v="-274.12"/>
  </r>
  <r>
    <s v="100027582"/>
    <s v="SA"/>
    <s v="40545 PD0900-C"/>
    <x v="2"/>
    <s v="$21.875M Unamortized Loss Due 2021 (LT)"/>
    <s v="20180430"/>
    <x v="11"/>
    <d v="2018-04-30T00:00:00"/>
    <n v="-1347.95"/>
  </r>
  <r>
    <s v="100027583"/>
    <s v="SA"/>
    <s v="40542 PD0900-C"/>
    <x v="2"/>
    <s v="$21.875M Call Premium Due 2021 (LT)"/>
    <s v="20180430"/>
    <x v="11"/>
    <d v="2018-04-30T00:00:00"/>
    <n v="-1918.86"/>
  </r>
  <r>
    <s v="100027584"/>
    <s v="SA"/>
    <s v="40545 PD0013-B"/>
    <x v="2"/>
    <s v="$75M Unamortized Loss Due 2030 (LT)"/>
    <s v="20180430"/>
    <x v="2"/>
    <d v="2018-04-30T00:00:00"/>
    <n v="-1780.13"/>
  </r>
  <r>
    <s v="100027585"/>
    <s v="SA"/>
    <s v="40545 PD0014-A"/>
    <x v="2"/>
    <s v="$85.95M Unamortized Loss Due 2034 (LT)"/>
    <s v="20180430"/>
    <x v="5"/>
    <d v="2018-04-30T00:00:00"/>
    <n v="-2230.71"/>
  </r>
  <r>
    <s v="100027586"/>
    <s v="SA"/>
    <s v="40542 PD0014"/>
    <x v="2"/>
    <s v="$85.95M Call Premium Due 2034 (LT)"/>
    <s v="20180430"/>
    <x v="5"/>
    <d v="2018-04-30T00:00:00"/>
    <n v="-2490.34"/>
  </r>
  <r>
    <s v="100027587"/>
    <s v="SA"/>
    <s v="40542 PD0013-B"/>
    <x v="2"/>
    <s v="$75M Call Premium Due 2030 (LT)"/>
    <s v="20180430"/>
    <x v="2"/>
    <d v="2018-04-30T00:00:00"/>
    <n v="-5336.81"/>
  </r>
  <r>
    <s v="100027588"/>
    <s v="SA"/>
    <s v="40543 PD0011"/>
    <x v="2"/>
    <s v="$86.4M Bond Discount Due 2023 (LT)"/>
    <s v="20180430"/>
    <x v="8"/>
    <d v="2018-04-30T00:00:00"/>
    <n v="-4207.3500000000004"/>
  </r>
  <r>
    <s v="100035758"/>
    <s v="SA"/>
    <s v="40545 PD0011"/>
    <x v="2"/>
    <s v="$86.4M Unamortized Loss Due 2023 (LT)"/>
    <s v="20180531"/>
    <x v="8"/>
    <d v="2018-05-31T00:00:00"/>
    <n v="-3340.78"/>
  </r>
  <r>
    <s v="100035759"/>
    <s v="SA"/>
    <s v="40545 PD0012"/>
    <x v="2"/>
    <s v="$51.6M Unamortized Loss Due 2025 (LT)"/>
    <s v="20180531"/>
    <x v="13"/>
    <d v="2018-05-31T00:00:00"/>
    <n v="-1019.33"/>
  </r>
  <r>
    <s v="100035760"/>
    <s v="SA"/>
    <s v="40545 PD0023-A"/>
    <x v="2"/>
    <s v="$20M Unamortized Loss Due 2020 (LT)"/>
    <s v="20180531"/>
    <x v="14"/>
    <d v="2018-05-31T00:00:00"/>
    <n v="-857.57"/>
  </r>
  <r>
    <s v="100035761"/>
    <s v="SA"/>
    <s v="40545 PD0013-A"/>
    <x v="2"/>
    <s v="$75M Unamortized Loss Due 2022 (LT)"/>
    <s v="20180531"/>
    <x v="2"/>
    <d v="2018-05-31T00:00:00"/>
    <n v="-3125.47"/>
  </r>
  <r>
    <s v="100035762"/>
    <s v="SA"/>
    <s v="40542 PD0013-A"/>
    <x v="2"/>
    <s v="$75M Call Premium Due 2022 (LT)"/>
    <s v="20180531"/>
    <x v="2"/>
    <d v="2018-05-31T00:00:00"/>
    <n v="-4451.78"/>
  </r>
  <r>
    <s v="100035763"/>
    <s v="SA"/>
    <s v="40544 PD0013"/>
    <x v="2"/>
    <s v="$75M Bond Discount Due 2022 (LT)"/>
    <s v="20180531"/>
    <x v="2"/>
    <d v="2018-05-31T00:00:00"/>
    <n v="-10077.08"/>
  </r>
  <r>
    <s v="100035764"/>
    <s v="SA"/>
    <s v="40545 PD0900-A"/>
    <x v="2"/>
    <s v="$80M Unamortized Loss Due 2022 (LT)"/>
    <s v="20180531"/>
    <x v="11"/>
    <d v="2018-05-31T00:00:00"/>
    <n v="-5589.54"/>
  </r>
  <r>
    <s v="100035765"/>
    <s v="SA"/>
    <s v="40542 PD0900-A"/>
    <x v="2"/>
    <s v="$80M Call Premium Due 2022 (LT)"/>
    <s v="20180531"/>
    <x v="11"/>
    <d v="2018-05-31T00:00:00"/>
    <n v="-10099.59"/>
  </r>
  <r>
    <s v="100035766"/>
    <s v="SA"/>
    <s v="40545 PD0023-B"/>
    <x v="2"/>
    <s v="$20M Unamortized Loss Due 2022 (LT)"/>
    <s v="20180531"/>
    <x v="14"/>
    <d v="2018-05-31T00:00:00"/>
    <n v="-1407.23"/>
  </r>
  <r>
    <s v="100035767"/>
    <s v="SA"/>
    <s v="40542 PD0023"/>
    <x v="2"/>
    <s v="$20M Call Premium Due 2022 (LT)"/>
    <s v="20180531"/>
    <x v="14"/>
    <d v="2018-05-31T00:00:00"/>
    <n v="-2524.9"/>
  </r>
  <r>
    <s v="100035768"/>
    <s v="SA"/>
    <s v="40545 PD0900-B"/>
    <x v="2"/>
    <s v="$3.125M Unamortized Loss Due 2021 (LT)"/>
    <s v="20180531"/>
    <x v="11"/>
    <d v="2018-05-31T00:00:00"/>
    <n v="-193.73"/>
  </r>
  <r>
    <s v="100035769"/>
    <s v="SA"/>
    <s v="40542 PD0900-B"/>
    <x v="2"/>
    <s v="$3.125M Call Premium Due 2021 (LT)"/>
    <s v="20180531"/>
    <x v="11"/>
    <d v="2018-05-31T00:00:00"/>
    <n v="-274.12"/>
  </r>
  <r>
    <s v="100035770"/>
    <s v="SA"/>
    <s v="40545 PD0900-C"/>
    <x v="2"/>
    <s v="$21.875M Unamortized Loss Due 2021 (LT)"/>
    <s v="20180531"/>
    <x v="11"/>
    <d v="2018-05-31T00:00:00"/>
    <n v="-1347.95"/>
  </r>
  <r>
    <s v="100035771"/>
    <s v="SA"/>
    <s v="40542 PD0900-C"/>
    <x v="2"/>
    <s v="$21.875M Call Premium Due 2021 (LT)"/>
    <s v="20180531"/>
    <x v="11"/>
    <d v="2018-05-31T00:00:00"/>
    <n v="-1918.86"/>
  </r>
  <r>
    <s v="100035772"/>
    <s v="SA"/>
    <s v="40545 PD0013-B"/>
    <x v="2"/>
    <s v="$75M Unamortized Loss Due 2030 (LT)"/>
    <s v="20180531"/>
    <x v="2"/>
    <d v="2018-05-31T00:00:00"/>
    <n v="-1780.13"/>
  </r>
  <r>
    <s v="100035773"/>
    <s v="SA"/>
    <s v="40545 PD0014-A"/>
    <x v="2"/>
    <s v="$85.95M Unamortized Loss Due 2034 (LT)"/>
    <s v="20180531"/>
    <x v="5"/>
    <d v="2018-05-31T00:00:00"/>
    <n v="-2230.71"/>
  </r>
  <r>
    <s v="100035774"/>
    <s v="SA"/>
    <s v="40542 PD0014"/>
    <x v="2"/>
    <s v="$85.95M Call Premium Due 2034 (LT)"/>
    <s v="20180531"/>
    <x v="5"/>
    <d v="2018-05-31T00:00:00"/>
    <n v="-2490.34"/>
  </r>
  <r>
    <s v="100035775"/>
    <s v="SA"/>
    <s v="40542 PD0013-B"/>
    <x v="2"/>
    <s v="$75M Call Premium Due 2030 (LT)"/>
    <s v="20180531"/>
    <x v="2"/>
    <d v="2018-05-31T00:00:00"/>
    <n v="-5336.81"/>
  </r>
  <r>
    <s v="100035776"/>
    <s v="SA"/>
    <s v="40543 PD0011"/>
    <x v="2"/>
    <s v="$86.4M Bond Discount Due 2023 (LT)"/>
    <s v="20180531"/>
    <x v="8"/>
    <d v="2018-05-31T00:00:00"/>
    <n v="-4207.3500000000004"/>
  </r>
  <r>
    <s v="100043142"/>
    <s v="SA"/>
    <s v="40545 PD0011"/>
    <x v="2"/>
    <s v="$86.4M Unamortized Loss Due 2023 (LT)"/>
    <s v="20180630"/>
    <x v="8"/>
    <d v="2018-06-30T00:00:00"/>
    <n v="-3340.78"/>
  </r>
  <r>
    <s v="100043143"/>
    <s v="SA"/>
    <s v="40545 PD0012"/>
    <x v="2"/>
    <s v="$51.6M Unamortized Loss Due 2025 (LT)"/>
    <s v="20180630"/>
    <x v="13"/>
    <d v="2018-06-30T00:00:00"/>
    <n v="-1019.33"/>
  </r>
  <r>
    <s v="100043144"/>
    <s v="SA"/>
    <s v="40545 PD0023-A"/>
    <x v="2"/>
    <s v="$20M Unamortized Loss Due 2020 (LT)"/>
    <s v="20180630"/>
    <x v="14"/>
    <d v="2018-06-30T00:00:00"/>
    <n v="-857.57"/>
  </r>
  <r>
    <s v="100043145"/>
    <s v="SA"/>
    <s v="40545 PD0013-A"/>
    <x v="2"/>
    <s v="$75M Unamortized Loss Due 2022 (LT)"/>
    <s v="20180630"/>
    <x v="2"/>
    <d v="2018-06-30T00:00:00"/>
    <n v="-3125.47"/>
  </r>
  <r>
    <s v="100043146"/>
    <s v="SA"/>
    <s v="40542 PD0013-A"/>
    <x v="2"/>
    <s v="$75M Call Premium Due 2022 (LT)"/>
    <s v="20180630"/>
    <x v="2"/>
    <d v="2018-06-30T00:00:00"/>
    <n v="-4451.78"/>
  </r>
  <r>
    <s v="100043147"/>
    <s v="SA"/>
    <s v="40544 PD0013"/>
    <x v="2"/>
    <s v="$75M Bond Discount Due 2022 (LT)"/>
    <s v="20180630"/>
    <x v="2"/>
    <d v="2018-06-30T00:00:00"/>
    <n v="-10077.08"/>
  </r>
  <r>
    <s v="100043148"/>
    <s v="SA"/>
    <s v="40545 PD0900-A"/>
    <x v="2"/>
    <s v="$80M Unamortized Loss Due 2022 (LT)"/>
    <s v="20180630"/>
    <x v="11"/>
    <d v="2018-06-30T00:00:00"/>
    <n v="-5589.54"/>
  </r>
  <r>
    <s v="100043149"/>
    <s v="SA"/>
    <s v="40542 PD0900-A"/>
    <x v="2"/>
    <s v="$80M Call Premium Due 2022 (LT)"/>
    <s v="20180630"/>
    <x v="11"/>
    <d v="2018-06-30T00:00:00"/>
    <n v="-10099.59"/>
  </r>
  <r>
    <s v="100043150"/>
    <s v="SA"/>
    <s v="40545 PD0023-B"/>
    <x v="2"/>
    <s v="$20M Unamortized Loss Due 2022 (LT)"/>
    <s v="20180630"/>
    <x v="14"/>
    <d v="2018-06-30T00:00:00"/>
    <n v="-1407.23"/>
  </r>
  <r>
    <s v="100043151"/>
    <s v="SA"/>
    <s v="40542 PD0023"/>
    <x v="2"/>
    <s v="$20M Call Premium Due 2022 (LT)"/>
    <s v="20180630"/>
    <x v="14"/>
    <d v="2018-06-30T00:00:00"/>
    <n v="-2524.9"/>
  </r>
  <r>
    <s v="100043152"/>
    <s v="SA"/>
    <s v="40545 PD0900-B"/>
    <x v="2"/>
    <s v="$3.125M Unamortized Loss Due 2021 (LT)"/>
    <s v="20180630"/>
    <x v="11"/>
    <d v="2018-06-30T00:00:00"/>
    <n v="-193.73"/>
  </r>
  <r>
    <s v="100043153"/>
    <s v="SA"/>
    <s v="40542 PD0900-B"/>
    <x v="2"/>
    <s v="$3.125M Call Premium Due 2021 (LT)"/>
    <s v="20180630"/>
    <x v="11"/>
    <d v="2018-06-30T00:00:00"/>
    <n v="-274.12"/>
  </r>
  <r>
    <s v="100043154"/>
    <s v="SA"/>
    <s v="40545 PD0900-C"/>
    <x v="2"/>
    <s v="$21.875M Unamortized Loss Due 2021 (LT)"/>
    <s v="20180630"/>
    <x v="11"/>
    <d v="2018-06-30T00:00:00"/>
    <n v="-1347.95"/>
  </r>
  <r>
    <s v="100043155"/>
    <s v="SA"/>
    <s v="40542 PD0900-C"/>
    <x v="2"/>
    <s v="$21.875M Call Premium Due 2021 (LT)"/>
    <s v="20180630"/>
    <x v="11"/>
    <d v="2018-06-30T00:00:00"/>
    <n v="-1918.86"/>
  </r>
  <r>
    <s v="100043156"/>
    <s v="SA"/>
    <s v="40545 PD0013-B"/>
    <x v="2"/>
    <s v="$75M Unamortized Loss Due 2030 (LT)"/>
    <s v="20180630"/>
    <x v="2"/>
    <d v="2018-06-30T00:00:00"/>
    <n v="-1780.13"/>
  </r>
  <r>
    <s v="100043157"/>
    <s v="SA"/>
    <s v="40545 PD0014-A"/>
    <x v="2"/>
    <s v="$85.95M Unamortized Loss Due 2034 (LT)"/>
    <s v="20180630"/>
    <x v="5"/>
    <d v="2018-06-30T00:00:00"/>
    <n v="-2230.71"/>
  </r>
  <r>
    <s v="100043158"/>
    <s v="SA"/>
    <s v="40542 PD0014"/>
    <x v="2"/>
    <s v="$85.95M Call Premium Due 2034 (LT)"/>
    <s v="20180630"/>
    <x v="5"/>
    <d v="2018-06-30T00:00:00"/>
    <n v="-2490.34"/>
  </r>
  <r>
    <s v="100043159"/>
    <s v="SA"/>
    <s v="40542 PD0013-B"/>
    <x v="2"/>
    <s v="$75M Call Premium Due 2030 (LT)"/>
    <s v="20180630"/>
    <x v="2"/>
    <d v="2018-06-30T00:00:00"/>
    <n v="-5336.81"/>
  </r>
  <r>
    <s v="100043160"/>
    <s v="SA"/>
    <s v="40543 PD0011"/>
    <x v="2"/>
    <s v="$86.4M Bond Discount Due 2023 (LT)"/>
    <s v="20180630"/>
    <x v="8"/>
    <d v="2018-06-30T00:00:00"/>
    <n v="-4207.3500000000004"/>
  </r>
  <r>
    <s v="100050011"/>
    <s v="SA"/>
    <s v="40545 PD0011"/>
    <x v="2"/>
    <s v="$86.4M Unamortized Loss Due 2023 (LT)"/>
    <s v="20180731"/>
    <x v="8"/>
    <d v="2018-07-31T00:00:00"/>
    <n v="-3340.78"/>
  </r>
  <r>
    <s v="100050012"/>
    <s v="SA"/>
    <s v="40545 PD0012"/>
    <x v="2"/>
    <s v="$51.6M Unamortized Loss Due 2025 (LT)"/>
    <s v="20180731"/>
    <x v="13"/>
    <d v="2018-07-31T00:00:00"/>
    <n v="-1019.33"/>
  </r>
  <r>
    <s v="100050013"/>
    <s v="SA"/>
    <s v="40545 PD0023-A"/>
    <x v="2"/>
    <s v="$20M Unamortized Loss Due 2020 (LT)"/>
    <s v="20180731"/>
    <x v="14"/>
    <d v="2018-07-31T00:00:00"/>
    <n v="-857.57"/>
  </r>
  <r>
    <s v="100050014"/>
    <s v="SA"/>
    <s v="40545 PD0013-A"/>
    <x v="2"/>
    <s v="$75M Unamortized Loss Due 2022 (LT)"/>
    <s v="20180731"/>
    <x v="2"/>
    <d v="2018-07-31T00:00:00"/>
    <n v="-3125.47"/>
  </r>
  <r>
    <s v="100050015"/>
    <s v="SA"/>
    <s v="40542 PD0013-A"/>
    <x v="2"/>
    <s v="$75M Call Premium Due 2022 (LT)"/>
    <s v="20180731"/>
    <x v="2"/>
    <d v="2018-07-31T00:00:00"/>
    <n v="-4451.78"/>
  </r>
  <r>
    <s v="100050016"/>
    <s v="SA"/>
    <s v="40544 PD0013"/>
    <x v="2"/>
    <s v="$75M Bond Discount Due 2022 (LT)"/>
    <s v="20180731"/>
    <x v="2"/>
    <d v="2018-07-31T00:00:00"/>
    <n v="-10077.08"/>
  </r>
  <r>
    <s v="100050017"/>
    <s v="SA"/>
    <s v="40545 PD0900-A"/>
    <x v="2"/>
    <s v="$80M Unamortized Loss Due 2022 (LT)"/>
    <s v="20180731"/>
    <x v="11"/>
    <d v="2018-07-31T00:00:00"/>
    <n v="-5589.54"/>
  </r>
  <r>
    <s v="100050018"/>
    <s v="SA"/>
    <s v="40542 PD0900-A"/>
    <x v="2"/>
    <s v="$80M Call Premium Due 2022 (LT)"/>
    <s v="20180731"/>
    <x v="11"/>
    <d v="2018-07-31T00:00:00"/>
    <n v="-10099.59"/>
  </r>
  <r>
    <s v="100050019"/>
    <s v="SA"/>
    <s v="40545 PD0023-B"/>
    <x v="2"/>
    <s v="$20M Unamortized Loss Due 2022 (LT)"/>
    <s v="20180731"/>
    <x v="14"/>
    <d v="2018-07-31T00:00:00"/>
    <n v="-1407.23"/>
  </r>
  <r>
    <s v="100050020"/>
    <s v="SA"/>
    <s v="40542 PD0023"/>
    <x v="2"/>
    <s v="$20M Call Premium Due 2022 (LT)"/>
    <s v="20180731"/>
    <x v="14"/>
    <d v="2018-07-31T00:00:00"/>
    <n v="-2524.9"/>
  </r>
  <r>
    <s v="100050021"/>
    <s v="SA"/>
    <s v="40545 PD0900-B"/>
    <x v="2"/>
    <s v="$3.125M Unamortized Loss Due 2021 (LT)"/>
    <s v="20180731"/>
    <x v="11"/>
    <d v="2018-07-31T00:00:00"/>
    <n v="-193.73"/>
  </r>
  <r>
    <s v="100050022"/>
    <s v="SA"/>
    <s v="40542 PD0900-B"/>
    <x v="2"/>
    <s v="$3.125M Call Premium Due 2021 (LT)"/>
    <s v="20180731"/>
    <x v="11"/>
    <d v="2018-07-31T00:00:00"/>
    <n v="-274.12"/>
  </r>
  <r>
    <s v="100050023"/>
    <s v="SA"/>
    <s v="40545 PD0900-C"/>
    <x v="2"/>
    <s v="$21.875M Unamortized Loss Due 2021 (LT)"/>
    <s v="20180731"/>
    <x v="11"/>
    <d v="2018-07-31T00:00:00"/>
    <n v="-1347.95"/>
  </r>
  <r>
    <s v="100050024"/>
    <s v="SA"/>
    <s v="40542 PD0900-C"/>
    <x v="2"/>
    <s v="$21.875M Call Premium Due 2021 (LT)"/>
    <s v="20180731"/>
    <x v="11"/>
    <d v="2018-07-31T00:00:00"/>
    <n v="-1918.86"/>
  </r>
  <r>
    <s v="100050025"/>
    <s v="SA"/>
    <s v="40545 PD0013-B"/>
    <x v="2"/>
    <s v="$75M Unamortized Loss Due 2030 (LT)"/>
    <s v="20180731"/>
    <x v="2"/>
    <d v="2018-07-31T00:00:00"/>
    <n v="-1780.13"/>
  </r>
  <r>
    <s v="100050026"/>
    <s v="SA"/>
    <s v="40545 PD0014-A"/>
    <x v="2"/>
    <s v="$85.95M Unamortized Loss Due 2034 (LT)"/>
    <s v="20180731"/>
    <x v="5"/>
    <d v="2018-07-31T00:00:00"/>
    <n v="-2230.71"/>
  </r>
  <r>
    <s v="100050027"/>
    <s v="SA"/>
    <s v="40542 PD0014"/>
    <x v="2"/>
    <s v="$85.95M Call Premium Due 2034 (LT)"/>
    <s v="20180731"/>
    <x v="5"/>
    <d v="2018-07-31T00:00:00"/>
    <n v="-2490.34"/>
  </r>
  <r>
    <s v="100050028"/>
    <s v="SA"/>
    <s v="40542 PD0013-B"/>
    <x v="2"/>
    <s v="$75M Call Premium Due 2030 (LT)"/>
    <s v="20180731"/>
    <x v="2"/>
    <d v="2018-07-31T00:00:00"/>
    <n v="-5336.81"/>
  </r>
  <r>
    <s v="100050029"/>
    <s v="SA"/>
    <s v="40543 PD0011"/>
    <x v="2"/>
    <s v="$86.4M Bond Discount Due 2023 (LT)"/>
    <s v="20180731"/>
    <x v="8"/>
    <d v="2018-07-31T00:00:00"/>
    <n v="-4207.3500000000004"/>
  </r>
  <r>
    <s v="100057773"/>
    <s v="SA"/>
    <s v="40545 PD0011"/>
    <x v="2"/>
    <s v="$86.4M Unamortized Loss Due 2023 (LT)"/>
    <s v="20180831"/>
    <x v="8"/>
    <d v="2018-08-31T00:00:00"/>
    <n v="-3340.78"/>
  </r>
  <r>
    <s v="100057774"/>
    <s v="SA"/>
    <s v="40545 PD0012"/>
    <x v="2"/>
    <s v="$51.6M Unamortized Loss Due 2025 (LT)"/>
    <s v="20180831"/>
    <x v="13"/>
    <d v="2018-08-31T00:00:00"/>
    <n v="-1019.33"/>
  </r>
  <r>
    <s v="100057775"/>
    <s v="SA"/>
    <s v="40545 PD0023-A"/>
    <x v="2"/>
    <s v="$20M Unamortized Loss Due 2020 (LT)"/>
    <s v="20180831"/>
    <x v="14"/>
    <d v="2018-08-31T00:00:00"/>
    <n v="-857.57"/>
  </r>
  <r>
    <s v="100057776"/>
    <s v="SA"/>
    <s v="40545 PD0013-A"/>
    <x v="2"/>
    <s v="$75M Unamortized Loss Due 2022 (LT)"/>
    <s v="20180831"/>
    <x v="2"/>
    <d v="2018-08-31T00:00:00"/>
    <n v="-3125.47"/>
  </r>
  <r>
    <s v="100057777"/>
    <s v="SA"/>
    <s v="40542 PD0013-A"/>
    <x v="2"/>
    <s v="$75M Call Premium Due 2022 (LT)"/>
    <s v="20180831"/>
    <x v="2"/>
    <d v="2018-08-31T00:00:00"/>
    <n v="-4451.78"/>
  </r>
  <r>
    <s v="100057778"/>
    <s v="SA"/>
    <s v="40544 PD0013"/>
    <x v="2"/>
    <s v="$75M Bond Discount Due 2022 (LT)"/>
    <s v="20180831"/>
    <x v="2"/>
    <d v="2018-08-31T00:00:00"/>
    <n v="-10077.08"/>
  </r>
  <r>
    <s v="100057779"/>
    <s v="SA"/>
    <s v="40545 PD0900-A"/>
    <x v="2"/>
    <s v="$80M Unamortized Loss Due 2022 (LT)"/>
    <s v="20180831"/>
    <x v="11"/>
    <d v="2018-08-31T00:00:00"/>
    <n v="-5589.54"/>
  </r>
  <r>
    <s v="100057780"/>
    <s v="SA"/>
    <s v="40542 PD0900-A"/>
    <x v="2"/>
    <s v="$80M Call Premium Due 2022 (LT)"/>
    <s v="20180831"/>
    <x v="11"/>
    <d v="2018-08-31T00:00:00"/>
    <n v="-10099.59"/>
  </r>
  <r>
    <s v="100057781"/>
    <s v="SA"/>
    <s v="40545 PD0023-B"/>
    <x v="2"/>
    <s v="$20M Unamortized Loss Due 2022 (LT)"/>
    <s v="20180831"/>
    <x v="14"/>
    <d v="2018-08-31T00:00:00"/>
    <n v="-1407.23"/>
  </r>
  <r>
    <s v="100057782"/>
    <s v="SA"/>
    <s v="40542 PD0023"/>
    <x v="2"/>
    <s v="$20M Call Premium Due 2022 (LT)"/>
    <s v="20180831"/>
    <x v="14"/>
    <d v="2018-08-31T00:00:00"/>
    <n v="-2524.9"/>
  </r>
  <r>
    <s v="100057783"/>
    <s v="SA"/>
    <s v="40545 PD0900-B"/>
    <x v="2"/>
    <s v="$3.125M Unamortized Loss Due 2021 (LT)"/>
    <s v="20180831"/>
    <x v="11"/>
    <d v="2018-08-31T00:00:00"/>
    <n v="-193.73"/>
  </r>
  <r>
    <s v="100057784"/>
    <s v="SA"/>
    <s v="40542 PD0900-B"/>
    <x v="2"/>
    <s v="$3.125M Call Premium Due 2021 (LT)"/>
    <s v="20180831"/>
    <x v="11"/>
    <d v="2018-08-31T00:00:00"/>
    <n v="-274.12"/>
  </r>
  <r>
    <s v="100057785"/>
    <s v="SA"/>
    <s v="40545 PD0900-C"/>
    <x v="2"/>
    <s v="$21.875M Unamortized Loss Due 2021 (LT)"/>
    <s v="20180831"/>
    <x v="11"/>
    <d v="2018-08-31T00:00:00"/>
    <n v="-1347.95"/>
  </r>
  <r>
    <s v="100057786"/>
    <s v="SA"/>
    <s v="40542 PD0900-C"/>
    <x v="2"/>
    <s v="$21.875M Call Premium Due 2021 (LT)"/>
    <s v="20180831"/>
    <x v="11"/>
    <d v="2018-08-31T00:00:00"/>
    <n v="-1918.86"/>
  </r>
  <r>
    <s v="100057787"/>
    <s v="SA"/>
    <s v="40545 PD0013-B"/>
    <x v="2"/>
    <s v="$75M Unamortized Loss Due 2030 (LT)"/>
    <s v="20180831"/>
    <x v="2"/>
    <d v="2018-08-31T00:00:00"/>
    <n v="-1780.13"/>
  </r>
  <r>
    <s v="100057788"/>
    <s v="SA"/>
    <s v="40545 PD0014-A"/>
    <x v="2"/>
    <s v="$85.95M Unamortized Loss Due 2034 (LT)"/>
    <s v="20180831"/>
    <x v="5"/>
    <d v="2018-08-31T00:00:00"/>
    <n v="-2230.71"/>
  </r>
  <r>
    <s v="100057789"/>
    <s v="SA"/>
    <s v="40542 PD0014"/>
    <x v="2"/>
    <s v="$85.95M Call Premium Due 2034 (LT)"/>
    <s v="20180831"/>
    <x v="5"/>
    <d v="2018-08-31T00:00:00"/>
    <n v="-2490.34"/>
  </r>
  <r>
    <s v="100057790"/>
    <s v="SA"/>
    <s v="40542 PD0013-B"/>
    <x v="2"/>
    <s v="$75M Call Premium Due 2030 (LT)"/>
    <s v="20180831"/>
    <x v="2"/>
    <d v="2018-08-31T00:00:00"/>
    <n v="-5336.81"/>
  </r>
  <r>
    <s v="100057791"/>
    <s v="SA"/>
    <s v="40543 PD0011"/>
    <x v="2"/>
    <s v="$86.4M Bond Discount Due 2023 (LT)"/>
    <s v="20180831"/>
    <x v="8"/>
    <d v="2018-08-31T00:00:00"/>
    <n v="-4207.3500000000004"/>
  </r>
  <r>
    <s v="100064736"/>
    <s v="SA"/>
    <s v="40545 PD0011"/>
    <x v="2"/>
    <s v="$86.4M Unamortized Loss Due 2023 (LT)"/>
    <s v="20180930"/>
    <x v="8"/>
    <d v="2018-09-30T00:00:00"/>
    <n v="-3340.78"/>
  </r>
  <r>
    <s v="100064737"/>
    <s v="SA"/>
    <s v="40545 PD0012"/>
    <x v="2"/>
    <s v="$51.6M Unamortized Loss Due 2025 (LT)"/>
    <s v="20180930"/>
    <x v="13"/>
    <d v="2018-09-30T00:00:00"/>
    <n v="-1019.33"/>
  </r>
  <r>
    <s v="100064738"/>
    <s v="SA"/>
    <s v="40545 PD0023-A"/>
    <x v="2"/>
    <s v="$20M Unamortized Loss Due 2020 (LT)"/>
    <s v="20180930"/>
    <x v="14"/>
    <d v="2018-09-30T00:00:00"/>
    <n v="-857.57"/>
  </r>
  <r>
    <s v="100064739"/>
    <s v="SA"/>
    <s v="40545 PD0013-A"/>
    <x v="2"/>
    <s v="$75M Unamortized Loss Due 2022 (LT)"/>
    <s v="20180930"/>
    <x v="2"/>
    <d v="2018-09-30T00:00:00"/>
    <n v="-3125.47"/>
  </r>
  <r>
    <s v="100064740"/>
    <s v="SA"/>
    <s v="40542 PD0013-A"/>
    <x v="2"/>
    <s v="$75M Call Premium Due 2022 (LT)"/>
    <s v="20180930"/>
    <x v="2"/>
    <d v="2018-09-30T00:00:00"/>
    <n v="-4451.78"/>
  </r>
  <r>
    <s v="100064741"/>
    <s v="SA"/>
    <s v="40544 PD0013"/>
    <x v="2"/>
    <s v="$75M Bond Discount Due 2022 (LT)"/>
    <s v="20180930"/>
    <x v="2"/>
    <d v="2018-09-30T00:00:00"/>
    <n v="-10077.08"/>
  </r>
  <r>
    <s v="100064742"/>
    <s v="SA"/>
    <s v="40545 PD0900-A"/>
    <x v="2"/>
    <s v="$80M Unamortized Loss Due 2022 (LT)"/>
    <s v="20180930"/>
    <x v="11"/>
    <d v="2018-09-30T00:00:00"/>
    <n v="-5589.54"/>
  </r>
  <r>
    <s v="100064743"/>
    <s v="SA"/>
    <s v="40542 PD0900-A"/>
    <x v="2"/>
    <s v="$80M Call Premium Due 2022 (LT)"/>
    <s v="20180930"/>
    <x v="11"/>
    <d v="2018-09-30T00:00:00"/>
    <n v="-10099.59"/>
  </r>
  <r>
    <s v="100064744"/>
    <s v="SA"/>
    <s v="40545 PD0023-B"/>
    <x v="2"/>
    <s v="$20M Unamortized Loss Due 2022 (LT)"/>
    <s v="20180930"/>
    <x v="14"/>
    <d v="2018-09-30T00:00:00"/>
    <n v="-1407.23"/>
  </r>
  <r>
    <s v="100064745"/>
    <s v="SA"/>
    <s v="40542 PD0023"/>
    <x v="2"/>
    <s v="$20M Call Premium Due 2022 (LT)"/>
    <s v="20180930"/>
    <x v="14"/>
    <d v="2018-09-30T00:00:00"/>
    <n v="-2524.9"/>
  </r>
  <r>
    <s v="100064746"/>
    <s v="SA"/>
    <s v="40545 PD0900-B"/>
    <x v="2"/>
    <s v="$3.125M Unamortized Loss Due 2021 (LT)"/>
    <s v="20180930"/>
    <x v="11"/>
    <d v="2018-09-30T00:00:00"/>
    <n v="-193.73"/>
  </r>
  <r>
    <s v="100064747"/>
    <s v="SA"/>
    <s v="40542 PD0900-B"/>
    <x v="2"/>
    <s v="$3.125M Call Premium Due 2021 (LT)"/>
    <s v="20180930"/>
    <x v="11"/>
    <d v="2018-09-30T00:00:00"/>
    <n v="-274.12"/>
  </r>
  <r>
    <s v="100064748"/>
    <s v="SA"/>
    <s v="40545 PD0900-C"/>
    <x v="2"/>
    <s v="$21.875M Unamortized Loss Due 2021 (LT)"/>
    <s v="20180930"/>
    <x v="11"/>
    <d v="2018-09-30T00:00:00"/>
    <n v="-1347.95"/>
  </r>
  <r>
    <s v="100064749"/>
    <s v="SA"/>
    <s v="40542 PD0900-C"/>
    <x v="2"/>
    <s v="$21.875M Call Premium Due 2021 (LT)"/>
    <s v="20180930"/>
    <x v="11"/>
    <d v="2018-09-30T00:00:00"/>
    <n v="-1918.86"/>
  </r>
  <r>
    <s v="100064750"/>
    <s v="SA"/>
    <s v="40545 PD0013-B"/>
    <x v="2"/>
    <s v="$75M Unamortized Loss Due 2030 (LT)"/>
    <s v="20180930"/>
    <x v="2"/>
    <d v="2018-09-30T00:00:00"/>
    <n v="-1780.13"/>
  </r>
  <r>
    <s v="100064751"/>
    <s v="SA"/>
    <s v="40545 PD0014-A"/>
    <x v="2"/>
    <s v="$85.95M Unamortized Loss Due 2034 (LT)"/>
    <s v="20180930"/>
    <x v="5"/>
    <d v="2018-09-30T00:00:00"/>
    <n v="-2230.71"/>
  </r>
  <r>
    <s v="100064752"/>
    <s v="SA"/>
    <s v="40542 PD0014"/>
    <x v="2"/>
    <s v="$85.95M Call Premium Due 2034 (LT)"/>
    <s v="20180930"/>
    <x v="5"/>
    <d v="2018-09-30T00:00:00"/>
    <n v="-2490.34"/>
  </r>
  <r>
    <s v="100064753"/>
    <s v="SA"/>
    <s v="40542 PD0013-B"/>
    <x v="2"/>
    <s v="$75M Call Premium Due 2030 (LT)"/>
    <s v="20180930"/>
    <x v="2"/>
    <d v="2018-09-30T00:00:00"/>
    <n v="-5336.81"/>
  </r>
  <r>
    <s v="100064754"/>
    <s v="SA"/>
    <s v="40543 PD0011"/>
    <x v="2"/>
    <s v="$86.4M Bond Discount Due 2023 (LT)"/>
    <s v="20180930"/>
    <x v="8"/>
    <d v="2018-09-30T00:00:00"/>
    <n v="-4207.3500000000004"/>
  </r>
  <r>
    <s v="100071864"/>
    <s v="SA"/>
    <s v="40545 PD0011"/>
    <x v="2"/>
    <s v="$86.4M Unamortized Loss Due 2023 (LT)"/>
    <s v="20181031"/>
    <x v="8"/>
    <d v="2018-10-31T00:00:00"/>
    <n v="-3340.78"/>
  </r>
  <r>
    <s v="100071865"/>
    <s v="SA"/>
    <s v="40545 PD0012"/>
    <x v="2"/>
    <s v="$51.6M Unamortized Loss Due 2025 (LT)"/>
    <s v="20181031"/>
    <x v="13"/>
    <d v="2018-10-31T00:00:00"/>
    <n v="-1019.33"/>
  </r>
  <r>
    <s v="100071866"/>
    <s v="SA"/>
    <s v="40545 PD0023-A"/>
    <x v="2"/>
    <s v="$20M Unamortized Loss Due 2020 (LT)"/>
    <s v="20181031"/>
    <x v="14"/>
    <d v="2018-10-31T00:00:00"/>
    <n v="-857.57"/>
  </r>
  <r>
    <s v="100071867"/>
    <s v="SA"/>
    <s v="40545 PD0013-A"/>
    <x v="2"/>
    <s v="$75M Unamortized Loss Due 2022 (LT)"/>
    <s v="20181031"/>
    <x v="2"/>
    <d v="2018-10-31T00:00:00"/>
    <n v="-3125.47"/>
  </r>
  <r>
    <s v="100071868"/>
    <s v="SA"/>
    <s v="40542 PD0013-A"/>
    <x v="2"/>
    <s v="$75M Call Premium Due 2022 (LT)"/>
    <s v="20181031"/>
    <x v="2"/>
    <d v="2018-10-31T00:00:00"/>
    <n v="-4451.78"/>
  </r>
  <r>
    <s v="100071869"/>
    <s v="SA"/>
    <s v="40544 PD0013"/>
    <x v="2"/>
    <s v="$75M Bond Discount Due 2022 (LT)"/>
    <s v="20181031"/>
    <x v="2"/>
    <d v="2018-10-31T00:00:00"/>
    <n v="-10077.08"/>
  </r>
  <r>
    <s v="100071870"/>
    <s v="SA"/>
    <s v="40545 PD0900-A"/>
    <x v="2"/>
    <s v="$80M Unamortized Loss Due 2022 (LT)"/>
    <s v="20181031"/>
    <x v="11"/>
    <d v="2018-10-31T00:00:00"/>
    <n v="-5589.54"/>
  </r>
  <r>
    <s v="100071871"/>
    <s v="SA"/>
    <s v="40542 PD0900-A"/>
    <x v="2"/>
    <s v="$80M Call Premium Due 2022 (LT)"/>
    <s v="20181031"/>
    <x v="11"/>
    <d v="2018-10-31T00:00:00"/>
    <n v="-10099.59"/>
  </r>
  <r>
    <s v="100071872"/>
    <s v="SA"/>
    <s v="40545 PD0023-B"/>
    <x v="2"/>
    <s v="$20M Unamortized Loss Due 2022 (LT)"/>
    <s v="20181031"/>
    <x v="14"/>
    <d v="2018-10-31T00:00:00"/>
    <n v="-1407.23"/>
  </r>
  <r>
    <s v="100071873"/>
    <s v="SA"/>
    <s v="40542 PD0023"/>
    <x v="2"/>
    <s v="$20M Call Premium Due 2022 (LT)"/>
    <s v="20181031"/>
    <x v="14"/>
    <d v="2018-10-31T00:00:00"/>
    <n v="-2524.9"/>
  </r>
  <r>
    <s v="100071874"/>
    <s v="SA"/>
    <s v="40545 PD0900-B"/>
    <x v="2"/>
    <s v="$3.125M Unamortized Loss Due 2021 (LT)"/>
    <s v="20181031"/>
    <x v="11"/>
    <d v="2018-10-31T00:00:00"/>
    <n v="-193.73"/>
  </r>
  <r>
    <s v="100071875"/>
    <s v="SA"/>
    <s v="40542 PD0900-B"/>
    <x v="2"/>
    <s v="$3.125M Call Premium Due 2021 (LT)"/>
    <s v="20181031"/>
    <x v="11"/>
    <d v="2018-10-31T00:00:00"/>
    <n v="-274.12"/>
  </r>
  <r>
    <s v="100071876"/>
    <s v="SA"/>
    <s v="40545 PD0900-C"/>
    <x v="2"/>
    <s v="$21.875M Unamortized Loss Due 2021 (LT)"/>
    <s v="20181031"/>
    <x v="11"/>
    <d v="2018-10-31T00:00:00"/>
    <n v="-1347.95"/>
  </r>
  <r>
    <s v="100071877"/>
    <s v="SA"/>
    <s v="40542 PD0900-C"/>
    <x v="2"/>
    <s v="$21.875M Call Premium Due 2021 (LT)"/>
    <s v="20181031"/>
    <x v="11"/>
    <d v="2018-10-31T00:00:00"/>
    <n v="-1918.86"/>
  </r>
  <r>
    <s v="100071878"/>
    <s v="SA"/>
    <s v="40545 PD0013-B"/>
    <x v="2"/>
    <s v="$75M Unamortized Loss Due 2030 (LT)"/>
    <s v="20181031"/>
    <x v="2"/>
    <d v="2018-10-31T00:00:00"/>
    <n v="-1780.13"/>
  </r>
  <r>
    <s v="100071879"/>
    <s v="SA"/>
    <s v="40545 PD0014-A"/>
    <x v="2"/>
    <s v="$85.95M Unamortized Loss Due 2034 (LT)"/>
    <s v="20181031"/>
    <x v="5"/>
    <d v="2018-10-31T00:00:00"/>
    <n v="-2230.71"/>
  </r>
  <r>
    <s v="100071880"/>
    <s v="SA"/>
    <s v="40542 PD0014"/>
    <x v="2"/>
    <s v="$85.95M Call Premium Due 2034 (LT)"/>
    <s v="20181031"/>
    <x v="5"/>
    <d v="2018-10-31T00:00:00"/>
    <n v="-2490.34"/>
  </r>
  <r>
    <s v="100071881"/>
    <s v="SA"/>
    <s v="40542 PD0013-B"/>
    <x v="2"/>
    <s v="$75M Call Premium Due 2030 (LT)"/>
    <s v="20181031"/>
    <x v="2"/>
    <d v="2018-10-31T00:00:00"/>
    <n v="-5336.81"/>
  </r>
  <r>
    <s v="100071882"/>
    <s v="SA"/>
    <s v="40543 PD0011"/>
    <x v="2"/>
    <s v="$86.4M Bond Discount Due 2023 (LT)"/>
    <s v="20181031"/>
    <x v="8"/>
    <d v="2018-10-31T00:00:00"/>
    <n v="-4207.3500000000004"/>
  </r>
  <r>
    <s v="100079586"/>
    <s v="SA"/>
    <s v="40545 PD0011"/>
    <x v="2"/>
    <s v="$86.4M Unamortized Loss Due 2023 (LT)"/>
    <s v="20181130"/>
    <x v="8"/>
    <d v="2018-11-30T00:00:00"/>
    <n v="-3340.78"/>
  </r>
  <r>
    <s v="100079587"/>
    <s v="SA"/>
    <s v="40545 PD0012"/>
    <x v="2"/>
    <s v="$51.6M Unamortized Loss Due 2025 (LT)"/>
    <s v="20181130"/>
    <x v="13"/>
    <d v="2018-11-30T00:00:00"/>
    <n v="-1019.33"/>
  </r>
  <r>
    <s v="100079588"/>
    <s v="SA"/>
    <s v="40545 PD0023-A"/>
    <x v="2"/>
    <s v="$20M Unamortized Loss Due 2020 (LT)"/>
    <s v="20181130"/>
    <x v="14"/>
    <d v="2018-11-30T00:00:00"/>
    <n v="-857.57"/>
  </r>
  <r>
    <s v="100079589"/>
    <s v="SA"/>
    <s v="40545 PD0013-A"/>
    <x v="2"/>
    <s v="$75M Unamortized Loss Due 2022 (LT)"/>
    <s v="20181130"/>
    <x v="2"/>
    <d v="2018-11-30T00:00:00"/>
    <n v="-3125.47"/>
  </r>
  <r>
    <s v="100079590"/>
    <s v="SA"/>
    <s v="40542 PD0013-A"/>
    <x v="2"/>
    <s v="$75M Call Premium Due 2022 (LT)"/>
    <s v="20181130"/>
    <x v="2"/>
    <d v="2018-11-30T00:00:00"/>
    <n v="-4451.78"/>
  </r>
  <r>
    <s v="100079591"/>
    <s v="SA"/>
    <s v="40544 PD0013"/>
    <x v="2"/>
    <s v="$75M Bond Discount Due 2022 (LT)"/>
    <s v="20181130"/>
    <x v="2"/>
    <d v="2018-11-30T00:00:00"/>
    <n v="-10077.08"/>
  </r>
  <r>
    <s v="100079592"/>
    <s v="SA"/>
    <s v="40545 PD0900-A"/>
    <x v="2"/>
    <s v="$80M Unamortized Loss Due 2022 (LT)"/>
    <s v="20181130"/>
    <x v="11"/>
    <d v="2018-11-30T00:00:00"/>
    <n v="-5589.54"/>
  </r>
  <r>
    <s v="100079593"/>
    <s v="SA"/>
    <s v="40542 PD0900-A"/>
    <x v="2"/>
    <s v="$80M Call Premium Due 2022 (LT)"/>
    <s v="20181130"/>
    <x v="11"/>
    <d v="2018-11-30T00:00:00"/>
    <n v="-10099.59"/>
  </r>
  <r>
    <s v="100079594"/>
    <s v="SA"/>
    <s v="40545 PD0023-B"/>
    <x v="2"/>
    <s v="$20M Unamortized Loss Due 2022 (LT)"/>
    <s v="20181130"/>
    <x v="14"/>
    <d v="2018-11-30T00:00:00"/>
    <n v="-1407.23"/>
  </r>
  <r>
    <s v="100079595"/>
    <s v="SA"/>
    <s v="40542 PD0023"/>
    <x v="2"/>
    <s v="$20M Call Premium Due 2022 (LT)"/>
    <s v="20181130"/>
    <x v="14"/>
    <d v="2018-11-30T00:00:00"/>
    <n v="-2524.9"/>
  </r>
  <r>
    <s v="100079596"/>
    <s v="SA"/>
    <s v="40545 PD0900-B"/>
    <x v="2"/>
    <s v="$3.125M Unamortized Loss Due 2021 (LT)"/>
    <s v="20181130"/>
    <x v="11"/>
    <d v="2018-11-30T00:00:00"/>
    <n v="-193.73"/>
  </r>
  <r>
    <s v="100079597"/>
    <s v="SA"/>
    <s v="40542 PD0900-B"/>
    <x v="2"/>
    <s v="$3.125M Call Premium Due 2021 (LT)"/>
    <s v="20181130"/>
    <x v="11"/>
    <d v="2018-11-30T00:00:00"/>
    <n v="-274.12"/>
  </r>
  <r>
    <s v="100079598"/>
    <s v="SA"/>
    <s v="40545 PD0900-C"/>
    <x v="2"/>
    <s v="$21.875M Unamortized Loss Due 2021 (LT)"/>
    <s v="20181130"/>
    <x v="11"/>
    <d v="2018-11-30T00:00:00"/>
    <n v="-1347.95"/>
  </r>
  <r>
    <s v="100079599"/>
    <s v="SA"/>
    <s v="40542 PD0900-C"/>
    <x v="2"/>
    <s v="$21.875M Call Premium Due 2021 (LT)"/>
    <s v="20181130"/>
    <x v="11"/>
    <d v="2018-11-30T00:00:00"/>
    <n v="-1918.86"/>
  </r>
  <r>
    <s v="100079600"/>
    <s v="SA"/>
    <s v="40545 PD0013-B"/>
    <x v="2"/>
    <s v="$75M Unamortized Loss Due 2030 (LT)"/>
    <s v="20181130"/>
    <x v="2"/>
    <d v="2018-11-30T00:00:00"/>
    <n v="-1780.13"/>
  </r>
  <r>
    <s v="100079601"/>
    <s v="SA"/>
    <s v="40545 PD0014-A"/>
    <x v="2"/>
    <s v="$85.95M Unamortized Loss Due 2034 (LT)"/>
    <s v="20181130"/>
    <x v="5"/>
    <d v="2018-11-30T00:00:00"/>
    <n v="-2230.71"/>
  </r>
  <r>
    <s v="100079602"/>
    <s v="SA"/>
    <s v="40542 PD0014"/>
    <x v="2"/>
    <s v="$85.95M Call Premium Due 2034 (LT)"/>
    <s v="20181130"/>
    <x v="5"/>
    <d v="2018-11-30T00:00:00"/>
    <n v="-2490.34"/>
  </r>
  <r>
    <s v="100079603"/>
    <s v="SA"/>
    <s v="40542 PD0013-B"/>
    <x v="2"/>
    <s v="$75M Call Premium Due 2030 (LT)"/>
    <s v="20181130"/>
    <x v="2"/>
    <d v="2018-11-30T00:00:00"/>
    <n v="-5336.81"/>
  </r>
  <r>
    <s v="100079604"/>
    <s v="SA"/>
    <s v="40543 PD0011"/>
    <x v="2"/>
    <s v="$86.4M Bond Discount Due 2023 (LT)"/>
    <s v="20181130"/>
    <x v="8"/>
    <d v="2018-11-30T00:00:00"/>
    <n v="-4207.3500000000004"/>
  </r>
  <r>
    <s v="100086585"/>
    <s v="SA"/>
    <s v="40545 PD0011"/>
    <x v="2"/>
    <s v="$86.4M Unamortized Loss Due 2023 (LT)"/>
    <s v="20181231"/>
    <x v="8"/>
    <d v="2018-12-31T00:00:00"/>
    <n v="-3340.78"/>
  </r>
  <r>
    <s v="100086586"/>
    <s v="SA"/>
    <s v="40545 PD0012"/>
    <x v="2"/>
    <s v="$51.6M Unamortized Loss Due 2025 (LT)"/>
    <s v="20181231"/>
    <x v="13"/>
    <d v="2018-12-31T00:00:00"/>
    <n v="-1019.33"/>
  </r>
  <r>
    <s v="100086587"/>
    <s v="SA"/>
    <s v="40545 PD0023-A"/>
    <x v="2"/>
    <s v="$20M Unamortized Loss Due 2020 (LT)"/>
    <s v="20181231"/>
    <x v="14"/>
    <d v="2018-12-31T00:00:00"/>
    <n v="-857.57"/>
  </r>
  <r>
    <s v="100086588"/>
    <s v="SA"/>
    <s v="40545 PD0013-A"/>
    <x v="2"/>
    <s v="$75M Unamortized Loss Due 2022 (LT)"/>
    <s v="20181231"/>
    <x v="2"/>
    <d v="2018-12-31T00:00:00"/>
    <n v="-3125.47"/>
  </r>
  <r>
    <s v="100086589"/>
    <s v="SA"/>
    <s v="40542 PD0013-A"/>
    <x v="2"/>
    <s v="$75M Call Premium Due 2022 (LT)"/>
    <s v="20181231"/>
    <x v="2"/>
    <d v="2018-12-31T00:00:00"/>
    <n v="-4451.78"/>
  </r>
  <r>
    <s v="100086590"/>
    <s v="SA"/>
    <s v="40544 PD0013"/>
    <x v="2"/>
    <s v="$75M Bond Discount Due 2022 (LT)"/>
    <s v="20181231"/>
    <x v="2"/>
    <d v="2018-12-31T00:00:00"/>
    <n v="-10077.08"/>
  </r>
  <r>
    <s v="100086591"/>
    <s v="SA"/>
    <s v="40545 PD0900-A"/>
    <x v="2"/>
    <s v="$80M Unamortized Loss Due 2022 (LT)"/>
    <s v="20181231"/>
    <x v="11"/>
    <d v="2018-12-31T00:00:00"/>
    <n v="-5589.54"/>
  </r>
  <r>
    <s v="100086592"/>
    <s v="SA"/>
    <s v="40542 PD0900-A"/>
    <x v="2"/>
    <s v="$80M Call Premium Due 2022 (LT)"/>
    <s v="20181231"/>
    <x v="11"/>
    <d v="2018-12-31T00:00:00"/>
    <n v="-10099.59"/>
  </r>
  <r>
    <s v="100086593"/>
    <s v="SA"/>
    <s v="40545 PD0023-B"/>
    <x v="2"/>
    <s v="$20M Unamortized Loss Due 2022 (LT)"/>
    <s v="20181231"/>
    <x v="14"/>
    <d v="2018-12-31T00:00:00"/>
    <n v="-1407.23"/>
  </r>
  <r>
    <s v="100086594"/>
    <s v="SA"/>
    <s v="40542 PD0023"/>
    <x v="2"/>
    <s v="$20M Call Premium Due 2022 (LT)"/>
    <s v="20181231"/>
    <x v="14"/>
    <d v="2018-12-31T00:00:00"/>
    <n v="-2524.9"/>
  </r>
  <r>
    <s v="100086595"/>
    <s v="SA"/>
    <s v="40545 PD0900-B"/>
    <x v="2"/>
    <s v="$3.125M Unamortized Loss Due 2021 (LT)"/>
    <s v="20181231"/>
    <x v="11"/>
    <d v="2018-12-31T00:00:00"/>
    <n v="-193.73"/>
  </r>
  <r>
    <s v="100086596"/>
    <s v="SA"/>
    <s v="40542 PD0900-B"/>
    <x v="2"/>
    <s v="$3.125M Call Premium Due 2021 (LT)"/>
    <s v="20181231"/>
    <x v="11"/>
    <d v="2018-12-31T00:00:00"/>
    <n v="-274.12"/>
  </r>
  <r>
    <s v="100086597"/>
    <s v="SA"/>
    <s v="40545 PD0900-C"/>
    <x v="2"/>
    <s v="$21.875M Unamortized Loss Due 2021 (LT)"/>
    <s v="20181231"/>
    <x v="11"/>
    <d v="2018-12-31T00:00:00"/>
    <n v="-1347.95"/>
  </r>
  <r>
    <s v="100086598"/>
    <s v="SA"/>
    <s v="40542 PD0900-C"/>
    <x v="2"/>
    <s v="$21.875M Call Premium Due 2021 (LT)"/>
    <s v="20181231"/>
    <x v="11"/>
    <d v="2018-12-31T00:00:00"/>
    <n v="-1918.86"/>
  </r>
  <r>
    <s v="100086599"/>
    <s v="SA"/>
    <s v="40545 PD0013-B"/>
    <x v="2"/>
    <s v="$75M Unamortized Loss Due 2030 (LT)"/>
    <s v="20181231"/>
    <x v="2"/>
    <d v="2018-12-31T00:00:00"/>
    <n v="-1780.13"/>
  </r>
  <r>
    <s v="100086600"/>
    <s v="SA"/>
    <s v="40545 PD0014-A"/>
    <x v="2"/>
    <s v="$85.95M Unamortized Loss Due 2034 (LT)"/>
    <s v="20181231"/>
    <x v="5"/>
    <d v="2018-12-31T00:00:00"/>
    <n v="-2230.71"/>
  </r>
  <r>
    <s v="100086601"/>
    <s v="SA"/>
    <s v="40542 PD0014"/>
    <x v="2"/>
    <s v="$85.95M Call Premium Due 2034 (LT)"/>
    <s v="20181231"/>
    <x v="5"/>
    <d v="2018-12-31T00:00:00"/>
    <n v="-2490.34"/>
  </r>
  <r>
    <s v="100086602"/>
    <s v="SA"/>
    <s v="40542 PD0013-B"/>
    <x v="2"/>
    <s v="$75M Call Premium Due 2030 (LT)"/>
    <s v="20181231"/>
    <x v="2"/>
    <d v="2018-12-31T00:00:00"/>
    <n v="-5336.81"/>
  </r>
  <r>
    <s v="100086603"/>
    <s v="SA"/>
    <s v="40543 PD0011"/>
    <x v="2"/>
    <s v="$86.4M Bond Discount Due 2023 (LT)"/>
    <s v="20181231"/>
    <x v="8"/>
    <d v="2018-12-31T00:00:00"/>
    <n v="-4207.3500000000004"/>
  </r>
  <r>
    <s v="100006713"/>
    <s v="SA"/>
    <s v="40545 PD0011"/>
    <x v="2"/>
    <s v="$86.4M Unamortized Loss Due 2023 (LT)"/>
    <s v="20190131"/>
    <x v="8"/>
    <d v="2019-01-31T00:00:00"/>
    <n v="-3340.78"/>
  </r>
  <r>
    <s v="100006714"/>
    <s v="SA"/>
    <s v="40545 PD0012"/>
    <x v="2"/>
    <s v="$51.6M Unamortized Loss Due 2025 (LT)"/>
    <s v="20190131"/>
    <x v="13"/>
    <d v="2019-01-31T00:00:00"/>
    <n v="-1019.33"/>
  </r>
  <r>
    <s v="100006715"/>
    <s v="SA"/>
    <s v="40545 PD0023-A"/>
    <x v="2"/>
    <s v="$20M Unamortized Loss Due 2020 (LT)"/>
    <s v="20190131"/>
    <x v="14"/>
    <d v="2019-01-31T00:00:00"/>
    <n v="-857.57"/>
  </r>
  <r>
    <s v="100006716"/>
    <s v="SA"/>
    <s v="40545 PD0013-A"/>
    <x v="2"/>
    <s v="$75M Unamortized Loss Due 2022 (LT)"/>
    <s v="20190131"/>
    <x v="2"/>
    <d v="2019-01-31T00:00:00"/>
    <n v="-3125.47"/>
  </r>
  <r>
    <s v="100006717"/>
    <s v="SA"/>
    <s v="40542 PD0013-A"/>
    <x v="2"/>
    <s v="$75M Call Premium Due 2022 (LT)"/>
    <s v="20190131"/>
    <x v="2"/>
    <d v="2019-01-31T00:00:00"/>
    <n v="-4451.78"/>
  </r>
  <r>
    <s v="100006718"/>
    <s v="SA"/>
    <s v="40544 PD0013"/>
    <x v="2"/>
    <s v="$75M Bond Discount Due 2022 (LT)"/>
    <s v="20190131"/>
    <x v="2"/>
    <d v="2019-01-31T00:00:00"/>
    <n v="-10077.08"/>
  </r>
  <r>
    <s v="100006719"/>
    <s v="SA"/>
    <s v="40545 PD0900-A"/>
    <x v="2"/>
    <s v="$80M Unamortized Loss Due 2022 (LT)"/>
    <s v="20190131"/>
    <x v="11"/>
    <d v="2019-01-31T00:00:00"/>
    <n v="-5589.54"/>
  </r>
  <r>
    <s v="100006720"/>
    <s v="SA"/>
    <s v="40542 PD0900-A"/>
    <x v="2"/>
    <s v="$80M Call Premium Due 2022 (LT)"/>
    <s v="20190131"/>
    <x v="11"/>
    <d v="2019-01-31T00:00:00"/>
    <n v="-10099.59"/>
  </r>
  <r>
    <s v="100006721"/>
    <s v="SA"/>
    <s v="40545 PD0023-B"/>
    <x v="2"/>
    <s v="$20M Unamortized Loss Due 2022 (LT)"/>
    <s v="20190131"/>
    <x v="14"/>
    <d v="2019-01-31T00:00:00"/>
    <n v="-1407.23"/>
  </r>
  <r>
    <s v="100006722"/>
    <s v="SA"/>
    <s v="40542 PD0023"/>
    <x v="2"/>
    <s v="$20M Call Premium Due 2022 (LT)"/>
    <s v="20190131"/>
    <x v="14"/>
    <d v="2019-01-31T00:00:00"/>
    <n v="-2524.9"/>
  </r>
  <r>
    <s v="100006723"/>
    <s v="SA"/>
    <s v="40545 PD0900-B"/>
    <x v="2"/>
    <s v="$3.125M Unamortized Loss Due 2021 (LT)"/>
    <s v="20190131"/>
    <x v="11"/>
    <d v="2019-01-31T00:00:00"/>
    <n v="-193.73"/>
  </r>
  <r>
    <s v="100006724"/>
    <s v="SA"/>
    <s v="40542 PD0900-B"/>
    <x v="2"/>
    <s v="$3.125M Call Premium Due 2021 (LT)"/>
    <s v="20190131"/>
    <x v="11"/>
    <d v="2019-01-31T00:00:00"/>
    <n v="-274.12"/>
  </r>
  <r>
    <s v="100006725"/>
    <s v="SA"/>
    <s v="40545 PD0900-C"/>
    <x v="2"/>
    <s v="$21.875M Unamortized Loss Due 2021 (LT)"/>
    <s v="20190131"/>
    <x v="11"/>
    <d v="2019-01-31T00:00:00"/>
    <n v="-1347.95"/>
  </r>
  <r>
    <s v="100006726"/>
    <s v="SA"/>
    <s v="40542 PD0900-C"/>
    <x v="2"/>
    <s v="$21.875M Call Premium Due 2021 (LT)"/>
    <s v="20190131"/>
    <x v="11"/>
    <d v="2019-01-31T00:00:00"/>
    <n v="-1918.86"/>
  </r>
  <r>
    <s v="100006727"/>
    <s v="SA"/>
    <s v="40545 PD0013-B"/>
    <x v="2"/>
    <s v="$75M Unamortized Loss Due 2030 (LT)"/>
    <s v="20190131"/>
    <x v="2"/>
    <d v="2019-01-31T00:00:00"/>
    <n v="-1780.13"/>
  </r>
  <r>
    <s v="100006728"/>
    <s v="SA"/>
    <s v="40545 PD0014-A"/>
    <x v="2"/>
    <s v="$85.95M Unamortized Loss Due 2034 (LT)"/>
    <s v="20190131"/>
    <x v="5"/>
    <d v="2019-01-31T00:00:00"/>
    <n v="-2230.71"/>
  </r>
  <r>
    <s v="100006729"/>
    <s v="SA"/>
    <s v="40542 PD0014"/>
    <x v="2"/>
    <s v="$85.95M Call Premium Due 2034 (LT)"/>
    <s v="20190131"/>
    <x v="5"/>
    <d v="2019-01-31T00:00:00"/>
    <n v="-2490.34"/>
  </r>
  <r>
    <s v="100006730"/>
    <s v="SA"/>
    <s v="40542 PD0013-B"/>
    <x v="2"/>
    <s v="$75M Call Premium Due 2030 (LT)"/>
    <s v="20190131"/>
    <x v="2"/>
    <d v="2019-01-31T00:00:00"/>
    <n v="-5336.81"/>
  </r>
  <r>
    <s v="100006731"/>
    <s v="SA"/>
    <s v="40543 PD0011"/>
    <x v="2"/>
    <s v="$86.4M Bond Discount Due 2023 (LT)"/>
    <s v="20190131"/>
    <x v="8"/>
    <d v="2019-01-31T00:00:00"/>
    <n v="-4207.3500000000004"/>
  </r>
  <r>
    <s v="100012405"/>
    <s v="SA"/>
    <s v="40545 PD0011"/>
    <x v="2"/>
    <s v="$86.4M Unamortized Loss Due 2023 (LT)"/>
    <s v="20190228"/>
    <x v="8"/>
    <d v="2019-02-28T00:00:00"/>
    <n v="-3340.78"/>
  </r>
  <r>
    <s v="100012406"/>
    <s v="SA"/>
    <s v="40545 PD0012"/>
    <x v="2"/>
    <s v="$51.6M Unamortized Loss Due 2025 (LT)"/>
    <s v="20190228"/>
    <x v="13"/>
    <d v="2019-02-28T00:00:00"/>
    <n v="-1019.33"/>
  </r>
  <r>
    <s v="100012407"/>
    <s v="SA"/>
    <s v="40545 PD0023-A"/>
    <x v="2"/>
    <s v="$20M Unamortized Loss Due 2020 (LT)"/>
    <s v="20190228"/>
    <x v="14"/>
    <d v="2019-02-28T00:00:00"/>
    <n v="-857.57"/>
  </r>
  <r>
    <s v="100012408"/>
    <s v="SA"/>
    <s v="40545 PD0013-A"/>
    <x v="2"/>
    <s v="$75M Unamortized Loss Due 2022 (LT)"/>
    <s v="20190228"/>
    <x v="2"/>
    <d v="2019-02-28T00:00:00"/>
    <n v="-3125.47"/>
  </r>
  <r>
    <s v="100012409"/>
    <s v="SA"/>
    <s v="40542 PD0013-A"/>
    <x v="2"/>
    <s v="$75M Call Premium Due 2022 (LT)"/>
    <s v="20190228"/>
    <x v="2"/>
    <d v="2019-02-28T00:00:00"/>
    <n v="-4451.78"/>
  </r>
  <r>
    <s v="100012410"/>
    <s v="SA"/>
    <s v="40544 PD0013"/>
    <x v="2"/>
    <s v="$75M Bond Discount Due 2022 (LT)"/>
    <s v="20190228"/>
    <x v="2"/>
    <d v="2019-02-28T00:00:00"/>
    <n v="-10077.08"/>
  </r>
  <r>
    <s v="100012411"/>
    <s v="SA"/>
    <s v="40545 PD0900-A"/>
    <x v="2"/>
    <s v="$80M Unamortized Loss Due 2022 (LT)"/>
    <s v="20190228"/>
    <x v="11"/>
    <d v="2019-02-28T00:00:00"/>
    <n v="-5589.54"/>
  </r>
  <r>
    <s v="100012412"/>
    <s v="SA"/>
    <s v="40542 PD0900-A"/>
    <x v="2"/>
    <s v="$80M Call Premium Due 2022 (LT)"/>
    <s v="20190228"/>
    <x v="11"/>
    <d v="2019-02-28T00:00:00"/>
    <n v="-10099.59"/>
  </r>
  <r>
    <s v="100012413"/>
    <s v="SA"/>
    <s v="40545 PD0023-B"/>
    <x v="2"/>
    <s v="$20M Unamortized Loss Due 2022 (LT)"/>
    <s v="20190228"/>
    <x v="14"/>
    <d v="2019-02-28T00:00:00"/>
    <n v="-1407.23"/>
  </r>
  <r>
    <s v="100012414"/>
    <s v="SA"/>
    <s v="40542 PD0023"/>
    <x v="2"/>
    <s v="$20M Call Premium Due 2022 (LT)"/>
    <s v="20190228"/>
    <x v="14"/>
    <d v="2019-02-28T00:00:00"/>
    <n v="-2524.9"/>
  </r>
  <r>
    <s v="100012415"/>
    <s v="SA"/>
    <s v="40545 PD0900-B"/>
    <x v="2"/>
    <s v="$3.125M Unamortized Loss Due 2021 (LT)"/>
    <s v="20190228"/>
    <x v="11"/>
    <d v="2019-02-28T00:00:00"/>
    <n v="-193.73"/>
  </r>
  <r>
    <s v="100012416"/>
    <s v="SA"/>
    <s v="40542 PD0900-B"/>
    <x v="2"/>
    <s v="$3.125M Call Premium Due 2021 (LT)"/>
    <s v="20190228"/>
    <x v="11"/>
    <d v="2019-02-28T00:00:00"/>
    <n v="-274.12"/>
  </r>
  <r>
    <s v="100012417"/>
    <s v="SA"/>
    <s v="40545 PD0900-C"/>
    <x v="2"/>
    <s v="$21.875M Unamortized Loss Due 2021 (LT)"/>
    <s v="20190228"/>
    <x v="11"/>
    <d v="2019-02-28T00:00:00"/>
    <n v="-1347.95"/>
  </r>
  <r>
    <s v="100012418"/>
    <s v="SA"/>
    <s v="40542 PD0900-C"/>
    <x v="2"/>
    <s v="$21.875M Call Premium Due 2021 (LT)"/>
    <s v="20190228"/>
    <x v="11"/>
    <d v="2019-02-28T00:00:00"/>
    <n v="-1918.86"/>
  </r>
  <r>
    <s v="100012419"/>
    <s v="SA"/>
    <s v="40545 PD0013-B"/>
    <x v="2"/>
    <s v="$75M Unamortized Loss Due 2030 (LT)"/>
    <s v="20190228"/>
    <x v="2"/>
    <d v="2019-02-28T00:00:00"/>
    <n v="-1780.13"/>
  </r>
  <r>
    <s v="100012420"/>
    <s v="SA"/>
    <s v="40545 PD0014-A"/>
    <x v="2"/>
    <s v="$85.95M Unamortized Loss Due 2034 (LT)"/>
    <s v="20190228"/>
    <x v="5"/>
    <d v="2019-02-28T00:00:00"/>
    <n v="-2230.71"/>
  </r>
  <r>
    <s v="100012421"/>
    <s v="SA"/>
    <s v="40542 PD0014"/>
    <x v="2"/>
    <s v="$85.95M Call Premium Due 2034 (LT)"/>
    <s v="20190228"/>
    <x v="5"/>
    <d v="2019-02-28T00:00:00"/>
    <n v="-2490.34"/>
  </r>
  <r>
    <s v="100012422"/>
    <s v="SA"/>
    <s v="40542 PD0013-B"/>
    <x v="2"/>
    <s v="$75M Call Premium Due 2030 (LT)"/>
    <s v="20190228"/>
    <x v="2"/>
    <d v="2019-02-28T00:00:00"/>
    <n v="-5336.81"/>
  </r>
  <r>
    <s v="100012423"/>
    <s v="SA"/>
    <s v="40543 PD0011"/>
    <x v="2"/>
    <s v="$86.4M Bond Discount Due 2023 (LT)"/>
    <s v="20190228"/>
    <x v="8"/>
    <d v="2019-02-28T00:00:00"/>
    <n v="-4207.3500000000004"/>
  </r>
  <r>
    <s v="100020407"/>
    <s v="SA"/>
    <s v="40545 PD0011"/>
    <x v="2"/>
    <s v="$86.4M Unamortized Loss Due 2023 (LT)"/>
    <s v="20190331"/>
    <x v="8"/>
    <d v="2019-03-31T00:00:00"/>
    <n v="-3340.78"/>
  </r>
  <r>
    <s v="100020408"/>
    <s v="SA"/>
    <s v="40545 PD0012"/>
    <x v="2"/>
    <s v="$51.6M Unamortized Loss Due 2025 (LT)"/>
    <s v="20190331"/>
    <x v="13"/>
    <d v="2019-03-31T00:00:00"/>
    <n v="-1019.33"/>
  </r>
  <r>
    <s v="100020409"/>
    <s v="SA"/>
    <s v="40545 PD0023-A"/>
    <x v="2"/>
    <s v="$20M Unamortized Loss Due 2020 (LT)"/>
    <s v="20190331"/>
    <x v="14"/>
    <d v="2019-03-31T00:00:00"/>
    <n v="-857.57"/>
  </r>
  <r>
    <s v="100020410"/>
    <s v="SA"/>
    <s v="40545 PD0013-A"/>
    <x v="2"/>
    <s v="$75M Unamortized Loss Due 2022 (LT)"/>
    <s v="20190331"/>
    <x v="2"/>
    <d v="2019-03-31T00:00:00"/>
    <n v="-3125.47"/>
  </r>
  <r>
    <s v="100020411"/>
    <s v="SA"/>
    <s v="40542 PD0013-A"/>
    <x v="2"/>
    <s v="$75M Call Premium Due 2022 (LT)"/>
    <s v="20190331"/>
    <x v="2"/>
    <d v="2019-03-31T00:00:00"/>
    <n v="-4451.78"/>
  </r>
  <r>
    <s v="100020412"/>
    <s v="SA"/>
    <s v="40544 PD0013"/>
    <x v="2"/>
    <s v="$75M Bond Discount Due 2022 (LT)"/>
    <s v="20190331"/>
    <x v="2"/>
    <d v="2019-03-31T00:00:00"/>
    <n v="-10077.08"/>
  </r>
  <r>
    <s v="100020413"/>
    <s v="SA"/>
    <s v="40545 PD0900-A"/>
    <x v="2"/>
    <s v="$80M Unamortized Loss Due 2022 (LT)"/>
    <s v="20190331"/>
    <x v="11"/>
    <d v="2019-03-31T00:00:00"/>
    <n v="-5589.54"/>
  </r>
  <r>
    <s v="100020414"/>
    <s v="SA"/>
    <s v="40542 PD0900-A"/>
    <x v="2"/>
    <s v="$80M Call Premium Due 2022 (LT)"/>
    <s v="20190331"/>
    <x v="11"/>
    <d v="2019-03-31T00:00:00"/>
    <n v="-10099.59"/>
  </r>
  <r>
    <s v="100020415"/>
    <s v="SA"/>
    <s v="40545 PD0023-B"/>
    <x v="2"/>
    <s v="$20M Unamortized Loss Due 2022 (LT)"/>
    <s v="20190331"/>
    <x v="14"/>
    <d v="2019-03-31T00:00:00"/>
    <n v="-1407.23"/>
  </r>
  <r>
    <s v="100020416"/>
    <s v="SA"/>
    <s v="40542 PD0023"/>
    <x v="2"/>
    <s v="$20M Call Premium Due 2022 (LT)"/>
    <s v="20190331"/>
    <x v="14"/>
    <d v="2019-03-31T00:00:00"/>
    <n v="-2524.9"/>
  </r>
  <r>
    <s v="100020417"/>
    <s v="SA"/>
    <s v="40545 PD0900-B"/>
    <x v="2"/>
    <s v="$3.125M Unamortized Loss Due 2021 (LT)"/>
    <s v="20190331"/>
    <x v="11"/>
    <d v="2019-03-31T00:00:00"/>
    <n v="-193.73"/>
  </r>
  <r>
    <s v="100020418"/>
    <s v="SA"/>
    <s v="40542 PD0900-B"/>
    <x v="2"/>
    <s v="$3.125M Call Premium Due 2021 (LT)"/>
    <s v="20190331"/>
    <x v="11"/>
    <d v="2019-03-31T00:00:00"/>
    <n v="-274.12"/>
  </r>
  <r>
    <s v="100020419"/>
    <s v="SA"/>
    <s v="40545 PD0900-C"/>
    <x v="2"/>
    <s v="$21.875M Unamortized Loss Due 2021 (LT)"/>
    <s v="20190331"/>
    <x v="11"/>
    <d v="2019-03-31T00:00:00"/>
    <n v="-1347.95"/>
  </r>
  <r>
    <s v="100020420"/>
    <s v="SA"/>
    <s v="40542 PD0900-C"/>
    <x v="2"/>
    <s v="$21.875M Call Premium Due 2021 (LT)"/>
    <s v="20190331"/>
    <x v="11"/>
    <d v="2019-03-31T00:00:00"/>
    <n v="-1918.86"/>
  </r>
  <r>
    <s v="100020421"/>
    <s v="SA"/>
    <s v="40545 PD0013-B"/>
    <x v="2"/>
    <s v="$75M Unamortized Loss Due 2030 (LT)"/>
    <s v="20190331"/>
    <x v="2"/>
    <d v="2019-03-31T00:00:00"/>
    <n v="-1780.13"/>
  </r>
  <r>
    <s v="100020422"/>
    <s v="SA"/>
    <s v="40545 PD0014-A"/>
    <x v="2"/>
    <s v="$85.95M Unamortized Loss Due 2034 (LT)"/>
    <s v="20190331"/>
    <x v="5"/>
    <d v="2019-03-31T00:00:00"/>
    <n v="-2230.71"/>
  </r>
  <r>
    <s v="100020423"/>
    <s v="SA"/>
    <s v="40542 PD0014"/>
    <x v="2"/>
    <s v="$85.95M Call Premium Due 2034 (LT)"/>
    <s v="20190331"/>
    <x v="5"/>
    <d v="2019-03-31T00:00:00"/>
    <n v="-2490.34"/>
  </r>
  <r>
    <s v="100020424"/>
    <s v="SA"/>
    <s v="40542 PD0013-B"/>
    <x v="2"/>
    <s v="$75M Call Premium Due 2030 (LT)"/>
    <s v="20190331"/>
    <x v="2"/>
    <d v="2019-03-31T00:00:00"/>
    <n v="-5336.81"/>
  </r>
  <r>
    <s v="100020425"/>
    <s v="SA"/>
    <s v="40543 PD0011"/>
    <x v="2"/>
    <s v="$86.4M Bond Discount Due 2023 (LT)"/>
    <s v="20190331"/>
    <x v="8"/>
    <d v="2019-03-31T00:00:00"/>
    <n v="-4207.3500000000004"/>
  </r>
  <r>
    <s v="100027247"/>
    <s v="SA"/>
    <s v="40545 PD0011"/>
    <x v="2"/>
    <s v="$86.4M Unamortized Loss Due 2023 (LT)"/>
    <s v="20190430"/>
    <x v="8"/>
    <d v="2019-04-30T00:00:00"/>
    <n v="-3340.78"/>
  </r>
  <r>
    <s v="100027248"/>
    <s v="SA"/>
    <s v="40545 PD0012"/>
    <x v="2"/>
    <s v="$51.6M Unamortized Loss Due 2025 (LT)"/>
    <s v="20190430"/>
    <x v="13"/>
    <d v="2019-04-30T00:00:00"/>
    <n v="-1019.33"/>
  </r>
  <r>
    <s v="100027249"/>
    <s v="SA"/>
    <s v="40545 PD0023-A"/>
    <x v="2"/>
    <s v="$20M Unamortized Loss Due 2020 (LT)"/>
    <s v="20190430"/>
    <x v="14"/>
    <d v="2019-04-30T00:00:00"/>
    <n v="-857.57"/>
  </r>
  <r>
    <s v="100027250"/>
    <s v="SA"/>
    <s v="40545 PD0013-A"/>
    <x v="2"/>
    <s v="$75M Unamortized Loss Due 2022 (LT)"/>
    <s v="20190430"/>
    <x v="2"/>
    <d v="2019-04-30T00:00:00"/>
    <n v="-3125.47"/>
  </r>
  <r>
    <s v="100027251"/>
    <s v="SA"/>
    <s v="40542 PD0013-A"/>
    <x v="2"/>
    <s v="$75M Call Premium Due 2022 (LT)"/>
    <s v="20190430"/>
    <x v="2"/>
    <d v="2019-04-30T00:00:00"/>
    <n v="-4451.78"/>
  </r>
  <r>
    <s v="100027252"/>
    <s v="SA"/>
    <s v="40544 PD0013"/>
    <x v="2"/>
    <s v="$75M Bond Discount Due 2022 (LT)"/>
    <s v="20190430"/>
    <x v="2"/>
    <d v="2019-04-30T00:00:00"/>
    <n v="-10077.08"/>
  </r>
  <r>
    <s v="100027253"/>
    <s v="SA"/>
    <s v="40545 PD0900-A"/>
    <x v="2"/>
    <s v="$80M Unamortized Loss Due 2022 (LT)"/>
    <s v="20190430"/>
    <x v="11"/>
    <d v="2019-04-30T00:00:00"/>
    <n v="-5589.54"/>
  </r>
  <r>
    <s v="100027254"/>
    <s v="SA"/>
    <s v="40542 PD0900-A"/>
    <x v="2"/>
    <s v="$80M Call Premium Due 2022 (LT)"/>
    <s v="20190430"/>
    <x v="11"/>
    <d v="2019-04-30T00:00:00"/>
    <n v="-10099.59"/>
  </r>
  <r>
    <s v="100027255"/>
    <s v="SA"/>
    <s v="40545 PD0023-B"/>
    <x v="2"/>
    <s v="$20M Unamortized Loss Due 2022 (LT)"/>
    <s v="20190430"/>
    <x v="14"/>
    <d v="2019-04-30T00:00:00"/>
    <n v="-1407.23"/>
  </r>
  <r>
    <s v="100027256"/>
    <s v="SA"/>
    <s v="40542 PD0023"/>
    <x v="2"/>
    <s v="$20M Call Premium Due 2022 (LT)"/>
    <s v="20190430"/>
    <x v="14"/>
    <d v="2019-04-30T00:00:00"/>
    <n v="-2524.9"/>
  </r>
  <r>
    <s v="100027257"/>
    <s v="SA"/>
    <s v="40545 PD0900-B"/>
    <x v="2"/>
    <s v="$3.125M Unamortized Loss Due 2021 (LT)"/>
    <s v="20190430"/>
    <x v="11"/>
    <d v="2019-04-30T00:00:00"/>
    <n v="-193.73"/>
  </r>
  <r>
    <s v="100027258"/>
    <s v="SA"/>
    <s v="40542 PD0900-B"/>
    <x v="2"/>
    <s v="$3.125M Call Premium Due 2021 (LT)"/>
    <s v="20190430"/>
    <x v="11"/>
    <d v="2019-04-30T00:00:00"/>
    <n v="-274.12"/>
  </r>
  <r>
    <s v="100027259"/>
    <s v="SA"/>
    <s v="40545 PD0900-C"/>
    <x v="2"/>
    <s v="$21.875M Unamortized Loss Due 2021 (LT)"/>
    <s v="20190430"/>
    <x v="11"/>
    <d v="2019-04-30T00:00:00"/>
    <n v="-1347.95"/>
  </r>
  <r>
    <s v="100027260"/>
    <s v="SA"/>
    <s v="40542 PD0900-C"/>
    <x v="2"/>
    <s v="$21.875M Call Premium Due 2021 (LT)"/>
    <s v="20190430"/>
    <x v="11"/>
    <d v="2019-04-30T00:00:00"/>
    <n v="-1918.86"/>
  </r>
  <r>
    <s v="100027261"/>
    <s v="SA"/>
    <s v="40545 PD0013-B"/>
    <x v="2"/>
    <s v="$75M Unamortized Loss Due 2030 (LT)"/>
    <s v="20190430"/>
    <x v="2"/>
    <d v="2019-04-30T00:00:00"/>
    <n v="-1780.13"/>
  </r>
  <r>
    <s v="100027262"/>
    <s v="SA"/>
    <s v="40545 PD0014-A"/>
    <x v="2"/>
    <s v="$85.95M Unamortized Loss Due 2034 (LT)"/>
    <s v="20190430"/>
    <x v="5"/>
    <d v="2019-04-30T00:00:00"/>
    <n v="-2230.71"/>
  </r>
  <r>
    <s v="100027263"/>
    <s v="SA"/>
    <s v="40542 PD0014"/>
    <x v="2"/>
    <s v="$85.95M Call Premium Due 2034 (LT)"/>
    <s v="20190430"/>
    <x v="5"/>
    <d v="2019-04-30T00:00:00"/>
    <n v="-2490.34"/>
  </r>
  <r>
    <s v="100027264"/>
    <s v="SA"/>
    <s v="40542 PD0013-B"/>
    <x v="2"/>
    <s v="$75M Call Premium Due 2030 (LT)"/>
    <s v="20190430"/>
    <x v="2"/>
    <d v="2019-04-30T00:00:00"/>
    <n v="-5336.81"/>
  </r>
  <r>
    <s v="100027265"/>
    <s v="SA"/>
    <s v="40543 PD0011"/>
    <x v="2"/>
    <s v="$86.4M Bond Discount Due 2023 (LT)"/>
    <s v="20190430"/>
    <x v="8"/>
    <d v="2019-04-30T00:00:00"/>
    <n v="-4207.3500000000004"/>
  </r>
  <r>
    <s v="100034671"/>
    <s v="SA"/>
    <s v="40545 PD0011"/>
    <x v="2"/>
    <s v="$86.4M Unamortized Loss Due 2023 (LT)"/>
    <s v="20190531"/>
    <x v="8"/>
    <d v="2019-05-31T00:00:00"/>
    <n v="-3340.78"/>
  </r>
  <r>
    <s v="100034672"/>
    <s v="SA"/>
    <s v="40545 PD0012"/>
    <x v="2"/>
    <s v="$51.6M Unamortized Loss Due 2025 (LT)"/>
    <s v="20190531"/>
    <x v="13"/>
    <d v="2019-05-31T00:00:00"/>
    <n v="-1019.33"/>
  </r>
  <r>
    <s v="100034673"/>
    <s v="SA"/>
    <s v="40545 PD0023-A"/>
    <x v="2"/>
    <s v="$20M Unamortized Loss Due 2020 (LT)"/>
    <s v="20190531"/>
    <x v="14"/>
    <d v="2019-05-31T00:00:00"/>
    <n v="-857.57"/>
  </r>
  <r>
    <s v="100034674"/>
    <s v="SA"/>
    <s v="40545 PD0013-A"/>
    <x v="2"/>
    <s v="$75M Unamortized Loss Due 2022 (LT)"/>
    <s v="20190531"/>
    <x v="2"/>
    <d v="2019-05-31T00:00:00"/>
    <n v="-3125.47"/>
  </r>
  <r>
    <s v="100034675"/>
    <s v="SA"/>
    <s v="40542 PD0013-A"/>
    <x v="2"/>
    <s v="$75M Call Premium Due 2022 (LT)"/>
    <s v="20190531"/>
    <x v="2"/>
    <d v="2019-05-31T00:00:00"/>
    <n v="-4451.78"/>
  </r>
  <r>
    <s v="100034676"/>
    <s v="SA"/>
    <s v="40544 PD0013"/>
    <x v="2"/>
    <s v="$75M Bond Discount Due 2022 (LT)"/>
    <s v="20190531"/>
    <x v="2"/>
    <d v="2019-05-31T00:00:00"/>
    <n v="-10077.08"/>
  </r>
  <r>
    <s v="100034677"/>
    <s v="SA"/>
    <s v="40545 PD0900-A"/>
    <x v="2"/>
    <s v="$80M Unamortized Loss Due 2022 (LT)"/>
    <s v="20190531"/>
    <x v="11"/>
    <d v="2019-05-31T00:00:00"/>
    <n v="-5589.54"/>
  </r>
  <r>
    <s v="100034678"/>
    <s v="SA"/>
    <s v="40542 PD0900-A"/>
    <x v="2"/>
    <s v="$80M Call Premium Due 2022 (LT)"/>
    <s v="20190531"/>
    <x v="11"/>
    <d v="2019-05-31T00:00:00"/>
    <n v="-10099.59"/>
  </r>
  <r>
    <s v="100034679"/>
    <s v="SA"/>
    <s v="40545 PD0023-B"/>
    <x v="2"/>
    <s v="$20M Unamortized Loss Due 2022 (LT)"/>
    <s v="20190531"/>
    <x v="14"/>
    <d v="2019-05-31T00:00:00"/>
    <n v="-1407.23"/>
  </r>
  <r>
    <s v="100034680"/>
    <s v="SA"/>
    <s v="40542 PD0023"/>
    <x v="2"/>
    <s v="$20M Call Premium Due 2022 (LT)"/>
    <s v="20190531"/>
    <x v="14"/>
    <d v="2019-05-31T00:00:00"/>
    <n v="-2524.9"/>
  </r>
  <r>
    <s v="100034681"/>
    <s v="SA"/>
    <s v="40545 PD0900-B"/>
    <x v="2"/>
    <s v="$3.125M Unamortized Loss Due 2021 (LT)"/>
    <s v="20190531"/>
    <x v="11"/>
    <d v="2019-05-31T00:00:00"/>
    <n v="-193.73"/>
  </r>
  <r>
    <s v="100034682"/>
    <s v="SA"/>
    <s v="40542 PD0900-B"/>
    <x v="2"/>
    <s v="$3.125M Call Premium Due 2021 (LT)"/>
    <s v="20190531"/>
    <x v="11"/>
    <d v="2019-05-31T00:00:00"/>
    <n v="-274.12"/>
  </r>
  <r>
    <s v="100034683"/>
    <s v="SA"/>
    <s v="40545 PD0900-C"/>
    <x v="2"/>
    <s v="$21.875M Unamortized Loss Due 2021 (LT)"/>
    <s v="20190531"/>
    <x v="11"/>
    <d v="2019-05-31T00:00:00"/>
    <n v="-1347.95"/>
  </r>
  <r>
    <s v="100034684"/>
    <s v="SA"/>
    <s v="40542 PD0900-C"/>
    <x v="2"/>
    <s v="$21.875M Call Premium Due 2021 (LT)"/>
    <s v="20190531"/>
    <x v="11"/>
    <d v="2019-05-31T00:00:00"/>
    <n v="-1918.86"/>
  </r>
  <r>
    <s v="100034685"/>
    <s v="SA"/>
    <s v="40545 PD0013-B"/>
    <x v="2"/>
    <s v="$75M Unamortized Loss Due 2030 (LT)"/>
    <s v="20190531"/>
    <x v="2"/>
    <d v="2019-05-31T00:00:00"/>
    <n v="-1780.13"/>
  </r>
  <r>
    <s v="100034686"/>
    <s v="SA"/>
    <s v="40545 PD0014-A"/>
    <x v="2"/>
    <s v="$85.95M Unamortized Loss Due 2034 (LT)"/>
    <s v="20190531"/>
    <x v="5"/>
    <d v="2019-05-31T00:00:00"/>
    <n v="-2230.71"/>
  </r>
  <r>
    <s v="100034687"/>
    <s v="SA"/>
    <s v="40542 PD0014"/>
    <x v="2"/>
    <s v="$85.95M Call Premium Due 2034 (LT)"/>
    <s v="20190531"/>
    <x v="5"/>
    <d v="2019-05-31T00:00:00"/>
    <n v="-2490.34"/>
  </r>
  <r>
    <s v="100034688"/>
    <s v="SA"/>
    <s v="40542 PD0013-B"/>
    <x v="2"/>
    <s v="$75M Call Premium Due 2030 (LT)"/>
    <s v="20190531"/>
    <x v="2"/>
    <d v="2019-05-31T00:00:00"/>
    <n v="-5336.81"/>
  </r>
  <r>
    <s v="100034689"/>
    <s v="SA"/>
    <s v="40543 PD0011"/>
    <x v="2"/>
    <s v="$86.4M Bond Discount Due 2023 (LT)"/>
    <s v="20190531"/>
    <x v="8"/>
    <d v="2019-05-31T00:00:00"/>
    <n v="-4207.3500000000004"/>
  </r>
  <r>
    <s v="100040813"/>
    <s v="SA"/>
    <s v="40545 PD0011"/>
    <x v="2"/>
    <s v="$86.4M Unamortized Loss Due 2023 (LT)"/>
    <s v="20190630"/>
    <x v="8"/>
    <d v="2019-06-30T00:00:00"/>
    <n v="-3340.78"/>
  </r>
  <r>
    <s v="100040814"/>
    <s v="SA"/>
    <s v="40545 PD0012"/>
    <x v="2"/>
    <s v="$51.6M Unamortized Loss Due 2025 (LT)"/>
    <s v="20190630"/>
    <x v="13"/>
    <d v="2019-06-30T00:00:00"/>
    <n v="-1019.33"/>
  </r>
  <r>
    <s v="100040815"/>
    <s v="SA"/>
    <s v="40545 PD0023-A"/>
    <x v="2"/>
    <s v="$20M Unamortized Loss Due 2020 (LT)"/>
    <s v="20190630"/>
    <x v="14"/>
    <d v="2019-06-30T00:00:00"/>
    <n v="-857.57"/>
  </r>
  <r>
    <s v="100040816"/>
    <s v="SA"/>
    <s v="40545 PD0013-A"/>
    <x v="2"/>
    <s v="$75M Unamortized Loss Due 2022 (LT)"/>
    <s v="20190630"/>
    <x v="2"/>
    <d v="2019-06-30T00:00:00"/>
    <n v="-3125.47"/>
  </r>
  <r>
    <s v="100040817"/>
    <s v="SA"/>
    <s v="40542 PD0013-A"/>
    <x v="2"/>
    <s v="$75M Call Premium Due 2022 (LT)"/>
    <s v="20190630"/>
    <x v="2"/>
    <d v="2019-06-30T00:00:00"/>
    <n v="-4451.78"/>
  </r>
  <r>
    <s v="100040818"/>
    <s v="SA"/>
    <s v="40544 PD0013"/>
    <x v="2"/>
    <s v="$75M Bond Discount Due 2022 (LT)"/>
    <s v="20190630"/>
    <x v="2"/>
    <d v="2019-06-30T00:00:00"/>
    <n v="-10077.08"/>
  </r>
  <r>
    <s v="100040819"/>
    <s v="SA"/>
    <s v="40545 PD0900-A"/>
    <x v="2"/>
    <s v="$80M Unamortized Loss Due 2022 (LT)"/>
    <s v="20190630"/>
    <x v="11"/>
    <d v="2019-06-30T00:00:00"/>
    <n v="-5589.54"/>
  </r>
  <r>
    <s v="100040820"/>
    <s v="SA"/>
    <s v="40542 PD0900-A"/>
    <x v="2"/>
    <s v="$80M Call Premium Due 2022 (LT)"/>
    <s v="20190630"/>
    <x v="11"/>
    <d v="2019-06-30T00:00:00"/>
    <n v="-10099.59"/>
  </r>
  <r>
    <s v="100040821"/>
    <s v="SA"/>
    <s v="40545 PD0023-B"/>
    <x v="2"/>
    <s v="$20M Unamortized Loss Due 2022 (LT)"/>
    <s v="20190630"/>
    <x v="14"/>
    <d v="2019-06-30T00:00:00"/>
    <n v="-1407.23"/>
  </r>
  <r>
    <s v="100040822"/>
    <s v="SA"/>
    <s v="40542 PD0023"/>
    <x v="2"/>
    <s v="$20M Call Premium Due 2022 (LT)"/>
    <s v="20190630"/>
    <x v="14"/>
    <d v="2019-06-30T00:00:00"/>
    <n v="-2524.9"/>
  </r>
  <r>
    <s v="100040823"/>
    <s v="SA"/>
    <s v="40545 PD0900-B"/>
    <x v="2"/>
    <s v="$3.125M Unamortized Loss Due 2021 (LT)"/>
    <s v="20190630"/>
    <x v="11"/>
    <d v="2019-06-30T00:00:00"/>
    <n v="-193.73"/>
  </r>
  <r>
    <s v="100040824"/>
    <s v="SA"/>
    <s v="40542 PD0900-B"/>
    <x v="2"/>
    <s v="$3.125M Call Premium Due 2021 (LT)"/>
    <s v="20190630"/>
    <x v="11"/>
    <d v="2019-06-30T00:00:00"/>
    <n v="-274.12"/>
  </r>
  <r>
    <s v="100040825"/>
    <s v="SA"/>
    <s v="40545 PD0900-C"/>
    <x v="2"/>
    <s v="$21.875M Unamortized Loss Due 2021 (LT)"/>
    <s v="20190630"/>
    <x v="11"/>
    <d v="2019-06-30T00:00:00"/>
    <n v="-1347.95"/>
  </r>
  <r>
    <s v="100040826"/>
    <s v="SA"/>
    <s v="40542 PD0900-C"/>
    <x v="2"/>
    <s v="$21.875M Call Premium Due 2021 (LT)"/>
    <s v="20190630"/>
    <x v="11"/>
    <d v="2019-06-30T00:00:00"/>
    <n v="-1918.86"/>
  </r>
  <r>
    <s v="100040827"/>
    <s v="SA"/>
    <s v="40545 PD0013-B"/>
    <x v="2"/>
    <s v="$75M Unamortized Loss Due 2030 (LT)"/>
    <s v="20190630"/>
    <x v="2"/>
    <d v="2019-06-30T00:00:00"/>
    <n v="-1780.13"/>
  </r>
  <r>
    <s v="100040828"/>
    <s v="SA"/>
    <s v="40545 PD0014-A"/>
    <x v="2"/>
    <s v="$85.95M Unamortized Loss Due 2034 (LT)"/>
    <s v="20190630"/>
    <x v="5"/>
    <d v="2019-06-30T00:00:00"/>
    <n v="-2230.71"/>
  </r>
  <r>
    <s v="100040829"/>
    <s v="SA"/>
    <s v="40542 PD0014"/>
    <x v="2"/>
    <s v="$85.95M Call Premium Due 2034 (LT)"/>
    <s v="20190630"/>
    <x v="5"/>
    <d v="2019-06-30T00:00:00"/>
    <n v="-2490.34"/>
  </r>
  <r>
    <s v="100040830"/>
    <s v="SA"/>
    <s v="40542 PD0013-B"/>
    <x v="2"/>
    <s v="$75M Call Premium Due 2030 (LT)"/>
    <s v="20190630"/>
    <x v="2"/>
    <d v="2019-06-30T00:00:00"/>
    <n v="-5336.81"/>
  </r>
  <r>
    <s v="100040831"/>
    <s v="SA"/>
    <s v="40543 PD0011"/>
    <x v="2"/>
    <s v="$86.4M Bond Discount Due 2023 (LT)"/>
    <s v="20190630"/>
    <x v="8"/>
    <d v="2019-06-30T00:00:00"/>
    <n v="-4207.3500000000004"/>
  </r>
  <r>
    <s v="100048446"/>
    <s v="SA"/>
    <s v="40545 PD0011"/>
    <x v="2"/>
    <s v="$86.4M Unamortized Loss Due 2023 (LT)"/>
    <s v="20190731"/>
    <x v="8"/>
    <d v="2019-07-31T00:00:00"/>
    <n v="-3340.78"/>
  </r>
  <r>
    <s v="100048447"/>
    <s v="SA"/>
    <s v="40545 PD0012"/>
    <x v="2"/>
    <s v="$51.6M Unamortized Loss Due 2025 (LT)"/>
    <s v="20190731"/>
    <x v="13"/>
    <d v="2019-07-31T00:00:00"/>
    <n v="-1019.33"/>
  </r>
  <r>
    <s v="100048448"/>
    <s v="SA"/>
    <s v="40545 PD0023-A"/>
    <x v="2"/>
    <s v="$20M Unamortized Loss Due 2020 (LT)"/>
    <s v="20190731"/>
    <x v="14"/>
    <d v="2019-07-31T00:00:00"/>
    <n v="-857.57"/>
  </r>
  <r>
    <s v="100048449"/>
    <s v="SA"/>
    <s v="40545 PD0013-A"/>
    <x v="2"/>
    <s v="$75M Unamortized Loss Due 2022 (LT)"/>
    <s v="20190731"/>
    <x v="2"/>
    <d v="2019-07-31T00:00:00"/>
    <n v="-3125.47"/>
  </r>
  <r>
    <s v="100048450"/>
    <s v="SA"/>
    <s v="40542 PD0013-A"/>
    <x v="2"/>
    <s v="$75M Call Premium Due 2022 (LT)"/>
    <s v="20190731"/>
    <x v="2"/>
    <d v="2019-07-31T00:00:00"/>
    <n v="-4451.78"/>
  </r>
  <r>
    <s v="100048451"/>
    <s v="SA"/>
    <s v="40544 PD0013"/>
    <x v="2"/>
    <s v="$75M Bond Discount Due 2022 (LT)"/>
    <s v="20190731"/>
    <x v="2"/>
    <d v="2019-07-31T00:00:00"/>
    <n v="-10077.08"/>
  </r>
  <r>
    <s v="100048452"/>
    <s v="SA"/>
    <s v="40545 PD0900-A"/>
    <x v="2"/>
    <s v="$80M Unamortized Loss Due 2022 (LT)"/>
    <s v="20190731"/>
    <x v="11"/>
    <d v="2019-07-31T00:00:00"/>
    <n v="-5589.54"/>
  </r>
  <r>
    <s v="100048453"/>
    <s v="SA"/>
    <s v="40542 PD0900-A"/>
    <x v="2"/>
    <s v="$80M Call Premium Due 2022 (LT)"/>
    <s v="20190731"/>
    <x v="11"/>
    <d v="2019-07-31T00:00:00"/>
    <n v="-10099.59"/>
  </r>
  <r>
    <s v="100048454"/>
    <s v="SA"/>
    <s v="40545 PD0023-B"/>
    <x v="2"/>
    <s v="$20M Unamortized Loss Due 2022 (LT)"/>
    <s v="20190731"/>
    <x v="14"/>
    <d v="2019-07-31T00:00:00"/>
    <n v="-1407.23"/>
  </r>
  <r>
    <s v="100048455"/>
    <s v="SA"/>
    <s v="40542 PD0023"/>
    <x v="2"/>
    <s v="$20M Call Premium Due 2022 (LT)"/>
    <s v="20190731"/>
    <x v="14"/>
    <d v="2019-07-31T00:00:00"/>
    <n v="-2524.9"/>
  </r>
  <r>
    <s v="100048456"/>
    <s v="SA"/>
    <s v="40545 PD0900-B"/>
    <x v="2"/>
    <s v="$3.125M Unamortized Loss Due 2021 (LT)"/>
    <s v="20190731"/>
    <x v="11"/>
    <d v="2019-07-31T00:00:00"/>
    <n v="-193.73"/>
  </r>
  <r>
    <s v="100048457"/>
    <s v="SA"/>
    <s v="40542 PD0900-B"/>
    <x v="2"/>
    <s v="$3.125M Call Premium Due 2021 (LT)"/>
    <s v="20190731"/>
    <x v="11"/>
    <d v="2019-07-31T00:00:00"/>
    <n v="-274.12"/>
  </r>
  <r>
    <s v="100048458"/>
    <s v="SA"/>
    <s v="40545 PD0900-C"/>
    <x v="2"/>
    <s v="$21.875M Unamortized Loss Due 2021 (LT)"/>
    <s v="20190731"/>
    <x v="11"/>
    <d v="2019-07-31T00:00:00"/>
    <n v="-1347.95"/>
  </r>
  <r>
    <s v="100048459"/>
    <s v="SA"/>
    <s v="40542 PD0900-C"/>
    <x v="2"/>
    <s v="$21.875M Call Premium Due 2021 (LT)"/>
    <s v="20190731"/>
    <x v="11"/>
    <d v="2019-07-31T00:00:00"/>
    <n v="-1918.86"/>
  </r>
  <r>
    <s v="100048460"/>
    <s v="SA"/>
    <s v="40545 PD0013-B"/>
    <x v="2"/>
    <s v="$75M Unamortized Loss Due 2030 (LT)"/>
    <s v="20190731"/>
    <x v="2"/>
    <d v="2019-07-31T00:00:00"/>
    <n v="-1780.13"/>
  </r>
  <r>
    <s v="100048461"/>
    <s v="SA"/>
    <s v="40545 PD0014-A"/>
    <x v="2"/>
    <s v="$85.95M Unamortized Loss Due 2034 (LT)"/>
    <s v="20190731"/>
    <x v="5"/>
    <d v="2019-07-31T00:00:00"/>
    <n v="-2230.71"/>
  </r>
  <r>
    <s v="100048462"/>
    <s v="SA"/>
    <s v="40542 PD0014"/>
    <x v="2"/>
    <s v="$85.95M Call Premium Due 2034 (LT)"/>
    <s v="20190731"/>
    <x v="5"/>
    <d v="2019-07-31T00:00:00"/>
    <n v="-2490.34"/>
  </r>
  <r>
    <s v="100048463"/>
    <s v="SA"/>
    <s v="40542 PD0013-B"/>
    <x v="2"/>
    <s v="$75M Call Premium Due 2030 (LT)"/>
    <s v="20190731"/>
    <x v="2"/>
    <d v="2019-07-31T00:00:00"/>
    <n v="-5336.81"/>
  </r>
  <r>
    <s v="100048464"/>
    <s v="SA"/>
    <s v="40543 PD0011"/>
    <x v="2"/>
    <s v="$86.4M Bond Discount Due 2023 (LT)"/>
    <s v="20190731"/>
    <x v="8"/>
    <d v="2019-07-31T00:00:00"/>
    <n v="-4207.3500000000004"/>
  </r>
  <r>
    <s v="100055068"/>
    <s v="SA"/>
    <s v="40545 PD0011"/>
    <x v="2"/>
    <s v="$86.4M Unamortized Loss Due 2023 (LT)"/>
    <s v="20190831"/>
    <x v="8"/>
    <d v="2019-08-31T00:00:00"/>
    <n v="-3340.78"/>
  </r>
  <r>
    <s v="100055069"/>
    <s v="SA"/>
    <s v="40545 PD0012"/>
    <x v="2"/>
    <s v="$51.6M Unamortized Loss Due 2025 (LT)"/>
    <s v="20190831"/>
    <x v="13"/>
    <d v="2019-08-31T00:00:00"/>
    <n v="-1019.33"/>
  </r>
  <r>
    <s v="100055070"/>
    <s v="SA"/>
    <s v="40545 PD0023-A"/>
    <x v="2"/>
    <s v="$20M Unamortized Loss Due 2020 (LT)"/>
    <s v="20190831"/>
    <x v="14"/>
    <d v="2019-08-31T00:00:00"/>
    <n v="-857.57"/>
  </r>
  <r>
    <s v="100055071"/>
    <s v="SA"/>
    <s v="40545 PD0013-A"/>
    <x v="2"/>
    <s v="$75M Unamortized Loss Due 2022 (LT)"/>
    <s v="20190831"/>
    <x v="2"/>
    <d v="2019-08-31T00:00:00"/>
    <n v="-3125.47"/>
  </r>
  <r>
    <s v="100055072"/>
    <s v="SA"/>
    <s v="40542 PD0013-A"/>
    <x v="2"/>
    <s v="$75M Call Premium Due 2022 (LT)"/>
    <s v="20190831"/>
    <x v="2"/>
    <d v="2019-08-31T00:00:00"/>
    <n v="-4451.78"/>
  </r>
  <r>
    <s v="100055073"/>
    <s v="SA"/>
    <s v="40544 PD0013"/>
    <x v="2"/>
    <s v="$75M Bond Discount Due 2022 (LT)"/>
    <s v="20190831"/>
    <x v="2"/>
    <d v="2019-08-31T00:00:00"/>
    <n v="-10077.08"/>
  </r>
  <r>
    <s v="100055074"/>
    <s v="SA"/>
    <s v="40545 PD0900-A"/>
    <x v="2"/>
    <s v="$80M Unamortized Loss Due 2022 (LT)"/>
    <s v="20190831"/>
    <x v="11"/>
    <d v="2019-08-31T00:00:00"/>
    <n v="-5589.54"/>
  </r>
  <r>
    <s v="100055075"/>
    <s v="SA"/>
    <s v="40542 PD0900-A"/>
    <x v="2"/>
    <s v="$80M Call Premium Due 2022 (LT)"/>
    <s v="20190831"/>
    <x v="11"/>
    <d v="2019-08-31T00:00:00"/>
    <n v="-10099.59"/>
  </r>
  <r>
    <s v="100055076"/>
    <s v="SA"/>
    <s v="40545 PD0023-B"/>
    <x v="2"/>
    <s v="$20M Unamortized Loss Due 2022 (LT)"/>
    <s v="20190831"/>
    <x v="14"/>
    <d v="2019-08-31T00:00:00"/>
    <n v="-1407.23"/>
  </r>
  <r>
    <s v="100055077"/>
    <s v="SA"/>
    <s v="40542 PD0023"/>
    <x v="2"/>
    <s v="$20M Call Premium Due 2022 (LT)"/>
    <s v="20190831"/>
    <x v="14"/>
    <d v="2019-08-31T00:00:00"/>
    <n v="-2524.9"/>
  </r>
  <r>
    <s v="100055078"/>
    <s v="SA"/>
    <s v="40545 PD0900-B"/>
    <x v="2"/>
    <s v="$3.125M Unamortized Loss Due 2021 (LT)"/>
    <s v="20190831"/>
    <x v="11"/>
    <d v="2019-08-31T00:00:00"/>
    <n v="-193.73"/>
  </r>
  <r>
    <s v="100055079"/>
    <s v="SA"/>
    <s v="40542 PD0900-B"/>
    <x v="2"/>
    <s v="$3.125M Call Premium Due 2021 (LT)"/>
    <s v="20190831"/>
    <x v="11"/>
    <d v="2019-08-31T00:00:00"/>
    <n v="-274.12"/>
  </r>
  <r>
    <s v="100055080"/>
    <s v="SA"/>
    <s v="40545 PD0900-C"/>
    <x v="2"/>
    <s v="$21.875M Unamortized Loss Due 2021 (LT)"/>
    <s v="20190831"/>
    <x v="11"/>
    <d v="2019-08-31T00:00:00"/>
    <n v="-1347.95"/>
  </r>
  <r>
    <s v="100055081"/>
    <s v="SA"/>
    <s v="40542 PD0900-C"/>
    <x v="2"/>
    <s v="$21.875M Call Premium Due 2021 (LT)"/>
    <s v="20190831"/>
    <x v="11"/>
    <d v="2019-08-31T00:00:00"/>
    <n v="-1918.86"/>
  </r>
  <r>
    <s v="100055082"/>
    <s v="SA"/>
    <s v="40545 PD0013-B"/>
    <x v="2"/>
    <s v="$75M Unamortized Loss Due 2030 (LT)"/>
    <s v="20190831"/>
    <x v="2"/>
    <d v="2019-08-31T00:00:00"/>
    <n v="-1780.13"/>
  </r>
  <r>
    <s v="100055083"/>
    <s v="SA"/>
    <s v="40545 PD0014-A"/>
    <x v="2"/>
    <s v="$85.95M Unamortized Loss Due 2034 (LT)"/>
    <s v="20190831"/>
    <x v="5"/>
    <d v="2019-08-31T00:00:00"/>
    <n v="-2230.71"/>
  </r>
  <r>
    <s v="100055084"/>
    <s v="SA"/>
    <s v="40542 PD0014"/>
    <x v="2"/>
    <s v="$85.95M Call Premium Due 2034 (LT)"/>
    <s v="20190831"/>
    <x v="5"/>
    <d v="2019-08-31T00:00:00"/>
    <n v="-2490.34"/>
  </r>
  <r>
    <s v="100055085"/>
    <s v="SA"/>
    <s v="40542 PD0013-B"/>
    <x v="2"/>
    <s v="$75M Call Premium Due 2030 (LT)"/>
    <s v="20190831"/>
    <x v="2"/>
    <d v="2019-08-31T00:00:00"/>
    <n v="-5336.81"/>
  </r>
  <r>
    <s v="100055086"/>
    <s v="SA"/>
    <s v="40543 PD0011"/>
    <x v="2"/>
    <s v="$86.4M Bond Discount Due 2023 (LT)"/>
    <s v="20190831"/>
    <x v="8"/>
    <d v="2019-08-31T00:00:00"/>
    <n v="-4207.3500000000004"/>
  </r>
  <r>
    <s v="100062018"/>
    <s v="SA"/>
    <s v="40545 PD0011"/>
    <x v="2"/>
    <s v="$86.4M Unamortized Loss Due 2023 (LT)"/>
    <s v="20190930"/>
    <x v="8"/>
    <d v="2019-09-30T00:00:00"/>
    <n v="-3340.78"/>
  </r>
  <r>
    <s v="100062019"/>
    <s v="SA"/>
    <s v="40545 PD0012"/>
    <x v="2"/>
    <s v="$51.6M Unamortized Loss Due 2025 (LT)"/>
    <s v="20190930"/>
    <x v="13"/>
    <d v="2019-09-30T00:00:00"/>
    <n v="-1019.33"/>
  </r>
  <r>
    <s v="100062020"/>
    <s v="SA"/>
    <s v="40545 PD0023-A"/>
    <x v="2"/>
    <s v="$20M Unamortized Loss Due 2020 (LT)"/>
    <s v="20190930"/>
    <x v="14"/>
    <d v="2019-09-30T00:00:00"/>
    <n v="-857.57"/>
  </r>
  <r>
    <s v="100062021"/>
    <s v="SA"/>
    <s v="40545 PD0013-A"/>
    <x v="2"/>
    <s v="$75M Unamortized Loss Due 2022 (LT)"/>
    <s v="20190930"/>
    <x v="2"/>
    <d v="2019-09-30T00:00:00"/>
    <n v="-3125.47"/>
  </r>
  <r>
    <s v="100062022"/>
    <s v="SA"/>
    <s v="40542 PD0013-A"/>
    <x v="2"/>
    <s v="$75M Call Premium Due 2022 (LT)"/>
    <s v="20190930"/>
    <x v="2"/>
    <d v="2019-09-30T00:00:00"/>
    <n v="-4451.78"/>
  </r>
  <r>
    <s v="100062023"/>
    <s v="SA"/>
    <s v="40544 PD0013"/>
    <x v="2"/>
    <s v="$75M Bond Discount Due 2022 (LT)"/>
    <s v="20190930"/>
    <x v="2"/>
    <d v="2019-09-30T00:00:00"/>
    <n v="-10077.08"/>
  </r>
  <r>
    <s v="100062024"/>
    <s v="SA"/>
    <s v="40545 PD0900-A"/>
    <x v="2"/>
    <s v="$80M Unamortized Loss Due 2022 (LT)"/>
    <s v="20190930"/>
    <x v="11"/>
    <d v="2019-09-30T00:00:00"/>
    <n v="-5589.54"/>
  </r>
  <r>
    <s v="100062025"/>
    <s v="SA"/>
    <s v="40542 PD0900-A"/>
    <x v="2"/>
    <s v="$80M Call Premium Due 2022 (LT)"/>
    <s v="20190930"/>
    <x v="11"/>
    <d v="2019-09-30T00:00:00"/>
    <n v="-10099.59"/>
  </r>
  <r>
    <s v="100062026"/>
    <s v="SA"/>
    <s v="40545 PD0023-B"/>
    <x v="2"/>
    <s v="$20M Unamortized Loss Due 2022 (LT)"/>
    <s v="20190930"/>
    <x v="14"/>
    <d v="2019-09-30T00:00:00"/>
    <n v="-1407.23"/>
  </r>
  <r>
    <s v="100062027"/>
    <s v="SA"/>
    <s v="40542 PD0023"/>
    <x v="2"/>
    <s v="$20M Call Premium Due 2022 (LT)"/>
    <s v="20190930"/>
    <x v="14"/>
    <d v="2019-09-30T00:00:00"/>
    <n v="-2524.9"/>
  </r>
  <r>
    <s v="100062028"/>
    <s v="SA"/>
    <s v="40545 PD0900-B"/>
    <x v="2"/>
    <s v="$3.125M Unamortized Loss Due 2021 (LT)"/>
    <s v="20190930"/>
    <x v="11"/>
    <d v="2019-09-30T00:00:00"/>
    <n v="-193.73"/>
  </r>
  <r>
    <s v="100062029"/>
    <s v="SA"/>
    <s v="40542 PD0900-B"/>
    <x v="2"/>
    <s v="$3.125M Call Premium Due 2021 (LT)"/>
    <s v="20190930"/>
    <x v="11"/>
    <d v="2019-09-30T00:00:00"/>
    <n v="-274.12"/>
  </r>
  <r>
    <s v="100062030"/>
    <s v="SA"/>
    <s v="40545 PD0900-C"/>
    <x v="2"/>
    <s v="$21.875M Unamortized Loss Due 2021 (LT)"/>
    <s v="20190930"/>
    <x v="11"/>
    <d v="2019-09-30T00:00:00"/>
    <n v="-1347.95"/>
  </r>
  <r>
    <s v="100062031"/>
    <s v="SA"/>
    <s v="40542 PD0900-C"/>
    <x v="2"/>
    <s v="$21.875M Call Premium Due 2021 (LT)"/>
    <s v="20190930"/>
    <x v="11"/>
    <d v="2019-09-30T00:00:00"/>
    <n v="-1918.86"/>
  </r>
  <r>
    <s v="100062032"/>
    <s v="SA"/>
    <s v="40545 PD0013-B"/>
    <x v="2"/>
    <s v="$75M Unamortized Loss Due 2030 (LT)"/>
    <s v="20190930"/>
    <x v="2"/>
    <d v="2019-09-30T00:00:00"/>
    <n v="-1780.13"/>
  </r>
  <r>
    <s v="100062033"/>
    <s v="SA"/>
    <s v="40545 PD0014-A"/>
    <x v="2"/>
    <s v="$85.95M Unamortized Loss Due 2034 (LT)"/>
    <s v="20190930"/>
    <x v="5"/>
    <d v="2019-09-30T00:00:00"/>
    <n v="-2230.71"/>
  </r>
  <r>
    <s v="100062034"/>
    <s v="SA"/>
    <s v="40542 PD0014"/>
    <x v="2"/>
    <s v="$85.95M Call Premium Due 2034 (LT)"/>
    <s v="20190930"/>
    <x v="5"/>
    <d v="2019-09-30T00:00:00"/>
    <n v="-2490.34"/>
  </r>
  <r>
    <s v="100062035"/>
    <s v="SA"/>
    <s v="40542 PD0013-B"/>
    <x v="2"/>
    <s v="$75M Call Premium Due 2030 (LT)"/>
    <s v="20190930"/>
    <x v="2"/>
    <d v="2019-09-30T00:00:00"/>
    <n v="-5336.81"/>
  </r>
  <r>
    <s v="100062036"/>
    <s v="SA"/>
    <s v="40543 PD0011"/>
    <x v="2"/>
    <s v="$86.4M Bond Discount Due 2023 (LT)"/>
    <s v="20190930"/>
    <x v="8"/>
    <d v="2019-09-30T00:00:00"/>
    <n v="-4207.3500000000004"/>
  </r>
  <r>
    <s v="100069272"/>
    <s v="SA"/>
    <s v="40545 PD0011"/>
    <x v="2"/>
    <s v="$86.4M Unamortized Loss Due 2023 (LT)"/>
    <s v="20191031"/>
    <x v="8"/>
    <d v="2019-10-31T00:00:00"/>
    <n v="-3340.78"/>
  </r>
  <r>
    <s v="100069273"/>
    <s v="SA"/>
    <s v="40545 PD0012"/>
    <x v="2"/>
    <s v="$51.6M Unamortized Loss Due 2025 (LT)"/>
    <s v="20191031"/>
    <x v="13"/>
    <d v="2019-10-31T00:00:00"/>
    <n v="-1019.33"/>
  </r>
  <r>
    <s v="100069274"/>
    <s v="SA"/>
    <s v="40545 PD0023-A"/>
    <x v="2"/>
    <s v="$20M Unamortized Loss Due 2020 (LT)"/>
    <s v="20191031"/>
    <x v="14"/>
    <d v="2019-10-31T00:00:00"/>
    <n v="-857.57"/>
  </r>
  <r>
    <s v="100069275"/>
    <s v="SA"/>
    <s v="40545 PD0013-A"/>
    <x v="2"/>
    <s v="$75M Unamortized Loss Due 2022 (LT)"/>
    <s v="20191031"/>
    <x v="2"/>
    <d v="2019-10-31T00:00:00"/>
    <n v="-3125.47"/>
  </r>
  <r>
    <s v="100069276"/>
    <s v="SA"/>
    <s v="40542 PD0013-A"/>
    <x v="2"/>
    <s v="$75M Call Premium Due 2022 (LT)"/>
    <s v="20191031"/>
    <x v="2"/>
    <d v="2019-10-31T00:00:00"/>
    <n v="-4451.78"/>
  </r>
  <r>
    <s v="100069277"/>
    <s v="SA"/>
    <s v="40544 PD0013"/>
    <x v="2"/>
    <s v="$75M Bond Discount Due 2022 (LT)"/>
    <s v="20191031"/>
    <x v="2"/>
    <d v="2019-10-31T00:00:00"/>
    <n v="-10077.08"/>
  </r>
  <r>
    <s v="100069278"/>
    <s v="SA"/>
    <s v="40545 PD0900-A"/>
    <x v="2"/>
    <s v="$80M Unamortized Loss Due 2022 (LT)"/>
    <s v="20191031"/>
    <x v="11"/>
    <d v="2019-10-31T00:00:00"/>
    <n v="-5589.54"/>
  </r>
  <r>
    <s v="100069279"/>
    <s v="SA"/>
    <s v="40542 PD0900-A"/>
    <x v="2"/>
    <s v="$80M Call Premium Due 2022 (LT)"/>
    <s v="20191031"/>
    <x v="11"/>
    <d v="2019-10-31T00:00:00"/>
    <n v="-10099.59"/>
  </r>
  <r>
    <s v="100069280"/>
    <s v="SA"/>
    <s v="40545 PD0023-B"/>
    <x v="2"/>
    <s v="$20M Unamortized Loss Due 2022 (LT)"/>
    <s v="20191031"/>
    <x v="14"/>
    <d v="2019-10-31T00:00:00"/>
    <n v="-1407.23"/>
  </r>
  <r>
    <s v="100069281"/>
    <s v="SA"/>
    <s v="40542 PD0023"/>
    <x v="2"/>
    <s v="$20M Call Premium Due 2022 (LT)"/>
    <s v="20191031"/>
    <x v="14"/>
    <d v="2019-10-31T00:00:00"/>
    <n v="-2524.9"/>
  </r>
  <r>
    <s v="100069282"/>
    <s v="SA"/>
    <s v="40545 PD0900-B"/>
    <x v="2"/>
    <s v="$3.125M Unamortized Loss Due 2021 (LT)"/>
    <s v="20191031"/>
    <x v="11"/>
    <d v="2019-10-31T00:00:00"/>
    <n v="-193.73"/>
  </r>
  <r>
    <s v="100069283"/>
    <s v="SA"/>
    <s v="40542 PD0900-B"/>
    <x v="2"/>
    <s v="$3.125M Call Premium Due 2021 (LT)"/>
    <s v="20191031"/>
    <x v="11"/>
    <d v="2019-10-31T00:00:00"/>
    <n v="-274.12"/>
  </r>
  <r>
    <s v="100069284"/>
    <s v="SA"/>
    <s v="40545 PD0900-C"/>
    <x v="2"/>
    <s v="$21.875M Unamortized Loss Due 2021 (LT)"/>
    <s v="20191031"/>
    <x v="11"/>
    <d v="2019-10-31T00:00:00"/>
    <n v="-1347.95"/>
  </r>
  <r>
    <s v="100069285"/>
    <s v="SA"/>
    <s v="40542 PD0900-C"/>
    <x v="2"/>
    <s v="$21.875M Call Premium Due 2021 (LT)"/>
    <s v="20191031"/>
    <x v="11"/>
    <d v="2019-10-31T00:00:00"/>
    <n v="-1918.86"/>
  </r>
  <r>
    <s v="100069286"/>
    <s v="SA"/>
    <s v="40545 PD0013-B"/>
    <x v="2"/>
    <s v="$75M Unamortized Loss Due 2030 (LT)"/>
    <s v="20191031"/>
    <x v="2"/>
    <d v="2019-10-31T00:00:00"/>
    <n v="-1780.13"/>
  </r>
  <r>
    <s v="100069287"/>
    <s v="SA"/>
    <s v="40545 PD0014-A"/>
    <x v="2"/>
    <s v="$85.95M Unamortized Loss Due 2034 (LT)"/>
    <s v="20191031"/>
    <x v="5"/>
    <d v="2019-10-31T00:00:00"/>
    <n v="-2230.71"/>
  </r>
  <r>
    <s v="100069288"/>
    <s v="SA"/>
    <s v="40542 PD0014"/>
    <x v="2"/>
    <s v="$85.95M Call Premium Due 2034 (LT)"/>
    <s v="20191031"/>
    <x v="5"/>
    <d v="2019-10-31T00:00:00"/>
    <n v="-2490.34"/>
  </r>
  <r>
    <s v="100069289"/>
    <s v="SA"/>
    <s v="40542 PD0013-B"/>
    <x v="2"/>
    <s v="$75M Call Premium Due 2030 (LT)"/>
    <s v="20191031"/>
    <x v="2"/>
    <d v="2019-10-31T00:00:00"/>
    <n v="-5336.81"/>
  </r>
  <r>
    <s v="100069290"/>
    <s v="SA"/>
    <s v="40543 PD0011"/>
    <x v="2"/>
    <s v="$86.4M Bond Discount Due 2023 (LT)"/>
    <s v="20191031"/>
    <x v="8"/>
    <d v="2019-10-31T00:00:00"/>
    <n v="-4207.3500000000004"/>
  </r>
  <r>
    <s v="100074896"/>
    <s v="SA"/>
    <s v="40545 PD0011"/>
    <x v="2"/>
    <s v="$86.4M Unamortized Loss Due 2023 (LT)"/>
    <s v="20191130"/>
    <x v="8"/>
    <d v="2019-11-30T00:00:00"/>
    <n v="-3340.78"/>
  </r>
  <r>
    <s v="100074897"/>
    <s v="SA"/>
    <s v="40545 PD0012"/>
    <x v="2"/>
    <s v="$51.6M Unamortized Loss Due 2025 (LT)"/>
    <s v="20191130"/>
    <x v="13"/>
    <d v="2019-11-30T00:00:00"/>
    <n v="-1019.33"/>
  </r>
  <r>
    <s v="100074898"/>
    <s v="SA"/>
    <s v="40545 PD0013-A"/>
    <x v="2"/>
    <s v="$75M Unamortized Loss Due 2022 (LT)"/>
    <s v="20191130"/>
    <x v="2"/>
    <d v="2019-11-30T00:00:00"/>
    <n v="-3125.47"/>
  </r>
  <r>
    <s v="100074899"/>
    <s v="SA"/>
    <s v="40542 PD0013-A"/>
    <x v="2"/>
    <s v="$75M Call Premium Due 2022 (LT)"/>
    <s v="20191130"/>
    <x v="2"/>
    <d v="2019-11-30T00:00:00"/>
    <n v="-4451.78"/>
  </r>
  <r>
    <s v="100074900"/>
    <s v="SA"/>
    <s v="40544 PD0013"/>
    <x v="2"/>
    <s v="$75M Bond Discount Due 2022 (LT)"/>
    <s v="20191130"/>
    <x v="2"/>
    <d v="2019-11-30T00:00:00"/>
    <n v="-10077.08"/>
  </r>
  <r>
    <s v="100074901"/>
    <s v="SA"/>
    <s v="40545 PD0900-A"/>
    <x v="2"/>
    <s v="$80M Unamortized Loss Due 2022 (LT)"/>
    <s v="20191130"/>
    <x v="11"/>
    <d v="2019-11-30T00:00:00"/>
    <n v="-5589.54"/>
  </r>
  <r>
    <s v="100074902"/>
    <s v="SA"/>
    <s v="40542 PD0900-A"/>
    <x v="2"/>
    <s v="$80M Call Premium Due 2022 (LT)"/>
    <s v="20191130"/>
    <x v="11"/>
    <d v="2019-11-30T00:00:00"/>
    <n v="-10099.59"/>
  </r>
  <r>
    <s v="100074903"/>
    <s v="SA"/>
    <s v="40545 PD0023-B"/>
    <x v="2"/>
    <s v="$20M Unamortized Loss Due 2022 (LT)"/>
    <s v="20191130"/>
    <x v="14"/>
    <d v="2019-11-30T00:00:00"/>
    <n v="-1407.23"/>
  </r>
  <r>
    <s v="100074904"/>
    <s v="SA"/>
    <s v="40542 PD0023"/>
    <x v="2"/>
    <s v="$20M Call Premium Due 2022 (LT)"/>
    <s v="20191130"/>
    <x v="14"/>
    <d v="2019-11-30T00:00:00"/>
    <n v="-2524.9"/>
  </r>
  <r>
    <s v="100074905"/>
    <s v="SA"/>
    <s v="40545 PD0900-B"/>
    <x v="2"/>
    <s v="$3.125M Unamortized Loss Due 2021 (LT)"/>
    <s v="20191130"/>
    <x v="11"/>
    <d v="2019-11-30T00:00:00"/>
    <n v="-193.73"/>
  </r>
  <r>
    <s v="100074906"/>
    <s v="SA"/>
    <s v="40542 PD0900-B"/>
    <x v="2"/>
    <s v="$3.125M Call Premium Due 2021 (LT)"/>
    <s v="20191130"/>
    <x v="11"/>
    <d v="2019-11-30T00:00:00"/>
    <n v="-274.12"/>
  </r>
  <r>
    <s v="100074907"/>
    <s v="SA"/>
    <s v="40545 PD0900-C"/>
    <x v="2"/>
    <s v="$21.875M Unamortized Loss Due 2021 (LT)"/>
    <s v="20191130"/>
    <x v="11"/>
    <d v="2019-11-30T00:00:00"/>
    <n v="-1347.95"/>
  </r>
  <r>
    <s v="100074908"/>
    <s v="SA"/>
    <s v="40542 PD0900-C"/>
    <x v="2"/>
    <s v="$21.875M Call Premium Due 2021 (LT)"/>
    <s v="20191130"/>
    <x v="11"/>
    <d v="2019-11-30T00:00:00"/>
    <n v="-1918.86"/>
  </r>
  <r>
    <s v="100074909"/>
    <s v="SA"/>
    <s v="40545 PD0013-B"/>
    <x v="2"/>
    <s v="$75M Unamortized Loss Due 2030 (LT)"/>
    <s v="20191130"/>
    <x v="2"/>
    <d v="2019-11-30T00:00:00"/>
    <n v="-1780.13"/>
  </r>
  <r>
    <s v="100074910"/>
    <s v="SA"/>
    <s v="40545 PD0014-A"/>
    <x v="2"/>
    <s v="$85.95M Unamortized Loss Due 2034 (LT)"/>
    <s v="20191130"/>
    <x v="5"/>
    <d v="2019-11-30T00:00:00"/>
    <n v="-2230.71"/>
  </r>
  <r>
    <s v="100074911"/>
    <s v="SA"/>
    <s v="40542 PD0014"/>
    <x v="2"/>
    <s v="$85.95M Call Premium Due 2034 (LT)"/>
    <s v="20191130"/>
    <x v="5"/>
    <d v="2019-11-30T00:00:00"/>
    <n v="-2490.34"/>
  </r>
  <r>
    <s v="100074912"/>
    <s v="SA"/>
    <s v="40542 PD0013-B"/>
    <x v="2"/>
    <s v="$75M Call Premium Due 2030 (LT)"/>
    <s v="20191130"/>
    <x v="2"/>
    <d v="2019-11-30T00:00:00"/>
    <n v="-5336.81"/>
  </r>
  <r>
    <s v="100074913"/>
    <s v="SA"/>
    <s v="40543 PD0011"/>
    <x v="2"/>
    <s v="$86.4M Bond Discount Due 2023 (LT)"/>
    <s v="20191130"/>
    <x v="8"/>
    <d v="2019-11-30T00:00:00"/>
    <n v="-4207.3500000000004"/>
  </r>
  <r>
    <s v="100081820"/>
    <s v="SA"/>
    <s v="40545 PD0011"/>
    <x v="2"/>
    <s v="$86.4M Unamortized Loss Due 2023 (LT)"/>
    <s v="20191231"/>
    <x v="8"/>
    <d v="2019-12-31T00:00:00"/>
    <n v="-3340.78"/>
  </r>
  <r>
    <s v="100081821"/>
    <s v="SA"/>
    <s v="40545 PD0012"/>
    <x v="2"/>
    <s v="$51.6M Unamortized Loss Due 2025 (LT)"/>
    <s v="20191231"/>
    <x v="13"/>
    <d v="2019-12-31T00:00:00"/>
    <n v="-1019.33"/>
  </r>
  <r>
    <s v="100081822"/>
    <s v="SA"/>
    <s v="40545 PD0013-A"/>
    <x v="2"/>
    <s v="$75M Unamortized Loss Due 2022 (LT)"/>
    <s v="20191231"/>
    <x v="2"/>
    <d v="2019-12-31T00:00:00"/>
    <n v="-3125.47"/>
  </r>
  <r>
    <s v="100081823"/>
    <s v="SA"/>
    <s v="40542 PD0013-A"/>
    <x v="2"/>
    <s v="$75M Call Premium Due 2022 (LT)"/>
    <s v="20191231"/>
    <x v="2"/>
    <d v="2019-12-31T00:00:00"/>
    <n v="-4451.78"/>
  </r>
  <r>
    <s v="100081824"/>
    <s v="SA"/>
    <s v="40544 PD0013"/>
    <x v="2"/>
    <s v="$75M Bond Discount Due 2022 (LT)"/>
    <s v="20191231"/>
    <x v="2"/>
    <d v="2019-12-31T00:00:00"/>
    <n v="-10077.08"/>
  </r>
  <r>
    <s v="100081825"/>
    <s v="SA"/>
    <s v="40545 PD0900-A"/>
    <x v="2"/>
    <s v="$80M Unamortized Loss Due 2022 (LT)"/>
    <s v="20191231"/>
    <x v="11"/>
    <d v="2019-12-31T00:00:00"/>
    <n v="-5589.54"/>
  </r>
  <r>
    <s v="100081826"/>
    <s v="SA"/>
    <s v="40542 PD0900-A"/>
    <x v="2"/>
    <s v="$80M Call Premium Due 2022 (LT)"/>
    <s v="20191231"/>
    <x v="11"/>
    <d v="2019-12-31T00:00:00"/>
    <n v="-10099.59"/>
  </r>
  <r>
    <s v="100081827"/>
    <s v="SA"/>
    <s v="40545 PD0023-B"/>
    <x v="2"/>
    <s v="$20M Unamortized Loss Due 2022 (LT)"/>
    <s v="20191231"/>
    <x v="14"/>
    <d v="2019-12-31T00:00:00"/>
    <n v="-1407.23"/>
  </r>
  <r>
    <s v="100081828"/>
    <s v="SA"/>
    <s v="40542 PD0023"/>
    <x v="2"/>
    <s v="$20M Call Premium Due 2022 (LT)"/>
    <s v="20191231"/>
    <x v="14"/>
    <d v="2019-12-31T00:00:00"/>
    <n v="-2524.9"/>
  </r>
  <r>
    <s v="100081829"/>
    <s v="SA"/>
    <s v="40545 PD0900-B"/>
    <x v="2"/>
    <s v="$3.125M Unamortized Loss Due 2021 (LT)"/>
    <s v="20191231"/>
    <x v="11"/>
    <d v="2019-12-31T00:00:00"/>
    <n v="-193.73"/>
  </r>
  <r>
    <s v="100081830"/>
    <s v="SA"/>
    <s v="40542 PD0900-B"/>
    <x v="2"/>
    <s v="$3.125M Call Premium Due 2021 (LT)"/>
    <s v="20191231"/>
    <x v="11"/>
    <d v="2019-12-31T00:00:00"/>
    <n v="-274.12"/>
  </r>
  <r>
    <s v="100081831"/>
    <s v="SA"/>
    <s v="40545 PD0900-C"/>
    <x v="2"/>
    <s v="$21.875M Unamortized Loss Due 2021 (LT)"/>
    <s v="20191231"/>
    <x v="11"/>
    <d v="2019-12-31T00:00:00"/>
    <n v="-1347.95"/>
  </r>
  <r>
    <s v="100081832"/>
    <s v="SA"/>
    <s v="40542 PD0900-C"/>
    <x v="2"/>
    <s v="$21.875M Call Premium Due 2021 (LT)"/>
    <s v="20191231"/>
    <x v="11"/>
    <d v="2019-12-31T00:00:00"/>
    <n v="-1918.86"/>
  </r>
  <r>
    <s v="100081833"/>
    <s v="SA"/>
    <s v="40545 PD0013-B"/>
    <x v="2"/>
    <s v="$75M Unamortized Loss Due 2030 (LT)"/>
    <s v="20191231"/>
    <x v="2"/>
    <d v="2019-12-31T00:00:00"/>
    <n v="-1780.13"/>
  </r>
  <r>
    <s v="100081834"/>
    <s v="SA"/>
    <s v="40545 PD0014-A"/>
    <x v="2"/>
    <s v="$85.95M Unamortized Loss Due 2034 (LT)"/>
    <s v="20191231"/>
    <x v="5"/>
    <d v="2019-12-31T00:00:00"/>
    <n v="-2230.71"/>
  </r>
  <r>
    <s v="100081835"/>
    <s v="SA"/>
    <s v="40542 PD0014"/>
    <x v="2"/>
    <s v="$85.95M Call Premium Due 2034 (LT)"/>
    <s v="20191231"/>
    <x v="5"/>
    <d v="2019-12-31T00:00:00"/>
    <n v="-2490.34"/>
  </r>
  <r>
    <s v="100081836"/>
    <s v="SA"/>
    <s v="40542 PD0013-B"/>
    <x v="2"/>
    <s v="$75M Call Premium Due 2030 (LT)"/>
    <s v="20191231"/>
    <x v="2"/>
    <d v="2019-12-31T00:00:00"/>
    <n v="-5336.81"/>
  </r>
  <r>
    <s v="100081837"/>
    <s v="SA"/>
    <s v="40543 PD0011"/>
    <x v="2"/>
    <s v="$86.4M Bond Discount Due 2023 (LT)"/>
    <s v="20191231"/>
    <x v="8"/>
    <d v="2019-12-31T00:00:00"/>
    <n v="-4207.3500000000004"/>
  </r>
  <r>
    <s v="9500000000"/>
    <s v="YZ"/>
    <s v="DEC 31 2010"/>
    <x v="2"/>
    <s v="18243 TEC GL CONV YE 2010"/>
    <s v="DEF INT 2011 BONDS"/>
    <x v="11"/>
    <d v="2010-12-31T00:00:00"/>
    <n v="32715.75"/>
  </r>
  <r>
    <s v="9500000001"/>
    <s v="YZ"/>
    <s v="DEC 31 2010"/>
    <x v="2"/>
    <s v="18243 TEC GL CONV YE 2010"/>
    <s v="DEF INT 2011 BONDS"/>
    <x v="11"/>
    <d v="2010-12-31T00:00:00"/>
    <n v="32715.75"/>
  </r>
  <r>
    <s v="9500000002"/>
    <s v="YZ"/>
    <s v="DEC 31 2010"/>
    <x v="2"/>
    <s v="18243 TEC GL CONV YE 2010"/>
    <s v="DEF INT 2011 BONDS"/>
    <x v="11"/>
    <d v="2010-12-31T00:00:00"/>
    <n v="-32715.75"/>
  </r>
  <r>
    <s v="9500000006"/>
    <s v="YZ"/>
    <s v="201101"/>
    <x v="2"/>
    <s v="18243 TEC CONVERSION ACCOUNT SUMMARY"/>
    <s v="DEF INT 2011 BONDS"/>
    <x v="11"/>
    <d v="2011-01-31T00:00:00"/>
    <n v="-4669.07"/>
  </r>
  <r>
    <s v="9500000010"/>
    <s v="YZ"/>
    <s v="201102"/>
    <x v="2"/>
    <s v="18243 TEC CONVERSION ACCOUNT SUMMARY"/>
    <s v="DEF INT 2011 BONDS"/>
    <x v="11"/>
    <d v="2011-02-28T00:00:00"/>
    <n v="-4669.07"/>
  </r>
  <r>
    <s v="9500000015"/>
    <s v="YZ"/>
    <s v="201103"/>
    <x v="2"/>
    <s v="18243 TEC CONVERSION ACCOUNT SUMMARY"/>
    <s v="DEF INT 2011 BONDS"/>
    <x v="11"/>
    <d v="2011-03-31T00:00:00"/>
    <n v="-4669.07"/>
  </r>
  <r>
    <s v="9500000020"/>
    <s v="YZ"/>
    <s v="201104"/>
    <x v="2"/>
    <s v="18243 TEC CONVERSION ACCOUNT SUMMARY"/>
    <s v="DEF INT 2011 BONDS"/>
    <x v="11"/>
    <d v="2011-04-30T00:00:00"/>
    <n v="-4669.07"/>
  </r>
  <r>
    <s v="9500000025"/>
    <s v="YZ"/>
    <s v="201105"/>
    <x v="2"/>
    <s v="18243 TEC CONVERSION ACCOUNT SUMMARY"/>
    <s v="DEF INT 2011 BONDS"/>
    <x v="11"/>
    <d v="2011-05-31T00:00:00"/>
    <n v="-4669.07"/>
  </r>
  <r>
    <s v="9500000030"/>
    <s v="YZ"/>
    <s v="201106"/>
    <x v="2"/>
    <s v="18243 TEC CONVERSION ACCOUNT SUMMARY"/>
    <s v="DEF INT 2011 BONDS"/>
    <x v="11"/>
    <d v="2011-06-30T00:00:00"/>
    <n v="-4669.07"/>
  </r>
  <r>
    <s v="9500000035"/>
    <s v="YZ"/>
    <s v="201107"/>
    <x v="2"/>
    <s v="18243 TEC CONVERSION ACCOUNT SUMMARY"/>
    <s v="DEF INT 2011 BONDS"/>
    <x v="11"/>
    <d v="2011-07-31T00:00:00"/>
    <n v="-4701.33"/>
  </r>
  <r>
    <s v="9500000000"/>
    <s v="YZ"/>
    <s v="DEC 31 2010"/>
    <x v="2"/>
    <s v="18241 TEC GL CONV YE 2010"/>
    <s v="DEF INT 2011-14 BD"/>
    <x v="5"/>
    <d v="2010-12-31T00:00:00"/>
    <n v="681424"/>
  </r>
  <r>
    <s v="9500000001"/>
    <s v="YZ"/>
    <s v="DEC 31 2010"/>
    <x v="2"/>
    <s v="18241 TEC GL CONV YE 2010"/>
    <s v="DEF INT 2011-14 BD"/>
    <x v="5"/>
    <d v="2010-12-31T00:00:00"/>
    <n v="681424"/>
  </r>
  <r>
    <s v="9500000002"/>
    <s v="YZ"/>
    <s v="DEC 31 2010"/>
    <x v="2"/>
    <s v="18241 TEC GL CONV YE 2010"/>
    <s v="DEF INT 2011-14 BD"/>
    <x v="5"/>
    <d v="2010-12-31T00:00:00"/>
    <n v="-681424"/>
  </r>
  <r>
    <s v="9500000006"/>
    <s v="YZ"/>
    <s v="201101"/>
    <x v="2"/>
    <s v="18241 TEC CONVERSION ACCOUNT SUMMARY"/>
    <s v="DEF INT 2011-14 BD"/>
    <x v="5"/>
    <d v="2011-01-31T00:00:00"/>
    <n v="-19372"/>
  </r>
  <r>
    <s v="9500000010"/>
    <s v="YZ"/>
    <s v="201102"/>
    <x v="2"/>
    <s v="18241 TEC CONVERSION ACCOUNT SUMMARY"/>
    <s v="DEF INT 2011-14 BD"/>
    <x v="5"/>
    <d v="2011-02-28T00:00:00"/>
    <n v="-18392"/>
  </r>
  <r>
    <s v="9500000015"/>
    <s v="YZ"/>
    <s v="201103"/>
    <x v="2"/>
    <s v="18241 TEC CONVERSION ACCOUNT SUMMARY"/>
    <s v="DEF INT 2011-14 BD"/>
    <x v="5"/>
    <d v="2011-03-31T00:00:00"/>
    <n v="-18392"/>
  </r>
  <r>
    <s v="9500000020"/>
    <s v="YZ"/>
    <s v="201104"/>
    <x v="2"/>
    <s v="18241 TEC CONVERSION ACCOUNT SUMMARY"/>
    <s v="DEF INT 2011-14 BD"/>
    <x v="5"/>
    <d v="2011-04-30T00:00:00"/>
    <n v="-18392"/>
  </r>
  <r>
    <s v="9500000025"/>
    <s v="YZ"/>
    <s v="201105"/>
    <x v="2"/>
    <s v="18241 TEC CONVERSION ACCOUNT SUMMARY"/>
    <s v="DEF INT 2011-14 BD"/>
    <x v="5"/>
    <d v="2011-05-31T00:00:00"/>
    <n v="-18392"/>
  </r>
  <r>
    <s v="9500000030"/>
    <s v="YZ"/>
    <s v="201106"/>
    <x v="2"/>
    <s v="18241 TEC CONVERSION ACCOUNT SUMMARY"/>
    <s v="DEF INT 2011-14 BD"/>
    <x v="5"/>
    <d v="2011-06-30T00:00:00"/>
    <n v="-18392"/>
  </r>
  <r>
    <s v="9500000035"/>
    <s v="YZ"/>
    <s v="201107"/>
    <x v="2"/>
    <s v="18241 TEC CONVERSION ACCOUNT SUMMARY"/>
    <s v="DEF INT 2011-14 BD"/>
    <x v="5"/>
    <d v="2011-07-31T00:00:00"/>
    <n v="-18392"/>
  </r>
  <r>
    <s v="9500000040"/>
    <s v="YZ"/>
    <s v="201108"/>
    <x v="2"/>
    <s v="18241 TEC CONVERSION ACCOUNT SUMMARY"/>
    <s v="DEF INT 2011-14 BD"/>
    <x v="5"/>
    <d v="2011-08-31T00:00:00"/>
    <n v="-18392"/>
  </r>
  <r>
    <s v="9500000045"/>
    <s v="YZ"/>
    <s v="201109"/>
    <x v="2"/>
    <s v="18241 TEC CONVERSION ACCOUNT SUMMARY"/>
    <s v="DEF INT 2011-14 BD"/>
    <x v="5"/>
    <d v="2011-09-30T00:00:00"/>
    <n v="-18392"/>
  </r>
  <r>
    <s v="9500000050"/>
    <s v="YZ"/>
    <s v="201110"/>
    <x v="2"/>
    <s v="18241 TEC CONVERSION ACCOUNT SUMMARY"/>
    <s v="DEF INT 2011-14 BD"/>
    <x v="5"/>
    <d v="2011-10-31T00:00:00"/>
    <n v="-18392"/>
  </r>
  <r>
    <s v="9500000055"/>
    <s v="YZ"/>
    <s v="201111"/>
    <x v="2"/>
    <s v="18241 TEC CONVERSION ACCOUNT SUMMARY"/>
    <s v="DEF INT 2011-14 BD"/>
    <x v="5"/>
    <d v="2011-11-30T00:00:00"/>
    <n v="-18392"/>
  </r>
  <r>
    <s v="9500000060"/>
    <s v="YZ"/>
    <s v="201112"/>
    <x v="2"/>
    <s v="18241 TEC CONVERSION ACCOUNT SUMMARY"/>
    <s v="DEF INT 2011-14 BD"/>
    <x v="5"/>
    <d v="2011-12-31T00:00:00"/>
    <n v="-18392"/>
  </r>
  <r>
    <s v="9500000101"/>
    <s v="YZ"/>
    <s v="201201"/>
    <x v="2"/>
    <s v="18241 TEC CONVERSION ACCOUNT SUMMARY"/>
    <s v="DEF INT 2011-14 BD"/>
    <x v="5"/>
    <d v="2012-01-31T00:00:00"/>
    <n v="-18392"/>
  </r>
  <r>
    <s v="9500000105"/>
    <s v="YZ"/>
    <s v="201202"/>
    <x v="2"/>
    <s v="18241 TEC CONVERSION ACCOUNT SUMMARY"/>
    <s v="DEF INT 2011-14 BD"/>
    <x v="5"/>
    <d v="2012-02-29T00:00:00"/>
    <n v="-18392"/>
  </r>
  <r>
    <s v="9500000109"/>
    <s v="YZ"/>
    <s v="201203"/>
    <x v="2"/>
    <s v="18241 TEC CONVERSION ACCOUNT SUMMARY"/>
    <s v="DEF INT 2011-14 BD"/>
    <x v="5"/>
    <d v="2012-03-31T00:00:00"/>
    <n v="-18392"/>
  </r>
  <r>
    <s v="9500000114"/>
    <s v="YZ"/>
    <s v="201204"/>
    <x v="2"/>
    <s v="18241 TEC CONVERSION ACCOUNT SUMMARY"/>
    <s v="DEF INT 2011-14 BD"/>
    <x v="5"/>
    <d v="2012-04-30T00:00:00"/>
    <n v="-18392"/>
  </r>
  <r>
    <s v="9500000131"/>
    <s v="YZ"/>
    <s v="201205"/>
    <x v="2"/>
    <s v="18241 TEC CONVERSION ACCOUNT SUMMARY"/>
    <s v="DEF INT 2011-14 BD"/>
    <x v="5"/>
    <d v="2012-05-31T00:00:00"/>
    <n v="-18392"/>
  </r>
  <r>
    <s v="9500000139"/>
    <s v="YZ"/>
    <s v="201206"/>
    <x v="2"/>
    <s v="18241 TEC CONVERSION ACCOUNT SUMMARY"/>
    <s v="DEF INT 2011-14 BD"/>
    <x v="5"/>
    <d v="2012-06-30T00:00:00"/>
    <n v="-18392"/>
  </r>
  <r>
    <s v="9500000147"/>
    <s v="YZ"/>
    <s v="201206"/>
    <x v="2"/>
    <s v="18241 TEC CONVERSION ACCOUNT SUMMARY"/>
    <s v="DEF INT 2011-14 BD"/>
    <x v="5"/>
    <d v="2012-06-30T00:00:00"/>
    <n v="18392"/>
  </r>
  <r>
    <s v="9500000155"/>
    <s v="YZ"/>
    <s v="201206"/>
    <x v="2"/>
    <s v="18241 TEC CONVERSION ACCOUNT SUMMARY"/>
    <s v="DEF INT 2011-14 BD"/>
    <x v="5"/>
    <d v="2012-06-30T00:00:00"/>
    <n v="-18392"/>
  </r>
  <r>
    <s v="9500000000"/>
    <s v="YZ"/>
    <s v="DEC 31 2010"/>
    <x v="2"/>
    <s v="18244 TEC GL CONV YE 2010"/>
    <s v="DEF INT 2012 BONDS"/>
    <x v="11"/>
    <d v="2010-12-31T00:00:00"/>
    <n v="448544.45"/>
  </r>
  <r>
    <s v="9500000001"/>
    <s v="YZ"/>
    <s v="DEC 31 2010"/>
    <x v="2"/>
    <s v="18244 TEC GL CONV YE 2010"/>
    <s v="DEF INT 2012 BONDS"/>
    <x v="11"/>
    <d v="2010-12-31T00:00:00"/>
    <n v="448544.45"/>
  </r>
  <r>
    <s v="9500000002"/>
    <s v="YZ"/>
    <s v="DEC 31 2010"/>
    <x v="2"/>
    <s v="18244 TEC GL CONV YE 2010"/>
    <s v="DEF INT 2012 BONDS"/>
    <x v="11"/>
    <d v="2010-12-31T00:00:00"/>
    <n v="-448544.45"/>
  </r>
  <r>
    <s v="9500000006"/>
    <s v="YZ"/>
    <s v="201101"/>
    <x v="2"/>
    <s v="18244 TEC CONVERSION ACCOUNT SUMMARY"/>
    <s v="DEF INT 2012 BONDS"/>
    <x v="11"/>
    <d v="2011-01-31T00:00:00"/>
    <n v="-29021.919999999998"/>
  </r>
  <r>
    <s v="9500000010"/>
    <s v="YZ"/>
    <s v="201102"/>
    <x v="2"/>
    <s v="18244 TEC CONVERSION ACCOUNT SUMMARY"/>
    <s v="DEF INT 2012 BONDS"/>
    <x v="11"/>
    <d v="2011-02-28T00:00:00"/>
    <n v="-29021.919999999998"/>
  </r>
  <r>
    <s v="9500000015"/>
    <s v="YZ"/>
    <s v="201103"/>
    <x v="2"/>
    <s v="18244 TEC CONVERSION ACCOUNT SUMMARY"/>
    <s v="DEF INT 2012 BONDS"/>
    <x v="11"/>
    <d v="2011-03-31T00:00:00"/>
    <n v="-29021.919999999998"/>
  </r>
  <r>
    <s v="9500000020"/>
    <s v="YZ"/>
    <s v="201104"/>
    <x v="2"/>
    <s v="18244 TEC CONVERSION ACCOUNT SUMMARY"/>
    <s v="DEF INT 2012 BONDS"/>
    <x v="11"/>
    <d v="2011-04-30T00:00:00"/>
    <n v="-29021.919999999998"/>
  </r>
  <r>
    <s v="9500000025"/>
    <s v="YZ"/>
    <s v="201105"/>
    <x v="2"/>
    <s v="18244 TEC CONVERSION ACCOUNT SUMMARY"/>
    <s v="DEF INT 2012 BONDS"/>
    <x v="11"/>
    <d v="2011-05-31T00:00:00"/>
    <n v="-27704.81"/>
  </r>
  <r>
    <s v="9500000030"/>
    <s v="YZ"/>
    <s v="201106"/>
    <x v="2"/>
    <s v="18244 TEC CONVERSION ACCOUNT SUMMARY"/>
    <s v="DEF INT 2012 BONDS"/>
    <x v="11"/>
    <d v="2011-06-30T00:00:00"/>
    <n v="-27704.81"/>
  </r>
  <r>
    <s v="9500000035"/>
    <s v="YZ"/>
    <s v="201107"/>
    <x v="2"/>
    <s v="18244 TEC CONVERSION ACCOUNT SUMMARY"/>
    <s v="DEF INT 2012 BONDS"/>
    <x v="11"/>
    <d v="2011-07-31T00:00:00"/>
    <n v="-27704.81"/>
  </r>
  <r>
    <s v="9500000040"/>
    <s v="YZ"/>
    <s v="201108"/>
    <x v="2"/>
    <s v="18244 TEC CONVERSION ACCOUNT SUMMARY"/>
    <s v="DEF INT 2012 BONDS"/>
    <x v="11"/>
    <d v="2011-08-31T00:00:00"/>
    <n v="-27704.81"/>
  </r>
  <r>
    <s v="9500000045"/>
    <s v="YZ"/>
    <s v="201109"/>
    <x v="2"/>
    <s v="18244 TEC CONVERSION ACCOUNT SUMMARY"/>
    <s v="DEF INT 2012 BONDS"/>
    <x v="11"/>
    <d v="2011-09-30T00:00:00"/>
    <n v="-27704.81"/>
  </r>
  <r>
    <s v="9500000050"/>
    <s v="YZ"/>
    <s v="201110"/>
    <x v="2"/>
    <s v="18244 TEC CONVERSION ACCOUNT SUMMARY"/>
    <s v="DEF INT 2012 BONDS"/>
    <x v="11"/>
    <d v="2011-10-31T00:00:00"/>
    <n v="-27704.81"/>
  </r>
  <r>
    <s v="9500000055"/>
    <s v="YZ"/>
    <s v="201111"/>
    <x v="2"/>
    <s v="18244 TEC CONVERSION ACCOUNT SUMMARY"/>
    <s v="DEF INT 2012 BONDS"/>
    <x v="11"/>
    <d v="2011-11-30T00:00:00"/>
    <n v="-27704.81"/>
  </r>
  <r>
    <s v="9500000060"/>
    <s v="YZ"/>
    <s v="201112"/>
    <x v="2"/>
    <s v="18244 TEC CONVERSION ACCOUNT SUMMARY"/>
    <s v="DEF INT 2012 BONDS"/>
    <x v="11"/>
    <d v="2011-12-31T00:00:00"/>
    <n v="-27704.81"/>
  </r>
  <r>
    <s v="9500000101"/>
    <s v="YZ"/>
    <s v="201201"/>
    <x v="2"/>
    <s v="18244 TEC CONVERSION ACCOUNT SUMMARY"/>
    <s v="DEF INT 2012 BONDS"/>
    <x v="11"/>
    <d v="2012-01-31T00:00:00"/>
    <n v="-27704.81"/>
  </r>
  <r>
    <s v="9500000105"/>
    <s v="YZ"/>
    <s v="201202"/>
    <x v="2"/>
    <s v="18244 TEC CONVERSION ACCOUNT SUMMARY"/>
    <s v="DEF INT 2012 BONDS"/>
    <x v="11"/>
    <d v="2012-02-29T00:00:00"/>
    <n v="-27704.81"/>
  </r>
  <r>
    <s v="9500000109"/>
    <s v="YZ"/>
    <s v="201203"/>
    <x v="2"/>
    <s v="18244 TEC CONVERSION ACCOUNT SUMMARY"/>
    <s v="DEF INT 2012 BONDS"/>
    <x v="11"/>
    <d v="2012-03-31T00:00:00"/>
    <n v="-27704.81"/>
  </r>
  <r>
    <s v="9500000114"/>
    <s v="YZ"/>
    <s v="201204"/>
    <x v="2"/>
    <s v="18244 TEC CONVERSION ACCOUNT SUMMARY"/>
    <s v="DEF INT 2012 BONDS"/>
    <x v="11"/>
    <d v="2012-04-30T00:00:00"/>
    <n v="-27703.86"/>
  </r>
  <r>
    <s v="9500000000"/>
    <s v="YZ"/>
    <s v="DEC 31 2010"/>
    <x v="2"/>
    <s v="18278 TEC GL CONV YE 2010"/>
    <s v="LT DEF BOND RF CST"/>
    <x v="11"/>
    <d v="2010-12-31T00:00:00"/>
    <n v="10817379.369999999"/>
  </r>
  <r>
    <s v="9500000000"/>
    <s v="YZ"/>
    <s v="DEC 31 2010"/>
    <x v="2"/>
    <s v="18279 TEC GL CONV YE 2010"/>
    <s v="LT DEF BOND RF CST"/>
    <x v="11"/>
    <d v="2010-12-31T00:00:00"/>
    <n v="-10817379.369999999"/>
  </r>
  <r>
    <s v="9500000001"/>
    <s v="YZ"/>
    <s v="DEC 31 2010"/>
    <x v="2"/>
    <s v="18278 TEC GL CONV YE 2010"/>
    <s v="LT DEF BOND RF CST"/>
    <x v="11"/>
    <d v="2010-12-31T00:00:00"/>
    <n v="10817379.369999999"/>
  </r>
  <r>
    <s v="9500000001"/>
    <s v="YZ"/>
    <s v="DEC 31 2010"/>
    <x v="2"/>
    <s v="18279 TEC GL CONV YE 2010"/>
    <s v="LT DEF BOND RF CST"/>
    <x v="11"/>
    <d v="2010-12-31T00:00:00"/>
    <n v="-10817379.369999999"/>
  </r>
  <r>
    <s v="9500000002"/>
    <s v="YZ"/>
    <s v="DEC 31 2010"/>
    <x v="2"/>
    <s v="18278 TEC GL CONV YE 2010"/>
    <s v="LT DEF BOND RF CST"/>
    <x v="11"/>
    <d v="2010-12-31T00:00:00"/>
    <n v="-10817379.369999999"/>
  </r>
  <r>
    <s v="9500000002"/>
    <s v="YZ"/>
    <s v="DEC 31 2010"/>
    <x v="2"/>
    <s v="18279 TEC GL CONV YE 2010"/>
    <s v="LT DEF BOND RF CST"/>
    <x v="11"/>
    <d v="2010-12-31T00:00:00"/>
    <n v="10817379.369999999"/>
  </r>
  <r>
    <s v="9500000006"/>
    <s v="YZ"/>
    <s v="201101"/>
    <x v="2"/>
    <s v="18278 TEC CONVERSION ACCOUNT SUMMARY"/>
    <s v="LT DEF BOND RF CST"/>
    <x v="11"/>
    <d v="2011-01-31T00:00:00"/>
    <n v="-310476.33"/>
  </r>
  <r>
    <s v="9500000006"/>
    <s v="YZ"/>
    <s v="201101"/>
    <x v="2"/>
    <s v="18279 TEC CONVERSION ACCOUNT SUMMARY"/>
    <s v="LT DEF BOND RF CST"/>
    <x v="11"/>
    <d v="2011-01-31T00:00:00"/>
    <n v="310476.33"/>
  </r>
  <r>
    <s v="9500000010"/>
    <s v="YZ"/>
    <s v="201102"/>
    <x v="2"/>
    <s v="18278 TEC CONVERSION ACCOUNT SUMMARY"/>
    <s v="LT DEF BOND RF CST"/>
    <x v="11"/>
    <d v="2011-02-28T00:00:00"/>
    <n v="-310476.33"/>
  </r>
  <r>
    <s v="9500000010"/>
    <s v="YZ"/>
    <s v="201102"/>
    <x v="2"/>
    <s v="18279 TEC CONVERSION ACCOUNT SUMMARY"/>
    <s v="LT DEF BOND RF CST"/>
    <x v="11"/>
    <d v="2011-02-28T00:00:00"/>
    <n v="310476.33"/>
  </r>
  <r>
    <s v="9500000015"/>
    <s v="YZ"/>
    <s v="201103"/>
    <x v="2"/>
    <s v="18278 TEC CONVERSION ACCOUNT SUMMARY"/>
    <s v="LT DEF BOND RF CST"/>
    <x v="11"/>
    <d v="2011-03-31T00:00:00"/>
    <n v="-310476.33"/>
  </r>
  <r>
    <s v="9500000015"/>
    <s v="YZ"/>
    <s v="201103"/>
    <x v="2"/>
    <s v="18279 TEC CONVERSION ACCOUNT SUMMARY"/>
    <s v="LT DEF BOND RF CST"/>
    <x v="11"/>
    <d v="2011-03-31T00:00:00"/>
    <n v="310476.33"/>
  </r>
  <r>
    <s v="9500000020"/>
    <s v="YZ"/>
    <s v="201104"/>
    <x v="2"/>
    <s v="18278 TEC CONVERSION ACCOUNT SUMMARY"/>
    <s v="LT DEF BOND RF CST"/>
    <x v="11"/>
    <d v="2011-04-30T00:00:00"/>
    <n v="-310488.09000000003"/>
  </r>
  <r>
    <s v="9500000020"/>
    <s v="YZ"/>
    <s v="201104"/>
    <x v="2"/>
    <s v="18279 TEC CONVERSION ACCOUNT SUMMARY"/>
    <s v="LT DEF BOND RF CST"/>
    <x v="11"/>
    <d v="2011-04-30T00:00:00"/>
    <n v="310488.09000000003"/>
  </r>
  <r>
    <s v="9500000025"/>
    <s v="YZ"/>
    <s v="201105"/>
    <x v="2"/>
    <s v="18278 TEC CONVERSION ACCOUNT SUMMARY"/>
    <s v="LT DEF BOND RF CST"/>
    <x v="11"/>
    <d v="2011-05-31T00:00:00"/>
    <n v="-271572.65000000002"/>
  </r>
  <r>
    <s v="9500000025"/>
    <s v="YZ"/>
    <s v="201105"/>
    <x v="2"/>
    <s v="18279 TEC CONVERSION ACCOUNT SUMMARY"/>
    <s v="LT DEF BOND RF CST"/>
    <x v="11"/>
    <d v="2011-05-31T00:00:00"/>
    <n v="271572.65000000002"/>
  </r>
  <r>
    <s v="9500000030"/>
    <s v="YZ"/>
    <s v="201106"/>
    <x v="2"/>
    <s v="18278 TEC CONVERSION ACCOUNT SUMMARY"/>
    <s v="LT DEF BOND RF CST"/>
    <x v="11"/>
    <d v="2011-06-30T00:00:00"/>
    <n v="-270372.88"/>
  </r>
  <r>
    <s v="9500000030"/>
    <s v="YZ"/>
    <s v="201106"/>
    <x v="2"/>
    <s v="18279 TEC CONVERSION ACCOUNT SUMMARY"/>
    <s v="LT DEF BOND RF CST"/>
    <x v="11"/>
    <d v="2011-06-30T00:00:00"/>
    <n v="270372.88"/>
  </r>
  <r>
    <s v="9500000035"/>
    <s v="YZ"/>
    <s v="201107"/>
    <x v="2"/>
    <s v="18278 TEC CONVERSION ACCOUNT SUMMARY"/>
    <s v="LT DEF BOND RF CST"/>
    <x v="11"/>
    <d v="2011-07-31T00:00:00"/>
    <n v="-265575.02"/>
  </r>
  <r>
    <s v="9500000035"/>
    <s v="YZ"/>
    <s v="201107"/>
    <x v="2"/>
    <s v="18279 TEC CONVERSION ACCOUNT SUMMARY"/>
    <s v="LT DEF BOND RF CST"/>
    <x v="11"/>
    <d v="2011-07-31T00:00:00"/>
    <n v="265575.02"/>
  </r>
  <r>
    <s v="9500000040"/>
    <s v="YZ"/>
    <s v="201108"/>
    <x v="2"/>
    <s v="18278 TEC CONVERSION ACCOUNT SUMMARY"/>
    <s v="LT DEF BOND RF CST"/>
    <x v="11"/>
    <d v="2011-08-31T00:00:00"/>
    <n v="-172975.03"/>
  </r>
  <r>
    <s v="9500000040"/>
    <s v="YZ"/>
    <s v="201108"/>
    <x v="2"/>
    <s v="18279 TEC CONVERSION ACCOUNT SUMMARY"/>
    <s v="LT DEF BOND RF CST"/>
    <x v="11"/>
    <d v="2011-08-31T00:00:00"/>
    <n v="172975.03"/>
  </r>
  <r>
    <s v="9500000045"/>
    <s v="YZ"/>
    <s v="201109"/>
    <x v="2"/>
    <s v="18278 TEC CONVERSION ACCOUNT SUMMARY"/>
    <s v="LT DEF BOND RF CST"/>
    <x v="11"/>
    <d v="2011-09-30T00:00:00"/>
    <n v="-91983.57"/>
  </r>
  <r>
    <s v="9500000045"/>
    <s v="YZ"/>
    <s v="201109"/>
    <x v="2"/>
    <s v="18279 TEC CONVERSION ACCOUNT SUMMARY"/>
    <s v="LT DEF BOND RF CST"/>
    <x v="11"/>
    <d v="2011-09-30T00:00:00"/>
    <n v="91983.57"/>
  </r>
  <r>
    <s v="9500000050"/>
    <s v="YZ"/>
    <s v="201110"/>
    <x v="2"/>
    <s v="18278 TEC CONVERSION ACCOUNT SUMMARY"/>
    <s v="LT DEF BOND RF CST"/>
    <x v="11"/>
    <d v="2011-10-31T00:00:00"/>
    <n v="-91983.57"/>
  </r>
  <r>
    <s v="9500000050"/>
    <s v="YZ"/>
    <s v="201110"/>
    <x v="2"/>
    <s v="18279 TEC CONVERSION ACCOUNT SUMMARY"/>
    <s v="LT DEF BOND RF CST"/>
    <x v="11"/>
    <d v="2011-10-31T00:00:00"/>
    <n v="91983.57"/>
  </r>
  <r>
    <s v="9500000055"/>
    <s v="YZ"/>
    <s v="201111"/>
    <x v="2"/>
    <s v="18278 TEC CONVERSION ACCOUNT SUMMARY"/>
    <s v="LT DEF BOND RF CST"/>
    <x v="11"/>
    <d v="2011-11-30T00:00:00"/>
    <n v="-91983.57"/>
  </r>
  <r>
    <s v="9500000055"/>
    <s v="YZ"/>
    <s v="201111"/>
    <x v="2"/>
    <s v="18279 TEC CONVERSION ACCOUNT SUMMARY"/>
    <s v="LT DEF BOND RF CST"/>
    <x v="11"/>
    <d v="2011-11-30T00:00:00"/>
    <n v="91983.57"/>
  </r>
  <r>
    <s v="9500000060"/>
    <s v="YZ"/>
    <s v="201112"/>
    <x v="2"/>
    <s v="18278 TEC CONVERSION ACCOUNT SUMMARY"/>
    <s v="LT DEF BOND RF CST"/>
    <x v="11"/>
    <d v="2011-12-31T00:00:00"/>
    <n v="-91983.57"/>
  </r>
  <r>
    <s v="9500000060"/>
    <s v="YZ"/>
    <s v="201112"/>
    <x v="2"/>
    <s v="18279 TEC CONVERSION ACCOUNT SUMMARY"/>
    <s v="LT DEF BOND RF CST"/>
    <x v="11"/>
    <d v="2011-12-31T00:00:00"/>
    <n v="91983.57"/>
  </r>
  <r>
    <s v="9500000101"/>
    <s v="YZ"/>
    <s v="201201"/>
    <x v="2"/>
    <s v="18278 TEC CONVERSION ACCOUNT SUMMARY"/>
    <s v="LT DEF BOND RF CST"/>
    <x v="11"/>
    <d v="2012-01-31T00:00:00"/>
    <n v="-91983.57"/>
  </r>
  <r>
    <s v="9500000101"/>
    <s v="YZ"/>
    <s v="201201"/>
    <x v="2"/>
    <s v="18279 TEC CONVERSION ACCOUNT SUMMARY"/>
    <s v="LT DEF BOND RF CST"/>
    <x v="11"/>
    <d v="2012-01-31T00:00:00"/>
    <n v="91983.57"/>
  </r>
  <r>
    <s v="9500000105"/>
    <s v="YZ"/>
    <s v="201202"/>
    <x v="2"/>
    <s v="18278 TEC CONVERSION ACCOUNT SUMMARY"/>
    <s v="LT DEF BOND RF CST"/>
    <x v="11"/>
    <d v="2012-02-29T00:00:00"/>
    <n v="-91983.57"/>
  </r>
  <r>
    <s v="9500000105"/>
    <s v="YZ"/>
    <s v="201202"/>
    <x v="2"/>
    <s v="18279 TEC CONVERSION ACCOUNT SUMMARY"/>
    <s v="LT DEF BOND RF CST"/>
    <x v="11"/>
    <d v="2012-02-29T00:00:00"/>
    <n v="91983.57"/>
  </r>
  <r>
    <s v="9500000109"/>
    <s v="YZ"/>
    <s v="201203"/>
    <x v="2"/>
    <s v="18278 TEC CONVERSION ACCOUNT SUMMARY"/>
    <s v="LT DEF BOND RF CST"/>
    <x v="11"/>
    <d v="2012-03-31T00:00:00"/>
    <n v="-91983.57"/>
  </r>
  <r>
    <s v="9500000109"/>
    <s v="YZ"/>
    <s v="201203"/>
    <x v="2"/>
    <s v="18279 TEC CONVERSION ACCOUNT SUMMARY"/>
    <s v="LT DEF BOND RF CST"/>
    <x v="11"/>
    <d v="2012-03-31T00:00:00"/>
    <n v="91983.57"/>
  </r>
  <r>
    <s v="9500000114"/>
    <s v="YZ"/>
    <s v="201204"/>
    <x v="2"/>
    <s v="18278 TEC CONVERSION ACCOUNT SUMMARY"/>
    <s v="LT DEF BOND RF CST"/>
    <x v="11"/>
    <d v="2012-04-30T00:00:00"/>
    <n v="-91983.57"/>
  </r>
  <r>
    <s v="9500000114"/>
    <s v="YZ"/>
    <s v="201204"/>
    <x v="2"/>
    <s v="18279 TEC CONVERSION ACCOUNT SUMMARY"/>
    <s v="LT DEF BOND RF CST"/>
    <x v="11"/>
    <d v="2012-04-30T00:00:00"/>
    <n v="91983.57"/>
  </r>
  <r>
    <s v="9500000131"/>
    <s v="YZ"/>
    <s v="201205"/>
    <x v="2"/>
    <s v="18278 TEC CONVERSION ACCOUNT SUMMARY"/>
    <s v="LT DEF BOND RF CST"/>
    <x v="11"/>
    <d v="2012-05-31T00:00:00"/>
    <n v="-91983.57"/>
  </r>
  <r>
    <s v="9500000131"/>
    <s v="YZ"/>
    <s v="201205"/>
    <x v="2"/>
    <s v="18279 TEC CONVERSION ACCOUNT SUMMARY"/>
    <s v="LT DEF BOND RF CST"/>
    <x v="11"/>
    <d v="2012-05-31T00:00:00"/>
    <n v="91983.57"/>
  </r>
  <r>
    <s v="9500000139"/>
    <s v="YZ"/>
    <s v="201206"/>
    <x v="2"/>
    <s v="18278 TEC CONVERSION ACCOUNT SUMMARY"/>
    <s v="LT DEF BOND RF CST"/>
    <x v="11"/>
    <d v="2012-06-30T00:00:00"/>
    <n v="-91983.57"/>
  </r>
  <r>
    <s v="9500000139"/>
    <s v="YZ"/>
    <s v="201206"/>
    <x v="2"/>
    <s v="18279 TEC CONVERSION ACCOUNT SUMMARY"/>
    <s v="LT DEF BOND RF CST"/>
    <x v="11"/>
    <d v="2012-06-30T00:00:00"/>
    <n v="91983.57"/>
  </r>
  <r>
    <s v="9500000147"/>
    <s v="YZ"/>
    <s v="201206"/>
    <x v="2"/>
    <s v="18278 TEC CONVERSION ACCOUNT SUMMARY"/>
    <s v="LT DEF BOND RF CST"/>
    <x v="11"/>
    <d v="2012-06-30T00:00:00"/>
    <n v="91983.57"/>
  </r>
  <r>
    <s v="9500000147"/>
    <s v="YZ"/>
    <s v="201206"/>
    <x v="2"/>
    <s v="18279 TEC CONVERSION ACCOUNT SUMMARY"/>
    <s v="LT DEF BOND RF CST"/>
    <x v="11"/>
    <d v="2012-06-30T00:00:00"/>
    <n v="-91983.57"/>
  </r>
  <r>
    <s v="9500000155"/>
    <s v="YZ"/>
    <s v="201206"/>
    <x v="2"/>
    <s v="18278 TEC CONVERSION ACCOUNT SUMMARY"/>
    <s v="LT DEF BOND RF CST"/>
    <x v="11"/>
    <d v="2012-06-30T00:00:00"/>
    <n v="-91983.57"/>
  </r>
  <r>
    <s v="9500000155"/>
    <s v="YZ"/>
    <s v="201206"/>
    <x v="2"/>
    <s v="18279 TEC CONVERSION ACCOUNT SUMMARY"/>
    <s v="LT DEF BOND RF CST"/>
    <x v="11"/>
    <d v="2012-06-30T00:00:00"/>
    <n v="91983.57"/>
  </r>
  <r>
    <s v="9500000000"/>
    <s v="YZ"/>
    <s v="DEC 31 2010"/>
    <x v="2"/>
    <s v="18276 TEC GL CONV YE 2010"/>
    <s v="ST DEF BOND RF CST"/>
    <x v="11"/>
    <d v="2010-12-31T00:00:00"/>
    <n v="3806202.24"/>
  </r>
  <r>
    <s v="9500000000"/>
    <s v="YZ"/>
    <s v="DEC 31 2010"/>
    <x v="2"/>
    <s v="18277 TEC GL CONV YE 2010"/>
    <s v="ST DEF BOND RF CST"/>
    <x v="11"/>
    <d v="2010-12-31T00:00:00"/>
    <n v="-3806202.24"/>
  </r>
  <r>
    <s v="9500000001"/>
    <s v="YZ"/>
    <s v="DEC 31 2010"/>
    <x v="2"/>
    <s v="18276 TEC GL CONV YE 2010"/>
    <s v="ST DEF BOND RF CST"/>
    <x v="11"/>
    <d v="2010-12-31T00:00:00"/>
    <n v="3806202.24"/>
  </r>
  <r>
    <s v="9500000001"/>
    <s v="YZ"/>
    <s v="DEC 31 2010"/>
    <x v="2"/>
    <s v="18277 TEC GL CONV YE 2010"/>
    <s v="ST DEF BOND RF CST"/>
    <x v="11"/>
    <d v="2010-12-31T00:00:00"/>
    <n v="-3806202.24"/>
  </r>
  <r>
    <s v="9500000002"/>
    <s v="YZ"/>
    <s v="DEC 31 2010"/>
    <x v="2"/>
    <s v="18276 TEC GL CONV YE 2010"/>
    <s v="ST DEF BOND RF CST"/>
    <x v="11"/>
    <d v="2010-12-31T00:00:00"/>
    <n v="-3806202.24"/>
  </r>
  <r>
    <s v="9500000002"/>
    <s v="YZ"/>
    <s v="DEC 31 2010"/>
    <x v="2"/>
    <s v="18277 TEC GL CONV YE 2010"/>
    <s v="ST DEF BOND RF CST"/>
    <x v="11"/>
    <d v="2010-12-31T00:00:00"/>
    <n v="3806202.24"/>
  </r>
  <r>
    <s v="9500000006"/>
    <s v="YZ"/>
    <s v="201101"/>
    <x v="2"/>
    <s v="18276 TEC CONVERSION ACCOUNT SUMMARY"/>
    <s v="ST DEF BOND RF CST"/>
    <x v="11"/>
    <d v="2011-01-31T00:00:00"/>
    <n v="-14723.49"/>
  </r>
  <r>
    <s v="9500000006"/>
    <s v="YZ"/>
    <s v="201101"/>
    <x v="2"/>
    <s v="18277 TEC CONVERSION ACCOUNT SUMMARY"/>
    <s v="ST DEF BOND RF CST"/>
    <x v="11"/>
    <d v="2011-01-31T00:00:00"/>
    <n v="14723.49"/>
  </r>
  <r>
    <s v="9500000010"/>
    <s v="YZ"/>
    <s v="201102"/>
    <x v="2"/>
    <s v="18276 TEC CONVERSION ACCOUNT SUMMARY"/>
    <s v="ST DEF BOND RF CST"/>
    <x v="11"/>
    <d v="2011-02-28T00:00:00"/>
    <n v="-12217.1"/>
  </r>
  <r>
    <s v="9500000010"/>
    <s v="YZ"/>
    <s v="201102"/>
    <x v="2"/>
    <s v="18277 TEC CONVERSION ACCOUNT SUMMARY"/>
    <s v="ST DEF BOND RF CST"/>
    <x v="11"/>
    <d v="2011-02-28T00:00:00"/>
    <n v="12217.1"/>
  </r>
  <r>
    <s v="9500000015"/>
    <s v="YZ"/>
    <s v="201103"/>
    <x v="2"/>
    <s v="18276 TEC CONVERSION ACCOUNT SUMMARY"/>
    <s v="ST DEF BOND RF CST"/>
    <x v="11"/>
    <d v="2011-03-31T00:00:00"/>
    <n v="-12217.1"/>
  </r>
  <r>
    <s v="9500000015"/>
    <s v="YZ"/>
    <s v="201103"/>
    <x v="2"/>
    <s v="18277 TEC CONVERSION ACCOUNT SUMMARY"/>
    <s v="ST DEF BOND RF CST"/>
    <x v="11"/>
    <d v="2011-03-31T00:00:00"/>
    <n v="12217.1"/>
  </r>
  <r>
    <s v="9500000020"/>
    <s v="YZ"/>
    <s v="201104"/>
    <x v="2"/>
    <s v="18276 TEC CONVERSION ACCOUNT SUMMARY"/>
    <s v="ST DEF BOND RF CST"/>
    <x v="11"/>
    <d v="2011-04-30T00:00:00"/>
    <n v="-12205.34"/>
  </r>
  <r>
    <s v="9500000020"/>
    <s v="YZ"/>
    <s v="201104"/>
    <x v="2"/>
    <s v="18277 TEC CONVERSION ACCOUNT SUMMARY"/>
    <s v="ST DEF BOND RF CST"/>
    <x v="11"/>
    <d v="2011-04-30T00:00:00"/>
    <n v="12205.34"/>
  </r>
  <r>
    <s v="9500000025"/>
    <s v="YZ"/>
    <s v="201105"/>
    <x v="2"/>
    <s v="18276 TEC CONVERSION ACCOUNT SUMMARY"/>
    <s v="ST DEF BOND RF CST"/>
    <x v="11"/>
    <d v="2011-05-31T00:00:00"/>
    <n v="-49271"/>
  </r>
  <r>
    <s v="9500000025"/>
    <s v="YZ"/>
    <s v="201105"/>
    <x v="2"/>
    <s v="18277 TEC CONVERSION ACCOUNT SUMMARY"/>
    <s v="ST DEF BOND RF CST"/>
    <x v="11"/>
    <d v="2011-05-31T00:00:00"/>
    <n v="49271"/>
  </r>
  <r>
    <s v="9500000030"/>
    <s v="YZ"/>
    <s v="201106"/>
    <x v="2"/>
    <s v="18276 TEC CONVERSION ACCOUNT SUMMARY"/>
    <s v="ST DEF BOND RF CST"/>
    <x v="11"/>
    <d v="2011-06-30T00:00:00"/>
    <n v="-50470.77"/>
  </r>
  <r>
    <s v="9500000030"/>
    <s v="YZ"/>
    <s v="201106"/>
    <x v="2"/>
    <s v="18277 TEC CONVERSION ACCOUNT SUMMARY"/>
    <s v="ST DEF BOND RF CST"/>
    <x v="11"/>
    <d v="2011-06-30T00:00:00"/>
    <n v="50470.77"/>
  </r>
  <r>
    <s v="9500000035"/>
    <s v="YZ"/>
    <s v="201107"/>
    <x v="2"/>
    <s v="18276 TEC CONVERSION ACCOUNT SUMMARY"/>
    <s v="ST DEF BOND RF CST"/>
    <x v="11"/>
    <d v="2011-07-31T00:00:00"/>
    <n v="-53278.16"/>
  </r>
  <r>
    <s v="9500000035"/>
    <s v="YZ"/>
    <s v="201107"/>
    <x v="2"/>
    <s v="18277 TEC CONVERSION ACCOUNT SUMMARY"/>
    <s v="ST DEF BOND RF CST"/>
    <x v="11"/>
    <d v="2011-07-31T00:00:00"/>
    <n v="53278.16"/>
  </r>
  <r>
    <s v="9500000040"/>
    <s v="YZ"/>
    <s v="201108"/>
    <x v="2"/>
    <s v="18276 TEC CONVERSION ACCOUNT SUMMARY"/>
    <s v="ST DEF BOND RF CST"/>
    <x v="11"/>
    <d v="2011-08-31T00:00:00"/>
    <n v="-137501.29999999999"/>
  </r>
  <r>
    <s v="9500000040"/>
    <s v="YZ"/>
    <s v="201108"/>
    <x v="2"/>
    <s v="18277 TEC CONVERSION ACCOUNT SUMMARY"/>
    <s v="ST DEF BOND RF CST"/>
    <x v="11"/>
    <d v="2011-08-31T00:00:00"/>
    <n v="137501.29999999999"/>
  </r>
  <r>
    <s v="9500000045"/>
    <s v="YZ"/>
    <s v="201109"/>
    <x v="2"/>
    <s v="18276 TEC CONVERSION ACCOUNT SUMMARY"/>
    <s v="ST DEF BOND RF CST"/>
    <x v="11"/>
    <d v="2011-09-30T00:00:00"/>
    <n v="-218492.76"/>
  </r>
  <r>
    <s v="9500000045"/>
    <s v="YZ"/>
    <s v="201109"/>
    <x v="2"/>
    <s v="18277 TEC CONVERSION ACCOUNT SUMMARY"/>
    <s v="ST DEF BOND RF CST"/>
    <x v="11"/>
    <d v="2011-09-30T00:00:00"/>
    <n v="218492.76"/>
  </r>
  <r>
    <s v="9500000050"/>
    <s v="YZ"/>
    <s v="201110"/>
    <x v="2"/>
    <s v="18276 TEC CONVERSION ACCOUNT SUMMARY"/>
    <s v="ST DEF BOND RF CST"/>
    <x v="11"/>
    <d v="2011-10-31T00:00:00"/>
    <n v="-218492.76"/>
  </r>
  <r>
    <s v="9500000050"/>
    <s v="YZ"/>
    <s v="201110"/>
    <x v="2"/>
    <s v="18277 TEC CONVERSION ACCOUNT SUMMARY"/>
    <s v="ST DEF BOND RF CST"/>
    <x v="11"/>
    <d v="2011-10-31T00:00:00"/>
    <n v="218492.76"/>
  </r>
  <r>
    <s v="9500000055"/>
    <s v="YZ"/>
    <s v="201111"/>
    <x v="2"/>
    <s v="18276 TEC CONVERSION ACCOUNT SUMMARY"/>
    <s v="ST DEF BOND RF CST"/>
    <x v="11"/>
    <d v="2011-11-30T00:00:00"/>
    <n v="-218492.76"/>
  </r>
  <r>
    <s v="9500000055"/>
    <s v="YZ"/>
    <s v="201111"/>
    <x v="2"/>
    <s v="18277 TEC CONVERSION ACCOUNT SUMMARY"/>
    <s v="ST DEF BOND RF CST"/>
    <x v="11"/>
    <d v="2011-11-30T00:00:00"/>
    <n v="218492.76"/>
  </r>
  <r>
    <s v="9500000060"/>
    <s v="YZ"/>
    <s v="201112"/>
    <x v="2"/>
    <s v="18276 TEC CONVERSION ACCOUNT SUMMARY"/>
    <s v="ST DEF BOND RF CST"/>
    <x v="11"/>
    <d v="2011-12-31T00:00:00"/>
    <n v="-218492.76"/>
  </r>
  <r>
    <s v="9500000060"/>
    <s v="YZ"/>
    <s v="201112"/>
    <x v="2"/>
    <s v="18277 TEC CONVERSION ACCOUNT SUMMARY"/>
    <s v="ST DEF BOND RF CST"/>
    <x v="11"/>
    <d v="2011-12-31T00:00:00"/>
    <n v="218492.76"/>
  </r>
  <r>
    <s v="9500000101"/>
    <s v="YZ"/>
    <s v="201201"/>
    <x v="2"/>
    <s v="18276 TEC CONVERSION ACCOUNT SUMMARY"/>
    <s v="ST DEF BOND RF CST"/>
    <x v="11"/>
    <d v="2012-01-31T00:00:00"/>
    <n v="-218492.76"/>
  </r>
  <r>
    <s v="9500000101"/>
    <s v="YZ"/>
    <s v="201201"/>
    <x v="2"/>
    <s v="18277 TEC CONVERSION ACCOUNT SUMMARY"/>
    <s v="ST DEF BOND RF CST"/>
    <x v="11"/>
    <d v="2012-01-31T00:00:00"/>
    <n v="218492.76"/>
  </r>
  <r>
    <s v="9500000105"/>
    <s v="YZ"/>
    <s v="201202"/>
    <x v="2"/>
    <s v="18276 TEC CONVERSION ACCOUNT SUMMARY"/>
    <s v="ST DEF BOND RF CST"/>
    <x v="11"/>
    <d v="2012-02-29T00:00:00"/>
    <n v="-218492.76"/>
  </r>
  <r>
    <s v="9500000105"/>
    <s v="YZ"/>
    <s v="201202"/>
    <x v="2"/>
    <s v="18277 TEC CONVERSION ACCOUNT SUMMARY"/>
    <s v="ST DEF BOND RF CST"/>
    <x v="11"/>
    <d v="2012-02-29T00:00:00"/>
    <n v="218492.76"/>
  </r>
  <r>
    <s v="9500000109"/>
    <s v="YZ"/>
    <s v="201203"/>
    <x v="2"/>
    <s v="18276 TEC CONVERSION ACCOUNT SUMMARY"/>
    <s v="ST DEF BOND RF CST"/>
    <x v="11"/>
    <d v="2012-03-31T00:00:00"/>
    <n v="-218492.76"/>
  </r>
  <r>
    <s v="9500000109"/>
    <s v="YZ"/>
    <s v="201203"/>
    <x v="2"/>
    <s v="18277 TEC CONVERSION ACCOUNT SUMMARY"/>
    <s v="ST DEF BOND RF CST"/>
    <x v="11"/>
    <d v="2012-03-31T00:00:00"/>
    <n v="218492.76"/>
  </r>
  <r>
    <s v="9500000114"/>
    <s v="YZ"/>
    <s v="201204"/>
    <x v="2"/>
    <s v="18276 TEC CONVERSION ACCOUNT SUMMARY"/>
    <s v="ST DEF BOND RF CST"/>
    <x v="11"/>
    <d v="2012-04-30T00:00:00"/>
    <n v="-218504.52"/>
  </r>
  <r>
    <s v="9500000114"/>
    <s v="YZ"/>
    <s v="201204"/>
    <x v="2"/>
    <s v="18277 TEC CONVERSION ACCOUNT SUMMARY"/>
    <s v="ST DEF BOND RF CST"/>
    <x v="11"/>
    <d v="2012-04-30T00:00:00"/>
    <n v="218504.52"/>
  </r>
  <r>
    <s v="9500000131"/>
    <s v="YZ"/>
    <s v="201205"/>
    <x v="2"/>
    <s v="18276 TEC CONVERSION ACCOUNT SUMMARY"/>
    <s v="ST DEF BOND RF CST"/>
    <x v="11"/>
    <d v="2012-05-31T00:00:00"/>
    <n v="-179589.08"/>
  </r>
  <r>
    <s v="9500000131"/>
    <s v="YZ"/>
    <s v="201205"/>
    <x v="2"/>
    <s v="18277 TEC CONVERSION ACCOUNT SUMMARY"/>
    <s v="ST DEF BOND RF CST"/>
    <x v="11"/>
    <d v="2012-05-31T00:00:00"/>
    <n v="179589.08"/>
  </r>
  <r>
    <s v="9500000139"/>
    <s v="YZ"/>
    <s v="201206"/>
    <x v="2"/>
    <s v="18276 TEC CONVERSION ACCOUNT SUMMARY"/>
    <s v="ST DEF BOND RF CST"/>
    <x v="11"/>
    <d v="2012-06-30T00:00:00"/>
    <n v="-178389.31"/>
  </r>
  <r>
    <s v="9500000139"/>
    <s v="YZ"/>
    <s v="201206"/>
    <x v="2"/>
    <s v="18277 TEC CONVERSION ACCOUNT SUMMARY"/>
    <s v="ST DEF BOND RF CST"/>
    <x v="11"/>
    <d v="2012-06-30T00:00:00"/>
    <n v="178389.31"/>
  </r>
  <r>
    <s v="9500000147"/>
    <s v="YZ"/>
    <s v="201206"/>
    <x v="2"/>
    <s v="18276 TEC CONVERSION ACCOUNT SUMMARY"/>
    <s v="ST DEF BOND RF CST"/>
    <x v="11"/>
    <d v="2012-06-30T00:00:00"/>
    <n v="178389.31"/>
  </r>
  <r>
    <s v="9500000147"/>
    <s v="YZ"/>
    <s v="201206"/>
    <x v="2"/>
    <s v="18277 TEC CONVERSION ACCOUNT SUMMARY"/>
    <s v="ST DEF BOND RF CST"/>
    <x v="11"/>
    <d v="2012-06-30T00:00:00"/>
    <n v="-178389.31"/>
  </r>
  <r>
    <s v="9500000155"/>
    <s v="YZ"/>
    <s v="201206"/>
    <x v="2"/>
    <s v="18276 TEC CONVERSION ACCOUNT SUMMARY"/>
    <s v="ST DEF BOND RF CST"/>
    <x v="11"/>
    <d v="2012-06-30T00:00:00"/>
    <n v="-178389.31"/>
  </r>
  <r>
    <s v="9500000155"/>
    <s v="YZ"/>
    <s v="201206"/>
    <x v="2"/>
    <s v="18277 TEC CONVERSION ACCOUNT SUMMARY"/>
    <s v="ST DEF BOND RF CST"/>
    <x v="11"/>
    <d v="2012-06-30T00:00:00"/>
    <n v="178389.31"/>
  </r>
  <r>
    <s v="9500000000"/>
    <s v="YZ"/>
    <s v="DEC 31 2010"/>
    <x v="2"/>
    <s v="18294 TEC GL CONV YE 2010"/>
    <s v="UNAM LOSS 2011 BDS"/>
    <x v="11"/>
    <d v="2010-12-31T00:00:00"/>
    <n v="13419.62"/>
  </r>
  <r>
    <s v="9500000001"/>
    <s v="YZ"/>
    <s v="DEC 31 2010"/>
    <x v="2"/>
    <s v="18294 TEC GL CONV YE 2010"/>
    <s v="UNAM LOSS 2011 BDS"/>
    <x v="11"/>
    <d v="2010-12-31T00:00:00"/>
    <n v="13419.62"/>
  </r>
  <r>
    <s v="9500000002"/>
    <s v="YZ"/>
    <s v="DEC 31 2010"/>
    <x v="2"/>
    <s v="18294 TEC GL CONV YE 2010"/>
    <s v="UNAM LOSS 2011 BDS"/>
    <x v="11"/>
    <d v="2010-12-31T00:00:00"/>
    <n v="-13419.62"/>
  </r>
  <r>
    <s v="9500000006"/>
    <s v="YZ"/>
    <s v="201101"/>
    <x v="2"/>
    <s v="18294 TEC CONVERSION ACCOUNT SUMMARY"/>
    <s v="UNAM LOSS 2011 BDS"/>
    <x v="11"/>
    <d v="2011-01-31T00:00:00"/>
    <n v="-1918.09"/>
  </r>
  <r>
    <s v="9500000010"/>
    <s v="YZ"/>
    <s v="201102"/>
    <x v="2"/>
    <s v="18294 TEC CONVERSION ACCOUNT SUMMARY"/>
    <s v="UNAM LOSS 2011 BDS"/>
    <x v="11"/>
    <d v="2011-02-28T00:00:00"/>
    <n v="-1918.09"/>
  </r>
  <r>
    <s v="9500000015"/>
    <s v="YZ"/>
    <s v="201103"/>
    <x v="2"/>
    <s v="18294 TEC CONVERSION ACCOUNT SUMMARY"/>
    <s v="UNAM LOSS 2011 BDS"/>
    <x v="11"/>
    <d v="2011-03-31T00:00:00"/>
    <n v="-1918.09"/>
  </r>
  <r>
    <s v="9500000020"/>
    <s v="YZ"/>
    <s v="201104"/>
    <x v="2"/>
    <s v="18294 TEC CONVERSION ACCOUNT SUMMARY"/>
    <s v="UNAM LOSS 2011 BDS"/>
    <x v="11"/>
    <d v="2011-04-30T00:00:00"/>
    <n v="-1918.09"/>
  </r>
  <r>
    <s v="9500000025"/>
    <s v="YZ"/>
    <s v="201105"/>
    <x v="2"/>
    <s v="18294 TEC CONVERSION ACCOUNT SUMMARY"/>
    <s v="UNAM LOSS 2011 BDS"/>
    <x v="11"/>
    <d v="2011-05-31T00:00:00"/>
    <n v="-1918.09"/>
  </r>
  <r>
    <s v="9500000030"/>
    <s v="YZ"/>
    <s v="201106"/>
    <x v="2"/>
    <s v="18294 TEC CONVERSION ACCOUNT SUMMARY"/>
    <s v="UNAM LOSS 2011 BDS"/>
    <x v="11"/>
    <d v="2011-06-30T00:00:00"/>
    <n v="-1918.09"/>
  </r>
  <r>
    <s v="9500000035"/>
    <s v="YZ"/>
    <s v="201107"/>
    <x v="2"/>
    <s v="18294 TEC CONVERSION ACCOUNT SUMMARY"/>
    <s v="UNAM LOSS 2011 BDS"/>
    <x v="11"/>
    <d v="2011-07-31T00:00:00"/>
    <n v="-1911.08"/>
  </r>
  <r>
    <s v="9500000000"/>
    <s v="YZ"/>
    <s v="DEC 31 2010"/>
    <x v="2"/>
    <s v="18291 TEC GL CONV YE 2010"/>
    <s v="UNAM LOSS 2012 BDS"/>
    <x v="11"/>
    <d v="2010-12-31T00:00:00"/>
    <n v="74483.27"/>
  </r>
  <r>
    <s v="9500000000"/>
    <s v="YZ"/>
    <s v="DEC 31 2010"/>
    <x v="2"/>
    <s v="18295 TEC GL CONV YE 2010"/>
    <s v="UNAM LOSS 2012 BDS"/>
    <x v="11"/>
    <d v="2010-12-31T00:00:00"/>
    <n v="106842.04"/>
  </r>
  <r>
    <s v="9500000001"/>
    <s v="YZ"/>
    <s v="DEC 31 2010"/>
    <x v="2"/>
    <s v="18291 TEC GL CONV YE 2010"/>
    <s v="UNAM LOSS 2012 BDS"/>
    <x v="11"/>
    <d v="2010-12-31T00:00:00"/>
    <n v="74483.27"/>
  </r>
  <r>
    <s v="9500000001"/>
    <s v="YZ"/>
    <s v="DEC 31 2010"/>
    <x v="2"/>
    <s v="18295 TEC GL CONV YE 2010"/>
    <s v="UNAM LOSS 2012 BDS"/>
    <x v="11"/>
    <d v="2010-12-31T00:00:00"/>
    <n v="106842.04"/>
  </r>
  <r>
    <s v="9500000002"/>
    <s v="YZ"/>
    <s v="DEC 31 2010"/>
    <x v="2"/>
    <s v="18291 TEC GL CONV YE 2010"/>
    <s v="UNAM LOSS 2012 BDS"/>
    <x v="11"/>
    <d v="2010-12-31T00:00:00"/>
    <n v="-74483.27"/>
  </r>
  <r>
    <s v="9500000002"/>
    <s v="YZ"/>
    <s v="DEC 31 2010"/>
    <x v="2"/>
    <s v="18295 TEC GL CONV YE 2010"/>
    <s v="UNAM LOSS 2012 BDS"/>
    <x v="11"/>
    <d v="2010-12-31T00:00:00"/>
    <n v="-106842.04"/>
  </r>
  <r>
    <s v="9500000006"/>
    <s v="YZ"/>
    <s v="201101"/>
    <x v="2"/>
    <s v="18291 TEC CONVERSION ACCOUNT SUMMARY"/>
    <s v="UNAM LOSS 2012 BDS"/>
    <x v="11"/>
    <d v="2011-01-31T00:00:00"/>
    <n v="-4819.34"/>
  </r>
  <r>
    <s v="9500000006"/>
    <s v="YZ"/>
    <s v="201101"/>
    <x v="2"/>
    <s v="18295 TEC CONVERSION ACCOUNT SUMMARY"/>
    <s v="UNAM LOSS 2012 BDS"/>
    <x v="11"/>
    <d v="2011-01-31T00:00:00"/>
    <n v="-6912.2"/>
  </r>
  <r>
    <s v="9500000010"/>
    <s v="YZ"/>
    <s v="201102"/>
    <x v="2"/>
    <s v="18291 TEC CONVERSION ACCOUNT SUMMARY"/>
    <s v="UNAM LOSS 2012 BDS"/>
    <x v="11"/>
    <d v="2011-02-28T00:00:00"/>
    <n v="-4819.34"/>
  </r>
  <r>
    <s v="9500000010"/>
    <s v="YZ"/>
    <s v="201102"/>
    <x v="2"/>
    <s v="18295 TEC CONVERSION ACCOUNT SUMMARY"/>
    <s v="UNAM LOSS 2012 BDS"/>
    <x v="11"/>
    <d v="2011-02-28T00:00:00"/>
    <n v="-6912.2"/>
  </r>
  <r>
    <s v="9500000015"/>
    <s v="YZ"/>
    <s v="201103"/>
    <x v="2"/>
    <s v="18291 TEC CONVERSION ACCOUNT SUMMARY"/>
    <s v="UNAM LOSS 2012 BDS"/>
    <x v="11"/>
    <d v="2011-03-31T00:00:00"/>
    <n v="-4819.34"/>
  </r>
  <r>
    <s v="9500000015"/>
    <s v="YZ"/>
    <s v="201103"/>
    <x v="2"/>
    <s v="18295 TEC CONVERSION ACCOUNT SUMMARY"/>
    <s v="UNAM LOSS 2012 BDS"/>
    <x v="11"/>
    <d v="2011-03-31T00:00:00"/>
    <n v="-6912.2"/>
  </r>
  <r>
    <s v="9500000020"/>
    <s v="YZ"/>
    <s v="201104"/>
    <x v="2"/>
    <s v="18291 TEC CONVERSION ACCOUNT SUMMARY"/>
    <s v="UNAM LOSS 2012 BDS"/>
    <x v="11"/>
    <d v="2011-04-30T00:00:00"/>
    <n v="-4819.34"/>
  </r>
  <r>
    <s v="9500000020"/>
    <s v="YZ"/>
    <s v="201104"/>
    <x v="2"/>
    <s v="18295 TEC CONVERSION ACCOUNT SUMMARY"/>
    <s v="UNAM LOSS 2012 BDS"/>
    <x v="11"/>
    <d v="2011-04-30T00:00:00"/>
    <n v="-6912.2"/>
  </r>
  <r>
    <s v="9500000025"/>
    <s v="YZ"/>
    <s v="201105"/>
    <x v="2"/>
    <s v="18291 TEC CONVERSION ACCOUNT SUMMARY"/>
    <s v="UNAM LOSS 2012 BDS"/>
    <x v="11"/>
    <d v="2011-05-31T00:00:00"/>
    <n v="-4600.47"/>
  </r>
  <r>
    <s v="9500000025"/>
    <s v="YZ"/>
    <s v="201105"/>
    <x v="2"/>
    <s v="18295 TEC CONVERSION ACCOUNT SUMMARY"/>
    <s v="UNAM LOSS 2012 BDS"/>
    <x v="11"/>
    <d v="2011-05-31T00:00:00"/>
    <n v="-6598.4"/>
  </r>
  <r>
    <s v="9500000030"/>
    <s v="YZ"/>
    <s v="201106"/>
    <x v="2"/>
    <s v="18291 TEC CONVERSION ACCOUNT SUMMARY"/>
    <s v="UNAM LOSS 2012 BDS"/>
    <x v="11"/>
    <d v="2011-06-30T00:00:00"/>
    <n v="-4600.47"/>
  </r>
  <r>
    <s v="9500000030"/>
    <s v="YZ"/>
    <s v="201106"/>
    <x v="2"/>
    <s v="18295 TEC CONVERSION ACCOUNT SUMMARY"/>
    <s v="UNAM LOSS 2012 BDS"/>
    <x v="11"/>
    <d v="2011-06-30T00:00:00"/>
    <n v="-6598.4"/>
  </r>
  <r>
    <s v="9500000035"/>
    <s v="YZ"/>
    <s v="201107"/>
    <x v="2"/>
    <s v="18291 TEC CONVERSION ACCOUNT SUMMARY"/>
    <s v="UNAM LOSS 2012 BDS"/>
    <x v="11"/>
    <d v="2011-07-31T00:00:00"/>
    <n v="-4600.47"/>
  </r>
  <r>
    <s v="9500000035"/>
    <s v="YZ"/>
    <s v="201107"/>
    <x v="2"/>
    <s v="18295 TEC CONVERSION ACCOUNT SUMMARY"/>
    <s v="UNAM LOSS 2012 BDS"/>
    <x v="11"/>
    <d v="2011-07-31T00:00:00"/>
    <n v="-6598.4"/>
  </r>
  <r>
    <s v="9500000040"/>
    <s v="YZ"/>
    <s v="201108"/>
    <x v="2"/>
    <s v="18291 TEC CONVERSION ACCOUNT SUMMARY"/>
    <s v="UNAM LOSS 2012 BDS"/>
    <x v="11"/>
    <d v="2011-08-31T00:00:00"/>
    <n v="-4600.47"/>
  </r>
  <r>
    <s v="9500000040"/>
    <s v="YZ"/>
    <s v="201108"/>
    <x v="2"/>
    <s v="18295 TEC CONVERSION ACCOUNT SUMMARY"/>
    <s v="UNAM LOSS 2012 BDS"/>
    <x v="11"/>
    <d v="2011-08-31T00:00:00"/>
    <n v="-6598.4"/>
  </r>
  <r>
    <s v="9500000045"/>
    <s v="YZ"/>
    <s v="201109"/>
    <x v="2"/>
    <s v="18291 TEC CONVERSION ACCOUNT SUMMARY"/>
    <s v="UNAM LOSS 2012 BDS"/>
    <x v="11"/>
    <d v="2011-09-30T00:00:00"/>
    <n v="-4600.47"/>
  </r>
  <r>
    <s v="9500000045"/>
    <s v="YZ"/>
    <s v="201109"/>
    <x v="2"/>
    <s v="18295 TEC CONVERSION ACCOUNT SUMMARY"/>
    <s v="UNAM LOSS 2012 BDS"/>
    <x v="11"/>
    <d v="2011-09-30T00:00:00"/>
    <n v="-6598.4"/>
  </r>
  <r>
    <s v="9500000050"/>
    <s v="YZ"/>
    <s v="201110"/>
    <x v="2"/>
    <s v="18291 TEC CONVERSION ACCOUNT SUMMARY"/>
    <s v="UNAM LOSS 2012 BDS"/>
    <x v="11"/>
    <d v="2011-10-31T00:00:00"/>
    <n v="-4600.47"/>
  </r>
  <r>
    <s v="9500000050"/>
    <s v="YZ"/>
    <s v="201110"/>
    <x v="2"/>
    <s v="18295 TEC CONVERSION ACCOUNT SUMMARY"/>
    <s v="UNAM LOSS 2012 BDS"/>
    <x v="11"/>
    <d v="2011-10-31T00:00:00"/>
    <n v="-6598.4"/>
  </r>
  <r>
    <s v="9500000055"/>
    <s v="YZ"/>
    <s v="201111"/>
    <x v="2"/>
    <s v="18291 TEC CONVERSION ACCOUNT SUMMARY"/>
    <s v="UNAM LOSS 2012 BDS"/>
    <x v="11"/>
    <d v="2011-11-30T00:00:00"/>
    <n v="-4600.47"/>
  </r>
  <r>
    <s v="9500000055"/>
    <s v="YZ"/>
    <s v="201111"/>
    <x v="2"/>
    <s v="18295 TEC CONVERSION ACCOUNT SUMMARY"/>
    <s v="UNAM LOSS 2012 BDS"/>
    <x v="11"/>
    <d v="2011-11-30T00:00:00"/>
    <n v="-6598.4"/>
  </r>
  <r>
    <s v="9500000060"/>
    <s v="YZ"/>
    <s v="201112"/>
    <x v="2"/>
    <s v="18291 TEC CONVERSION ACCOUNT SUMMARY"/>
    <s v="UNAM LOSS 2012 BDS"/>
    <x v="11"/>
    <d v="2011-12-31T00:00:00"/>
    <n v="-4600.47"/>
  </r>
  <r>
    <s v="9500000060"/>
    <s v="YZ"/>
    <s v="201112"/>
    <x v="2"/>
    <s v="18295 TEC CONVERSION ACCOUNT SUMMARY"/>
    <s v="UNAM LOSS 2012 BDS"/>
    <x v="11"/>
    <d v="2011-12-31T00:00:00"/>
    <n v="-6598.4"/>
  </r>
  <r>
    <s v="9500000101"/>
    <s v="YZ"/>
    <s v="201201"/>
    <x v="2"/>
    <s v="18291 TEC CONVERSION ACCOUNT SUMMARY"/>
    <s v="UNAM LOSS 2012 BDS"/>
    <x v="11"/>
    <d v="2012-01-31T00:00:00"/>
    <n v="-4600.47"/>
  </r>
  <r>
    <s v="9500000101"/>
    <s v="YZ"/>
    <s v="201201"/>
    <x v="2"/>
    <s v="18295 TEC CONVERSION ACCOUNT SUMMARY"/>
    <s v="UNAM LOSS 2012 BDS"/>
    <x v="11"/>
    <d v="2012-01-31T00:00:00"/>
    <n v="-6598.4"/>
  </r>
  <r>
    <s v="9500000105"/>
    <s v="YZ"/>
    <s v="201202"/>
    <x v="2"/>
    <s v="18291 TEC CONVERSION ACCOUNT SUMMARY"/>
    <s v="UNAM LOSS 2012 BDS"/>
    <x v="11"/>
    <d v="2012-02-29T00:00:00"/>
    <n v="-4600.47"/>
  </r>
  <r>
    <s v="9500000105"/>
    <s v="YZ"/>
    <s v="201202"/>
    <x v="2"/>
    <s v="18295 TEC CONVERSION ACCOUNT SUMMARY"/>
    <s v="UNAM LOSS 2012 BDS"/>
    <x v="11"/>
    <d v="2012-02-29T00:00:00"/>
    <n v="-6598.4"/>
  </r>
  <r>
    <s v="9500000109"/>
    <s v="YZ"/>
    <s v="201203"/>
    <x v="2"/>
    <s v="18291 TEC CONVERSION ACCOUNT SUMMARY"/>
    <s v="UNAM LOSS 2012 BDS"/>
    <x v="11"/>
    <d v="2012-03-31T00:00:00"/>
    <n v="-4600.47"/>
  </r>
  <r>
    <s v="9500000109"/>
    <s v="YZ"/>
    <s v="201203"/>
    <x v="2"/>
    <s v="18295 TEC CONVERSION ACCOUNT SUMMARY"/>
    <s v="UNAM LOSS 2012 BDS"/>
    <x v="11"/>
    <d v="2012-03-31T00:00:00"/>
    <n v="-6598.4"/>
  </r>
  <r>
    <s v="9500000114"/>
    <s v="YZ"/>
    <s v="201204"/>
    <x v="2"/>
    <s v="18291 TEC CONVERSION ACCOUNT SUMMARY"/>
    <s v="UNAM LOSS 2012 BDS"/>
    <x v="11"/>
    <d v="2012-04-30T00:00:00"/>
    <n v="-4600.74"/>
  </r>
  <r>
    <s v="9500000114"/>
    <s v="YZ"/>
    <s v="201204"/>
    <x v="2"/>
    <s v="18295 TEC CONVERSION ACCOUNT SUMMARY"/>
    <s v="UNAM LOSS 2012 BDS"/>
    <x v="11"/>
    <d v="2012-04-30T00:00:00"/>
    <n v="-6610.84"/>
  </r>
  <r>
    <s v="9500000000"/>
    <s v="YZ"/>
    <s v="DEC 31 2010"/>
    <x v="2"/>
    <s v="18287 TEC GL CONV YE 2010"/>
    <s v="UNAM LOSS 2021 BDS"/>
    <x v="11"/>
    <d v="2010-12-31T00:00:00"/>
    <n v="59418.559999999998"/>
  </r>
  <r>
    <s v="9500000000"/>
    <s v="YZ"/>
    <s v="DEC 31 2010"/>
    <x v="2"/>
    <s v="18288 TEC GL CONV YE 2010"/>
    <s v="UNAM LOSS 2021 BDS"/>
    <x v="11"/>
    <d v="2010-12-31T00:00:00"/>
    <n v="414885.33"/>
  </r>
  <r>
    <s v="9500000001"/>
    <s v="YZ"/>
    <s v="DEC 31 2010"/>
    <x v="2"/>
    <s v="18287 TEC GL CONV YE 2010"/>
    <s v="UNAM LOSS 2021 BDS"/>
    <x v="11"/>
    <d v="2010-12-31T00:00:00"/>
    <n v="59418.559999999998"/>
  </r>
  <r>
    <s v="9500000001"/>
    <s v="YZ"/>
    <s v="DEC 31 2010"/>
    <x v="2"/>
    <s v="18288 TEC GL CONV YE 2010"/>
    <s v="UNAM LOSS 2021 BDS"/>
    <x v="11"/>
    <d v="2010-12-31T00:00:00"/>
    <n v="414885.33"/>
  </r>
  <r>
    <s v="9500000002"/>
    <s v="YZ"/>
    <s v="DEC 31 2010"/>
    <x v="2"/>
    <s v="18287 TEC GL CONV YE 2010"/>
    <s v="UNAM LOSS 2021 BDS"/>
    <x v="11"/>
    <d v="2010-12-31T00:00:00"/>
    <n v="-59418.559999999998"/>
  </r>
  <r>
    <s v="9500000002"/>
    <s v="YZ"/>
    <s v="DEC 31 2010"/>
    <x v="2"/>
    <s v="18288 TEC GL CONV YE 2010"/>
    <s v="UNAM LOSS 2021 BDS"/>
    <x v="11"/>
    <d v="2010-12-31T00:00:00"/>
    <n v="-414885.33"/>
  </r>
  <r>
    <s v="9500000006"/>
    <s v="YZ"/>
    <s v="201101"/>
    <x v="2"/>
    <s v="18287 TEC CONVERSION ACCOUNT SUMMARY"/>
    <s v="UNAM LOSS 2021 BDS"/>
    <x v="11"/>
    <d v="2011-01-31T00:00:00"/>
    <n v="-467.85"/>
  </r>
  <r>
    <s v="9500000006"/>
    <s v="YZ"/>
    <s v="201101"/>
    <x v="2"/>
    <s v="18288 TEC CONVERSION ACCOUNT SUMMARY"/>
    <s v="UNAM LOSS 2021 BDS"/>
    <x v="11"/>
    <d v="2011-01-31T00:00:00"/>
    <n v="-3266.81"/>
  </r>
  <r>
    <s v="9500000010"/>
    <s v="YZ"/>
    <s v="201102"/>
    <x v="2"/>
    <s v="18287 TEC CONVERSION ACCOUNT SUMMARY"/>
    <s v="UNAM LOSS 2021 BDS"/>
    <x v="11"/>
    <d v="2011-02-28T00:00:00"/>
    <n v="-467.85"/>
  </r>
  <r>
    <s v="9500000010"/>
    <s v="YZ"/>
    <s v="201102"/>
    <x v="2"/>
    <s v="18288 TEC CONVERSION ACCOUNT SUMMARY"/>
    <s v="UNAM LOSS 2021 BDS"/>
    <x v="11"/>
    <d v="2011-02-28T00:00:00"/>
    <n v="-3266.81"/>
  </r>
  <r>
    <s v="9500000015"/>
    <s v="YZ"/>
    <s v="201103"/>
    <x v="2"/>
    <s v="18287 TEC CONVERSION ACCOUNT SUMMARY"/>
    <s v="UNAM LOSS 2021 BDS"/>
    <x v="11"/>
    <d v="2011-03-31T00:00:00"/>
    <n v="-467.85"/>
  </r>
  <r>
    <s v="9500000015"/>
    <s v="YZ"/>
    <s v="201103"/>
    <x v="2"/>
    <s v="18288 TEC CONVERSION ACCOUNT SUMMARY"/>
    <s v="UNAM LOSS 2021 BDS"/>
    <x v="11"/>
    <d v="2011-03-31T00:00:00"/>
    <n v="-3266.81"/>
  </r>
  <r>
    <s v="9500000020"/>
    <s v="YZ"/>
    <s v="201104"/>
    <x v="2"/>
    <s v="18287 TEC CONVERSION ACCOUNT SUMMARY"/>
    <s v="UNAM LOSS 2021 BDS"/>
    <x v="11"/>
    <d v="2011-04-30T00:00:00"/>
    <n v="-467.85"/>
  </r>
  <r>
    <s v="9500000020"/>
    <s v="YZ"/>
    <s v="201104"/>
    <x v="2"/>
    <s v="18288 TEC CONVERSION ACCOUNT SUMMARY"/>
    <s v="UNAM LOSS 2021 BDS"/>
    <x v="11"/>
    <d v="2011-04-30T00:00:00"/>
    <n v="-3266.81"/>
  </r>
  <r>
    <s v="9500000025"/>
    <s v="YZ"/>
    <s v="201105"/>
    <x v="2"/>
    <s v="18287 TEC CONVERSION ACCOUNT SUMMARY"/>
    <s v="UNAM LOSS 2021 BDS"/>
    <x v="11"/>
    <d v="2011-05-31T00:00:00"/>
    <n v="-467.85"/>
  </r>
  <r>
    <s v="9500000025"/>
    <s v="YZ"/>
    <s v="201105"/>
    <x v="2"/>
    <s v="18288 TEC CONVERSION ACCOUNT SUMMARY"/>
    <s v="UNAM LOSS 2021 BDS"/>
    <x v="11"/>
    <d v="2011-05-31T00:00:00"/>
    <n v="-3266.81"/>
  </r>
  <r>
    <s v="9500000030"/>
    <s v="YZ"/>
    <s v="201106"/>
    <x v="2"/>
    <s v="18287 TEC CONVERSION ACCOUNT SUMMARY"/>
    <s v="UNAM LOSS 2021 BDS"/>
    <x v="11"/>
    <d v="2011-06-30T00:00:00"/>
    <n v="-467.85"/>
  </r>
  <r>
    <s v="9500000030"/>
    <s v="YZ"/>
    <s v="201106"/>
    <x v="2"/>
    <s v="18288 TEC CONVERSION ACCOUNT SUMMARY"/>
    <s v="UNAM LOSS 2021 BDS"/>
    <x v="11"/>
    <d v="2011-06-30T00:00:00"/>
    <n v="-3266.81"/>
  </r>
  <r>
    <s v="9500000035"/>
    <s v="YZ"/>
    <s v="201107"/>
    <x v="2"/>
    <s v="18287 TEC CONVERSION ACCOUNT SUMMARY"/>
    <s v="UNAM LOSS 2021 BDS"/>
    <x v="11"/>
    <d v="2011-07-31T00:00:00"/>
    <n v="-467.85"/>
  </r>
  <r>
    <s v="9500000035"/>
    <s v="YZ"/>
    <s v="201107"/>
    <x v="2"/>
    <s v="18288 TEC CONVERSION ACCOUNT SUMMARY"/>
    <s v="UNAM LOSS 2021 BDS"/>
    <x v="11"/>
    <d v="2011-07-31T00:00:00"/>
    <n v="-3266.81"/>
  </r>
  <r>
    <s v="9500000040"/>
    <s v="YZ"/>
    <s v="201108"/>
    <x v="2"/>
    <s v="18287 TEC CONVERSION ACCOUNT SUMMARY"/>
    <s v="UNAM LOSS 2021 BDS"/>
    <x v="11"/>
    <d v="2011-08-31T00:00:00"/>
    <n v="-467.85"/>
  </r>
  <r>
    <s v="9500000040"/>
    <s v="YZ"/>
    <s v="201108"/>
    <x v="2"/>
    <s v="18288 TEC CONVERSION ACCOUNT SUMMARY"/>
    <s v="UNAM LOSS 2021 BDS"/>
    <x v="11"/>
    <d v="2011-08-31T00:00:00"/>
    <n v="-3266.81"/>
  </r>
  <r>
    <s v="9500000045"/>
    <s v="YZ"/>
    <s v="201109"/>
    <x v="2"/>
    <s v="18287 TEC CONVERSION ACCOUNT SUMMARY"/>
    <s v="UNAM LOSS 2021 BDS"/>
    <x v="11"/>
    <d v="2011-09-30T00:00:00"/>
    <n v="-467.85"/>
  </r>
  <r>
    <s v="9500000045"/>
    <s v="YZ"/>
    <s v="201109"/>
    <x v="2"/>
    <s v="18288 TEC CONVERSION ACCOUNT SUMMARY"/>
    <s v="UNAM LOSS 2021 BDS"/>
    <x v="11"/>
    <d v="2011-09-30T00:00:00"/>
    <n v="-3266.81"/>
  </r>
  <r>
    <s v="9500000050"/>
    <s v="YZ"/>
    <s v="201110"/>
    <x v="2"/>
    <s v="18287 TEC CONVERSION ACCOUNT SUMMARY"/>
    <s v="UNAM LOSS 2021 BDS"/>
    <x v="11"/>
    <d v="2011-10-31T00:00:00"/>
    <n v="-467.85"/>
  </r>
  <r>
    <s v="9500000050"/>
    <s v="YZ"/>
    <s v="201110"/>
    <x v="2"/>
    <s v="18288 TEC CONVERSION ACCOUNT SUMMARY"/>
    <s v="UNAM LOSS 2021 BDS"/>
    <x v="11"/>
    <d v="2011-10-31T00:00:00"/>
    <n v="-3266.81"/>
  </r>
  <r>
    <s v="9500000055"/>
    <s v="YZ"/>
    <s v="201111"/>
    <x v="2"/>
    <s v="18287 TEC CONVERSION ACCOUNT SUMMARY"/>
    <s v="UNAM LOSS 2021 BDS"/>
    <x v="11"/>
    <d v="2011-11-30T00:00:00"/>
    <n v="-467.85"/>
  </r>
  <r>
    <s v="9500000055"/>
    <s v="YZ"/>
    <s v="201111"/>
    <x v="2"/>
    <s v="18288 TEC CONVERSION ACCOUNT SUMMARY"/>
    <s v="UNAM LOSS 2021 BDS"/>
    <x v="11"/>
    <d v="2011-11-30T00:00:00"/>
    <n v="-3266.81"/>
  </r>
  <r>
    <s v="9500000060"/>
    <s v="YZ"/>
    <s v="201112"/>
    <x v="2"/>
    <s v="18287 TEC CONVERSION ACCOUNT SUMMARY"/>
    <s v="UNAM LOSS 2021 BDS"/>
    <x v="11"/>
    <d v="2011-12-31T00:00:00"/>
    <n v="-467.85"/>
  </r>
  <r>
    <s v="9500000060"/>
    <s v="YZ"/>
    <s v="201112"/>
    <x v="2"/>
    <s v="18288 TEC CONVERSION ACCOUNT SUMMARY"/>
    <s v="UNAM LOSS 2021 BDS"/>
    <x v="11"/>
    <d v="2011-12-31T00:00:00"/>
    <n v="-3266.81"/>
  </r>
  <r>
    <s v="9500000101"/>
    <s v="YZ"/>
    <s v="201201"/>
    <x v="2"/>
    <s v="18287 TEC CONVERSION ACCOUNT SUMMARY"/>
    <s v="UNAM LOSS 2021 BDS"/>
    <x v="11"/>
    <d v="2012-01-31T00:00:00"/>
    <n v="-467.85"/>
  </r>
  <r>
    <s v="9500000101"/>
    <s v="YZ"/>
    <s v="201201"/>
    <x v="2"/>
    <s v="18288 TEC CONVERSION ACCOUNT SUMMARY"/>
    <s v="UNAM LOSS 2021 BDS"/>
    <x v="11"/>
    <d v="2012-01-31T00:00:00"/>
    <n v="-3266.81"/>
  </r>
  <r>
    <s v="9500000105"/>
    <s v="YZ"/>
    <s v="201202"/>
    <x v="2"/>
    <s v="18287 TEC CONVERSION ACCOUNT SUMMARY"/>
    <s v="UNAM LOSS 2021 BDS"/>
    <x v="11"/>
    <d v="2012-02-29T00:00:00"/>
    <n v="-467.85"/>
  </r>
  <r>
    <s v="9500000105"/>
    <s v="YZ"/>
    <s v="201202"/>
    <x v="2"/>
    <s v="18288 TEC CONVERSION ACCOUNT SUMMARY"/>
    <s v="UNAM LOSS 2021 BDS"/>
    <x v="11"/>
    <d v="2012-02-29T00:00:00"/>
    <n v="-3266.81"/>
  </r>
  <r>
    <s v="9500000109"/>
    <s v="YZ"/>
    <s v="201203"/>
    <x v="2"/>
    <s v="18287 TEC CONVERSION ACCOUNT SUMMARY"/>
    <s v="UNAM LOSS 2021 BDS"/>
    <x v="11"/>
    <d v="2012-03-31T00:00:00"/>
    <n v="-467.85"/>
  </r>
  <r>
    <s v="9500000109"/>
    <s v="YZ"/>
    <s v="201203"/>
    <x v="2"/>
    <s v="18288 TEC CONVERSION ACCOUNT SUMMARY"/>
    <s v="UNAM LOSS 2021 BDS"/>
    <x v="11"/>
    <d v="2012-03-31T00:00:00"/>
    <n v="-3266.81"/>
  </r>
  <r>
    <s v="9500000114"/>
    <s v="YZ"/>
    <s v="201204"/>
    <x v="2"/>
    <s v="18287 TEC CONVERSION ACCOUNT SUMMARY"/>
    <s v="UNAM LOSS 2021 BDS"/>
    <x v="11"/>
    <d v="2012-04-30T00:00:00"/>
    <n v="-467.85"/>
  </r>
  <r>
    <s v="9500000114"/>
    <s v="YZ"/>
    <s v="201204"/>
    <x v="2"/>
    <s v="18288 TEC CONVERSION ACCOUNT SUMMARY"/>
    <s v="UNAM LOSS 2021 BDS"/>
    <x v="11"/>
    <d v="2012-04-30T00:00:00"/>
    <n v="-3266.81"/>
  </r>
  <r>
    <s v="9500000131"/>
    <s v="YZ"/>
    <s v="201205"/>
    <x v="2"/>
    <s v="18287 TEC CONVERSION ACCOUNT SUMMARY"/>
    <s v="UNAM LOSS 2021 BDS"/>
    <x v="11"/>
    <d v="2012-05-31T00:00:00"/>
    <n v="-467.85"/>
  </r>
  <r>
    <s v="9500000131"/>
    <s v="YZ"/>
    <s v="201205"/>
    <x v="2"/>
    <s v="18288 TEC CONVERSION ACCOUNT SUMMARY"/>
    <s v="UNAM LOSS 2021 BDS"/>
    <x v="11"/>
    <d v="2012-05-31T00:00:00"/>
    <n v="-3266.81"/>
  </r>
  <r>
    <s v="9500000139"/>
    <s v="YZ"/>
    <s v="201206"/>
    <x v="2"/>
    <s v="18287 TEC CONVERSION ACCOUNT SUMMARY"/>
    <s v="UNAM LOSS 2021 BDS"/>
    <x v="11"/>
    <d v="2012-06-30T00:00:00"/>
    <n v="-467.85"/>
  </r>
  <r>
    <s v="9500000139"/>
    <s v="YZ"/>
    <s v="201206"/>
    <x v="2"/>
    <s v="18288 TEC CONVERSION ACCOUNT SUMMARY"/>
    <s v="UNAM LOSS 2021 BDS"/>
    <x v="11"/>
    <d v="2012-06-30T00:00:00"/>
    <n v="-3266.81"/>
  </r>
  <r>
    <s v="9500000147"/>
    <s v="YZ"/>
    <s v="201206"/>
    <x v="2"/>
    <s v="18287 TEC CONVERSION ACCOUNT SUMMARY"/>
    <s v="UNAM LOSS 2021 BDS"/>
    <x v="11"/>
    <d v="2012-06-30T00:00:00"/>
    <n v="467.85"/>
  </r>
  <r>
    <s v="9500000147"/>
    <s v="YZ"/>
    <s v="201206"/>
    <x v="2"/>
    <s v="18288 TEC CONVERSION ACCOUNT SUMMARY"/>
    <s v="UNAM LOSS 2021 BDS"/>
    <x v="11"/>
    <d v="2012-06-30T00:00:00"/>
    <n v="3266.81"/>
  </r>
  <r>
    <s v="9500000155"/>
    <s v="YZ"/>
    <s v="201206"/>
    <x v="2"/>
    <s v="18287 TEC CONVERSION ACCOUNT SUMMARY"/>
    <s v="UNAM LOSS 2021 BDS"/>
    <x v="11"/>
    <d v="2012-06-30T00:00:00"/>
    <n v="-467.85"/>
  </r>
  <r>
    <s v="9500000155"/>
    <s v="YZ"/>
    <s v="201206"/>
    <x v="2"/>
    <s v="18288 TEC CONVERSION ACCOUNT SUMMARY"/>
    <s v="UNAM LOSS 2021 BDS"/>
    <x v="11"/>
    <d v="2012-06-30T00:00:00"/>
    <n v="-3266.81"/>
  </r>
  <r>
    <s v="9500000000"/>
    <s v="YZ"/>
    <s v="DEC 31 2010"/>
    <x v="2"/>
    <s v="18284 TEC GL CONV YE 2010"/>
    <s v="UNAM LOSS 2022 BDS"/>
    <x v="11"/>
    <d v="2010-12-31T00:00:00"/>
    <n v="2133721.1800000002"/>
  </r>
  <r>
    <s v="9500000000"/>
    <s v="YZ"/>
    <s v="DEC 31 2010"/>
    <x v="2"/>
    <s v="18285 TEC GL CONV YE 2010"/>
    <s v="UNAM LOSS 2022 BDS"/>
    <x v="14"/>
    <d v="2010-12-31T00:00:00"/>
    <n v="534768.78"/>
  </r>
  <r>
    <s v="9500000001"/>
    <s v="YZ"/>
    <s v="DEC 31 2010"/>
    <x v="2"/>
    <s v="18284 TEC GL CONV YE 2010"/>
    <s v="UNAM LOSS 2022 BDS"/>
    <x v="11"/>
    <d v="2010-12-31T00:00:00"/>
    <n v="2133721.1800000002"/>
  </r>
  <r>
    <s v="9500000001"/>
    <s v="YZ"/>
    <s v="DEC 31 2010"/>
    <x v="2"/>
    <s v="18285 TEC GL CONV YE 2010"/>
    <s v="UNAM LOSS 2022 BDS"/>
    <x v="14"/>
    <d v="2010-12-31T00:00:00"/>
    <n v="534768.78"/>
  </r>
  <r>
    <s v="9500000002"/>
    <s v="YZ"/>
    <s v="DEC 31 2010"/>
    <x v="2"/>
    <s v="18284 TEC GL CONV YE 2010"/>
    <s v="UNAM LOSS 2022 BDS"/>
    <x v="11"/>
    <d v="2010-12-31T00:00:00"/>
    <n v="-2133721.1800000002"/>
  </r>
  <r>
    <s v="9500000002"/>
    <s v="YZ"/>
    <s v="DEC 31 2010"/>
    <x v="2"/>
    <s v="18285 TEC GL CONV YE 2010"/>
    <s v="UNAM LOSS 2022 BDS"/>
    <x v="14"/>
    <d v="2010-12-31T00:00:00"/>
    <n v="-534768.78"/>
  </r>
  <r>
    <s v="9500000006"/>
    <s v="YZ"/>
    <s v="201101"/>
    <x v="2"/>
    <s v="18284 TEC CONVERSION ACCOUNT SUMMARY"/>
    <s v="UNAM LOSS 2022 BDS"/>
    <x v="11"/>
    <d v="2011-01-31T00:00:00"/>
    <n v="-15689.13"/>
  </r>
  <r>
    <s v="9500000006"/>
    <s v="YZ"/>
    <s v="201101"/>
    <x v="2"/>
    <s v="18285 TEC CONVERSION ACCOUNT SUMMARY"/>
    <s v="UNAM LOSS 2022 BDS"/>
    <x v="14"/>
    <d v="2011-01-31T00:00:00"/>
    <n v="-3932.13"/>
  </r>
  <r>
    <s v="9500000010"/>
    <s v="YZ"/>
    <s v="201102"/>
    <x v="2"/>
    <s v="18284 TEC CONVERSION ACCOUNT SUMMARY"/>
    <s v="UNAM LOSS 2022 BDS"/>
    <x v="11"/>
    <d v="2011-02-28T00:00:00"/>
    <n v="-15689.13"/>
  </r>
  <r>
    <s v="9500000010"/>
    <s v="YZ"/>
    <s v="201102"/>
    <x v="2"/>
    <s v="18285 TEC CONVERSION ACCOUNT SUMMARY"/>
    <s v="UNAM LOSS 2022 BDS"/>
    <x v="14"/>
    <d v="2011-02-28T00:00:00"/>
    <n v="-3932.13"/>
  </r>
  <r>
    <s v="9500000015"/>
    <s v="YZ"/>
    <s v="201103"/>
    <x v="2"/>
    <s v="18284 TEC CONVERSION ACCOUNT SUMMARY"/>
    <s v="UNAM LOSS 2022 BDS"/>
    <x v="11"/>
    <d v="2011-03-31T00:00:00"/>
    <n v="-15689.13"/>
  </r>
  <r>
    <s v="9500000015"/>
    <s v="YZ"/>
    <s v="201103"/>
    <x v="2"/>
    <s v="18285 TEC CONVERSION ACCOUNT SUMMARY"/>
    <s v="UNAM LOSS 2022 BDS"/>
    <x v="14"/>
    <d v="2011-03-31T00:00:00"/>
    <n v="-3932.13"/>
  </r>
  <r>
    <s v="9500000020"/>
    <s v="YZ"/>
    <s v="201104"/>
    <x v="2"/>
    <s v="18284 TEC CONVERSION ACCOUNT SUMMARY"/>
    <s v="UNAM LOSS 2022 BDS"/>
    <x v="11"/>
    <d v="2011-04-30T00:00:00"/>
    <n v="-15689.13"/>
  </r>
  <r>
    <s v="9500000020"/>
    <s v="YZ"/>
    <s v="201104"/>
    <x v="2"/>
    <s v="18285 TEC CONVERSION ACCOUNT SUMMARY"/>
    <s v="UNAM LOSS 2022 BDS"/>
    <x v="14"/>
    <d v="2011-04-30T00:00:00"/>
    <n v="-3932.13"/>
  </r>
  <r>
    <s v="9500000025"/>
    <s v="YZ"/>
    <s v="201105"/>
    <x v="2"/>
    <s v="18284 TEC CONVERSION ACCOUNT SUMMARY"/>
    <s v="UNAM LOSS 2022 BDS"/>
    <x v="11"/>
    <d v="2011-05-31T00:00:00"/>
    <n v="-15689.13"/>
  </r>
  <r>
    <s v="9500000025"/>
    <s v="YZ"/>
    <s v="201105"/>
    <x v="2"/>
    <s v="18285 TEC CONVERSION ACCOUNT SUMMARY"/>
    <s v="UNAM LOSS 2022 BDS"/>
    <x v="14"/>
    <d v="2011-05-31T00:00:00"/>
    <n v="-3932.13"/>
  </r>
  <r>
    <s v="9500000030"/>
    <s v="YZ"/>
    <s v="201106"/>
    <x v="2"/>
    <s v="18284 TEC CONVERSION ACCOUNT SUMMARY"/>
    <s v="UNAM LOSS 2022 BDS"/>
    <x v="11"/>
    <d v="2011-06-30T00:00:00"/>
    <n v="-15689.13"/>
  </r>
  <r>
    <s v="9500000030"/>
    <s v="YZ"/>
    <s v="201106"/>
    <x v="2"/>
    <s v="18285 TEC CONVERSION ACCOUNT SUMMARY"/>
    <s v="UNAM LOSS 2022 BDS"/>
    <x v="14"/>
    <d v="2011-06-30T00:00:00"/>
    <n v="-3932.13"/>
  </r>
  <r>
    <s v="9500000035"/>
    <s v="YZ"/>
    <s v="201107"/>
    <x v="2"/>
    <s v="18284 TEC CONVERSION ACCOUNT SUMMARY"/>
    <s v="UNAM LOSS 2022 BDS"/>
    <x v="11"/>
    <d v="2011-07-31T00:00:00"/>
    <n v="-15689.13"/>
  </r>
  <r>
    <s v="9500000035"/>
    <s v="YZ"/>
    <s v="201107"/>
    <x v="2"/>
    <s v="18285 TEC CONVERSION ACCOUNT SUMMARY"/>
    <s v="UNAM LOSS 2022 BDS"/>
    <x v="14"/>
    <d v="2011-07-31T00:00:00"/>
    <n v="-3932.13"/>
  </r>
  <r>
    <s v="9500000040"/>
    <s v="YZ"/>
    <s v="201108"/>
    <x v="2"/>
    <s v="18284 TEC CONVERSION ACCOUNT SUMMARY"/>
    <s v="UNAM LOSS 2022 BDS"/>
    <x v="11"/>
    <d v="2011-08-31T00:00:00"/>
    <n v="-15689.13"/>
  </r>
  <r>
    <s v="9500000040"/>
    <s v="YZ"/>
    <s v="201108"/>
    <x v="2"/>
    <s v="18285 TEC CONVERSION ACCOUNT SUMMARY"/>
    <s v="UNAM LOSS 2022 BDS"/>
    <x v="14"/>
    <d v="2011-08-31T00:00:00"/>
    <n v="-3932.13"/>
  </r>
  <r>
    <s v="9500000045"/>
    <s v="YZ"/>
    <s v="201109"/>
    <x v="2"/>
    <s v="18284 TEC CONVERSION ACCOUNT SUMMARY"/>
    <s v="UNAM LOSS 2022 BDS"/>
    <x v="11"/>
    <d v="2011-09-30T00:00:00"/>
    <n v="-15689.13"/>
  </r>
  <r>
    <s v="9500000045"/>
    <s v="YZ"/>
    <s v="201109"/>
    <x v="2"/>
    <s v="18285 TEC CONVERSION ACCOUNT SUMMARY"/>
    <s v="UNAM LOSS 2022 BDS"/>
    <x v="14"/>
    <d v="2011-09-30T00:00:00"/>
    <n v="-3932.13"/>
  </r>
  <r>
    <s v="9500000050"/>
    <s v="YZ"/>
    <s v="201110"/>
    <x v="2"/>
    <s v="18284 TEC CONVERSION ACCOUNT SUMMARY"/>
    <s v="UNAM LOSS 2022 BDS"/>
    <x v="11"/>
    <d v="2011-10-31T00:00:00"/>
    <n v="-15689.13"/>
  </r>
  <r>
    <s v="9500000050"/>
    <s v="YZ"/>
    <s v="201110"/>
    <x v="2"/>
    <s v="18285 TEC CONVERSION ACCOUNT SUMMARY"/>
    <s v="UNAM LOSS 2022 BDS"/>
    <x v="14"/>
    <d v="2011-10-31T00:00:00"/>
    <n v="-3932.13"/>
  </r>
  <r>
    <s v="9500000055"/>
    <s v="YZ"/>
    <s v="201111"/>
    <x v="2"/>
    <s v="18284 TEC CONVERSION ACCOUNT SUMMARY"/>
    <s v="UNAM LOSS 2022 BDS"/>
    <x v="11"/>
    <d v="2011-11-30T00:00:00"/>
    <n v="-15689.13"/>
  </r>
  <r>
    <s v="9500000055"/>
    <s v="YZ"/>
    <s v="201111"/>
    <x v="2"/>
    <s v="18285 TEC CONVERSION ACCOUNT SUMMARY"/>
    <s v="UNAM LOSS 2022 BDS"/>
    <x v="14"/>
    <d v="2011-11-30T00:00:00"/>
    <n v="-3932.13"/>
  </r>
  <r>
    <s v="9500000060"/>
    <s v="YZ"/>
    <s v="201112"/>
    <x v="2"/>
    <s v="18284 TEC CONVERSION ACCOUNT SUMMARY"/>
    <s v="UNAM LOSS 2022 BDS"/>
    <x v="11"/>
    <d v="2011-12-31T00:00:00"/>
    <n v="-15689.13"/>
  </r>
  <r>
    <s v="9500000060"/>
    <s v="YZ"/>
    <s v="201112"/>
    <x v="2"/>
    <s v="18285 TEC CONVERSION ACCOUNT SUMMARY"/>
    <s v="UNAM LOSS 2022 BDS"/>
    <x v="14"/>
    <d v="2011-12-31T00:00:00"/>
    <n v="-3932.13"/>
  </r>
  <r>
    <s v="9500000101"/>
    <s v="YZ"/>
    <s v="201201"/>
    <x v="2"/>
    <s v="18284 TEC CONVERSION ACCOUNT SUMMARY"/>
    <s v="UNAM LOSS 2022 BDS"/>
    <x v="11"/>
    <d v="2012-01-31T00:00:00"/>
    <n v="-15689.13"/>
  </r>
  <r>
    <s v="9500000101"/>
    <s v="YZ"/>
    <s v="201201"/>
    <x v="2"/>
    <s v="18285 TEC CONVERSION ACCOUNT SUMMARY"/>
    <s v="UNAM LOSS 2022 BDS"/>
    <x v="14"/>
    <d v="2012-01-31T00:00:00"/>
    <n v="-3932.13"/>
  </r>
  <r>
    <s v="9500000105"/>
    <s v="YZ"/>
    <s v="201202"/>
    <x v="2"/>
    <s v="18284 TEC CONVERSION ACCOUNT SUMMARY"/>
    <s v="UNAM LOSS 2022 BDS"/>
    <x v="11"/>
    <d v="2012-02-29T00:00:00"/>
    <n v="-15689.13"/>
  </r>
  <r>
    <s v="9500000105"/>
    <s v="YZ"/>
    <s v="201202"/>
    <x v="2"/>
    <s v="18285 TEC CONVERSION ACCOUNT SUMMARY"/>
    <s v="UNAM LOSS 2022 BDS"/>
    <x v="14"/>
    <d v="2012-02-29T00:00:00"/>
    <n v="-3932.13"/>
  </r>
  <r>
    <s v="9500000109"/>
    <s v="YZ"/>
    <s v="201203"/>
    <x v="2"/>
    <s v="18284 TEC CONVERSION ACCOUNT SUMMARY"/>
    <s v="UNAM LOSS 2022 BDS"/>
    <x v="11"/>
    <d v="2012-03-31T00:00:00"/>
    <n v="-15689.13"/>
  </r>
  <r>
    <s v="9500000109"/>
    <s v="YZ"/>
    <s v="201203"/>
    <x v="2"/>
    <s v="18285 TEC CONVERSION ACCOUNT SUMMARY"/>
    <s v="UNAM LOSS 2022 BDS"/>
    <x v="14"/>
    <d v="2012-03-31T00:00:00"/>
    <n v="-3932.13"/>
  </r>
  <r>
    <s v="9500000114"/>
    <s v="YZ"/>
    <s v="201204"/>
    <x v="2"/>
    <s v="18284 TEC CONVERSION ACCOUNT SUMMARY"/>
    <s v="UNAM LOSS 2022 BDS"/>
    <x v="11"/>
    <d v="2012-04-30T00:00:00"/>
    <n v="-15689.13"/>
  </r>
  <r>
    <s v="9500000114"/>
    <s v="YZ"/>
    <s v="201204"/>
    <x v="2"/>
    <s v="18285 TEC CONVERSION ACCOUNT SUMMARY"/>
    <s v="UNAM LOSS 2022 BDS"/>
    <x v="14"/>
    <d v="2012-04-30T00:00:00"/>
    <n v="-3932.13"/>
  </r>
  <r>
    <s v="9500000131"/>
    <s v="YZ"/>
    <s v="201205"/>
    <x v="2"/>
    <s v="18284 TEC CONVERSION ACCOUNT SUMMARY"/>
    <s v="UNAM LOSS 2022 BDS"/>
    <x v="11"/>
    <d v="2012-05-31T00:00:00"/>
    <n v="-15689.13"/>
  </r>
  <r>
    <s v="9500000131"/>
    <s v="YZ"/>
    <s v="201205"/>
    <x v="2"/>
    <s v="18285 TEC CONVERSION ACCOUNT SUMMARY"/>
    <s v="UNAM LOSS 2022 BDS"/>
    <x v="14"/>
    <d v="2012-05-31T00:00:00"/>
    <n v="-3932.13"/>
  </r>
  <r>
    <s v="9500000139"/>
    <s v="YZ"/>
    <s v="201206"/>
    <x v="2"/>
    <s v="18284 TEC CONVERSION ACCOUNT SUMMARY"/>
    <s v="UNAM LOSS 2022 BDS"/>
    <x v="11"/>
    <d v="2012-06-30T00:00:00"/>
    <n v="-15689.13"/>
  </r>
  <r>
    <s v="9500000139"/>
    <s v="YZ"/>
    <s v="201206"/>
    <x v="2"/>
    <s v="18285 TEC CONVERSION ACCOUNT SUMMARY"/>
    <s v="UNAM LOSS 2022 BDS"/>
    <x v="14"/>
    <d v="2012-06-30T00:00:00"/>
    <n v="-3932.13"/>
  </r>
  <r>
    <s v="9500000147"/>
    <s v="YZ"/>
    <s v="201206"/>
    <x v="2"/>
    <s v="18284 TEC CONVERSION ACCOUNT SUMMARY"/>
    <s v="UNAM LOSS 2022 BDS"/>
    <x v="11"/>
    <d v="2012-06-30T00:00:00"/>
    <n v="15689.13"/>
  </r>
  <r>
    <s v="9500000147"/>
    <s v="YZ"/>
    <s v="201206"/>
    <x v="2"/>
    <s v="18285 TEC CONVERSION ACCOUNT SUMMARY"/>
    <s v="UNAM LOSS 2022 BDS"/>
    <x v="14"/>
    <d v="2012-06-30T00:00:00"/>
    <n v="3932.13"/>
  </r>
  <r>
    <s v="9500000155"/>
    <s v="YZ"/>
    <s v="201206"/>
    <x v="2"/>
    <s v="18284 TEC CONVERSION ACCOUNT SUMMARY"/>
    <s v="UNAM LOSS 2022 BDS"/>
    <x v="11"/>
    <d v="2012-06-30T00:00:00"/>
    <n v="-15689.13"/>
  </r>
  <r>
    <s v="9500000155"/>
    <s v="YZ"/>
    <s v="201206"/>
    <x v="2"/>
    <s v="18285 TEC CONVERSION ACCOUNT SUMMARY"/>
    <s v="UNAM LOSS 2022 BDS"/>
    <x v="14"/>
    <d v="2012-06-30T00:00:00"/>
    <n v="-3932.13"/>
  </r>
  <r>
    <s v="9500000000"/>
    <s v="YZ"/>
    <s v="DEC 31 2010"/>
    <x v="2"/>
    <s v="18281 TEC GL CONV YE 2010"/>
    <s v="UNAM LOSS HCIDA"/>
    <x v="11"/>
    <d v="2010-12-31T00:00:00"/>
    <n v="385543.49"/>
  </r>
  <r>
    <s v="9500000001"/>
    <s v="YZ"/>
    <s v="DEC 31 2010"/>
    <x v="2"/>
    <s v="18281 TEC GL CONV YE 2010"/>
    <s v="UNAM LOSS HCIDA"/>
    <x v="11"/>
    <d v="2010-12-31T00:00:00"/>
    <n v="385543.49"/>
  </r>
  <r>
    <s v="9500000002"/>
    <s v="YZ"/>
    <s v="DEC 31 2010"/>
    <x v="2"/>
    <s v="18281 TEC GL CONV YE 2010"/>
    <s v="UNAM LOSS HCIDA"/>
    <x v="11"/>
    <d v="2010-12-31T00:00:00"/>
    <n v="-385543.49"/>
  </r>
  <r>
    <s v="9500000006"/>
    <s v="YZ"/>
    <s v="201101"/>
    <x v="2"/>
    <s v="18281 TEC CONVERSION ACCOUNT SUMMARY"/>
    <s v="UNAM LOSS HCIDA"/>
    <x v="11"/>
    <d v="2011-01-31T00:00:00"/>
    <n v="-3056.11"/>
  </r>
  <r>
    <s v="9500000010"/>
    <s v="YZ"/>
    <s v="201102"/>
    <x v="2"/>
    <s v="18281 TEC CONVERSION ACCOUNT SUMMARY"/>
    <s v="UNAM LOSS HCIDA"/>
    <x v="11"/>
    <d v="2011-02-28T00:00:00"/>
    <n v="-3056.11"/>
  </r>
  <r>
    <s v="9500000015"/>
    <s v="YZ"/>
    <s v="201103"/>
    <x v="2"/>
    <s v="18281 TEC CONVERSION ACCOUNT SUMMARY"/>
    <s v="UNAM LOSS HCIDA"/>
    <x v="11"/>
    <d v="2011-03-31T00:00:00"/>
    <n v="-3056.11"/>
  </r>
  <r>
    <s v="9500000020"/>
    <s v="YZ"/>
    <s v="201104"/>
    <x v="2"/>
    <s v="18281 TEC CONVERSION ACCOUNT SUMMARY"/>
    <s v="UNAM LOSS HCIDA"/>
    <x v="11"/>
    <d v="2011-04-30T00:00:00"/>
    <n v="-3056.11"/>
  </r>
  <r>
    <s v="9500000025"/>
    <s v="YZ"/>
    <s v="201105"/>
    <x v="2"/>
    <s v="18281 TEC CONVERSION ACCOUNT SUMMARY"/>
    <s v="UNAM LOSS HCIDA"/>
    <x v="11"/>
    <d v="2011-05-31T00:00:00"/>
    <n v="-3056.11"/>
  </r>
  <r>
    <s v="9500000030"/>
    <s v="YZ"/>
    <s v="201106"/>
    <x v="2"/>
    <s v="18281 TEC CONVERSION ACCOUNT SUMMARY"/>
    <s v="UNAM LOSS HCIDA"/>
    <x v="11"/>
    <d v="2011-06-30T00:00:00"/>
    <n v="-3056.11"/>
  </r>
  <r>
    <s v="9500000035"/>
    <s v="YZ"/>
    <s v="201107"/>
    <x v="2"/>
    <s v="18281 TEC CONVERSION ACCOUNT SUMMARY"/>
    <s v="UNAM LOSS HCIDA"/>
    <x v="11"/>
    <d v="2011-07-31T00:00:00"/>
    <n v="-3056.11"/>
  </r>
  <r>
    <s v="9500000040"/>
    <s v="YZ"/>
    <s v="201108"/>
    <x v="2"/>
    <s v="18281 TEC CONVERSION ACCOUNT SUMMARY"/>
    <s v="UNAM LOSS HCIDA"/>
    <x v="11"/>
    <d v="2011-08-31T00:00:00"/>
    <n v="-3056.11"/>
  </r>
  <r>
    <s v="9500000045"/>
    <s v="YZ"/>
    <s v="201109"/>
    <x v="2"/>
    <s v="18281 TEC CONVERSION ACCOUNT SUMMARY"/>
    <s v="UNAM LOSS HCIDA"/>
    <x v="11"/>
    <d v="2011-09-30T00:00:00"/>
    <n v="-3056.11"/>
  </r>
  <r>
    <s v="9500000050"/>
    <s v="YZ"/>
    <s v="201110"/>
    <x v="2"/>
    <s v="18281 TEC CONVERSION ACCOUNT SUMMARY"/>
    <s v="UNAM LOSS HCIDA"/>
    <x v="11"/>
    <d v="2011-10-31T00:00:00"/>
    <n v="-3056.11"/>
  </r>
  <r>
    <s v="9500000055"/>
    <s v="YZ"/>
    <s v="201111"/>
    <x v="2"/>
    <s v="18281 TEC CONVERSION ACCOUNT SUMMARY"/>
    <s v="UNAM LOSS HCIDA"/>
    <x v="11"/>
    <d v="2011-11-30T00:00:00"/>
    <n v="-3056.11"/>
  </r>
  <r>
    <s v="9500000060"/>
    <s v="YZ"/>
    <s v="201112"/>
    <x v="2"/>
    <s v="18281 TEC CONVERSION ACCOUNT SUMMARY"/>
    <s v="UNAM LOSS HCIDA"/>
    <x v="11"/>
    <d v="2011-12-31T00:00:00"/>
    <n v="-3056.11"/>
  </r>
  <r>
    <s v="9500000101"/>
    <s v="YZ"/>
    <s v="201201"/>
    <x v="2"/>
    <s v="18281 TEC CONVERSION ACCOUNT SUMMARY"/>
    <s v="UNAM LOSS HCIDA"/>
    <x v="11"/>
    <d v="2012-01-31T00:00:00"/>
    <n v="-3056.11"/>
  </r>
  <r>
    <s v="9500000105"/>
    <s v="YZ"/>
    <s v="201202"/>
    <x v="2"/>
    <s v="18281 TEC CONVERSION ACCOUNT SUMMARY"/>
    <s v="UNAM LOSS HCIDA"/>
    <x v="11"/>
    <d v="2012-02-29T00:00:00"/>
    <n v="-3056.11"/>
  </r>
  <r>
    <s v="9500000109"/>
    <s v="YZ"/>
    <s v="201203"/>
    <x v="2"/>
    <s v="18281 TEC CONVERSION ACCOUNT SUMMARY"/>
    <s v="UNAM LOSS HCIDA"/>
    <x v="11"/>
    <d v="2012-03-31T00:00:00"/>
    <n v="-3056.11"/>
  </r>
  <r>
    <s v="9500000114"/>
    <s v="YZ"/>
    <s v="201204"/>
    <x v="2"/>
    <s v="18281 TEC CONVERSION ACCOUNT SUMMARY"/>
    <s v="UNAM LOSS HCIDA"/>
    <x v="11"/>
    <d v="2012-04-30T00:00:00"/>
    <n v="-3056.11"/>
  </r>
  <r>
    <s v="9500000131"/>
    <s v="YZ"/>
    <s v="201205"/>
    <x v="2"/>
    <s v="18281 TEC CONVERSION ACCOUNT SUMMARY"/>
    <s v="UNAM LOSS HCIDA"/>
    <x v="11"/>
    <d v="2012-05-31T00:00:00"/>
    <n v="-3056.11"/>
  </r>
  <r>
    <s v="9500000139"/>
    <s v="YZ"/>
    <s v="201206"/>
    <x v="2"/>
    <s v="18281 TEC CONVERSION ACCOUNT SUMMARY"/>
    <s v="UNAM LOSS HCIDA"/>
    <x v="11"/>
    <d v="2012-06-30T00:00:00"/>
    <n v="-3056.11"/>
  </r>
  <r>
    <s v="9500000147"/>
    <s v="YZ"/>
    <s v="201206"/>
    <x v="2"/>
    <s v="18281 TEC CONVERSION ACCOUNT SUMMARY"/>
    <s v="UNAM LOSS HCIDA"/>
    <x v="11"/>
    <d v="2012-06-30T00:00:00"/>
    <n v="3056.11"/>
  </r>
  <r>
    <s v="9500000155"/>
    <s v="YZ"/>
    <s v="201206"/>
    <x v="2"/>
    <s v="18281 TEC CONVERSION ACCOUNT SUMMARY"/>
    <s v="UNAM LOSS HCIDA"/>
    <x v="11"/>
    <d v="2012-06-30T00:00:00"/>
    <n v="-3056.11"/>
  </r>
  <r>
    <s v="9500000000"/>
    <s v="YZ"/>
    <s v="DEC 31 2010"/>
    <x v="2"/>
    <s v="18280 TEC GL CONV YE 2010"/>
    <s v="UNAM LOSS-P/O 2011"/>
    <x v="11"/>
    <d v="2010-12-31T00:00:00"/>
    <n v="24445.4"/>
  </r>
  <r>
    <s v="9500000001"/>
    <s v="YZ"/>
    <s v="DEC 31 2010"/>
    <x v="2"/>
    <s v="18280 TEC GL CONV YE 2010"/>
    <s v="UNAM LOSS-P/O 2011"/>
    <x v="11"/>
    <d v="2010-12-31T00:00:00"/>
    <n v="24445.4"/>
  </r>
  <r>
    <s v="9500000002"/>
    <s v="YZ"/>
    <s v="DEC 31 2010"/>
    <x v="2"/>
    <s v="18280 TEC GL CONV YE 2010"/>
    <s v="UNAM LOSS-P/O 2011"/>
    <x v="11"/>
    <d v="2010-12-31T00:00:00"/>
    <n v="-24445.4"/>
  </r>
  <r>
    <s v="9500000006"/>
    <s v="YZ"/>
    <s v="201101"/>
    <x v="2"/>
    <s v="18280 TEC CONVERSION ACCOUNT SUMMARY"/>
    <s v="UNAM LOSS-P/O 2011"/>
    <x v="11"/>
    <d v="2011-01-31T00:00:00"/>
    <n v="-3780.16"/>
  </r>
  <r>
    <s v="9500000010"/>
    <s v="YZ"/>
    <s v="201102"/>
    <x v="2"/>
    <s v="18280 TEC CONVERSION ACCOUNT SUMMARY"/>
    <s v="UNAM LOSS-P/O 2011"/>
    <x v="11"/>
    <d v="2011-02-28T00:00:00"/>
    <n v="-3780.16"/>
  </r>
  <r>
    <s v="9500000015"/>
    <s v="YZ"/>
    <s v="201103"/>
    <x v="2"/>
    <s v="18280 TEC CONVERSION ACCOUNT SUMMARY"/>
    <s v="UNAM LOSS-P/O 2011"/>
    <x v="11"/>
    <d v="2011-03-31T00:00:00"/>
    <n v="-3780.16"/>
  </r>
  <r>
    <s v="9500000020"/>
    <s v="YZ"/>
    <s v="201104"/>
    <x v="2"/>
    <s v="18280 TEC CONVERSION ACCOUNT SUMMARY"/>
    <s v="UNAM LOSS-P/O 2011"/>
    <x v="11"/>
    <d v="2011-04-30T00:00:00"/>
    <n v="-3780.16"/>
  </r>
  <r>
    <s v="9500000025"/>
    <s v="YZ"/>
    <s v="201105"/>
    <x v="2"/>
    <s v="18280 TEC CONVERSION ACCOUNT SUMMARY"/>
    <s v="UNAM LOSS-P/O 2011"/>
    <x v="11"/>
    <d v="2011-05-31T00:00:00"/>
    <n v="-3780.16"/>
  </r>
  <r>
    <s v="9500000030"/>
    <s v="YZ"/>
    <s v="201106"/>
    <x v="2"/>
    <s v="18280 TEC CONVERSION ACCOUNT SUMMARY"/>
    <s v="UNAM LOSS-P/O 2011"/>
    <x v="11"/>
    <d v="2011-06-30T00:00:00"/>
    <n v="-3780.16"/>
  </r>
  <r>
    <s v="9500000035"/>
    <s v="YZ"/>
    <s v="201107"/>
    <x v="2"/>
    <s v="18280 TEC CONVERSION ACCOUNT SUMMARY"/>
    <s v="UNAM LOSS-P/O 2011"/>
    <x v="11"/>
    <d v="2011-07-31T00:00:00"/>
    <n v="-1764.44"/>
  </r>
  <r>
    <m/>
    <m/>
    <m/>
    <x v="3"/>
    <m/>
    <m/>
    <x v="23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A00-000000000000}" name="PivotTable1" cacheId="0" dataOnRows="1" applyNumberFormats="0" applyBorderFormats="0" applyFontFormats="0" applyPatternFormats="0" applyAlignmentFormats="0" applyWidthHeightFormats="1" dataCaption="Data" updatedVersion="6" minRefreshableVersion="3" showMemberPropertyTips="0" useAutoFormatting="1" itemPrintTitles="1" createdVersion="6" indent="0" compact="0" compactData="0" gridDropZones="1">
  <location ref="K11:M39" firstHeaderRow="2" firstDataRow="2" firstDataCol="2"/>
  <pivotFields count="9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6">
        <item x="0"/>
        <item x="1"/>
        <item x="2"/>
        <item x="3"/>
        <item x="4"/>
        <item t="default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7">
        <item x="0"/>
        <item x="1"/>
        <item x="2"/>
        <item x="3"/>
        <item x="4"/>
        <item x="5"/>
        <item t="default"/>
      </items>
    </pivotField>
    <pivotField compact="0" numFmtId="176" outline="0" subtotalTop="0" showAll="0" includeNewItemsInFilter="1"/>
    <pivotField dataField="1" compact="0" outline="0" subtotalTop="0" showAll="0" includeNewItemsInFilter="1" defaultSubtotal="0"/>
  </pivotFields>
  <rowFields count="2">
    <field x="3"/>
    <field x="6"/>
  </rowFields>
  <rowItems count="27">
    <i>
      <x/>
      <x/>
    </i>
    <i r="1">
      <x v="1"/>
    </i>
    <i r="1">
      <x v="2"/>
    </i>
    <i r="1">
      <x v="3"/>
    </i>
    <i r="1">
      <x v="4"/>
    </i>
    <i t="default">
      <x/>
    </i>
    <i>
      <x v="1"/>
      <x/>
    </i>
    <i r="1">
      <x v="1"/>
    </i>
    <i r="1">
      <x v="2"/>
    </i>
    <i r="1">
      <x v="3"/>
    </i>
    <i r="1">
      <x v="4"/>
    </i>
    <i t="default">
      <x v="1"/>
    </i>
    <i>
      <x v="2"/>
      <x/>
    </i>
    <i r="1">
      <x v="1"/>
    </i>
    <i r="1">
      <x v="2"/>
    </i>
    <i r="1">
      <x v="3"/>
    </i>
    <i r="1">
      <x v="4"/>
    </i>
    <i t="default">
      <x v="2"/>
    </i>
    <i>
      <x v="3"/>
      <x/>
    </i>
    <i r="1">
      <x v="1"/>
    </i>
    <i r="1">
      <x v="2"/>
    </i>
    <i r="1">
      <x v="3"/>
    </i>
    <i r="1">
      <x v="4"/>
    </i>
    <i t="default">
      <x v="3"/>
    </i>
    <i>
      <x v="4"/>
      <x v="5"/>
    </i>
    <i t="default">
      <x v="4"/>
    </i>
    <i t="grand">
      <x/>
    </i>
  </rowItems>
  <colItems count="1">
    <i/>
  </colItems>
  <dataFields count="1">
    <dataField name="Sum of Amount" fld="8" baseField="0" baseItem="0"/>
  </dataFields>
  <formats count="1">
    <format dxfId="1">
      <pivotArea outline="0" fieldPosition="0"/>
    </format>
  </formats>
  <pivotTableStyleInfo name="PivotStyleDark5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B00-000000000000}" name="PivotTable2" cacheId="1" dataOnRows="1" applyNumberFormats="0" applyBorderFormats="0" applyFontFormats="0" applyPatternFormats="0" applyAlignmentFormats="0" applyWidthHeightFormats="1" dataCaption="Data" updatedVersion="6" minRefreshableVersion="3" showMemberPropertyTips="0" useAutoFormatting="1" itemPrintTitles="1" createdVersion="6" indent="0" compact="0" compactData="0" gridDropZones="1">
  <location ref="K6:M57" firstHeaderRow="2" firstDataRow="2" firstDataCol="2"/>
  <pivotFields count="9"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/>
    <pivotField axis="axisRow" compact="0" outline="0" subtotalTop="0" showAll="0" includeNewItemsInFilter="1">
      <items count="5">
        <item x="0"/>
        <item x="1"/>
        <item x="2"/>
        <item x="3"/>
        <item t="default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24">
        <item x="18"/>
        <item x="7"/>
        <item x="10"/>
        <item x="12"/>
        <item x="8"/>
        <item x="13"/>
        <item x="2"/>
        <item x="5"/>
        <item x="3"/>
        <item x="6"/>
        <item x="9"/>
        <item x="15"/>
        <item x="16"/>
        <item x="4"/>
        <item x="14"/>
        <item x="17"/>
        <item x="0"/>
        <item x="1"/>
        <item x="19"/>
        <item x="20"/>
        <item x="21"/>
        <item x="22"/>
        <item x="11"/>
        <item x="23"/>
      </items>
    </pivotField>
    <pivotField compact="0" outline="0" subtotalTop="0" showAll="0" includeNewItemsInFilter="1" defaultSubtotal="0"/>
    <pivotField dataField="1" compact="0" outline="0" subtotalTop="0" showAll="0" includeNewItemsInFilter="1" defaultSubtotal="0"/>
  </pivotFields>
  <rowFields count="2">
    <field x="3"/>
    <field x="6"/>
  </rowFields>
  <rowItems count="50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/>
    </i>
    <i>
      <x v="1"/>
      <x/>
    </i>
    <i r="1">
      <x v="1"/>
    </i>
    <i r="1">
      <x v="3"/>
    </i>
    <i r="1">
      <x v="4"/>
    </i>
    <i r="1">
      <x v="5"/>
    </i>
    <i r="1">
      <x v="6"/>
    </i>
    <i r="1">
      <x v="7"/>
    </i>
    <i r="1">
      <x v="11"/>
    </i>
    <i r="1">
      <x v="14"/>
    </i>
    <i r="1">
      <x v="22"/>
    </i>
    <i t="default">
      <x v="1"/>
    </i>
    <i>
      <x v="2"/>
      <x/>
    </i>
    <i r="1">
      <x v="1"/>
    </i>
    <i r="1">
      <x v="3"/>
    </i>
    <i r="1">
      <x v="4"/>
    </i>
    <i r="1">
      <x v="5"/>
    </i>
    <i r="1">
      <x v="6"/>
    </i>
    <i r="1">
      <x v="7"/>
    </i>
    <i r="1">
      <x v="9"/>
    </i>
    <i r="1">
      <x v="10"/>
    </i>
    <i r="1">
      <x v="14"/>
    </i>
    <i r="1">
      <x v="22"/>
    </i>
    <i t="default">
      <x v="2"/>
    </i>
    <i>
      <x v="3"/>
      <x v="23"/>
    </i>
    <i t="default">
      <x v="3"/>
    </i>
    <i t="grand">
      <x/>
    </i>
  </rowItems>
  <colItems count="1">
    <i/>
  </colItems>
  <dataFields count="1">
    <dataField name="Sum of Amount" fld="8" baseField="0" baseItem="0"/>
  </dataFields>
  <formats count="1">
    <format dxfId="0">
      <pivotArea outline="0" fieldPosition="0"/>
    </format>
  </formats>
  <pivotTableStyleInfo name="PivotStyleDark4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Flow">
      <a:dk1>
        <a:sysClr val="windowText" lastClr="000000"/>
      </a:dk1>
      <a:lt1>
        <a:sysClr val="window" lastClr="FFFFFF"/>
      </a:lt1>
      <a:dk2>
        <a:srgbClr val="04617B"/>
      </a:dk2>
      <a:lt2>
        <a:srgbClr val="DBF5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F49100"/>
      </a:hlink>
      <a:folHlink>
        <a:srgbClr val="85DFD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0.bin"/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9.bin"/><Relationship Id="rId5" Type="http://schemas.openxmlformats.org/officeDocument/2006/relationships/comments" Target="../comments5.xml"/><Relationship Id="rId4" Type="http://schemas.openxmlformats.org/officeDocument/2006/relationships/vmlDrawing" Target="../drawings/vmlDrawing5.v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2.bin"/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4.bin"/><Relationship Id="rId2" Type="http://schemas.openxmlformats.org/officeDocument/2006/relationships/customProperty" Target="../customProperty23.bin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6.bin"/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8.bin"/><Relationship Id="rId2" Type="http://schemas.openxmlformats.org/officeDocument/2006/relationships/customProperty" Target="../customProperty27.bin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0.bin"/><Relationship Id="rId2" Type="http://schemas.openxmlformats.org/officeDocument/2006/relationships/customProperty" Target="../customProperty29.bin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2.bin"/><Relationship Id="rId2" Type="http://schemas.openxmlformats.org/officeDocument/2006/relationships/customProperty" Target="../customProperty31.bin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4.bin"/><Relationship Id="rId2" Type="http://schemas.openxmlformats.org/officeDocument/2006/relationships/customProperty" Target="../customProperty33.bin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36.bin"/><Relationship Id="rId1" Type="http://schemas.openxmlformats.org/officeDocument/2006/relationships/customProperty" Target="../customProperty35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8.bin"/><Relationship Id="rId2" Type="http://schemas.openxmlformats.org/officeDocument/2006/relationships/customProperty" Target="../customProperty37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2.xml"/><Relationship Id="rId5" Type="http://schemas.openxmlformats.org/officeDocument/2006/relationships/vmlDrawing" Target="../drawings/vmlDrawing2.vml"/><Relationship Id="rId4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0.bin"/><Relationship Id="rId2" Type="http://schemas.openxmlformats.org/officeDocument/2006/relationships/customProperty" Target="../customProperty39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customProperty" Target="../customProperty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.bin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0.bin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4.bin"/><Relationship Id="rId5" Type="http://schemas.openxmlformats.org/officeDocument/2006/relationships/comments" Target="../comments3.xml"/><Relationship Id="rId4" Type="http://schemas.openxmlformats.org/officeDocument/2006/relationships/vmlDrawing" Target="../drawings/vmlDrawing3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2.bin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5.bin"/><Relationship Id="rId4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4.bin"/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6.bin"/><Relationship Id="rId6" Type="http://schemas.openxmlformats.org/officeDocument/2006/relationships/comments" Target="../comments4.xml"/><Relationship Id="rId5" Type="http://schemas.openxmlformats.org/officeDocument/2006/relationships/vmlDrawing" Target="../drawings/vmlDrawing4.vml"/><Relationship Id="rId4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6.bin"/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7.bin"/><Relationship Id="rId4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8.bin"/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EBB1D2-FB54-4C9A-B2F8-589BAF44F48E}">
  <sheetPr>
    <tabColor theme="8" tint="0.39997558519241921"/>
  </sheetPr>
  <dimension ref="A1:BU59"/>
  <sheetViews>
    <sheetView tabSelected="1" view="pageBreakPreview" topLeftCell="A9" zoomScale="90" zoomScaleNormal="100" zoomScaleSheetLayoutView="90" workbookViewId="0">
      <selection activeCell="H42" sqref="H42"/>
    </sheetView>
  </sheetViews>
  <sheetFormatPr defaultColWidth="9.140625" defaultRowHeight="14.1" customHeight="1" x14ac:dyDescent="0.2"/>
  <cols>
    <col min="1" max="1" width="2.85546875" style="1" customWidth="1"/>
    <col min="2" max="2" width="7.42578125" style="1" customWidth="1"/>
    <col min="3" max="3" width="9.5703125" style="4" customWidth="1"/>
    <col min="4" max="4" width="8.5703125" style="1" customWidth="1"/>
    <col min="5" max="5" width="8.7109375" style="1" customWidth="1"/>
    <col min="6" max="6" width="11" style="1" customWidth="1"/>
    <col min="7" max="7" width="9.140625" style="1" customWidth="1"/>
    <col min="8" max="8" width="16.140625" style="1" customWidth="1"/>
    <col min="9" max="9" width="11.28515625" style="1" bestFit="1" customWidth="1"/>
    <col min="10" max="10" width="14" style="1" customWidth="1"/>
    <col min="11" max="11" width="9.5703125" style="1" customWidth="1"/>
    <col min="12" max="12" width="12.42578125" style="1" customWidth="1"/>
    <col min="13" max="13" width="10.42578125" style="1" customWidth="1"/>
    <col min="14" max="14" width="3.140625" style="1" customWidth="1"/>
    <col min="15" max="15" width="12.7109375" style="1" customWidth="1"/>
    <col min="16" max="16" width="10.85546875" style="1" customWidth="1"/>
    <col min="17" max="17" width="9.28515625" style="1" bestFit="1" customWidth="1"/>
    <col min="18" max="18" width="8.140625" style="1" bestFit="1" customWidth="1"/>
    <col min="19" max="19" width="4.28515625" style="1" bestFit="1" customWidth="1"/>
    <col min="20" max="23" width="7" style="1" bestFit="1" customWidth="1"/>
    <col min="24" max="24" width="10.5703125" style="162" bestFit="1" customWidth="1"/>
    <col min="25" max="29" width="7" style="1" bestFit="1" customWidth="1"/>
    <col min="30" max="30" width="9.140625" style="1"/>
    <col min="31" max="32" width="11.140625" style="1" bestFit="1" customWidth="1"/>
    <col min="33" max="40" width="9.140625" style="1"/>
    <col min="41" max="41" width="11.140625" style="1" bestFit="1" customWidth="1"/>
    <col min="42" max="42" width="14.140625" style="1" bestFit="1" customWidth="1"/>
    <col min="43" max="52" width="9.140625" style="1"/>
    <col min="53" max="53" width="11.7109375" style="1" bestFit="1" customWidth="1"/>
    <col min="54" max="61" width="9.140625" style="1"/>
    <col min="62" max="62" width="11.140625" style="1" bestFit="1" customWidth="1"/>
    <col min="63" max="72" width="9.140625" style="1"/>
    <col min="73" max="73" width="11.140625" style="1" bestFit="1" customWidth="1"/>
    <col min="74" max="16384" width="9.140625" style="1"/>
  </cols>
  <sheetData>
    <row r="1" spans="1:28" ht="13.5" customHeight="1" thickBot="1" x14ac:dyDescent="0.25">
      <c r="A1" s="2" t="s">
        <v>3596</v>
      </c>
      <c r="B1" s="2"/>
      <c r="C1" s="380"/>
      <c r="D1" s="2"/>
      <c r="E1" s="2"/>
      <c r="F1" s="2"/>
      <c r="G1" s="2"/>
      <c r="H1" s="2" t="s">
        <v>3597</v>
      </c>
      <c r="I1" s="2"/>
      <c r="J1" s="2"/>
      <c r="K1" s="2"/>
      <c r="L1" s="2"/>
      <c r="M1" s="2"/>
      <c r="N1" s="2"/>
      <c r="O1" s="2"/>
      <c r="P1" s="2" t="s">
        <v>10671</v>
      </c>
    </row>
    <row r="2" spans="1:28" ht="14.1" customHeight="1" x14ac:dyDescent="0.2">
      <c r="A2" s="1" t="s">
        <v>3598</v>
      </c>
      <c r="E2" s="1" t="s">
        <v>3599</v>
      </c>
      <c r="G2" s="1" t="s">
        <v>3600</v>
      </c>
      <c r="K2" s="3"/>
      <c r="M2" s="3" t="s">
        <v>3601</v>
      </c>
      <c r="P2" s="4"/>
      <c r="S2" s="4"/>
      <c r="U2" s="4"/>
      <c r="V2" s="162"/>
      <c r="W2" s="162"/>
      <c r="Y2" s="162"/>
    </row>
    <row r="3" spans="1:28" ht="14.1" customHeight="1" x14ac:dyDescent="0.2">
      <c r="G3" s="1" t="s">
        <v>4329</v>
      </c>
      <c r="K3" s="5"/>
      <c r="M3" s="5"/>
      <c r="N3" s="4" t="s">
        <v>10644</v>
      </c>
      <c r="P3" s="5"/>
      <c r="S3" s="4"/>
      <c r="U3" s="4"/>
      <c r="V3" s="162"/>
      <c r="W3" s="162"/>
      <c r="Y3" s="162"/>
    </row>
    <row r="4" spans="1:28" ht="14.1" customHeight="1" x14ac:dyDescent="0.2">
      <c r="A4" s="1" t="s">
        <v>3603</v>
      </c>
      <c r="K4" s="5"/>
      <c r="L4" s="5"/>
      <c r="N4" s="4" t="s">
        <v>10645</v>
      </c>
      <c r="P4" s="5"/>
      <c r="S4" s="4"/>
    </row>
    <row r="5" spans="1:28" ht="14.1" customHeight="1" x14ac:dyDescent="0.2">
      <c r="H5" s="7"/>
      <c r="K5" s="5"/>
      <c r="L5" s="5"/>
      <c r="M5" s="5"/>
      <c r="N5" s="4" t="s">
        <v>10646</v>
      </c>
      <c r="P5" s="5"/>
      <c r="S5" s="4"/>
      <c r="U5" s="376"/>
      <c r="V5" s="376"/>
      <c r="W5" s="377"/>
      <c r="X5" s="378"/>
      <c r="Y5" s="376"/>
      <c r="Z5" s="376"/>
      <c r="AA5" s="376"/>
      <c r="AB5" s="376"/>
    </row>
    <row r="6" spans="1:28" ht="14.1" customHeight="1" thickBot="1" x14ac:dyDescent="0.25">
      <c r="A6" s="2" t="s">
        <v>10650</v>
      </c>
      <c r="B6" s="2"/>
      <c r="C6" s="380"/>
      <c r="D6" s="2"/>
      <c r="E6" s="2"/>
      <c r="F6" s="2"/>
      <c r="G6" s="2"/>
      <c r="H6" s="2"/>
      <c r="I6" s="2"/>
      <c r="J6" s="2" t="s">
        <v>4325</v>
      </c>
      <c r="K6" s="2"/>
      <c r="L6" s="2"/>
      <c r="M6" s="2"/>
      <c r="N6" s="2"/>
      <c r="O6" s="2"/>
      <c r="P6" s="2"/>
      <c r="Q6" s="2"/>
      <c r="R6" s="2"/>
      <c r="W6" s="19"/>
      <c r="X6" s="19"/>
      <c r="AA6" s="378"/>
      <c r="AB6" s="162"/>
    </row>
    <row r="7" spans="1:28" ht="14.1" customHeight="1" x14ac:dyDescent="0.2">
      <c r="A7" s="6"/>
      <c r="B7" s="7"/>
      <c r="C7" s="8" t="s">
        <v>3604</v>
      </c>
      <c r="D7" s="8"/>
      <c r="E7" s="8" t="s">
        <v>3605</v>
      </c>
      <c r="F7" s="8" t="s">
        <v>3606</v>
      </c>
      <c r="G7" s="8" t="s">
        <v>3607</v>
      </c>
      <c r="H7" s="8" t="s">
        <v>3608</v>
      </c>
      <c r="I7" s="8" t="s">
        <v>3609</v>
      </c>
      <c r="J7" s="8" t="s">
        <v>3610</v>
      </c>
      <c r="K7" s="8" t="s">
        <v>3611</v>
      </c>
      <c r="L7" s="8" t="s">
        <v>3612</v>
      </c>
      <c r="M7" s="8"/>
      <c r="N7" s="7"/>
      <c r="O7" s="7"/>
      <c r="P7" s="7"/>
      <c r="Q7" s="7"/>
      <c r="R7" s="8"/>
      <c r="W7" s="19"/>
      <c r="X7" s="19"/>
      <c r="AA7" s="378"/>
      <c r="AB7" s="162"/>
    </row>
    <row r="8" spans="1:28" ht="14.1" customHeight="1" x14ac:dyDescent="0.2">
      <c r="B8" s="7"/>
      <c r="C8" s="381"/>
      <c r="D8" s="8"/>
      <c r="E8" s="8"/>
      <c r="F8" s="8"/>
      <c r="G8" s="8"/>
      <c r="H8" s="8" t="s">
        <v>3617</v>
      </c>
      <c r="I8" s="7" t="s">
        <v>3618</v>
      </c>
      <c r="J8" s="8" t="s">
        <v>3619</v>
      </c>
      <c r="K8" s="8" t="s">
        <v>3620</v>
      </c>
      <c r="L8" s="8" t="s">
        <v>3621</v>
      </c>
      <c r="M8" s="7"/>
      <c r="N8" s="7"/>
      <c r="O8" s="7"/>
      <c r="P8" s="7"/>
      <c r="Q8" s="7"/>
      <c r="R8" s="8"/>
      <c r="W8" s="19"/>
      <c r="X8" s="19"/>
      <c r="AA8" s="378"/>
      <c r="AB8" s="162"/>
    </row>
    <row r="9" spans="1:28" ht="14.1" customHeight="1" x14ac:dyDescent="0.2">
      <c r="B9" s="7"/>
      <c r="D9" s="7"/>
      <c r="E9" s="7"/>
      <c r="F9" s="7"/>
      <c r="G9" s="8" t="s">
        <v>3625</v>
      </c>
      <c r="H9" s="8" t="s">
        <v>3626</v>
      </c>
      <c r="I9" s="7" t="s">
        <v>3627</v>
      </c>
      <c r="J9" s="7" t="s">
        <v>3628</v>
      </c>
      <c r="K9" s="7" t="s">
        <v>3620</v>
      </c>
      <c r="L9" s="7" t="s">
        <v>3630</v>
      </c>
      <c r="M9" s="7"/>
      <c r="N9" s="7"/>
      <c r="O9" s="7"/>
      <c r="P9" s="7"/>
      <c r="Q9" s="7"/>
      <c r="R9" s="7"/>
      <c r="W9" s="19"/>
      <c r="X9" s="19"/>
      <c r="AA9" s="378"/>
      <c r="AB9" s="162"/>
    </row>
    <row r="10" spans="1:28" ht="14.1" customHeight="1" x14ac:dyDescent="0.2">
      <c r="A10" s="1" t="s">
        <v>3632</v>
      </c>
      <c r="B10" s="7"/>
      <c r="C10" s="4" t="s">
        <v>3633</v>
      </c>
      <c r="D10" s="7"/>
      <c r="E10" s="7" t="s">
        <v>3634</v>
      </c>
      <c r="F10" s="8" t="s">
        <v>3635</v>
      </c>
      <c r="G10" s="7" t="s">
        <v>3636</v>
      </c>
      <c r="H10" s="7" t="s">
        <v>3637</v>
      </c>
      <c r="I10" s="8" t="s">
        <v>3625</v>
      </c>
      <c r="J10" s="8" t="s">
        <v>3625</v>
      </c>
      <c r="K10" s="7" t="s">
        <v>3638</v>
      </c>
      <c r="L10" s="7" t="s">
        <v>3827</v>
      </c>
      <c r="M10" s="7"/>
      <c r="N10" s="7"/>
      <c r="O10" s="7"/>
      <c r="P10" s="7"/>
      <c r="Q10" s="7"/>
      <c r="R10" s="7"/>
      <c r="W10" s="19"/>
      <c r="X10" s="19"/>
      <c r="AA10" s="378"/>
      <c r="AB10" s="162"/>
    </row>
    <row r="11" spans="1:28" ht="14.1" customHeight="1" thickBot="1" x14ac:dyDescent="0.25">
      <c r="A11" s="2" t="s">
        <v>3831</v>
      </c>
      <c r="B11" s="9"/>
      <c r="C11" s="380" t="s">
        <v>3832</v>
      </c>
      <c r="D11" s="9"/>
      <c r="E11" s="9" t="s">
        <v>3833</v>
      </c>
      <c r="F11" s="9" t="s">
        <v>3833</v>
      </c>
      <c r="G11" s="10" t="s">
        <v>3834</v>
      </c>
      <c r="H11" s="10" t="s">
        <v>3835</v>
      </c>
      <c r="I11" s="10" t="s">
        <v>3636</v>
      </c>
      <c r="J11" s="11" t="s">
        <v>3636</v>
      </c>
      <c r="K11" s="12" t="s">
        <v>3836</v>
      </c>
      <c r="L11" s="12" t="s">
        <v>880</v>
      </c>
      <c r="M11" s="9"/>
      <c r="N11" s="9"/>
      <c r="O11" s="9"/>
      <c r="P11" s="9"/>
      <c r="Q11" s="9"/>
      <c r="R11" s="12"/>
      <c r="S11" s="7"/>
      <c r="W11" s="19"/>
      <c r="X11" s="19"/>
      <c r="AA11" s="378"/>
      <c r="AB11" s="162"/>
    </row>
    <row r="12" spans="1:28" ht="14.1" customHeight="1" x14ac:dyDescent="0.2">
      <c r="A12" s="1">
        <v>1</v>
      </c>
      <c r="B12" s="370"/>
      <c r="C12" s="382" t="s">
        <v>3007</v>
      </c>
      <c r="D12" s="392"/>
      <c r="E12" s="386">
        <v>38849</v>
      </c>
      <c r="F12" s="386">
        <v>49810</v>
      </c>
      <c r="G12" s="387">
        <v>250000</v>
      </c>
      <c r="H12" s="365">
        <v>250000</v>
      </c>
      <c r="I12" s="18">
        <v>1562.5</v>
      </c>
      <c r="J12" s="20">
        <v>4142.09231</v>
      </c>
      <c r="K12" s="346">
        <v>30.032876712328768</v>
      </c>
      <c r="L12" s="18">
        <f>(0.0655*H12)</f>
        <v>16375</v>
      </c>
      <c r="M12" s="18"/>
      <c r="N12" s="18"/>
      <c r="O12" s="18"/>
      <c r="P12" s="18"/>
      <c r="Q12" s="18"/>
      <c r="W12" s="19"/>
      <c r="X12" s="19"/>
      <c r="AA12" s="378"/>
      <c r="AB12" s="162"/>
    </row>
    <row r="13" spans="1:28" ht="14.1" customHeight="1" x14ac:dyDescent="0.2">
      <c r="A13" s="1">
        <v>2</v>
      </c>
      <c r="C13" s="393"/>
      <c r="D13" s="392"/>
      <c r="E13" s="394"/>
      <c r="F13" s="394"/>
      <c r="G13" s="394"/>
      <c r="H13" s="7"/>
      <c r="W13" s="19"/>
      <c r="X13" s="19"/>
      <c r="AA13" s="378"/>
      <c r="AB13" s="162"/>
    </row>
    <row r="14" spans="1:28" ht="14.1" customHeight="1" x14ac:dyDescent="0.2">
      <c r="A14" s="1">
        <v>3</v>
      </c>
      <c r="B14" s="371"/>
      <c r="C14" s="393" t="s">
        <v>6419</v>
      </c>
      <c r="D14" s="392"/>
      <c r="E14" s="386">
        <v>40521</v>
      </c>
      <c r="F14" s="386">
        <v>44331</v>
      </c>
      <c r="G14" s="387">
        <v>231730.32</v>
      </c>
      <c r="H14" s="368">
        <v>0</v>
      </c>
      <c r="I14" s="18">
        <v>0</v>
      </c>
      <c r="J14" s="20">
        <v>0</v>
      </c>
      <c r="K14" s="347">
        <v>10.38</v>
      </c>
      <c r="L14" s="18">
        <f>(0.054*H14)</f>
        <v>0</v>
      </c>
      <c r="M14" s="18"/>
      <c r="O14" s="20"/>
      <c r="Q14" s="20"/>
      <c r="W14" s="19"/>
      <c r="X14" s="19"/>
      <c r="AA14" s="378"/>
      <c r="AB14" s="162"/>
    </row>
    <row r="15" spans="1:28" ht="14.1" customHeight="1" x14ac:dyDescent="0.2">
      <c r="A15" s="1">
        <v>4</v>
      </c>
      <c r="C15" s="393"/>
      <c r="D15" s="392"/>
      <c r="E15" s="394"/>
      <c r="F15" s="394"/>
      <c r="G15" s="394"/>
      <c r="H15" s="7"/>
      <c r="W15" s="19"/>
      <c r="X15" s="19"/>
      <c r="AA15" s="378"/>
      <c r="AB15" s="162"/>
    </row>
    <row r="16" spans="1:28" ht="14.1" customHeight="1" x14ac:dyDescent="0.2">
      <c r="A16" s="1">
        <v>5</v>
      </c>
      <c r="B16" s="370"/>
      <c r="C16" s="383" t="s">
        <v>5549</v>
      </c>
      <c r="D16" s="392"/>
      <c r="E16" s="386">
        <v>39227</v>
      </c>
      <c r="F16" s="386">
        <v>50175</v>
      </c>
      <c r="G16" s="387">
        <v>190000</v>
      </c>
      <c r="H16" s="365">
        <v>190000</v>
      </c>
      <c r="I16" s="18">
        <v>1077.3</v>
      </c>
      <c r="J16" s="20">
        <v>1100.6409900000001</v>
      </c>
      <c r="K16" s="346">
        <v>29.997260273972604</v>
      </c>
      <c r="L16" s="18">
        <f>(0.0615*H16)</f>
        <v>11685</v>
      </c>
      <c r="M16" s="18"/>
      <c r="N16" s="18"/>
      <c r="O16" s="18"/>
      <c r="P16" s="18"/>
      <c r="Q16" s="18"/>
      <c r="T16" s="18"/>
      <c r="W16" s="19"/>
      <c r="X16" s="19"/>
      <c r="AA16" s="378"/>
      <c r="AB16" s="162"/>
    </row>
    <row r="17" spans="1:73" ht="14.1" customHeight="1" x14ac:dyDescent="0.2">
      <c r="A17" s="1">
        <v>6</v>
      </c>
      <c r="B17" s="371"/>
      <c r="C17" s="393"/>
      <c r="D17" s="392"/>
      <c r="E17" s="394"/>
      <c r="F17" s="394"/>
      <c r="G17" s="394"/>
      <c r="H17" s="7"/>
      <c r="K17" s="346"/>
      <c r="L17" s="18"/>
      <c r="O17" s="20"/>
      <c r="Q17" s="20"/>
      <c r="W17" s="19"/>
      <c r="X17" s="19"/>
      <c r="AA17" s="378"/>
      <c r="AB17" s="162"/>
    </row>
    <row r="18" spans="1:73" ht="14.1" customHeight="1" x14ac:dyDescent="0.2">
      <c r="A18" s="1">
        <v>7</v>
      </c>
      <c r="B18" s="370"/>
      <c r="C18" s="382" t="s">
        <v>10637</v>
      </c>
      <c r="D18" s="392"/>
      <c r="E18" s="386">
        <v>41065</v>
      </c>
      <c r="F18" s="386">
        <v>52032</v>
      </c>
      <c r="G18" s="387">
        <v>250000</v>
      </c>
      <c r="H18" s="365">
        <v>250000</v>
      </c>
      <c r="I18" s="18">
        <v>690</v>
      </c>
      <c r="J18" s="18">
        <v>9195.9709699999985</v>
      </c>
      <c r="K18" s="346">
        <v>30.049315068493151</v>
      </c>
      <c r="L18" s="18">
        <f>(0.041*H18)</f>
        <v>10250</v>
      </c>
      <c r="M18" s="18"/>
      <c r="O18" s="20"/>
      <c r="Q18" s="18"/>
      <c r="R18" s="367"/>
      <c r="S18" s="18"/>
      <c r="T18" s="18"/>
      <c r="W18" s="19"/>
      <c r="X18" s="19"/>
      <c r="AA18" s="378"/>
      <c r="AB18" s="162"/>
    </row>
    <row r="19" spans="1:73" ht="14.1" customHeight="1" x14ac:dyDescent="0.2">
      <c r="A19" s="1">
        <v>8</v>
      </c>
      <c r="C19" s="393"/>
      <c r="D19" s="392"/>
      <c r="E19" s="394"/>
      <c r="F19" s="394"/>
      <c r="G19" s="394"/>
      <c r="H19" s="7"/>
      <c r="S19" s="18"/>
      <c r="T19" s="18"/>
      <c r="W19" s="19"/>
      <c r="X19" s="19"/>
      <c r="AA19" s="378"/>
      <c r="AB19" s="162"/>
    </row>
    <row r="20" spans="1:73" ht="14.1" customHeight="1" x14ac:dyDescent="0.2">
      <c r="A20" s="1">
        <v>9</v>
      </c>
      <c r="B20" s="371"/>
      <c r="C20" s="383" t="s">
        <v>10638</v>
      </c>
      <c r="D20" s="392"/>
      <c r="E20" s="386">
        <v>41180</v>
      </c>
      <c r="F20" s="386">
        <v>44819</v>
      </c>
      <c r="G20" s="387">
        <v>225000</v>
      </c>
      <c r="H20" s="365">
        <v>155769.23076923078</v>
      </c>
      <c r="I20" s="18">
        <v>274.5</v>
      </c>
      <c r="J20" s="18">
        <v>1760.24018</v>
      </c>
      <c r="K20" s="346">
        <v>9.9726027397260282</v>
      </c>
      <c r="L20" s="18">
        <v>4144</v>
      </c>
      <c r="M20" s="18"/>
      <c r="N20" s="18"/>
      <c r="O20" s="18"/>
      <c r="P20" s="18"/>
      <c r="Q20" s="18"/>
      <c r="W20" s="19"/>
      <c r="X20" s="19"/>
      <c r="AA20" s="378"/>
      <c r="AB20" s="162"/>
    </row>
    <row r="21" spans="1:73" ht="14.1" customHeight="1" x14ac:dyDescent="0.2">
      <c r="A21" s="1">
        <v>10</v>
      </c>
      <c r="B21" s="370"/>
      <c r="C21" s="383"/>
      <c r="D21" s="392"/>
      <c r="E21" s="386"/>
      <c r="F21" s="386"/>
      <c r="G21" s="387"/>
      <c r="H21" s="365"/>
      <c r="I21" s="18"/>
      <c r="J21" s="20"/>
      <c r="K21" s="346"/>
      <c r="L21" s="18"/>
      <c r="M21" s="18"/>
      <c r="N21" s="18"/>
      <c r="O21" s="18"/>
      <c r="P21" s="18"/>
      <c r="Q21" s="18"/>
      <c r="S21" s="18"/>
      <c r="W21" s="19"/>
      <c r="X21" s="19"/>
      <c r="Y21" s="379"/>
      <c r="AA21" s="378"/>
      <c r="AB21" s="162"/>
    </row>
    <row r="22" spans="1:73" ht="14.1" customHeight="1" x14ac:dyDescent="0.2">
      <c r="A22" s="1">
        <v>11</v>
      </c>
      <c r="B22" s="370"/>
      <c r="C22" s="383" t="s">
        <v>10639</v>
      </c>
      <c r="D22" s="392"/>
      <c r="E22" s="386">
        <v>41774</v>
      </c>
      <c r="F22" s="386">
        <v>52732</v>
      </c>
      <c r="G22" s="387">
        <v>290000</v>
      </c>
      <c r="H22" s="365">
        <v>290000</v>
      </c>
      <c r="I22" s="18">
        <v>194.3</v>
      </c>
      <c r="J22" s="18">
        <v>3436.0630299999998</v>
      </c>
      <c r="K22" s="346">
        <v>30.024657534246575</v>
      </c>
      <c r="L22" s="18">
        <f>(0.0435*H22)</f>
        <v>12615</v>
      </c>
      <c r="M22" s="18"/>
      <c r="N22" s="18"/>
      <c r="O22" s="18"/>
      <c r="P22" s="18"/>
      <c r="Q22" s="18"/>
      <c r="R22" s="367"/>
      <c r="W22" s="19"/>
      <c r="X22" s="19"/>
      <c r="Y22" s="379"/>
      <c r="AA22" s="378"/>
      <c r="AB22" s="162"/>
    </row>
    <row r="23" spans="1:73" ht="14.1" customHeight="1" x14ac:dyDescent="0.2">
      <c r="A23" s="1">
        <v>12</v>
      </c>
      <c r="B23" s="370"/>
      <c r="C23" s="393"/>
      <c r="D23" s="392"/>
      <c r="E23" s="386"/>
      <c r="F23" s="386"/>
      <c r="G23" s="386"/>
      <c r="H23" s="7"/>
      <c r="I23" s="18"/>
      <c r="J23" s="18"/>
      <c r="K23" s="346"/>
      <c r="L23" s="18"/>
      <c r="M23" s="18"/>
      <c r="N23" s="18"/>
      <c r="O23" s="18"/>
      <c r="P23" s="18"/>
      <c r="Q23" s="18"/>
      <c r="W23" s="19"/>
      <c r="X23" s="19"/>
      <c r="Y23" s="379"/>
      <c r="AA23" s="378"/>
      <c r="AB23" s="162"/>
    </row>
    <row r="24" spans="1:73" ht="14.1" customHeight="1" x14ac:dyDescent="0.2">
      <c r="A24" s="1">
        <v>13</v>
      </c>
      <c r="B24" s="370"/>
      <c r="C24" s="383" t="s">
        <v>10640</v>
      </c>
      <c r="D24" s="392"/>
      <c r="E24" s="386">
        <v>42144</v>
      </c>
      <c r="F24" s="386">
        <v>53097</v>
      </c>
      <c r="G24" s="387">
        <v>230000</v>
      </c>
      <c r="H24" s="365">
        <v>230000</v>
      </c>
      <c r="I24" s="18">
        <v>427.8</v>
      </c>
      <c r="J24" s="18">
        <v>-1460.8485500000004</v>
      </c>
      <c r="K24" s="346">
        <v>30.008219178082193</v>
      </c>
      <c r="L24" s="18">
        <f>(0.042*H24)</f>
        <v>9660</v>
      </c>
      <c r="M24" s="18"/>
      <c r="N24" s="18"/>
      <c r="O24" s="18"/>
      <c r="P24" s="18"/>
      <c r="Q24" s="18"/>
      <c r="R24" s="367"/>
      <c r="S24" s="18"/>
      <c r="T24" s="18"/>
      <c r="W24" s="19"/>
      <c r="X24" s="19"/>
      <c r="AA24" s="378"/>
      <c r="AB24" s="162"/>
    </row>
    <row r="25" spans="1:73" ht="14.1" customHeight="1" x14ac:dyDescent="0.2">
      <c r="A25" s="1">
        <v>14</v>
      </c>
      <c r="B25" s="370"/>
      <c r="C25" s="393"/>
      <c r="D25" s="392"/>
      <c r="E25" s="386"/>
      <c r="F25" s="386"/>
      <c r="G25" s="386"/>
      <c r="H25" s="365"/>
      <c r="I25" s="18"/>
      <c r="J25" s="18"/>
      <c r="K25" s="346"/>
      <c r="L25" s="18"/>
      <c r="M25" s="18"/>
      <c r="N25" s="18"/>
      <c r="O25" s="18"/>
      <c r="P25" s="18"/>
      <c r="Q25" s="18"/>
      <c r="W25" s="19"/>
      <c r="X25" s="19"/>
      <c r="AA25" s="378"/>
      <c r="AB25" s="162"/>
    </row>
    <row r="26" spans="1:73" ht="14.1" customHeight="1" x14ac:dyDescent="0.2">
      <c r="A26" s="1">
        <v>15</v>
      </c>
      <c r="B26" s="370"/>
      <c r="C26" s="383" t="s">
        <v>10619</v>
      </c>
      <c r="D26" s="392"/>
      <c r="E26" s="386">
        <v>43258</v>
      </c>
      <c r="F26" s="386">
        <v>54224</v>
      </c>
      <c r="G26" s="387">
        <v>275000</v>
      </c>
      <c r="H26" s="365">
        <v>275000</v>
      </c>
      <c r="I26" s="18">
        <v>1474</v>
      </c>
      <c r="J26" s="18">
        <v>3018.3949899999998</v>
      </c>
      <c r="K26" s="346">
        <v>30.046575342465754</v>
      </c>
      <c r="L26" s="18">
        <f>(0.043*H26)</f>
        <v>11824.999999999998</v>
      </c>
      <c r="M26" s="18"/>
      <c r="N26" s="18"/>
      <c r="O26" s="18"/>
      <c r="P26" s="18"/>
      <c r="Q26" s="18"/>
      <c r="S26" s="18"/>
      <c r="T26" s="18"/>
      <c r="W26" s="19"/>
      <c r="X26" s="19"/>
      <c r="AA26" s="378"/>
      <c r="AB26" s="162"/>
    </row>
    <row r="27" spans="1:73" ht="14.1" customHeight="1" x14ac:dyDescent="0.2">
      <c r="A27" s="1">
        <v>16</v>
      </c>
      <c r="B27" s="370"/>
      <c r="C27" s="393"/>
      <c r="D27" s="392"/>
      <c r="E27" s="386"/>
      <c r="F27" s="386"/>
      <c r="G27" s="386"/>
      <c r="H27" s="7"/>
      <c r="I27" s="18"/>
      <c r="J27" s="18"/>
      <c r="K27" s="346"/>
      <c r="L27" s="18"/>
      <c r="M27" s="18"/>
      <c r="N27" s="18"/>
      <c r="O27" s="18"/>
      <c r="P27" s="18"/>
      <c r="Q27" s="18"/>
      <c r="S27" s="18"/>
      <c r="T27" s="18"/>
      <c r="U27" s="162"/>
      <c r="V27" s="162"/>
      <c r="Z27" s="24"/>
    </row>
    <row r="28" spans="1:73" ht="14.1" customHeight="1" x14ac:dyDescent="0.2">
      <c r="A28" s="1">
        <v>17</v>
      </c>
      <c r="B28" s="370"/>
      <c r="C28" s="383" t="s">
        <v>10620</v>
      </c>
      <c r="D28" s="392"/>
      <c r="E28" s="386">
        <v>43377</v>
      </c>
      <c r="F28" s="386">
        <v>54589</v>
      </c>
      <c r="G28" s="387">
        <v>350000</v>
      </c>
      <c r="H28" s="365">
        <v>350000</v>
      </c>
      <c r="I28" s="18">
        <v>1788.5</v>
      </c>
      <c r="J28" s="18">
        <v>3695.9068699999998</v>
      </c>
      <c r="K28" s="346">
        <v>30.717808219178082</v>
      </c>
      <c r="L28" s="18">
        <f>(0.0445*H28)</f>
        <v>15575</v>
      </c>
      <c r="M28" s="18"/>
      <c r="N28" s="18"/>
      <c r="O28" s="18"/>
      <c r="P28" s="18"/>
      <c r="Q28" s="18"/>
      <c r="U28" s="162"/>
      <c r="V28" s="162"/>
      <c r="Z28" s="24"/>
      <c r="AA28" s="24"/>
      <c r="AB28" s="24"/>
      <c r="AC28" s="24"/>
      <c r="AE28" s="24"/>
      <c r="AO28" s="162"/>
      <c r="AZ28" s="162"/>
      <c r="BU28" s="162"/>
    </row>
    <row r="29" spans="1:73" ht="14.1" customHeight="1" x14ac:dyDescent="0.2">
      <c r="A29" s="1">
        <v>18</v>
      </c>
      <c r="B29" s="370"/>
      <c r="C29" s="393"/>
      <c r="D29" s="392"/>
      <c r="E29" s="386"/>
      <c r="F29" s="386"/>
      <c r="G29" s="386"/>
      <c r="H29" s="365"/>
      <c r="K29" s="347"/>
      <c r="L29" s="18"/>
      <c r="M29" s="18"/>
      <c r="O29" s="18"/>
      <c r="S29" s="18"/>
      <c r="T29" s="18"/>
      <c r="U29" s="24"/>
      <c r="V29" s="24"/>
      <c r="Z29" s="24"/>
      <c r="AA29" s="24"/>
      <c r="AB29" s="24"/>
    </row>
    <row r="30" spans="1:73" ht="14.1" customHeight="1" x14ac:dyDescent="0.2">
      <c r="A30" s="1">
        <v>19</v>
      </c>
      <c r="B30" s="370"/>
      <c r="C30" s="383" t="s">
        <v>10621</v>
      </c>
      <c r="D30" s="392"/>
      <c r="E30" s="386">
        <v>43668</v>
      </c>
      <c r="F30" s="386">
        <v>54954</v>
      </c>
      <c r="G30" s="387">
        <v>275000</v>
      </c>
      <c r="H30" s="365">
        <v>275000</v>
      </c>
      <c r="I30" s="18">
        <v>3371.5</v>
      </c>
      <c r="J30" s="18">
        <v>3200.0341400000002</v>
      </c>
      <c r="K30" s="346">
        <v>30.917808219178081</v>
      </c>
      <c r="L30" s="18">
        <f>(0.03625*H30)</f>
        <v>9968.75</v>
      </c>
      <c r="M30" s="18"/>
      <c r="N30" s="18"/>
      <c r="O30" s="18"/>
      <c r="P30" s="18"/>
      <c r="Q30" s="18"/>
      <c r="S30" s="18"/>
      <c r="T30" s="18"/>
      <c r="U30" s="162"/>
      <c r="V30" s="162"/>
      <c r="Z30" s="24"/>
      <c r="AA30" s="24"/>
      <c r="AB30" s="24"/>
    </row>
    <row r="31" spans="1:73" ht="14.1" customHeight="1" x14ac:dyDescent="0.2">
      <c r="A31" s="1">
        <v>20</v>
      </c>
      <c r="B31" s="370"/>
      <c r="C31" s="382"/>
      <c r="D31" s="392"/>
      <c r="E31" s="386"/>
      <c r="F31" s="386"/>
      <c r="G31" s="387"/>
      <c r="H31" s="365"/>
      <c r="I31" s="18"/>
      <c r="J31" s="18"/>
      <c r="K31" s="24"/>
      <c r="L31" s="18"/>
      <c r="M31" s="18"/>
      <c r="N31" s="18"/>
      <c r="O31" s="18"/>
      <c r="P31" s="18"/>
      <c r="Q31" s="18"/>
      <c r="R31" s="18" t="s">
        <v>10661</v>
      </c>
      <c r="S31" s="18" t="s">
        <v>10662</v>
      </c>
      <c r="T31" s="18" t="s">
        <v>10663</v>
      </c>
      <c r="U31" s="162" t="s">
        <v>10664</v>
      </c>
      <c r="V31" s="162" t="s">
        <v>5561</v>
      </c>
      <c r="W31" s="1" t="s">
        <v>10665</v>
      </c>
      <c r="X31" s="162" t="s">
        <v>10666</v>
      </c>
      <c r="Y31" s="1" t="s">
        <v>10667</v>
      </c>
      <c r="Z31" s="24" t="s">
        <v>10668</v>
      </c>
      <c r="AA31" s="24" t="s">
        <v>10647</v>
      </c>
      <c r="AB31" s="24" t="s">
        <v>10669</v>
      </c>
      <c r="AC31" s="1" t="s">
        <v>10660</v>
      </c>
    </row>
    <row r="32" spans="1:73" ht="14.1" customHeight="1" x14ac:dyDescent="0.2">
      <c r="A32" s="1">
        <v>21</v>
      </c>
      <c r="B32" s="370"/>
      <c r="C32" s="383" t="s">
        <v>10655</v>
      </c>
      <c r="D32" s="392"/>
      <c r="E32" s="386">
        <v>44273</v>
      </c>
      <c r="F32" s="386">
        <v>47922</v>
      </c>
      <c r="G32" s="387">
        <v>285000</v>
      </c>
      <c r="H32" s="365">
        <v>285000</v>
      </c>
      <c r="I32" s="18">
        <v>929</v>
      </c>
      <c r="J32" s="18">
        <v>2570</v>
      </c>
      <c r="K32" s="372">
        <v>10</v>
      </c>
      <c r="L32" s="18">
        <v>6840</v>
      </c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</row>
    <row r="33" spans="1:29" ht="14.1" customHeight="1" x14ac:dyDescent="0.2">
      <c r="A33" s="1">
        <v>22</v>
      </c>
      <c r="B33" s="370"/>
      <c r="C33" s="382"/>
      <c r="D33" s="392"/>
      <c r="E33" s="386"/>
      <c r="F33" s="386"/>
      <c r="G33" s="387"/>
      <c r="H33" s="365"/>
      <c r="I33" s="18"/>
      <c r="J33" s="18"/>
      <c r="K33" s="24"/>
      <c r="L33" s="18"/>
      <c r="M33" s="18"/>
      <c r="N33" s="18"/>
      <c r="O33" s="18"/>
      <c r="P33" s="18"/>
      <c r="Q33" s="18"/>
      <c r="R33" s="18"/>
      <c r="S33" s="18"/>
      <c r="T33" s="18"/>
      <c r="U33" s="162"/>
      <c r="V33" s="162"/>
      <c r="Z33" s="24"/>
      <c r="AA33" s="24"/>
      <c r="AB33" s="24"/>
    </row>
    <row r="34" spans="1:29" ht="13.5" customHeight="1" x14ac:dyDescent="0.2">
      <c r="A34" s="1">
        <v>23</v>
      </c>
      <c r="B34" s="370"/>
      <c r="C34" s="383" t="s">
        <v>10656</v>
      </c>
      <c r="D34" s="392"/>
      <c r="E34" s="386">
        <v>44273</v>
      </c>
      <c r="F34" s="386">
        <v>55227</v>
      </c>
      <c r="G34" s="387">
        <v>285000</v>
      </c>
      <c r="H34" s="365">
        <v>285000</v>
      </c>
      <c r="I34" s="20">
        <v>636</v>
      </c>
      <c r="J34" s="18">
        <v>3211</v>
      </c>
      <c r="K34" s="373">
        <v>30</v>
      </c>
      <c r="L34" s="18">
        <v>9833</v>
      </c>
      <c r="M34" s="18"/>
      <c r="O34" s="162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</row>
    <row r="35" spans="1:29" ht="14.1" customHeight="1" x14ac:dyDescent="0.2">
      <c r="A35" s="1">
        <v>24</v>
      </c>
      <c r="B35" s="370"/>
      <c r="C35" s="393"/>
      <c r="D35" s="392"/>
      <c r="E35" s="386"/>
      <c r="F35" s="386"/>
      <c r="G35" s="387"/>
      <c r="H35" s="365"/>
      <c r="I35" s="20"/>
      <c r="J35" s="18"/>
      <c r="K35" s="373"/>
      <c r="M35" s="162"/>
      <c r="O35" s="162"/>
      <c r="R35" s="18"/>
      <c r="S35" s="18"/>
      <c r="U35" s="162"/>
      <c r="V35" s="162"/>
      <c r="Z35" s="24"/>
      <c r="AA35" s="24"/>
      <c r="AB35" s="24"/>
    </row>
    <row r="36" spans="1:29" ht="14.1" customHeight="1" x14ac:dyDescent="0.2">
      <c r="A36" s="1">
        <v>25</v>
      </c>
      <c r="B36" s="370"/>
      <c r="C36" s="393" t="s">
        <v>10657</v>
      </c>
      <c r="D36" s="392"/>
      <c r="E36" s="386">
        <v>44754</v>
      </c>
      <c r="F36" s="386">
        <v>45485</v>
      </c>
      <c r="G36" s="387">
        <v>262500</v>
      </c>
      <c r="H36" s="365">
        <v>121154</v>
      </c>
      <c r="I36" s="20">
        <v>100</v>
      </c>
      <c r="J36" s="18">
        <v>1158</v>
      </c>
      <c r="K36" s="373">
        <v>2</v>
      </c>
      <c r="L36" s="18">
        <v>4747</v>
      </c>
      <c r="M36" s="18"/>
      <c r="O36" s="162"/>
      <c r="Q36" s="18">
        <v>0</v>
      </c>
      <c r="R36" s="18">
        <v>0</v>
      </c>
      <c r="S36" s="18">
        <v>0</v>
      </c>
      <c r="T36" s="1">
        <v>0</v>
      </c>
      <c r="U36" s="162">
        <v>0</v>
      </c>
      <c r="V36" s="162">
        <v>0</v>
      </c>
      <c r="W36" s="1">
        <v>0</v>
      </c>
      <c r="X36" s="20">
        <v>262500</v>
      </c>
      <c r="Y36" s="20">
        <v>262500</v>
      </c>
      <c r="Z36" s="20">
        <v>262500</v>
      </c>
      <c r="AA36" s="20">
        <v>262500</v>
      </c>
      <c r="AB36" s="20">
        <v>262500</v>
      </c>
      <c r="AC36" s="20">
        <v>262500</v>
      </c>
    </row>
    <row r="37" spans="1:29" ht="14.1" customHeight="1" x14ac:dyDescent="0.2">
      <c r="A37" s="1">
        <v>26</v>
      </c>
      <c r="B37" s="370"/>
      <c r="R37" s="18"/>
      <c r="U37" s="162"/>
      <c r="V37" s="162"/>
      <c r="Z37" s="24"/>
      <c r="AA37" s="24"/>
      <c r="AB37" s="24"/>
    </row>
    <row r="38" spans="1:29" ht="14.1" customHeight="1" x14ac:dyDescent="0.2">
      <c r="A38" s="1">
        <v>27</v>
      </c>
      <c r="C38" s="384" t="s">
        <v>10658</v>
      </c>
      <c r="E38" s="173">
        <v>44754</v>
      </c>
      <c r="F38" s="19">
        <v>55715</v>
      </c>
      <c r="G38" s="18">
        <v>262500</v>
      </c>
      <c r="H38" s="18">
        <v>121154</v>
      </c>
      <c r="I38" s="18">
        <v>326</v>
      </c>
      <c r="J38" s="18">
        <v>2799</v>
      </c>
      <c r="K38" s="347">
        <v>30</v>
      </c>
      <c r="L38" s="18">
        <v>6125</v>
      </c>
      <c r="M38" s="18"/>
      <c r="N38" s="18"/>
      <c r="O38" s="18"/>
      <c r="P38" s="18"/>
      <c r="Q38" s="18"/>
      <c r="R38" s="18"/>
      <c r="S38" s="144"/>
      <c r="U38" s="162"/>
      <c r="V38" s="162"/>
      <c r="Z38" s="24"/>
      <c r="AA38" s="24"/>
      <c r="AB38" s="24"/>
    </row>
    <row r="39" spans="1:29" ht="14.1" customHeight="1" x14ac:dyDescent="0.2">
      <c r="A39" s="1">
        <v>28</v>
      </c>
      <c r="C39" s="384"/>
      <c r="E39" s="19"/>
      <c r="F39" s="19"/>
      <c r="G39" s="18"/>
      <c r="H39" s="18"/>
      <c r="I39" s="18"/>
      <c r="J39" s="18"/>
      <c r="K39" s="24"/>
      <c r="L39" s="18"/>
      <c r="M39" s="18"/>
      <c r="N39" s="18"/>
      <c r="O39" s="18"/>
      <c r="P39" s="18"/>
      <c r="Q39" s="18"/>
      <c r="R39" s="18"/>
      <c r="S39" s="144"/>
      <c r="U39" s="162"/>
      <c r="V39" s="162"/>
      <c r="Z39" s="24"/>
      <c r="AA39" s="24"/>
      <c r="AB39" s="24"/>
    </row>
    <row r="40" spans="1:29" ht="14.1" customHeight="1" x14ac:dyDescent="0.2">
      <c r="A40" s="1">
        <v>29</v>
      </c>
      <c r="E40" s="19"/>
      <c r="F40" s="19"/>
      <c r="G40" s="18"/>
      <c r="H40" s="18"/>
      <c r="I40" s="18"/>
      <c r="K40" s="18"/>
      <c r="L40" s="18"/>
      <c r="M40" s="18"/>
      <c r="N40" s="18"/>
      <c r="O40" s="18"/>
      <c r="P40" s="18"/>
      <c r="Q40" s="18"/>
      <c r="R40" s="18"/>
      <c r="S40" s="144"/>
      <c r="U40" s="144"/>
      <c r="W40" s="18"/>
    </row>
    <row r="41" spans="1:29" ht="14.1" customHeight="1" x14ac:dyDescent="0.2">
      <c r="A41" s="1">
        <v>30</v>
      </c>
      <c r="J41" s="341"/>
      <c r="L41" s="144"/>
      <c r="Q41" s="144"/>
      <c r="R41" s="20"/>
      <c r="S41" s="144"/>
      <c r="U41" s="144"/>
      <c r="W41" s="18"/>
    </row>
    <row r="42" spans="1:29" ht="14.1" customHeight="1" thickBot="1" x14ac:dyDescent="0.25">
      <c r="A42" s="1">
        <v>31</v>
      </c>
      <c r="C42" s="4" t="s">
        <v>3622</v>
      </c>
      <c r="H42" s="288">
        <f>SUM(H12:H41)</f>
        <v>3078077.230769231</v>
      </c>
      <c r="J42" s="341"/>
      <c r="L42" s="288">
        <f>SUM(L12:L40)</f>
        <v>129642.75</v>
      </c>
      <c r="M42" s="389"/>
      <c r="O42" s="389"/>
      <c r="Q42" s="389"/>
      <c r="R42" s="18"/>
      <c r="S42" s="144"/>
      <c r="U42" s="144"/>
      <c r="W42" s="18"/>
    </row>
    <row r="43" spans="1:29" ht="14.1" customHeight="1" thickTop="1" x14ac:dyDescent="0.2">
      <c r="A43" s="1">
        <v>32</v>
      </c>
      <c r="H43" s="20"/>
      <c r="I43" s="266"/>
      <c r="J43" s="18"/>
      <c r="K43" s="266"/>
      <c r="L43" s="365"/>
      <c r="M43" s="20"/>
      <c r="N43" s="18"/>
      <c r="P43" s="20"/>
      <c r="R43" s="18"/>
      <c r="S43" s="144"/>
    </row>
    <row r="44" spans="1:29" ht="14.1" customHeight="1" x14ac:dyDescent="0.2">
      <c r="A44" s="1">
        <v>33</v>
      </c>
      <c r="H44" s="16"/>
      <c r="I44" s="266"/>
      <c r="J44" s="18"/>
      <c r="K44" s="18"/>
      <c r="L44" s="8"/>
      <c r="M44" s="18"/>
      <c r="N44" s="18"/>
      <c r="O44" s="7"/>
      <c r="Q44" s="263"/>
      <c r="R44" s="18"/>
      <c r="S44" s="144"/>
    </row>
    <row r="45" spans="1:29" ht="14.1" customHeight="1" x14ac:dyDescent="0.2">
      <c r="A45" s="1">
        <v>34</v>
      </c>
      <c r="C45" s="4" t="s">
        <v>10651</v>
      </c>
      <c r="G45" s="5"/>
      <c r="H45" s="16">
        <v>-28723</v>
      </c>
      <c r="I45" s="266"/>
      <c r="J45" s="18"/>
      <c r="K45" s="388" t="s">
        <v>10670</v>
      </c>
      <c r="L45" s="369">
        <f>727+1704</f>
        <v>2431</v>
      </c>
      <c r="M45" s="18"/>
      <c r="N45" s="18"/>
      <c r="O45" s="365"/>
      <c r="Q45" s="263"/>
      <c r="R45" s="18"/>
      <c r="S45" s="144"/>
    </row>
    <row r="46" spans="1:29" ht="14.1" customHeight="1" x14ac:dyDescent="0.2">
      <c r="A46" s="1">
        <v>35</v>
      </c>
      <c r="C46" s="4" t="s">
        <v>10652</v>
      </c>
      <c r="E46" s="17"/>
      <c r="H46" s="16">
        <v>-9689</v>
      </c>
      <c r="I46" s="266"/>
      <c r="J46" s="18"/>
      <c r="K46" s="388" t="s">
        <v>10659</v>
      </c>
      <c r="L46" s="339">
        <v>513</v>
      </c>
      <c r="M46" s="18"/>
      <c r="N46" s="18"/>
      <c r="O46" s="264"/>
      <c r="Q46" s="264"/>
      <c r="R46" s="18"/>
    </row>
    <row r="47" spans="1:29" ht="14.1" customHeight="1" x14ac:dyDescent="0.2">
      <c r="A47" s="1">
        <v>36</v>
      </c>
      <c r="C47" s="4" t="s">
        <v>10654</v>
      </c>
      <c r="E47" s="17"/>
      <c r="H47" s="16">
        <v>-751</v>
      </c>
      <c r="I47" s="18"/>
      <c r="J47" s="20"/>
      <c r="M47" s="18"/>
      <c r="N47" s="18"/>
      <c r="O47" s="17"/>
      <c r="Q47" s="7"/>
      <c r="R47" s="18"/>
    </row>
    <row r="48" spans="1:29" ht="14.1" customHeight="1" thickBot="1" x14ac:dyDescent="0.25">
      <c r="A48" s="1">
        <v>37</v>
      </c>
      <c r="B48" s="374"/>
      <c r="C48" s="384" t="s">
        <v>10653</v>
      </c>
      <c r="E48" s="17"/>
      <c r="H48" s="390">
        <f>SUM(H42:H47)</f>
        <v>3038914.230769231</v>
      </c>
      <c r="I48" s="18"/>
      <c r="J48" s="162"/>
      <c r="K48" s="283" t="s">
        <v>4868</v>
      </c>
      <c r="L48" s="391">
        <f>L42+L45+L46</f>
        <v>132586.75</v>
      </c>
      <c r="M48" s="18"/>
      <c r="N48" s="18"/>
      <c r="O48" s="17"/>
      <c r="R48" s="18"/>
    </row>
    <row r="49" spans="1:62" ht="14.1" customHeight="1" thickTop="1" x14ac:dyDescent="0.2">
      <c r="A49" s="1">
        <v>38</v>
      </c>
      <c r="C49" s="384"/>
      <c r="E49" s="17"/>
      <c r="I49" s="375"/>
      <c r="J49" s="20"/>
      <c r="K49" s="18"/>
      <c r="L49" s="18"/>
      <c r="M49" s="18"/>
      <c r="N49" s="18"/>
      <c r="O49" s="17"/>
      <c r="P49" s="266" t="s">
        <v>2077</v>
      </c>
      <c r="Q49" s="18">
        <f>H48</f>
        <v>3038914.230769231</v>
      </c>
      <c r="R49" s="18"/>
    </row>
    <row r="50" spans="1:62" ht="14.1" customHeight="1" x14ac:dyDescent="0.2">
      <c r="A50" s="1">
        <v>39</v>
      </c>
      <c r="C50" s="384"/>
      <c r="E50" s="17"/>
      <c r="F50" s="17"/>
      <c r="G50" s="18"/>
      <c r="H50" s="24"/>
      <c r="I50" s="18"/>
      <c r="J50" s="368"/>
      <c r="K50" s="18"/>
      <c r="L50" s="18"/>
      <c r="M50" s="18"/>
      <c r="N50" s="18"/>
      <c r="O50" s="18"/>
      <c r="P50" s="266" t="s">
        <v>2078</v>
      </c>
      <c r="Q50" s="18">
        <f>L48</f>
        <v>132586.75</v>
      </c>
      <c r="R50" s="18"/>
    </row>
    <row r="51" spans="1:62" ht="14.1" customHeight="1" x14ac:dyDescent="0.2">
      <c r="A51" s="1">
        <v>40</v>
      </c>
      <c r="B51" s="374"/>
      <c r="C51" s="384"/>
      <c r="E51" s="17"/>
      <c r="F51" s="17"/>
      <c r="G51" s="18"/>
      <c r="H51" s="18"/>
      <c r="I51" s="18"/>
      <c r="J51" s="20"/>
      <c r="K51" s="18"/>
      <c r="L51" s="18"/>
      <c r="M51" s="18"/>
      <c r="N51" s="18"/>
      <c r="O51" s="18"/>
      <c r="P51" s="5" t="s">
        <v>2076</v>
      </c>
      <c r="Q51" s="375">
        <f>Q50/Q49</f>
        <v>4.3629645304743836E-2</v>
      </c>
      <c r="R51" s="18"/>
    </row>
    <row r="52" spans="1:62" ht="14.1" customHeight="1" x14ac:dyDescent="0.2">
      <c r="A52" s="1">
        <v>41</v>
      </c>
      <c r="C52" s="384"/>
      <c r="E52" s="17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</row>
    <row r="53" spans="1:62" ht="14.1" customHeight="1" thickBot="1" x14ac:dyDescent="0.25">
      <c r="A53" s="2">
        <v>42</v>
      </c>
      <c r="B53" s="2" t="s">
        <v>4330</v>
      </c>
      <c r="C53" s="385"/>
      <c r="D53" s="2"/>
      <c r="E53" s="268"/>
      <c r="F53" s="269"/>
      <c r="G53" s="269"/>
      <c r="H53" s="269"/>
      <c r="I53" s="269"/>
      <c r="J53" s="269"/>
      <c r="K53" s="269"/>
      <c r="L53" s="269"/>
      <c r="M53" s="269"/>
      <c r="N53" s="269"/>
      <c r="O53" s="269"/>
      <c r="P53" s="269"/>
      <c r="Q53" s="269"/>
      <c r="R53" s="269"/>
    </row>
    <row r="54" spans="1:62" ht="13.5" customHeight="1" x14ac:dyDescent="0.2">
      <c r="A54" s="291"/>
      <c r="P54" s="291"/>
      <c r="AF54" s="162"/>
    </row>
    <row r="55" spans="1:62" ht="10.5" customHeight="1" x14ac:dyDescent="0.2">
      <c r="AP55" s="358"/>
      <c r="BA55" s="162"/>
      <c r="BJ55" s="162"/>
    </row>
    <row r="59" spans="1:62" ht="14.1" customHeight="1" x14ac:dyDescent="0.2">
      <c r="B59" s="342"/>
    </row>
  </sheetData>
  <pageMargins left="1" right="0" top="1" bottom="0" header="0" footer="0"/>
  <pageSetup scale="68" orientation="landscape" r:id="rId1"/>
  <headerFooter alignWithMargins="0"/>
  <customProperties>
    <customPr name="_pios_id" r:id="rId2"/>
    <customPr name="EpmWorksheetKeyString_GUID" r:id="rId3"/>
  </customProperties>
  <legacy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transitionEvaluation="1" transitionEntry="1" codeName="Sheet26">
    <pageSetUpPr fitToPage="1"/>
  </sheetPr>
  <dimension ref="A1:IV1356"/>
  <sheetViews>
    <sheetView defaultGridColor="0" colorId="22" zoomScale="65" zoomScaleNormal="70" zoomScaleSheetLayoutView="75" workbookViewId="0">
      <selection activeCell="L54" sqref="L54"/>
    </sheetView>
  </sheetViews>
  <sheetFormatPr defaultColWidth="15.140625" defaultRowHeight="15" x14ac:dyDescent="0.2"/>
  <cols>
    <col min="1" max="1" width="10.140625" style="70" customWidth="1"/>
    <col min="2" max="2" width="47" style="70" customWidth="1"/>
    <col min="3" max="3" width="16.7109375" style="70" customWidth="1"/>
    <col min="4" max="4" width="15.5703125" style="70" customWidth="1"/>
    <col min="5" max="5" width="16.85546875" style="70" customWidth="1"/>
    <col min="6" max="15" width="15.5703125" style="70" customWidth="1"/>
    <col min="16" max="16" width="14.42578125" style="70" customWidth="1"/>
    <col min="17" max="17" width="15.28515625" style="70" customWidth="1"/>
    <col min="18" max="18" width="15.5703125" style="70" customWidth="1"/>
    <col min="19" max="19" width="3" style="70" customWidth="1"/>
    <col min="20" max="21" width="15.5703125" style="70" customWidth="1"/>
    <col min="22" max="23" width="15.28515625" style="70" customWidth="1"/>
    <col min="24" max="27" width="15.28515625" style="70" bestFit="1" customWidth="1"/>
    <col min="28" max="16384" width="15.140625" style="70"/>
  </cols>
  <sheetData>
    <row r="1" spans="1:21" ht="13.9" customHeight="1" x14ac:dyDescent="0.2">
      <c r="C1" s="71">
        <v>0.29626999981701374</v>
      </c>
      <c r="D1" s="71">
        <v>0.29626999981701374</v>
      </c>
      <c r="E1" s="71">
        <v>0.29626999981701374</v>
      </c>
      <c r="F1" s="71">
        <v>0.29626999981701374</v>
      </c>
      <c r="G1" s="71">
        <v>0.29626999981701374</v>
      </c>
      <c r="H1" s="71">
        <v>0.29626999981701374</v>
      </c>
      <c r="I1" s="71">
        <v>0.29626999981701374</v>
      </c>
      <c r="J1" s="71">
        <v>0.29626999981701374</v>
      </c>
      <c r="K1" s="71">
        <v>0.29626999981701374</v>
      </c>
      <c r="L1" s="71">
        <v>0.29626999981701374</v>
      </c>
      <c r="M1" s="71">
        <v>0.29626999981701374</v>
      </c>
      <c r="N1" s="71">
        <v>-0.45373000018298626</v>
      </c>
      <c r="O1" s="71">
        <v>-0.20373000018298626</v>
      </c>
      <c r="P1" s="71">
        <v>0.20011615287512541</v>
      </c>
      <c r="R1" s="71"/>
      <c r="S1" s="71"/>
      <c r="T1" s="71"/>
      <c r="U1" s="71"/>
    </row>
    <row r="2" spans="1:21" ht="12.75" hidden="1" customHeight="1" x14ac:dyDescent="0.2">
      <c r="B2" s="72">
        <v>39617.647023148151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R2" s="71"/>
      <c r="S2" s="71"/>
      <c r="T2" s="71"/>
      <c r="U2" s="71"/>
    </row>
    <row r="3" spans="1:21" ht="15.75" hidden="1" x14ac:dyDescent="0.25">
      <c r="A3" s="73" t="s">
        <v>419</v>
      </c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88"/>
      <c r="R3" s="88"/>
      <c r="S3" s="71"/>
      <c r="T3" s="71"/>
      <c r="U3" s="71"/>
    </row>
    <row r="4" spans="1:21" x14ac:dyDescent="0.2">
      <c r="A4" s="70" t="s">
        <v>2913</v>
      </c>
      <c r="C4" s="89" t="s">
        <v>5125</v>
      </c>
      <c r="D4" s="89" t="s">
        <v>424</v>
      </c>
      <c r="E4" s="89" t="s">
        <v>424</v>
      </c>
      <c r="F4" s="89" t="s">
        <v>424</v>
      </c>
      <c r="G4" s="89" t="s">
        <v>424</v>
      </c>
      <c r="H4" s="89" t="s">
        <v>424</v>
      </c>
      <c r="I4" s="89" t="s">
        <v>424</v>
      </c>
      <c r="J4" s="89" t="s">
        <v>424</v>
      </c>
      <c r="K4" s="89" t="s">
        <v>424</v>
      </c>
      <c r="L4" s="89" t="s">
        <v>424</v>
      </c>
      <c r="M4" s="89" t="s">
        <v>424</v>
      </c>
      <c r="N4" s="89" t="s">
        <v>424</v>
      </c>
      <c r="O4" s="89" t="s">
        <v>424</v>
      </c>
      <c r="P4" s="74" t="s">
        <v>423</v>
      </c>
      <c r="R4" s="89"/>
      <c r="S4" s="74"/>
      <c r="T4" s="89"/>
      <c r="U4" s="89"/>
    </row>
    <row r="5" spans="1:21" x14ac:dyDescent="0.2">
      <c r="A5" s="75" t="s">
        <v>425</v>
      </c>
      <c r="B5" s="76" t="s">
        <v>426</v>
      </c>
      <c r="C5" s="76" t="s">
        <v>429</v>
      </c>
      <c r="D5" s="76" t="s">
        <v>2914</v>
      </c>
      <c r="E5" s="76" t="s">
        <v>2915</v>
      </c>
      <c r="F5" s="76" t="s">
        <v>2916</v>
      </c>
      <c r="G5" s="76" t="s">
        <v>2917</v>
      </c>
      <c r="H5" s="76" t="s">
        <v>2918</v>
      </c>
      <c r="I5" s="76" t="s">
        <v>2919</v>
      </c>
      <c r="J5" s="76" t="s">
        <v>2920</v>
      </c>
      <c r="K5" s="76" t="s">
        <v>2921</v>
      </c>
      <c r="L5" s="76" t="s">
        <v>2922</v>
      </c>
      <c r="M5" s="76" t="s">
        <v>2923</v>
      </c>
      <c r="N5" s="76" t="s">
        <v>2924</v>
      </c>
      <c r="O5" s="76" t="s">
        <v>2925</v>
      </c>
      <c r="P5" s="76" t="s">
        <v>428</v>
      </c>
      <c r="Q5" s="75"/>
      <c r="R5" s="76"/>
      <c r="S5" s="66"/>
      <c r="T5" s="76"/>
      <c r="U5" s="76"/>
    </row>
    <row r="6" spans="1:21" ht="14.65" hidden="1" customHeight="1" x14ac:dyDescent="0.2">
      <c r="A6" s="77" t="s">
        <v>884</v>
      </c>
      <c r="B6" s="70" t="s">
        <v>430</v>
      </c>
      <c r="C6" s="71">
        <v>5225866.7962699998</v>
      </c>
      <c r="D6" s="71">
        <v>5224178.7962699998</v>
      </c>
      <c r="E6" s="71">
        <v>5243389.7962699998</v>
      </c>
      <c r="F6" s="71">
        <v>5255406.7962699998</v>
      </c>
      <c r="G6" s="71">
        <v>5270529.7962699998</v>
      </c>
      <c r="H6" s="71">
        <v>5283946.7962699998</v>
      </c>
      <c r="I6" s="71">
        <v>5342689.7962699998</v>
      </c>
      <c r="J6" s="71">
        <v>5402334.7962699998</v>
      </c>
      <c r="K6" s="71">
        <v>5409910.7962699998</v>
      </c>
      <c r="L6" s="71">
        <v>5424326.7962699998</v>
      </c>
      <c r="M6" s="71">
        <v>5443572.7962699998</v>
      </c>
      <c r="N6" s="71">
        <v>5664671.7962699998</v>
      </c>
      <c r="O6" s="71">
        <v>5693802.7962699998</v>
      </c>
      <c r="P6" s="84">
        <v>5375740.6424238449</v>
      </c>
      <c r="Q6" s="77"/>
      <c r="R6" s="71"/>
      <c r="S6" s="104"/>
      <c r="T6" s="71"/>
      <c r="U6" s="71"/>
    </row>
    <row r="7" spans="1:21" ht="14.65" hidden="1" customHeight="1" x14ac:dyDescent="0.2">
      <c r="A7" s="78" t="s">
        <v>3890</v>
      </c>
      <c r="B7" s="70" t="s">
        <v>431</v>
      </c>
      <c r="C7" s="71">
        <v>7133.7962700000007</v>
      </c>
      <c r="D7" s="71">
        <v>7133.7962700000007</v>
      </c>
      <c r="E7" s="71">
        <v>7133.7962700000007</v>
      </c>
      <c r="F7" s="71">
        <v>7133.7962700000007</v>
      </c>
      <c r="G7" s="71">
        <v>7133.7962700000007</v>
      </c>
      <c r="H7" s="71">
        <v>7133.7962700000007</v>
      </c>
      <c r="I7" s="71">
        <v>7133.7962700000007</v>
      </c>
      <c r="J7" s="71">
        <v>7133.7962700000007</v>
      </c>
      <c r="K7" s="71">
        <v>7133.7962700000007</v>
      </c>
      <c r="L7" s="71">
        <v>7133.7962700000007</v>
      </c>
      <c r="M7" s="71">
        <v>7133.7962700000007</v>
      </c>
      <c r="N7" s="71">
        <v>7133.7962700000007</v>
      </c>
      <c r="O7" s="71">
        <v>7133.7962700000007</v>
      </c>
      <c r="P7" s="84">
        <v>7133.7962700000016</v>
      </c>
      <c r="Q7" s="78"/>
      <c r="R7" s="71"/>
      <c r="S7" s="104"/>
      <c r="T7" s="71"/>
      <c r="U7" s="71"/>
    </row>
    <row r="8" spans="1:21" ht="14.65" hidden="1" customHeight="1" x14ac:dyDescent="0.2">
      <c r="A8" s="78" t="s">
        <v>3951</v>
      </c>
      <c r="B8" s="70" t="s">
        <v>432</v>
      </c>
      <c r="C8" s="71">
        <v>0</v>
      </c>
      <c r="D8" s="71">
        <v>0</v>
      </c>
      <c r="E8" s="71">
        <v>0</v>
      </c>
      <c r="F8" s="71">
        <v>0</v>
      </c>
      <c r="G8" s="71">
        <v>0</v>
      </c>
      <c r="H8" s="71">
        <v>0</v>
      </c>
      <c r="I8" s="71">
        <v>0</v>
      </c>
      <c r="J8" s="71">
        <v>0</v>
      </c>
      <c r="K8" s="71">
        <v>0</v>
      </c>
      <c r="L8" s="71">
        <v>0</v>
      </c>
      <c r="M8" s="71">
        <v>0</v>
      </c>
      <c r="N8" s="71">
        <v>0</v>
      </c>
      <c r="O8" s="71">
        <v>0</v>
      </c>
      <c r="P8" s="84">
        <v>0</v>
      </c>
      <c r="Q8" s="78"/>
      <c r="R8" s="71"/>
      <c r="S8" s="104"/>
      <c r="T8" s="71"/>
      <c r="U8" s="71"/>
    </row>
    <row r="9" spans="1:21" ht="14.65" hidden="1" customHeight="1" x14ac:dyDescent="0.2">
      <c r="A9" s="77" t="s">
        <v>5383</v>
      </c>
      <c r="B9" s="70" t="s">
        <v>433</v>
      </c>
      <c r="C9" s="71">
        <v>42942</v>
      </c>
      <c r="D9" s="71">
        <v>42942</v>
      </c>
      <c r="E9" s="71">
        <v>42942</v>
      </c>
      <c r="F9" s="71">
        <v>42942</v>
      </c>
      <c r="G9" s="71">
        <v>42942</v>
      </c>
      <c r="H9" s="71">
        <v>42942</v>
      </c>
      <c r="I9" s="71">
        <v>42942</v>
      </c>
      <c r="J9" s="71">
        <v>42942</v>
      </c>
      <c r="K9" s="71">
        <v>42942</v>
      </c>
      <c r="L9" s="71">
        <v>42942</v>
      </c>
      <c r="M9" s="71">
        <v>42942</v>
      </c>
      <c r="N9" s="71">
        <v>42942</v>
      </c>
      <c r="O9" s="71">
        <v>44268</v>
      </c>
      <c r="P9" s="84">
        <v>43044</v>
      </c>
      <c r="Q9" s="77"/>
      <c r="R9" s="71"/>
      <c r="S9" s="104"/>
      <c r="T9" s="71"/>
      <c r="U9" s="71"/>
    </row>
    <row r="10" spans="1:21" ht="14.65" hidden="1" customHeight="1" x14ac:dyDescent="0.2">
      <c r="A10" s="77" t="s">
        <v>5386</v>
      </c>
      <c r="B10" s="70" t="s">
        <v>434</v>
      </c>
      <c r="C10" s="71">
        <v>330604</v>
      </c>
      <c r="D10" s="71">
        <v>377362</v>
      </c>
      <c r="E10" s="71">
        <v>364236</v>
      </c>
      <c r="F10" s="71">
        <v>369384</v>
      </c>
      <c r="G10" s="71">
        <v>377227</v>
      </c>
      <c r="H10" s="71">
        <v>582969</v>
      </c>
      <c r="I10" s="71">
        <v>552446</v>
      </c>
      <c r="J10" s="71">
        <v>503541</v>
      </c>
      <c r="K10" s="71">
        <v>506662</v>
      </c>
      <c r="L10" s="71">
        <v>646902</v>
      </c>
      <c r="M10" s="71">
        <v>644922</v>
      </c>
      <c r="N10" s="71">
        <v>433858</v>
      </c>
      <c r="O10" s="71">
        <v>553386</v>
      </c>
      <c r="P10" s="84">
        <v>480269.15384615387</v>
      </c>
      <c r="Q10" s="77"/>
      <c r="R10" s="71"/>
      <c r="S10" s="104"/>
      <c r="T10" s="71"/>
      <c r="U10" s="71"/>
    </row>
    <row r="11" spans="1:21" ht="14.65" hidden="1" customHeight="1" x14ac:dyDescent="0.2">
      <c r="A11" s="77" t="s">
        <v>5389</v>
      </c>
      <c r="B11" s="70" t="s">
        <v>435</v>
      </c>
      <c r="C11" s="90">
        <v>414529</v>
      </c>
      <c r="D11" s="90">
        <v>410992</v>
      </c>
      <c r="E11" s="90">
        <v>466615</v>
      </c>
      <c r="F11" s="90">
        <v>512244</v>
      </c>
      <c r="G11" s="90">
        <v>545380</v>
      </c>
      <c r="H11" s="90">
        <v>374091</v>
      </c>
      <c r="I11" s="90">
        <v>390202</v>
      </c>
      <c r="J11" s="90">
        <v>420130</v>
      </c>
      <c r="K11" s="90">
        <v>449239</v>
      </c>
      <c r="L11" s="90">
        <v>329866</v>
      </c>
      <c r="M11" s="90">
        <v>344772</v>
      </c>
      <c r="N11" s="90">
        <v>368361</v>
      </c>
      <c r="O11" s="90">
        <v>244660</v>
      </c>
      <c r="P11" s="84">
        <v>405467.76923076925</v>
      </c>
      <c r="Q11" s="77"/>
      <c r="R11" s="90"/>
      <c r="S11" s="104"/>
      <c r="T11" s="90"/>
      <c r="U11" s="90"/>
    </row>
    <row r="12" spans="1:21" ht="14.65" hidden="1" customHeight="1" x14ac:dyDescent="0.2">
      <c r="A12" s="77" t="s">
        <v>3660</v>
      </c>
      <c r="B12" s="70" t="s">
        <v>436</v>
      </c>
      <c r="C12" s="90">
        <v>-1998482</v>
      </c>
      <c r="D12" s="90">
        <v>-1990567</v>
      </c>
      <c r="E12" s="90">
        <v>-1998673</v>
      </c>
      <c r="F12" s="90">
        <v>-2009732</v>
      </c>
      <c r="G12" s="90">
        <v>-2021758</v>
      </c>
      <c r="H12" s="90">
        <v>-2032153</v>
      </c>
      <c r="I12" s="90">
        <v>-2039759</v>
      </c>
      <c r="J12" s="90">
        <v>-2048438</v>
      </c>
      <c r="K12" s="90">
        <v>-2057747</v>
      </c>
      <c r="L12" s="90">
        <v>-2066795</v>
      </c>
      <c r="M12" s="90">
        <v>-2075163</v>
      </c>
      <c r="N12" s="90">
        <v>-2084359</v>
      </c>
      <c r="O12" s="90">
        <v>-2093272</v>
      </c>
      <c r="P12" s="84">
        <v>-2039761.3846153845</v>
      </c>
      <c r="Q12" s="77"/>
      <c r="R12" s="90"/>
      <c r="S12" s="104"/>
      <c r="T12" s="90"/>
      <c r="U12" s="90"/>
    </row>
    <row r="13" spans="1:21" ht="14.65" hidden="1" customHeight="1" x14ac:dyDescent="0.2">
      <c r="A13" s="78" t="s">
        <v>5398</v>
      </c>
      <c r="B13" s="70" t="s">
        <v>437</v>
      </c>
      <c r="C13" s="90">
        <v>-763</v>
      </c>
      <c r="D13" s="90">
        <v>-789</v>
      </c>
      <c r="E13" s="90">
        <v>-815</v>
      </c>
      <c r="F13" s="90">
        <v>-841</v>
      </c>
      <c r="G13" s="90">
        <v>-867</v>
      </c>
      <c r="H13" s="90">
        <v>-893</v>
      </c>
      <c r="I13" s="90">
        <v>-919</v>
      </c>
      <c r="J13" s="90">
        <v>-945</v>
      </c>
      <c r="K13" s="90">
        <v>-971</v>
      </c>
      <c r="L13" s="90">
        <v>-997</v>
      </c>
      <c r="M13" s="90">
        <v>-1023</v>
      </c>
      <c r="N13" s="90">
        <v>-1049</v>
      </c>
      <c r="O13" s="90">
        <v>-1075</v>
      </c>
      <c r="P13" s="84">
        <v>-919</v>
      </c>
      <c r="Q13" s="78"/>
      <c r="R13" s="90"/>
      <c r="S13" s="104"/>
      <c r="T13" s="90"/>
      <c r="U13" s="90"/>
    </row>
    <row r="14" spans="1:21" ht="14.65" hidden="1" customHeight="1" x14ac:dyDescent="0.2">
      <c r="A14" s="78" t="s">
        <v>5400</v>
      </c>
      <c r="B14" s="70" t="s">
        <v>438</v>
      </c>
      <c r="C14" s="91">
        <v>465977</v>
      </c>
      <c r="D14" s="90">
        <v>466998</v>
      </c>
      <c r="E14" s="90">
        <v>468606</v>
      </c>
      <c r="F14" s="90">
        <v>469886</v>
      </c>
      <c r="G14" s="90">
        <v>471155</v>
      </c>
      <c r="H14" s="90">
        <v>472357</v>
      </c>
      <c r="I14" s="90">
        <v>472649</v>
      </c>
      <c r="J14" s="90">
        <v>474190</v>
      </c>
      <c r="K14" s="90">
        <v>475698</v>
      </c>
      <c r="L14" s="90">
        <v>476886</v>
      </c>
      <c r="M14" s="90">
        <v>477204</v>
      </c>
      <c r="N14" s="90">
        <v>476490</v>
      </c>
      <c r="O14" s="90">
        <v>477222</v>
      </c>
      <c r="P14" s="84">
        <v>472716.76923076925</v>
      </c>
      <c r="Q14" s="78"/>
      <c r="R14" s="90"/>
      <c r="S14" s="104"/>
      <c r="T14" s="90"/>
      <c r="U14" s="90"/>
    </row>
    <row r="15" spans="1:21" ht="14.65" hidden="1" customHeight="1" x14ac:dyDescent="0.2">
      <c r="A15" s="77" t="s">
        <v>3663</v>
      </c>
      <c r="B15" s="70" t="s">
        <v>439</v>
      </c>
      <c r="C15" s="71">
        <v>-8448</v>
      </c>
      <c r="D15" s="71">
        <v>-8790</v>
      </c>
      <c r="E15" s="71">
        <v>-8326</v>
      </c>
      <c r="F15" s="71">
        <v>-8740</v>
      </c>
      <c r="G15" s="71">
        <v>-9192</v>
      </c>
      <c r="H15" s="71">
        <v>-7708</v>
      </c>
      <c r="I15" s="71">
        <v>-7000</v>
      </c>
      <c r="J15" s="71">
        <v>-6537</v>
      </c>
      <c r="K15" s="71">
        <v>-6918</v>
      </c>
      <c r="L15" s="71">
        <v>-7357</v>
      </c>
      <c r="M15" s="71">
        <v>-7729</v>
      </c>
      <c r="N15" s="71">
        <v>-8169</v>
      </c>
      <c r="O15" s="71">
        <v>-8237</v>
      </c>
      <c r="P15" s="84">
        <v>-7934.6923076923076</v>
      </c>
      <c r="Q15" s="77"/>
      <c r="R15" s="71"/>
      <c r="S15" s="104"/>
      <c r="T15" s="71"/>
      <c r="U15" s="71"/>
    </row>
    <row r="16" spans="1:21" ht="14.65" hidden="1" customHeight="1" x14ac:dyDescent="0.2">
      <c r="A16" s="77" t="s">
        <v>3668</v>
      </c>
      <c r="B16" s="70" t="s">
        <v>440</v>
      </c>
      <c r="C16" s="71">
        <v>4041</v>
      </c>
      <c r="D16" s="71">
        <v>5173</v>
      </c>
      <c r="E16" s="71">
        <v>5151</v>
      </c>
      <c r="F16" s="71">
        <v>5128</v>
      </c>
      <c r="G16" s="71">
        <v>5105</v>
      </c>
      <c r="H16" s="71">
        <v>5083</v>
      </c>
      <c r="I16" s="71">
        <v>5060</v>
      </c>
      <c r="J16" s="71">
        <v>5037</v>
      </c>
      <c r="K16" s="71">
        <v>5014</v>
      </c>
      <c r="L16" s="71">
        <v>4992</v>
      </c>
      <c r="M16" s="71">
        <v>4969</v>
      </c>
      <c r="N16" s="71">
        <v>4946</v>
      </c>
      <c r="O16" s="71">
        <v>4923</v>
      </c>
      <c r="P16" s="84">
        <v>4970.9230769230771</v>
      </c>
      <c r="Q16" s="77"/>
      <c r="R16" s="71"/>
      <c r="S16" s="104"/>
      <c r="T16" s="71"/>
      <c r="U16" s="71"/>
    </row>
    <row r="17" spans="1:256" ht="14.65" hidden="1" customHeight="1" x14ac:dyDescent="0.2">
      <c r="A17" s="77" t="s">
        <v>3705</v>
      </c>
      <c r="B17" s="70" t="s">
        <v>441</v>
      </c>
      <c r="C17" s="71">
        <v>7020</v>
      </c>
      <c r="D17" s="71">
        <v>7022</v>
      </c>
      <c r="E17" s="71">
        <v>7039</v>
      </c>
      <c r="F17" s="71">
        <v>7064</v>
      </c>
      <c r="G17" s="71">
        <v>7081</v>
      </c>
      <c r="H17" s="71">
        <v>7072</v>
      </c>
      <c r="I17" s="71">
        <v>6988</v>
      </c>
      <c r="J17" s="71">
        <v>7041</v>
      </c>
      <c r="K17" s="71">
        <v>7020</v>
      </c>
      <c r="L17" s="71">
        <v>7011</v>
      </c>
      <c r="M17" s="71">
        <v>7014</v>
      </c>
      <c r="N17" s="71">
        <v>7022</v>
      </c>
      <c r="O17" s="71">
        <v>7026</v>
      </c>
      <c r="P17" s="84">
        <v>7032.3076923076924</v>
      </c>
      <c r="Q17" s="77"/>
      <c r="R17" s="71"/>
      <c r="S17" s="104"/>
      <c r="T17" s="71"/>
      <c r="U17" s="71"/>
    </row>
    <row r="18" spans="1:256" ht="14.65" hidden="1" customHeight="1" x14ac:dyDescent="0.2">
      <c r="A18" s="77" t="s">
        <v>1148</v>
      </c>
      <c r="B18" s="70" t="s">
        <v>442</v>
      </c>
      <c r="C18" s="71">
        <v>-3286</v>
      </c>
      <c r="D18" s="71">
        <v>-3310</v>
      </c>
      <c r="E18" s="71">
        <v>-3323</v>
      </c>
      <c r="F18" s="71">
        <v>-3337</v>
      </c>
      <c r="G18" s="71">
        <v>-3325</v>
      </c>
      <c r="H18" s="71">
        <v>-3268</v>
      </c>
      <c r="I18" s="71">
        <v>-3112</v>
      </c>
      <c r="J18" s="71">
        <v>-3016</v>
      </c>
      <c r="K18" s="71">
        <v>-2883</v>
      </c>
      <c r="L18" s="71">
        <v>-2863</v>
      </c>
      <c r="M18" s="71">
        <v>-2871</v>
      </c>
      <c r="N18" s="71">
        <v>-2893</v>
      </c>
      <c r="O18" s="71">
        <v>-2913</v>
      </c>
      <c r="P18" s="84">
        <v>-3107.6923076923076</v>
      </c>
      <c r="Q18" s="77"/>
      <c r="R18" s="71"/>
      <c r="S18" s="104"/>
      <c r="T18" s="71"/>
      <c r="U18" s="71"/>
    </row>
    <row r="19" spans="1:256" hidden="1" x14ac:dyDescent="0.2">
      <c r="A19" s="77" t="s">
        <v>1153</v>
      </c>
      <c r="B19" s="70" t="s">
        <v>443</v>
      </c>
      <c r="C19" s="71">
        <v>274</v>
      </c>
      <c r="D19" s="71">
        <v>274</v>
      </c>
      <c r="E19" s="71">
        <v>274</v>
      </c>
      <c r="F19" s="71">
        <v>274</v>
      </c>
      <c r="G19" s="71">
        <v>274</v>
      </c>
      <c r="H19" s="71">
        <v>274</v>
      </c>
      <c r="I19" s="71">
        <v>274</v>
      </c>
      <c r="J19" s="71">
        <v>274</v>
      </c>
      <c r="K19" s="71">
        <v>274</v>
      </c>
      <c r="L19" s="71">
        <v>274</v>
      </c>
      <c r="M19" s="71">
        <v>274</v>
      </c>
      <c r="N19" s="71">
        <v>274</v>
      </c>
      <c r="O19" s="71">
        <v>274</v>
      </c>
      <c r="P19" s="84">
        <v>274</v>
      </c>
      <c r="Q19" s="77"/>
      <c r="R19" s="71"/>
      <c r="S19" s="104"/>
      <c r="T19" s="71"/>
      <c r="U19" s="71"/>
    </row>
    <row r="20" spans="1:256" hidden="1" x14ac:dyDescent="0.2">
      <c r="A20" s="77" t="s">
        <v>657</v>
      </c>
      <c r="B20" s="70" t="s">
        <v>444</v>
      </c>
      <c r="C20" s="71">
        <v>0</v>
      </c>
      <c r="D20" s="71">
        <v>0</v>
      </c>
      <c r="E20" s="71">
        <v>0</v>
      </c>
      <c r="F20" s="71">
        <v>0</v>
      </c>
      <c r="G20" s="71">
        <v>0</v>
      </c>
      <c r="H20" s="71">
        <v>0</v>
      </c>
      <c r="I20" s="71">
        <v>0</v>
      </c>
      <c r="J20" s="71">
        <v>0</v>
      </c>
      <c r="K20" s="71">
        <v>0</v>
      </c>
      <c r="L20" s="71">
        <v>0</v>
      </c>
      <c r="M20" s="71">
        <v>0</v>
      </c>
      <c r="N20" s="71">
        <v>0</v>
      </c>
      <c r="O20" s="71">
        <v>0</v>
      </c>
      <c r="P20" s="84">
        <v>0</v>
      </c>
      <c r="Q20" s="77"/>
      <c r="R20" s="71"/>
      <c r="S20" s="104"/>
      <c r="T20" s="71"/>
      <c r="U20" s="71"/>
    </row>
    <row r="21" spans="1:256" hidden="1" x14ac:dyDescent="0.2">
      <c r="A21" s="78" t="s">
        <v>663</v>
      </c>
      <c r="B21" s="70" t="s">
        <v>445</v>
      </c>
      <c r="C21" s="71">
        <v>0</v>
      </c>
      <c r="D21" s="71">
        <v>0</v>
      </c>
      <c r="E21" s="71">
        <v>0</v>
      </c>
      <c r="F21" s="71">
        <v>0</v>
      </c>
      <c r="G21" s="71">
        <v>0</v>
      </c>
      <c r="H21" s="71">
        <v>0</v>
      </c>
      <c r="I21" s="71">
        <v>0</v>
      </c>
      <c r="J21" s="71">
        <v>0</v>
      </c>
      <c r="K21" s="71">
        <v>0</v>
      </c>
      <c r="L21" s="71">
        <v>0</v>
      </c>
      <c r="M21" s="71">
        <v>0</v>
      </c>
      <c r="N21" s="71">
        <v>0</v>
      </c>
      <c r="O21" s="71">
        <v>0</v>
      </c>
      <c r="P21" s="84">
        <v>0</v>
      </c>
      <c r="Q21" s="78"/>
      <c r="R21" s="71"/>
      <c r="S21" s="104"/>
      <c r="T21" s="71"/>
      <c r="U21" s="71"/>
    </row>
    <row r="22" spans="1:256" hidden="1" x14ac:dyDescent="0.2">
      <c r="A22" s="77" t="s">
        <v>5465</v>
      </c>
      <c r="B22" s="70" t="s">
        <v>446</v>
      </c>
      <c r="C22" s="90">
        <v>0</v>
      </c>
      <c r="D22" s="90">
        <v>0</v>
      </c>
      <c r="E22" s="90">
        <v>0</v>
      </c>
      <c r="F22" s="90">
        <v>0</v>
      </c>
      <c r="G22" s="90">
        <v>0</v>
      </c>
      <c r="H22" s="90">
        <v>0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0</v>
      </c>
      <c r="O22" s="90">
        <v>0</v>
      </c>
      <c r="P22" s="84">
        <v>0</v>
      </c>
      <c r="Q22" s="77"/>
      <c r="R22" s="90"/>
      <c r="S22" s="104"/>
      <c r="T22" s="90"/>
      <c r="U22" s="90"/>
    </row>
    <row r="23" spans="1:256" hidden="1" x14ac:dyDescent="0.2">
      <c r="A23" s="77" t="s">
        <v>5480</v>
      </c>
      <c r="B23" s="70" t="s">
        <v>447</v>
      </c>
      <c r="C23" s="71">
        <v>86</v>
      </c>
      <c r="D23" s="71">
        <v>86</v>
      </c>
      <c r="E23" s="71">
        <v>86</v>
      </c>
      <c r="F23" s="71">
        <v>86</v>
      </c>
      <c r="G23" s="71">
        <v>86</v>
      </c>
      <c r="H23" s="71">
        <v>86</v>
      </c>
      <c r="I23" s="71">
        <v>86</v>
      </c>
      <c r="J23" s="71">
        <v>86</v>
      </c>
      <c r="K23" s="71">
        <v>86</v>
      </c>
      <c r="L23" s="71">
        <v>86</v>
      </c>
      <c r="M23" s="71">
        <v>86</v>
      </c>
      <c r="N23" s="71">
        <v>86</v>
      </c>
      <c r="O23" s="71">
        <v>86</v>
      </c>
      <c r="P23" s="84">
        <v>86</v>
      </c>
      <c r="Q23" s="77"/>
      <c r="R23" s="71"/>
      <c r="S23" s="104"/>
      <c r="T23" s="71"/>
      <c r="U23" s="71"/>
      <c r="X23" s="90"/>
      <c r="Y23" s="90"/>
      <c r="Z23" s="90"/>
      <c r="AA23" s="90"/>
      <c r="AB23" s="90"/>
      <c r="AC23" s="90"/>
      <c r="AE23" s="90"/>
      <c r="AF23" s="90"/>
      <c r="AG23" s="90"/>
      <c r="AH23" s="90"/>
      <c r="AI23" s="90"/>
      <c r="AJ23" s="90"/>
      <c r="AK23" s="90"/>
      <c r="AL23" s="90"/>
      <c r="AM23" s="90"/>
      <c r="AN23" s="90"/>
      <c r="AO23" s="90"/>
      <c r="AP23" s="90"/>
      <c r="AQ23" s="90"/>
      <c r="AR23" s="90"/>
      <c r="AS23" s="90"/>
      <c r="AT23" s="90"/>
      <c r="AU23" s="90"/>
      <c r="AV23" s="90"/>
      <c r="AW23" s="90"/>
      <c r="AX23" s="90"/>
      <c r="AY23" s="90"/>
      <c r="AZ23" s="90"/>
      <c r="BA23" s="90"/>
      <c r="BB23" s="90"/>
      <c r="BC23" s="90"/>
      <c r="BD23" s="90"/>
      <c r="BE23" s="90"/>
      <c r="BF23" s="90"/>
      <c r="BG23" s="90"/>
      <c r="BH23" s="90"/>
      <c r="BI23" s="90"/>
      <c r="BJ23" s="90"/>
      <c r="BK23" s="90"/>
      <c r="BL23" s="90"/>
      <c r="BM23" s="90"/>
      <c r="BN23" s="90"/>
      <c r="BO23" s="90"/>
      <c r="BP23" s="90"/>
      <c r="BQ23" s="90"/>
      <c r="BR23" s="90"/>
      <c r="BS23" s="90"/>
      <c r="BT23" s="90"/>
      <c r="BU23" s="90"/>
      <c r="BV23" s="90"/>
      <c r="BW23" s="90"/>
      <c r="BX23" s="90"/>
      <c r="BY23" s="90"/>
      <c r="BZ23" s="90"/>
      <c r="CA23" s="90"/>
      <c r="CB23" s="90"/>
      <c r="CC23" s="90"/>
      <c r="CD23" s="90"/>
      <c r="CE23" s="90"/>
      <c r="CF23" s="90"/>
      <c r="CG23" s="90"/>
      <c r="CH23" s="90"/>
      <c r="CI23" s="90"/>
      <c r="CJ23" s="90"/>
      <c r="CK23" s="90"/>
      <c r="CL23" s="90"/>
      <c r="CM23" s="90"/>
      <c r="CN23" s="90"/>
      <c r="CO23" s="90"/>
      <c r="CP23" s="90"/>
      <c r="CQ23" s="90"/>
      <c r="CR23" s="90"/>
      <c r="CS23" s="90"/>
      <c r="CT23" s="90"/>
      <c r="CU23" s="90"/>
      <c r="CV23" s="90"/>
      <c r="CW23" s="90"/>
      <c r="CX23" s="90"/>
      <c r="CY23" s="90"/>
      <c r="CZ23" s="90"/>
      <c r="DA23" s="90"/>
      <c r="DB23" s="90"/>
      <c r="DC23" s="90"/>
      <c r="DD23" s="90"/>
      <c r="DE23" s="90"/>
      <c r="DF23" s="90"/>
      <c r="DG23" s="90"/>
      <c r="DH23" s="90"/>
      <c r="DI23" s="90"/>
      <c r="DJ23" s="90"/>
      <c r="DK23" s="90"/>
      <c r="DL23" s="90"/>
      <c r="DM23" s="90"/>
      <c r="DN23" s="90"/>
      <c r="DO23" s="90"/>
      <c r="DP23" s="90"/>
      <c r="DQ23" s="90"/>
      <c r="DR23" s="90"/>
      <c r="DS23" s="90"/>
      <c r="DT23" s="90"/>
      <c r="DU23" s="90"/>
      <c r="DV23" s="90"/>
      <c r="DW23" s="90"/>
      <c r="DX23" s="90"/>
      <c r="DY23" s="90"/>
      <c r="DZ23" s="90"/>
      <c r="EA23" s="90"/>
      <c r="EB23" s="90"/>
      <c r="EC23" s="90"/>
      <c r="ED23" s="90"/>
      <c r="EE23" s="90"/>
      <c r="EF23" s="90"/>
      <c r="EG23" s="90"/>
      <c r="EH23" s="90"/>
      <c r="EI23" s="90"/>
      <c r="EJ23" s="90"/>
      <c r="EK23" s="90"/>
      <c r="EL23" s="90"/>
      <c r="EM23" s="90"/>
      <c r="EN23" s="90"/>
      <c r="EO23" s="90"/>
      <c r="EP23" s="90"/>
      <c r="EQ23" s="90"/>
      <c r="ER23" s="90"/>
      <c r="ES23" s="90"/>
      <c r="ET23" s="90"/>
      <c r="EU23" s="90"/>
      <c r="EV23" s="90"/>
      <c r="EW23" s="90"/>
      <c r="EX23" s="90"/>
      <c r="EY23" s="90"/>
      <c r="EZ23" s="90"/>
      <c r="FA23" s="90"/>
      <c r="FB23" s="90"/>
      <c r="FC23" s="90"/>
      <c r="FD23" s="90"/>
      <c r="FE23" s="90"/>
      <c r="FF23" s="90"/>
      <c r="FG23" s="90"/>
      <c r="FH23" s="90"/>
      <c r="FI23" s="90"/>
      <c r="FJ23" s="90"/>
      <c r="FK23" s="90"/>
      <c r="FL23" s="90"/>
      <c r="FM23" s="90"/>
      <c r="FN23" s="90"/>
      <c r="FO23" s="90"/>
      <c r="FP23" s="90"/>
      <c r="FQ23" s="90"/>
      <c r="FR23" s="90"/>
      <c r="FS23" s="90"/>
      <c r="FT23" s="90"/>
      <c r="FU23" s="90"/>
      <c r="FV23" s="90"/>
      <c r="FW23" s="90"/>
      <c r="FX23" s="90"/>
      <c r="FY23" s="90"/>
      <c r="FZ23" s="90"/>
      <c r="GA23" s="90"/>
      <c r="GB23" s="90"/>
      <c r="GC23" s="90"/>
      <c r="GD23" s="90"/>
      <c r="GE23" s="90"/>
      <c r="GF23" s="90"/>
      <c r="GG23" s="90"/>
      <c r="GH23" s="90"/>
      <c r="GI23" s="90"/>
      <c r="GJ23" s="90"/>
      <c r="GK23" s="90"/>
      <c r="GL23" s="90"/>
      <c r="GM23" s="90"/>
      <c r="GN23" s="90"/>
      <c r="GO23" s="90"/>
      <c r="GP23" s="90"/>
      <c r="GQ23" s="90"/>
      <c r="GR23" s="90"/>
      <c r="GS23" s="90"/>
      <c r="GT23" s="90"/>
      <c r="GU23" s="90"/>
      <c r="GV23" s="90"/>
      <c r="GW23" s="90"/>
      <c r="GX23" s="90"/>
      <c r="GY23" s="90"/>
      <c r="GZ23" s="90"/>
      <c r="HA23" s="90"/>
      <c r="HB23" s="90"/>
      <c r="HC23" s="90"/>
      <c r="HD23" s="90"/>
      <c r="HE23" s="90"/>
      <c r="HF23" s="90"/>
      <c r="HG23" s="90"/>
      <c r="HH23" s="90"/>
      <c r="HI23" s="90"/>
      <c r="HJ23" s="90"/>
      <c r="HK23" s="90"/>
      <c r="HL23" s="90"/>
      <c r="HM23" s="90"/>
      <c r="HN23" s="90"/>
      <c r="HO23" s="90"/>
      <c r="HP23" s="90"/>
      <c r="HQ23" s="90"/>
      <c r="HR23" s="90"/>
      <c r="HS23" s="90"/>
      <c r="HT23" s="90"/>
      <c r="HU23" s="90"/>
      <c r="HV23" s="90"/>
      <c r="HW23" s="90"/>
      <c r="HX23" s="90"/>
      <c r="HY23" s="90"/>
      <c r="HZ23" s="90"/>
      <c r="IA23" s="90"/>
      <c r="IB23" s="90"/>
      <c r="IC23" s="90"/>
      <c r="ID23" s="90"/>
      <c r="IE23" s="90"/>
      <c r="IF23" s="90"/>
      <c r="IG23" s="90"/>
      <c r="IH23" s="90"/>
      <c r="II23" s="90"/>
      <c r="IJ23" s="90"/>
      <c r="IK23" s="90"/>
      <c r="IL23" s="90"/>
      <c r="IM23" s="90"/>
      <c r="IN23" s="90"/>
      <c r="IO23" s="90"/>
      <c r="IP23" s="90"/>
      <c r="IQ23" s="90"/>
      <c r="IR23" s="90"/>
      <c r="IS23" s="90"/>
      <c r="IT23" s="90"/>
      <c r="IU23" s="90"/>
      <c r="IV23" s="90"/>
    </row>
    <row r="24" spans="1:256" hidden="1" x14ac:dyDescent="0.2">
      <c r="A24" s="77" t="s">
        <v>5487</v>
      </c>
      <c r="B24" s="70" t="s">
        <v>448</v>
      </c>
      <c r="C24" s="71">
        <v>84</v>
      </c>
      <c r="D24" s="71">
        <v>84</v>
      </c>
      <c r="E24" s="71">
        <v>84</v>
      </c>
      <c r="F24" s="71">
        <v>84</v>
      </c>
      <c r="G24" s="71">
        <v>84</v>
      </c>
      <c r="H24" s="71">
        <v>84</v>
      </c>
      <c r="I24" s="71">
        <v>84</v>
      </c>
      <c r="J24" s="71">
        <v>84</v>
      </c>
      <c r="K24" s="71">
        <v>84</v>
      </c>
      <c r="L24" s="71">
        <v>84</v>
      </c>
      <c r="M24" s="71">
        <v>84</v>
      </c>
      <c r="N24" s="71">
        <v>84</v>
      </c>
      <c r="O24" s="71">
        <v>84</v>
      </c>
      <c r="P24" s="84">
        <v>84</v>
      </c>
      <c r="Q24" s="77"/>
      <c r="R24" s="71"/>
      <c r="S24" s="104"/>
      <c r="T24" s="71"/>
      <c r="U24" s="71"/>
    </row>
    <row r="25" spans="1:256" hidden="1" x14ac:dyDescent="0.2">
      <c r="A25" s="77" t="s">
        <v>5492</v>
      </c>
      <c r="B25" s="70" t="s">
        <v>449</v>
      </c>
      <c r="C25" s="105">
        <v>1000</v>
      </c>
      <c r="D25" s="105">
        <v>1000</v>
      </c>
      <c r="E25" s="105">
        <v>1000</v>
      </c>
      <c r="F25" s="105">
        <v>1000</v>
      </c>
      <c r="G25" s="105">
        <v>1000</v>
      </c>
      <c r="H25" s="105">
        <v>1000</v>
      </c>
      <c r="I25" s="105">
        <v>1000</v>
      </c>
      <c r="J25" s="105">
        <v>1000</v>
      </c>
      <c r="K25" s="105">
        <v>1000</v>
      </c>
      <c r="L25" s="105">
        <v>1000</v>
      </c>
      <c r="M25" s="105">
        <v>1000</v>
      </c>
      <c r="N25" s="105">
        <v>6076</v>
      </c>
      <c r="O25" s="105">
        <v>1000</v>
      </c>
      <c r="P25" s="84">
        <v>1390.4615384615386</v>
      </c>
      <c r="Q25" s="77"/>
      <c r="R25" s="105"/>
      <c r="S25" s="104"/>
      <c r="T25" s="105"/>
      <c r="U25" s="105"/>
    </row>
    <row r="26" spans="1:256" hidden="1" x14ac:dyDescent="0.2">
      <c r="A26" s="77" t="s">
        <v>5488</v>
      </c>
      <c r="B26" s="70" t="s">
        <v>450</v>
      </c>
      <c r="C26" s="91">
        <v>1000</v>
      </c>
      <c r="D26" s="91">
        <v>1000</v>
      </c>
      <c r="E26" s="91">
        <v>1000</v>
      </c>
      <c r="F26" s="91">
        <v>1000</v>
      </c>
      <c r="G26" s="91">
        <v>1000</v>
      </c>
      <c r="H26" s="91">
        <v>1000</v>
      </c>
      <c r="I26" s="91">
        <v>1000</v>
      </c>
      <c r="J26" s="91">
        <v>1000</v>
      </c>
      <c r="K26" s="91">
        <v>1000</v>
      </c>
      <c r="L26" s="91">
        <v>1000</v>
      </c>
      <c r="M26" s="91">
        <v>1000</v>
      </c>
      <c r="N26" s="91">
        <v>6076</v>
      </c>
      <c r="O26" s="91">
        <v>1000</v>
      </c>
      <c r="P26" s="84">
        <v>1390.4615384615386</v>
      </c>
      <c r="Q26" s="77"/>
      <c r="R26" s="91"/>
      <c r="S26" s="104"/>
      <c r="T26" s="91"/>
      <c r="U26" s="91"/>
    </row>
    <row r="27" spans="1:256" hidden="1" x14ac:dyDescent="0.2">
      <c r="A27" s="78" t="s">
        <v>5495</v>
      </c>
      <c r="B27" s="70" t="s">
        <v>451</v>
      </c>
      <c r="C27" s="105">
        <v>0</v>
      </c>
      <c r="D27" s="105">
        <v>0</v>
      </c>
      <c r="E27" s="105">
        <v>0</v>
      </c>
      <c r="F27" s="105">
        <v>0</v>
      </c>
      <c r="G27" s="105">
        <v>0</v>
      </c>
      <c r="H27" s="105">
        <v>0</v>
      </c>
      <c r="I27" s="105">
        <v>0</v>
      </c>
      <c r="J27" s="105">
        <v>0</v>
      </c>
      <c r="K27" s="105">
        <v>0</v>
      </c>
      <c r="L27" s="105">
        <v>0</v>
      </c>
      <c r="M27" s="105">
        <v>0</v>
      </c>
      <c r="N27" s="105">
        <v>0</v>
      </c>
      <c r="O27" s="105">
        <v>0</v>
      </c>
      <c r="P27" s="84">
        <v>0</v>
      </c>
      <c r="Q27" s="78"/>
      <c r="R27" s="105"/>
      <c r="S27" s="104"/>
      <c r="T27" s="105"/>
      <c r="U27" s="105"/>
    </row>
    <row r="28" spans="1:256" ht="14.65" hidden="1" customHeight="1" x14ac:dyDescent="0.2">
      <c r="A28" s="78" t="s">
        <v>5502</v>
      </c>
      <c r="B28" s="70" t="s">
        <v>452</v>
      </c>
      <c r="C28" s="71">
        <v>157737</v>
      </c>
      <c r="D28" s="71">
        <v>157464</v>
      </c>
      <c r="E28" s="71">
        <v>156273</v>
      </c>
      <c r="F28" s="71">
        <v>134328</v>
      </c>
      <c r="G28" s="71">
        <v>146726</v>
      </c>
      <c r="H28" s="71">
        <v>156577</v>
      </c>
      <c r="I28" s="71">
        <v>173027</v>
      </c>
      <c r="J28" s="71">
        <v>187025</v>
      </c>
      <c r="K28" s="71">
        <v>174597</v>
      </c>
      <c r="L28" s="71">
        <v>201519</v>
      </c>
      <c r="M28" s="71">
        <v>172842</v>
      </c>
      <c r="N28" s="71">
        <v>153129</v>
      </c>
      <c r="O28" s="71">
        <v>163371</v>
      </c>
      <c r="P28" s="84">
        <v>164201.15384615384</v>
      </c>
      <c r="Q28" s="78"/>
      <c r="R28" s="71"/>
      <c r="S28" s="104"/>
      <c r="T28" s="71"/>
      <c r="U28" s="71"/>
    </row>
    <row r="29" spans="1:256" hidden="1" x14ac:dyDescent="0.2">
      <c r="A29" s="77" t="s">
        <v>4979</v>
      </c>
      <c r="B29" s="70" t="s">
        <v>453</v>
      </c>
      <c r="C29" s="71">
        <v>10435</v>
      </c>
      <c r="D29" s="71">
        <v>12158</v>
      </c>
      <c r="E29" s="71">
        <v>10706</v>
      </c>
      <c r="F29" s="71">
        <v>14681</v>
      </c>
      <c r="G29" s="71">
        <v>12899</v>
      </c>
      <c r="H29" s="71">
        <v>12867</v>
      </c>
      <c r="I29" s="71">
        <v>13691</v>
      </c>
      <c r="J29" s="71">
        <v>14153</v>
      </c>
      <c r="K29" s="71">
        <v>17633</v>
      </c>
      <c r="L29" s="71">
        <v>12218</v>
      </c>
      <c r="M29" s="71">
        <v>14790</v>
      </c>
      <c r="N29" s="71">
        <v>12499</v>
      </c>
      <c r="O29" s="71">
        <v>11605</v>
      </c>
      <c r="P29" s="84">
        <v>13102.692307692309</v>
      </c>
      <c r="Q29" s="77"/>
      <c r="R29" s="71"/>
      <c r="S29" s="104"/>
      <c r="T29" s="71"/>
      <c r="U29" s="71"/>
    </row>
    <row r="30" spans="1:256" hidden="1" x14ac:dyDescent="0.2">
      <c r="A30" s="79" t="s">
        <v>454</v>
      </c>
      <c r="B30" s="70" t="s">
        <v>455</v>
      </c>
      <c r="C30" s="70">
        <v>9</v>
      </c>
      <c r="D30" s="70">
        <v>15</v>
      </c>
      <c r="E30" s="70">
        <v>15</v>
      </c>
      <c r="F30" s="70">
        <v>15</v>
      </c>
      <c r="G30" s="70">
        <v>15</v>
      </c>
      <c r="H30" s="70">
        <v>15</v>
      </c>
      <c r="I30" s="70">
        <v>15</v>
      </c>
      <c r="J30" s="70">
        <v>15</v>
      </c>
      <c r="K30" s="70">
        <v>15</v>
      </c>
      <c r="L30" s="70">
        <v>15</v>
      </c>
      <c r="M30" s="70">
        <v>15</v>
      </c>
      <c r="N30" s="70">
        <v>15</v>
      </c>
      <c r="O30" s="70">
        <v>15</v>
      </c>
      <c r="P30" s="84">
        <v>14.538461538461538</v>
      </c>
      <c r="Q30" s="79"/>
      <c r="S30" s="104"/>
    </row>
    <row r="31" spans="1:256" hidden="1" x14ac:dyDescent="0.2">
      <c r="A31" s="79" t="s">
        <v>5503</v>
      </c>
      <c r="B31" s="70" t="s">
        <v>456</v>
      </c>
      <c r="C31" s="71">
        <v>3520</v>
      </c>
      <c r="D31" s="71">
        <v>4520</v>
      </c>
      <c r="E31" s="71">
        <v>3520</v>
      </c>
      <c r="F31" s="71">
        <v>7520</v>
      </c>
      <c r="G31" s="71">
        <v>5520</v>
      </c>
      <c r="H31" s="71">
        <v>5220</v>
      </c>
      <c r="I31" s="71">
        <v>5820</v>
      </c>
      <c r="J31" s="71">
        <v>5720</v>
      </c>
      <c r="K31" s="71">
        <v>8720</v>
      </c>
      <c r="L31" s="71">
        <v>3720</v>
      </c>
      <c r="M31" s="71">
        <v>6720</v>
      </c>
      <c r="N31" s="71">
        <v>4720</v>
      </c>
      <c r="O31" s="71">
        <v>4510</v>
      </c>
      <c r="P31" s="84">
        <v>5365.3846153846152</v>
      </c>
      <c r="Q31" s="79"/>
      <c r="R31" s="71"/>
      <c r="S31" s="104"/>
      <c r="T31" s="71"/>
      <c r="U31" s="71"/>
    </row>
    <row r="32" spans="1:256" hidden="1" x14ac:dyDescent="0.2">
      <c r="A32" s="80" t="s">
        <v>5505</v>
      </c>
      <c r="B32" s="130" t="s">
        <v>457</v>
      </c>
      <c r="C32" s="71">
        <v>0</v>
      </c>
      <c r="D32" s="71">
        <v>0</v>
      </c>
      <c r="E32" s="71">
        <v>0</v>
      </c>
      <c r="F32" s="71">
        <v>0</v>
      </c>
      <c r="G32" s="71">
        <v>0</v>
      </c>
      <c r="H32" s="71">
        <v>0</v>
      </c>
      <c r="I32" s="71">
        <v>0</v>
      </c>
      <c r="J32" s="71">
        <v>0</v>
      </c>
      <c r="K32" s="71">
        <v>0</v>
      </c>
      <c r="L32" s="71">
        <v>0</v>
      </c>
      <c r="M32" s="71">
        <v>0</v>
      </c>
      <c r="N32" s="71">
        <v>0</v>
      </c>
      <c r="O32" s="71">
        <v>0</v>
      </c>
      <c r="P32" s="84">
        <v>0</v>
      </c>
      <c r="Q32" s="79"/>
      <c r="R32" s="71"/>
      <c r="S32" s="104"/>
      <c r="T32" s="71"/>
      <c r="U32" s="71"/>
    </row>
    <row r="33" spans="1:21" hidden="1" x14ac:dyDescent="0.2">
      <c r="A33" s="79" t="s">
        <v>5507</v>
      </c>
      <c r="B33" s="70" t="s">
        <v>458</v>
      </c>
      <c r="C33" s="71">
        <v>0</v>
      </c>
      <c r="D33" s="71">
        <v>0</v>
      </c>
      <c r="E33" s="71">
        <v>0</v>
      </c>
      <c r="F33" s="71">
        <v>0</v>
      </c>
      <c r="G33" s="71">
        <v>0</v>
      </c>
      <c r="H33" s="71">
        <v>0</v>
      </c>
      <c r="I33" s="71">
        <v>0</v>
      </c>
      <c r="J33" s="71">
        <v>0</v>
      </c>
      <c r="K33" s="71">
        <v>0</v>
      </c>
      <c r="L33" s="71">
        <v>0</v>
      </c>
      <c r="M33" s="71">
        <v>0</v>
      </c>
      <c r="N33" s="71">
        <v>0</v>
      </c>
      <c r="O33" s="71">
        <v>0</v>
      </c>
      <c r="P33" s="84">
        <v>0</v>
      </c>
      <c r="Q33" s="79"/>
      <c r="R33" s="71"/>
      <c r="S33" s="104"/>
      <c r="T33" s="71"/>
      <c r="U33" s="71"/>
    </row>
    <row r="34" spans="1:21" hidden="1" x14ac:dyDescent="0.2">
      <c r="A34" s="79" t="s">
        <v>5515</v>
      </c>
      <c r="B34" s="70" t="s">
        <v>459</v>
      </c>
      <c r="C34" s="71">
        <v>5601</v>
      </c>
      <c r="D34" s="71">
        <v>5590</v>
      </c>
      <c r="E34" s="71">
        <v>5138</v>
      </c>
      <c r="F34" s="71">
        <v>5113</v>
      </c>
      <c r="G34" s="71">
        <v>5331</v>
      </c>
      <c r="H34" s="71">
        <v>5599</v>
      </c>
      <c r="I34" s="71">
        <v>5823</v>
      </c>
      <c r="J34" s="71">
        <v>6385</v>
      </c>
      <c r="K34" s="71">
        <v>6865</v>
      </c>
      <c r="L34" s="71">
        <v>6450</v>
      </c>
      <c r="M34" s="71">
        <v>6022</v>
      </c>
      <c r="N34" s="71">
        <v>5731</v>
      </c>
      <c r="O34" s="71">
        <v>5047</v>
      </c>
      <c r="P34" s="84">
        <v>5745.7692307692305</v>
      </c>
      <c r="Q34" s="79"/>
      <c r="R34" s="71"/>
      <c r="S34" s="104"/>
      <c r="T34" s="71"/>
      <c r="U34" s="71"/>
    </row>
    <row r="35" spans="1:21" hidden="1" x14ac:dyDescent="0.2">
      <c r="A35" s="80" t="s">
        <v>4959</v>
      </c>
      <c r="B35" s="70" t="s">
        <v>460</v>
      </c>
      <c r="C35" s="71">
        <v>1305</v>
      </c>
      <c r="D35" s="71">
        <v>2033</v>
      </c>
      <c r="E35" s="71">
        <v>2033</v>
      </c>
      <c r="F35" s="71">
        <v>2033</v>
      </c>
      <c r="G35" s="71">
        <v>2033</v>
      </c>
      <c r="H35" s="71">
        <v>2033</v>
      </c>
      <c r="I35" s="71">
        <v>2033</v>
      </c>
      <c r="J35" s="71">
        <v>2033</v>
      </c>
      <c r="K35" s="71">
        <v>2033</v>
      </c>
      <c r="L35" s="71">
        <v>2033</v>
      </c>
      <c r="M35" s="71">
        <v>2033</v>
      </c>
      <c r="N35" s="71">
        <v>2033</v>
      </c>
      <c r="O35" s="71">
        <v>2033</v>
      </c>
      <c r="P35" s="84">
        <v>1977</v>
      </c>
      <c r="Q35" s="79"/>
      <c r="R35" s="71"/>
      <c r="S35" s="104"/>
      <c r="T35" s="71"/>
      <c r="U35" s="71"/>
    </row>
    <row r="36" spans="1:21" ht="15.75" hidden="1" x14ac:dyDescent="0.25">
      <c r="A36" s="78" t="s">
        <v>4984</v>
      </c>
      <c r="B36" s="70" t="s">
        <v>461</v>
      </c>
      <c r="C36" s="86">
        <v>-402</v>
      </c>
      <c r="D36" s="71">
        <v>-253</v>
      </c>
      <c r="E36" s="71">
        <v>-176</v>
      </c>
      <c r="F36" s="71">
        <v>-283</v>
      </c>
      <c r="G36" s="71">
        <v>-358</v>
      </c>
      <c r="H36" s="71">
        <v>-523</v>
      </c>
      <c r="I36" s="71">
        <v>-831</v>
      </c>
      <c r="J36" s="71">
        <v>-1126</v>
      </c>
      <c r="K36" s="71">
        <v>-1330</v>
      </c>
      <c r="L36" s="71">
        <v>-1532</v>
      </c>
      <c r="M36" s="71">
        <v>-1059</v>
      </c>
      <c r="N36" s="71">
        <v>-737</v>
      </c>
      <c r="O36" s="71">
        <v>-461</v>
      </c>
      <c r="P36" s="84">
        <v>-697.76923076923072</v>
      </c>
      <c r="Q36" s="78"/>
      <c r="R36" s="71"/>
      <c r="S36" s="104"/>
      <c r="T36" s="71"/>
      <c r="U36" s="71"/>
    </row>
    <row r="37" spans="1:21" hidden="1" x14ac:dyDescent="0.2">
      <c r="A37" s="77" t="s">
        <v>1815</v>
      </c>
      <c r="B37" s="70" t="s">
        <v>462</v>
      </c>
      <c r="C37" s="71">
        <v>7563</v>
      </c>
      <c r="D37" s="71">
        <v>7240</v>
      </c>
      <c r="E37" s="71">
        <v>8071</v>
      </c>
      <c r="F37" s="71">
        <v>5596</v>
      </c>
      <c r="G37" s="71">
        <v>5975</v>
      </c>
      <c r="H37" s="71">
        <v>7499</v>
      </c>
      <c r="I37" s="71">
        <v>6082</v>
      </c>
      <c r="J37" s="71">
        <v>5966</v>
      </c>
      <c r="K37" s="71">
        <v>6195</v>
      </c>
      <c r="L37" s="71">
        <v>5925</v>
      </c>
      <c r="M37" s="71">
        <v>6422</v>
      </c>
      <c r="N37" s="71">
        <v>6948</v>
      </c>
      <c r="O37" s="71">
        <v>5725</v>
      </c>
      <c r="P37" s="84">
        <v>6554.3846153846152</v>
      </c>
      <c r="Q37" s="77"/>
      <c r="R37" s="71"/>
      <c r="S37" s="104"/>
      <c r="T37" s="71"/>
      <c r="U37" s="71"/>
    </row>
    <row r="38" spans="1:21" hidden="1" x14ac:dyDescent="0.2">
      <c r="A38" s="79" t="s">
        <v>463</v>
      </c>
      <c r="B38" s="70" t="s">
        <v>464</v>
      </c>
      <c r="C38" s="71">
        <v>198</v>
      </c>
      <c r="D38" s="71">
        <v>0</v>
      </c>
      <c r="E38" s="71">
        <v>0</v>
      </c>
      <c r="F38" s="71">
        <v>0</v>
      </c>
      <c r="G38" s="71">
        <v>0</v>
      </c>
      <c r="H38" s="71">
        <v>0</v>
      </c>
      <c r="I38" s="71">
        <v>55</v>
      </c>
      <c r="J38" s="71">
        <v>2</v>
      </c>
      <c r="K38" s="71">
        <v>0</v>
      </c>
      <c r="L38" s="71">
        <v>0</v>
      </c>
      <c r="M38" s="71">
        <v>0</v>
      </c>
      <c r="N38" s="71">
        <v>0</v>
      </c>
      <c r="O38" s="71">
        <v>0</v>
      </c>
      <c r="P38" s="84">
        <v>19.615384615384617</v>
      </c>
      <c r="Q38" s="79"/>
      <c r="R38" s="71"/>
      <c r="S38" s="104"/>
      <c r="T38" s="71"/>
      <c r="U38" s="71"/>
    </row>
    <row r="39" spans="1:21" hidden="1" x14ac:dyDescent="0.2">
      <c r="A39" s="80" t="s">
        <v>4985</v>
      </c>
      <c r="B39" s="92" t="s">
        <v>4986</v>
      </c>
      <c r="C39" s="91">
        <v>2</v>
      </c>
      <c r="D39" s="71">
        <v>2</v>
      </c>
      <c r="E39" s="71">
        <v>2</v>
      </c>
      <c r="F39" s="71">
        <v>2</v>
      </c>
      <c r="G39" s="71">
        <v>2</v>
      </c>
      <c r="H39" s="71">
        <v>2</v>
      </c>
      <c r="I39" s="71">
        <v>2</v>
      </c>
      <c r="J39" s="71">
        <v>2</v>
      </c>
      <c r="K39" s="71">
        <v>2</v>
      </c>
      <c r="L39" s="71">
        <v>2</v>
      </c>
      <c r="M39" s="71">
        <v>2</v>
      </c>
      <c r="N39" s="71">
        <v>2</v>
      </c>
      <c r="O39" s="71">
        <v>2</v>
      </c>
      <c r="P39" s="84">
        <v>2</v>
      </c>
      <c r="Q39" s="79"/>
      <c r="R39" s="71"/>
      <c r="S39" s="104"/>
      <c r="T39" s="71"/>
      <c r="U39" s="71"/>
    </row>
    <row r="40" spans="1:21" hidden="1" x14ac:dyDescent="0.2">
      <c r="A40" s="80" t="s">
        <v>4987</v>
      </c>
      <c r="B40" s="92" t="s">
        <v>4988</v>
      </c>
      <c r="C40" s="91">
        <v>0</v>
      </c>
      <c r="D40" s="71">
        <v>0</v>
      </c>
      <c r="E40" s="71">
        <v>0</v>
      </c>
      <c r="F40" s="71">
        <v>0</v>
      </c>
      <c r="G40" s="71">
        <v>0</v>
      </c>
      <c r="H40" s="71">
        <v>0</v>
      </c>
      <c r="I40" s="71">
        <v>0</v>
      </c>
      <c r="J40" s="71">
        <v>0</v>
      </c>
      <c r="K40" s="71">
        <v>0</v>
      </c>
      <c r="L40" s="71">
        <v>0</v>
      </c>
      <c r="M40" s="71">
        <v>0</v>
      </c>
      <c r="N40" s="71">
        <v>0</v>
      </c>
      <c r="O40" s="71">
        <v>0</v>
      </c>
      <c r="P40" s="84">
        <v>0</v>
      </c>
      <c r="Q40" s="79"/>
      <c r="R40" s="71"/>
      <c r="S40" s="104"/>
      <c r="T40" s="71"/>
      <c r="U40" s="71"/>
    </row>
    <row r="41" spans="1:21" hidden="1" x14ac:dyDescent="0.2">
      <c r="A41" s="80" t="s">
        <v>4989</v>
      </c>
      <c r="B41" s="92" t="s">
        <v>4990</v>
      </c>
      <c r="C41" s="91">
        <v>0</v>
      </c>
      <c r="D41" s="71">
        <v>0</v>
      </c>
      <c r="E41" s="71">
        <v>0</v>
      </c>
      <c r="F41" s="71">
        <v>0</v>
      </c>
      <c r="G41" s="71">
        <v>0</v>
      </c>
      <c r="H41" s="71">
        <v>0</v>
      </c>
      <c r="I41" s="71">
        <v>0</v>
      </c>
      <c r="J41" s="71">
        <v>0</v>
      </c>
      <c r="K41" s="71">
        <v>0</v>
      </c>
      <c r="L41" s="71">
        <v>0</v>
      </c>
      <c r="M41" s="71">
        <v>0</v>
      </c>
      <c r="N41" s="71">
        <v>0</v>
      </c>
      <c r="O41" s="71">
        <v>0</v>
      </c>
      <c r="P41" s="84">
        <v>0</v>
      </c>
      <c r="Q41" s="79"/>
      <c r="R41" s="71"/>
      <c r="S41" s="104"/>
      <c r="T41" s="71"/>
      <c r="U41" s="71"/>
    </row>
    <row r="42" spans="1:21" hidden="1" x14ac:dyDescent="0.2">
      <c r="A42" s="80" t="s">
        <v>4991</v>
      </c>
      <c r="B42" s="92" t="s">
        <v>4992</v>
      </c>
      <c r="C42" s="91">
        <v>0</v>
      </c>
      <c r="D42" s="71">
        <v>-80</v>
      </c>
      <c r="E42" s="71">
        <v>-80</v>
      </c>
      <c r="F42" s="71">
        <v>-80</v>
      </c>
      <c r="G42" s="71">
        <v>-80</v>
      </c>
      <c r="H42" s="71">
        <v>-80</v>
      </c>
      <c r="I42" s="71">
        <v>-80</v>
      </c>
      <c r="J42" s="71">
        <v>-80</v>
      </c>
      <c r="K42" s="71">
        <v>-80</v>
      </c>
      <c r="L42" s="71">
        <v>-80</v>
      </c>
      <c r="M42" s="71">
        <v>-80</v>
      </c>
      <c r="N42" s="71">
        <v>-80</v>
      </c>
      <c r="O42" s="71">
        <v>-80</v>
      </c>
      <c r="P42" s="84">
        <v>-73.84615384615384</v>
      </c>
      <c r="Q42" s="79"/>
      <c r="R42" s="71"/>
      <c r="S42" s="104"/>
      <c r="T42" s="71"/>
      <c r="U42" s="71"/>
    </row>
    <row r="43" spans="1:21" hidden="1" x14ac:dyDescent="0.2">
      <c r="A43" s="80" t="s">
        <v>4997</v>
      </c>
      <c r="B43" s="92" t="s">
        <v>4998</v>
      </c>
      <c r="C43" s="91">
        <v>365</v>
      </c>
      <c r="D43" s="71">
        <v>323</v>
      </c>
      <c r="E43" s="71">
        <v>323</v>
      </c>
      <c r="F43" s="71">
        <v>327</v>
      </c>
      <c r="G43" s="71">
        <v>323</v>
      </c>
      <c r="H43" s="71">
        <v>328</v>
      </c>
      <c r="I43" s="71">
        <v>429</v>
      </c>
      <c r="J43" s="71">
        <v>324</v>
      </c>
      <c r="K43" s="71">
        <v>324</v>
      </c>
      <c r="L43" s="71">
        <v>333</v>
      </c>
      <c r="M43" s="71">
        <v>323</v>
      </c>
      <c r="N43" s="71">
        <v>323</v>
      </c>
      <c r="O43" s="71">
        <v>327</v>
      </c>
      <c r="P43" s="84">
        <v>336.30769230769232</v>
      </c>
      <c r="Q43" s="79"/>
      <c r="R43" s="71"/>
      <c r="S43" s="104"/>
      <c r="T43" s="71"/>
      <c r="U43" s="71"/>
    </row>
    <row r="44" spans="1:21" hidden="1" x14ac:dyDescent="0.2">
      <c r="A44" s="80" t="s">
        <v>4999</v>
      </c>
      <c r="B44" s="92" t="s">
        <v>5000</v>
      </c>
      <c r="C44" s="91">
        <v>0</v>
      </c>
      <c r="D44" s="71">
        <v>-51</v>
      </c>
      <c r="E44" s="71">
        <v>-51</v>
      </c>
      <c r="F44" s="71">
        <v>-51</v>
      </c>
      <c r="G44" s="71">
        <v>-51</v>
      </c>
      <c r="H44" s="71">
        <v>-51</v>
      </c>
      <c r="I44" s="71">
        <v>-51</v>
      </c>
      <c r="J44" s="71">
        <v>-51</v>
      </c>
      <c r="K44" s="71">
        <v>-51</v>
      </c>
      <c r="L44" s="71">
        <v>-51</v>
      </c>
      <c r="M44" s="71">
        <v>-51</v>
      </c>
      <c r="N44" s="71">
        <v>-51</v>
      </c>
      <c r="O44" s="71">
        <v>-51</v>
      </c>
      <c r="P44" s="84">
        <v>-47.07692307692308</v>
      </c>
      <c r="Q44" s="79"/>
      <c r="R44" s="71"/>
      <c r="S44" s="104"/>
      <c r="T44" s="71"/>
      <c r="U44" s="71"/>
    </row>
    <row r="45" spans="1:21" hidden="1" x14ac:dyDescent="0.2">
      <c r="A45" s="80" t="s">
        <v>5001</v>
      </c>
      <c r="B45" s="92" t="s">
        <v>5002</v>
      </c>
      <c r="C45" s="91">
        <v>73</v>
      </c>
      <c r="D45" s="71">
        <v>38</v>
      </c>
      <c r="E45" s="71">
        <v>38</v>
      </c>
      <c r="F45" s="71">
        <v>39</v>
      </c>
      <c r="G45" s="71">
        <v>38</v>
      </c>
      <c r="H45" s="71">
        <v>38</v>
      </c>
      <c r="I45" s="71">
        <v>39</v>
      </c>
      <c r="J45" s="71">
        <v>38</v>
      </c>
      <c r="K45" s="71">
        <v>38</v>
      </c>
      <c r="L45" s="71">
        <v>39</v>
      </c>
      <c r="M45" s="71">
        <v>37</v>
      </c>
      <c r="N45" s="71">
        <v>37</v>
      </c>
      <c r="O45" s="71">
        <v>39</v>
      </c>
      <c r="P45" s="84">
        <v>40.846153846153847</v>
      </c>
      <c r="Q45" s="79"/>
      <c r="R45" s="71"/>
      <c r="S45" s="104"/>
      <c r="T45" s="71"/>
      <c r="U45" s="71"/>
    </row>
    <row r="46" spans="1:21" hidden="1" x14ac:dyDescent="0.2">
      <c r="A46" s="80" t="s">
        <v>5003</v>
      </c>
      <c r="B46" s="92" t="s">
        <v>5004</v>
      </c>
      <c r="C46" s="91">
        <v>0</v>
      </c>
      <c r="D46" s="71">
        <v>0</v>
      </c>
      <c r="E46" s="71">
        <v>0</v>
      </c>
      <c r="F46" s="71">
        <v>0</v>
      </c>
      <c r="G46" s="71">
        <v>0</v>
      </c>
      <c r="H46" s="71">
        <v>0</v>
      </c>
      <c r="I46" s="71">
        <v>0</v>
      </c>
      <c r="J46" s="71">
        <v>0</v>
      </c>
      <c r="K46" s="71">
        <v>0</v>
      </c>
      <c r="L46" s="71">
        <v>0</v>
      </c>
      <c r="M46" s="71">
        <v>0</v>
      </c>
      <c r="N46" s="71">
        <v>0</v>
      </c>
      <c r="O46" s="71">
        <v>0</v>
      </c>
      <c r="P46" s="84">
        <v>0</v>
      </c>
      <c r="Q46" s="79"/>
      <c r="R46" s="71"/>
      <c r="S46" s="104"/>
      <c r="T46" s="71"/>
      <c r="U46" s="71"/>
    </row>
    <row r="47" spans="1:21" hidden="1" x14ac:dyDescent="0.2">
      <c r="A47" s="79" t="s">
        <v>5005</v>
      </c>
      <c r="B47" s="92" t="s">
        <v>5006</v>
      </c>
      <c r="C47" s="91">
        <v>102</v>
      </c>
      <c r="D47" s="71">
        <v>0</v>
      </c>
      <c r="E47" s="71">
        <v>0</v>
      </c>
      <c r="F47" s="71">
        <v>0</v>
      </c>
      <c r="G47" s="71">
        <v>0</v>
      </c>
      <c r="H47" s="71">
        <v>0</v>
      </c>
      <c r="I47" s="71">
        <v>0</v>
      </c>
      <c r="J47" s="71">
        <v>0</v>
      </c>
      <c r="K47" s="71">
        <v>0</v>
      </c>
      <c r="L47" s="71">
        <v>0</v>
      </c>
      <c r="M47" s="71">
        <v>0</v>
      </c>
      <c r="N47" s="71">
        <v>0</v>
      </c>
      <c r="O47" s="71">
        <v>0</v>
      </c>
      <c r="P47" s="84">
        <v>7.8461538461538458</v>
      </c>
      <c r="Q47" s="79"/>
      <c r="R47" s="71"/>
      <c r="S47" s="104"/>
      <c r="T47" s="71"/>
      <c r="U47" s="71"/>
    </row>
    <row r="48" spans="1:21" hidden="1" x14ac:dyDescent="0.2">
      <c r="A48" s="80" t="s">
        <v>5009</v>
      </c>
      <c r="B48" s="92" t="s">
        <v>5010</v>
      </c>
      <c r="C48" s="91">
        <v>0</v>
      </c>
      <c r="D48" s="71">
        <v>0</v>
      </c>
      <c r="E48" s="71">
        <v>0</v>
      </c>
      <c r="F48" s="71">
        <v>0</v>
      </c>
      <c r="G48" s="71">
        <v>0</v>
      </c>
      <c r="H48" s="71">
        <v>0</v>
      </c>
      <c r="I48" s="71">
        <v>0</v>
      </c>
      <c r="J48" s="71">
        <v>0</v>
      </c>
      <c r="K48" s="71">
        <v>0</v>
      </c>
      <c r="L48" s="71">
        <v>0</v>
      </c>
      <c r="M48" s="71">
        <v>0</v>
      </c>
      <c r="N48" s="71">
        <v>0</v>
      </c>
      <c r="O48" s="71">
        <v>0</v>
      </c>
      <c r="P48" s="84">
        <v>0</v>
      </c>
      <c r="Q48" s="79"/>
      <c r="R48" s="71"/>
      <c r="S48" s="104"/>
      <c r="T48" s="71"/>
      <c r="U48" s="71"/>
    </row>
    <row r="49" spans="1:21" hidden="1" x14ac:dyDescent="0.2">
      <c r="A49" s="79" t="s">
        <v>5011</v>
      </c>
      <c r="B49" s="92" t="s">
        <v>5012</v>
      </c>
      <c r="C49" s="91">
        <v>0</v>
      </c>
      <c r="D49" s="71">
        <v>0</v>
      </c>
      <c r="E49" s="71">
        <v>0</v>
      </c>
      <c r="F49" s="71">
        <v>0</v>
      </c>
      <c r="G49" s="71">
        <v>0</v>
      </c>
      <c r="H49" s="71">
        <v>0</v>
      </c>
      <c r="I49" s="71">
        <v>0</v>
      </c>
      <c r="J49" s="71">
        <v>0</v>
      </c>
      <c r="K49" s="71">
        <v>0</v>
      </c>
      <c r="L49" s="71">
        <v>0</v>
      </c>
      <c r="M49" s="71">
        <v>0</v>
      </c>
      <c r="N49" s="71">
        <v>0</v>
      </c>
      <c r="O49" s="71">
        <v>0</v>
      </c>
      <c r="P49" s="84">
        <v>0</v>
      </c>
      <c r="Q49" s="79"/>
      <c r="R49" s="71"/>
      <c r="S49" s="104"/>
      <c r="T49" s="71"/>
      <c r="U49" s="71"/>
    </row>
    <row r="50" spans="1:21" hidden="1" x14ac:dyDescent="0.2">
      <c r="A50" s="80" t="s">
        <v>5013</v>
      </c>
      <c r="B50" s="92" t="s">
        <v>5014</v>
      </c>
      <c r="C50" s="91">
        <v>0</v>
      </c>
      <c r="D50" s="71">
        <v>0</v>
      </c>
      <c r="E50" s="71">
        <v>0</v>
      </c>
      <c r="F50" s="71">
        <v>0</v>
      </c>
      <c r="G50" s="71">
        <v>0</v>
      </c>
      <c r="H50" s="71">
        <v>0</v>
      </c>
      <c r="I50" s="71">
        <v>0</v>
      </c>
      <c r="J50" s="71">
        <v>0</v>
      </c>
      <c r="K50" s="71">
        <v>0</v>
      </c>
      <c r="L50" s="71">
        <v>0</v>
      </c>
      <c r="M50" s="71">
        <v>0</v>
      </c>
      <c r="N50" s="71">
        <v>0</v>
      </c>
      <c r="O50" s="71">
        <v>0</v>
      </c>
      <c r="P50" s="84">
        <v>0</v>
      </c>
      <c r="Q50" s="79"/>
      <c r="R50" s="71"/>
      <c r="S50" s="104"/>
      <c r="T50" s="71"/>
      <c r="U50" s="71"/>
    </row>
    <row r="51" spans="1:21" hidden="1" x14ac:dyDescent="0.2">
      <c r="A51" s="79" t="s">
        <v>5015</v>
      </c>
      <c r="B51" s="92" t="s">
        <v>5016</v>
      </c>
      <c r="C51" s="91">
        <v>0</v>
      </c>
      <c r="D51" s="71">
        <v>0</v>
      </c>
      <c r="E51" s="71">
        <v>0</v>
      </c>
      <c r="F51" s="71">
        <v>0</v>
      </c>
      <c r="G51" s="71">
        <v>0</v>
      </c>
      <c r="H51" s="71">
        <v>0</v>
      </c>
      <c r="I51" s="71">
        <v>0</v>
      </c>
      <c r="J51" s="71">
        <v>0</v>
      </c>
      <c r="K51" s="71">
        <v>0</v>
      </c>
      <c r="L51" s="71">
        <v>0</v>
      </c>
      <c r="M51" s="71">
        <v>0</v>
      </c>
      <c r="N51" s="71">
        <v>0</v>
      </c>
      <c r="O51" s="71">
        <v>0</v>
      </c>
      <c r="P51" s="84">
        <v>0</v>
      </c>
      <c r="Q51" s="79"/>
      <c r="R51" s="71"/>
      <c r="S51" s="104"/>
      <c r="T51" s="71"/>
      <c r="U51" s="71"/>
    </row>
    <row r="52" spans="1:21" ht="15.75" hidden="1" x14ac:dyDescent="0.25">
      <c r="A52" s="81" t="s">
        <v>465</v>
      </c>
      <c r="B52" s="93" t="s">
        <v>466</v>
      </c>
      <c r="C52" s="91">
        <v>0</v>
      </c>
      <c r="D52" s="71">
        <v>0</v>
      </c>
      <c r="E52" s="71">
        <v>0</v>
      </c>
      <c r="F52" s="71">
        <v>0</v>
      </c>
      <c r="G52" s="71">
        <v>0</v>
      </c>
      <c r="H52" s="71">
        <v>0</v>
      </c>
      <c r="I52" s="71">
        <v>0</v>
      </c>
      <c r="J52" s="71">
        <v>0</v>
      </c>
      <c r="K52" s="71">
        <v>0</v>
      </c>
      <c r="L52" s="71">
        <v>0</v>
      </c>
      <c r="M52" s="71">
        <v>0</v>
      </c>
      <c r="N52" s="71">
        <v>0</v>
      </c>
      <c r="O52" s="71">
        <v>0</v>
      </c>
      <c r="P52" s="84">
        <v>0</v>
      </c>
      <c r="Q52" s="79"/>
      <c r="R52" s="71"/>
      <c r="S52" s="104"/>
      <c r="T52" s="71"/>
      <c r="U52" s="71"/>
    </row>
    <row r="53" spans="1:21" hidden="1" x14ac:dyDescent="0.2">
      <c r="A53" s="79" t="s">
        <v>5017</v>
      </c>
      <c r="B53" s="92" t="s">
        <v>5018</v>
      </c>
      <c r="C53" s="91">
        <v>0</v>
      </c>
      <c r="D53" s="71">
        <v>0</v>
      </c>
      <c r="E53" s="71">
        <v>0</v>
      </c>
      <c r="F53" s="71">
        <v>0</v>
      </c>
      <c r="G53" s="71">
        <v>0</v>
      </c>
      <c r="H53" s="71">
        <v>0</v>
      </c>
      <c r="I53" s="71">
        <v>0</v>
      </c>
      <c r="J53" s="71">
        <v>0</v>
      </c>
      <c r="K53" s="71">
        <v>0</v>
      </c>
      <c r="L53" s="71">
        <v>0</v>
      </c>
      <c r="M53" s="71">
        <v>0</v>
      </c>
      <c r="N53" s="71">
        <v>0</v>
      </c>
      <c r="O53" s="71">
        <v>0</v>
      </c>
      <c r="P53" s="84">
        <v>0</v>
      </c>
      <c r="Q53" s="79"/>
      <c r="R53" s="71"/>
      <c r="S53" s="104"/>
      <c r="T53" s="71"/>
      <c r="U53" s="71"/>
    </row>
    <row r="54" spans="1:21" hidden="1" x14ac:dyDescent="0.2">
      <c r="A54" s="80" t="s">
        <v>5019</v>
      </c>
      <c r="B54" s="92" t="s">
        <v>1939</v>
      </c>
      <c r="C54" s="91">
        <v>0</v>
      </c>
      <c r="D54" s="71">
        <v>0</v>
      </c>
      <c r="E54" s="71">
        <v>0</v>
      </c>
      <c r="F54" s="71">
        <v>0</v>
      </c>
      <c r="G54" s="71">
        <v>0</v>
      </c>
      <c r="H54" s="71">
        <v>0</v>
      </c>
      <c r="I54" s="71">
        <v>0</v>
      </c>
      <c r="J54" s="71">
        <v>0</v>
      </c>
      <c r="K54" s="71">
        <v>0</v>
      </c>
      <c r="L54" s="71">
        <v>0</v>
      </c>
      <c r="M54" s="71">
        <v>0</v>
      </c>
      <c r="N54" s="71">
        <v>0</v>
      </c>
      <c r="O54" s="71">
        <v>0</v>
      </c>
      <c r="P54" s="84">
        <v>0</v>
      </c>
      <c r="Q54" s="79"/>
      <c r="R54" s="71"/>
      <c r="S54" s="104"/>
      <c r="T54" s="71"/>
      <c r="U54" s="71"/>
    </row>
    <row r="55" spans="1:21" hidden="1" x14ac:dyDescent="0.2">
      <c r="A55" s="80" t="s">
        <v>1940</v>
      </c>
      <c r="B55" s="92" t="s">
        <v>1941</v>
      </c>
      <c r="C55" s="91">
        <v>0</v>
      </c>
      <c r="D55" s="71">
        <v>0</v>
      </c>
      <c r="E55" s="71">
        <v>0</v>
      </c>
      <c r="F55" s="71">
        <v>0</v>
      </c>
      <c r="G55" s="71">
        <v>0</v>
      </c>
      <c r="H55" s="71">
        <v>0</v>
      </c>
      <c r="I55" s="71">
        <v>0</v>
      </c>
      <c r="J55" s="71">
        <v>0</v>
      </c>
      <c r="K55" s="71">
        <v>0</v>
      </c>
      <c r="L55" s="71">
        <v>0</v>
      </c>
      <c r="M55" s="71">
        <v>0</v>
      </c>
      <c r="N55" s="71">
        <v>0</v>
      </c>
      <c r="O55" s="71">
        <v>0</v>
      </c>
      <c r="P55" s="84">
        <v>0</v>
      </c>
      <c r="Q55" s="79"/>
      <c r="R55" s="71"/>
      <c r="S55" s="104"/>
      <c r="T55" s="71"/>
      <c r="U55" s="71"/>
    </row>
    <row r="56" spans="1:21" hidden="1" x14ac:dyDescent="0.2">
      <c r="A56" s="77" t="s">
        <v>1942</v>
      </c>
      <c r="B56" s="92" t="s">
        <v>1943</v>
      </c>
      <c r="C56" s="91">
        <v>0</v>
      </c>
      <c r="D56" s="71">
        <v>0</v>
      </c>
      <c r="E56" s="71">
        <v>0</v>
      </c>
      <c r="F56" s="71">
        <v>0</v>
      </c>
      <c r="G56" s="71">
        <v>0</v>
      </c>
      <c r="H56" s="71">
        <v>0</v>
      </c>
      <c r="I56" s="71">
        <v>0</v>
      </c>
      <c r="J56" s="71">
        <v>0</v>
      </c>
      <c r="K56" s="71">
        <v>0</v>
      </c>
      <c r="L56" s="71">
        <v>0</v>
      </c>
      <c r="M56" s="71">
        <v>0</v>
      </c>
      <c r="N56" s="71">
        <v>0</v>
      </c>
      <c r="O56" s="71">
        <v>0</v>
      </c>
      <c r="P56" s="84">
        <v>0</v>
      </c>
      <c r="Q56" s="77"/>
      <c r="R56" s="71"/>
      <c r="S56" s="104"/>
      <c r="T56" s="71"/>
      <c r="U56" s="71"/>
    </row>
    <row r="57" spans="1:21" hidden="1" x14ac:dyDescent="0.2">
      <c r="A57" s="80" t="s">
        <v>1944</v>
      </c>
      <c r="B57" s="92" t="s">
        <v>1945</v>
      </c>
      <c r="C57" s="91">
        <v>31</v>
      </c>
      <c r="D57" s="71">
        <v>23</v>
      </c>
      <c r="E57" s="71">
        <v>22</v>
      </c>
      <c r="F57" s="71">
        <v>28</v>
      </c>
      <c r="G57" s="71">
        <v>28</v>
      </c>
      <c r="H57" s="71">
        <v>26</v>
      </c>
      <c r="I57" s="71">
        <v>27</v>
      </c>
      <c r="J57" s="71">
        <v>39</v>
      </c>
      <c r="K57" s="71">
        <v>24</v>
      </c>
      <c r="L57" s="71">
        <v>29</v>
      </c>
      <c r="M57" s="71">
        <v>23</v>
      </c>
      <c r="N57" s="71">
        <v>28</v>
      </c>
      <c r="O57" s="71">
        <v>24</v>
      </c>
      <c r="P57" s="84">
        <v>27.076923076923077</v>
      </c>
      <c r="Q57" s="77"/>
      <c r="R57" s="71"/>
      <c r="S57" s="104"/>
      <c r="T57" s="71"/>
      <c r="U57" s="71"/>
    </row>
    <row r="58" spans="1:21" hidden="1" x14ac:dyDescent="0.2">
      <c r="A58" s="80" t="s">
        <v>1948</v>
      </c>
      <c r="B58" s="92" t="s">
        <v>1949</v>
      </c>
      <c r="C58" s="91">
        <v>0</v>
      </c>
      <c r="D58" s="71">
        <v>0</v>
      </c>
      <c r="E58" s="71">
        <v>0</v>
      </c>
      <c r="F58" s="71">
        <v>0</v>
      </c>
      <c r="G58" s="71">
        <v>0</v>
      </c>
      <c r="H58" s="71">
        <v>0</v>
      </c>
      <c r="I58" s="71">
        <v>0</v>
      </c>
      <c r="J58" s="71">
        <v>0</v>
      </c>
      <c r="K58" s="71">
        <v>0</v>
      </c>
      <c r="L58" s="71">
        <v>0</v>
      </c>
      <c r="M58" s="71">
        <v>0</v>
      </c>
      <c r="N58" s="71">
        <v>0</v>
      </c>
      <c r="O58" s="71">
        <v>0</v>
      </c>
      <c r="P58" s="84">
        <v>0</v>
      </c>
      <c r="Q58" s="77"/>
      <c r="R58" s="71"/>
      <c r="S58" s="104"/>
      <c r="T58" s="71"/>
      <c r="U58" s="71"/>
    </row>
    <row r="59" spans="1:21" hidden="1" x14ac:dyDescent="0.2">
      <c r="A59" s="78" t="s">
        <v>1950</v>
      </c>
      <c r="B59" s="92" t="s">
        <v>1951</v>
      </c>
      <c r="C59" s="91">
        <v>0</v>
      </c>
      <c r="D59" s="71">
        <v>0</v>
      </c>
      <c r="E59" s="71">
        <v>0</v>
      </c>
      <c r="F59" s="71">
        <v>0</v>
      </c>
      <c r="G59" s="71">
        <v>0</v>
      </c>
      <c r="H59" s="71">
        <v>0</v>
      </c>
      <c r="I59" s="71">
        <v>0</v>
      </c>
      <c r="J59" s="71">
        <v>0</v>
      </c>
      <c r="K59" s="71">
        <v>0</v>
      </c>
      <c r="L59" s="71">
        <v>0</v>
      </c>
      <c r="M59" s="71">
        <v>0</v>
      </c>
      <c r="N59" s="71">
        <v>0</v>
      </c>
      <c r="O59" s="71">
        <v>0</v>
      </c>
      <c r="P59" s="84">
        <v>0</v>
      </c>
      <c r="Q59" s="77"/>
      <c r="R59" s="71"/>
      <c r="S59" s="104"/>
      <c r="T59" s="71"/>
      <c r="U59" s="71"/>
    </row>
    <row r="60" spans="1:21" hidden="1" x14ac:dyDescent="0.2">
      <c r="A60" s="78" t="s">
        <v>1954</v>
      </c>
      <c r="B60" s="92" t="s">
        <v>1955</v>
      </c>
      <c r="C60" s="91">
        <v>0</v>
      </c>
      <c r="D60" s="71">
        <v>0</v>
      </c>
      <c r="E60" s="71">
        <v>0</v>
      </c>
      <c r="F60" s="71">
        <v>0</v>
      </c>
      <c r="G60" s="71">
        <v>0</v>
      </c>
      <c r="H60" s="71">
        <v>0</v>
      </c>
      <c r="I60" s="71">
        <v>0</v>
      </c>
      <c r="J60" s="71">
        <v>0</v>
      </c>
      <c r="K60" s="71">
        <v>0</v>
      </c>
      <c r="L60" s="71">
        <v>0</v>
      </c>
      <c r="M60" s="71">
        <v>0</v>
      </c>
      <c r="N60" s="71">
        <v>0</v>
      </c>
      <c r="O60" s="71">
        <v>0</v>
      </c>
      <c r="P60" s="84">
        <v>0</v>
      </c>
      <c r="Q60" s="77"/>
      <c r="R60" s="71"/>
      <c r="S60" s="104"/>
      <c r="T60" s="71"/>
      <c r="U60" s="71"/>
    </row>
    <row r="61" spans="1:21" hidden="1" x14ac:dyDescent="0.2">
      <c r="A61" s="78" t="s">
        <v>1956</v>
      </c>
      <c r="B61" s="92" t="s">
        <v>1957</v>
      </c>
      <c r="C61" s="91">
        <v>0</v>
      </c>
      <c r="D61" s="71">
        <v>0</v>
      </c>
      <c r="E61" s="71">
        <v>0</v>
      </c>
      <c r="F61" s="71">
        <v>0</v>
      </c>
      <c r="G61" s="71">
        <v>0</v>
      </c>
      <c r="H61" s="71">
        <v>0</v>
      </c>
      <c r="I61" s="71">
        <v>0</v>
      </c>
      <c r="J61" s="71">
        <v>0</v>
      </c>
      <c r="K61" s="71">
        <v>0</v>
      </c>
      <c r="L61" s="71">
        <v>0</v>
      </c>
      <c r="M61" s="71">
        <v>0</v>
      </c>
      <c r="N61" s="71">
        <v>0</v>
      </c>
      <c r="O61" s="71">
        <v>0</v>
      </c>
      <c r="P61" s="84">
        <v>0</v>
      </c>
      <c r="Q61" s="77"/>
      <c r="R61" s="71"/>
      <c r="S61" s="104"/>
      <c r="T61" s="71"/>
      <c r="U61" s="71"/>
    </row>
    <row r="62" spans="1:21" hidden="1" x14ac:dyDescent="0.2">
      <c r="A62" s="77" t="s">
        <v>1958</v>
      </c>
      <c r="B62" s="92" t="s">
        <v>1959</v>
      </c>
      <c r="C62" s="91">
        <v>5478</v>
      </c>
      <c r="D62" s="71">
        <v>6958</v>
      </c>
      <c r="E62" s="71">
        <v>7790</v>
      </c>
      <c r="F62" s="71">
        <v>5282</v>
      </c>
      <c r="G62" s="71">
        <v>5688</v>
      </c>
      <c r="H62" s="71">
        <v>7024</v>
      </c>
      <c r="I62" s="71">
        <v>5401</v>
      </c>
      <c r="J62" s="71">
        <v>5506</v>
      </c>
      <c r="K62" s="71">
        <v>5911</v>
      </c>
      <c r="L62" s="71">
        <v>5561</v>
      </c>
      <c r="M62" s="71">
        <v>6141</v>
      </c>
      <c r="N62" s="71">
        <v>6662</v>
      </c>
      <c r="O62" s="71">
        <v>5437</v>
      </c>
      <c r="P62" s="84">
        <v>6064.5384615384619</v>
      </c>
      <c r="Q62" s="77"/>
      <c r="R62" s="71"/>
      <c r="S62" s="104"/>
      <c r="T62" s="71"/>
      <c r="U62" s="71"/>
    </row>
    <row r="63" spans="1:21" hidden="1" x14ac:dyDescent="0.2">
      <c r="A63" s="77" t="s">
        <v>1960</v>
      </c>
      <c r="B63" s="129" t="s">
        <v>1961</v>
      </c>
      <c r="C63" s="91">
        <v>567</v>
      </c>
      <c r="D63" s="71">
        <v>0</v>
      </c>
      <c r="E63" s="71">
        <v>0</v>
      </c>
      <c r="F63" s="71">
        <v>0</v>
      </c>
      <c r="G63" s="71">
        <v>0</v>
      </c>
      <c r="H63" s="71">
        <v>0</v>
      </c>
      <c r="I63" s="71">
        <v>0</v>
      </c>
      <c r="J63" s="71">
        <v>0</v>
      </c>
      <c r="K63" s="71">
        <v>0</v>
      </c>
      <c r="L63" s="71">
        <v>0</v>
      </c>
      <c r="M63" s="71">
        <v>0</v>
      </c>
      <c r="N63" s="71">
        <v>0</v>
      </c>
      <c r="O63" s="71">
        <v>0</v>
      </c>
      <c r="P63" s="84">
        <v>43.615384615384613</v>
      </c>
      <c r="Q63" s="78"/>
      <c r="R63" s="71"/>
      <c r="S63" s="104"/>
      <c r="T63" s="71"/>
      <c r="U63" s="71"/>
    </row>
    <row r="64" spans="1:21" hidden="1" x14ac:dyDescent="0.2">
      <c r="A64" s="78" t="s">
        <v>1964</v>
      </c>
      <c r="B64" s="92" t="s">
        <v>1965</v>
      </c>
      <c r="C64" s="91">
        <v>0</v>
      </c>
      <c r="D64" s="71">
        <v>0</v>
      </c>
      <c r="E64" s="71">
        <v>0</v>
      </c>
      <c r="F64" s="71">
        <v>0</v>
      </c>
      <c r="G64" s="71">
        <v>0</v>
      </c>
      <c r="H64" s="71">
        <v>0</v>
      </c>
      <c r="I64" s="71">
        <v>0</v>
      </c>
      <c r="J64" s="71">
        <v>0</v>
      </c>
      <c r="K64" s="71">
        <v>0</v>
      </c>
      <c r="L64" s="71">
        <v>0</v>
      </c>
      <c r="M64" s="71">
        <v>0</v>
      </c>
      <c r="N64" s="71">
        <v>0</v>
      </c>
      <c r="O64" s="71">
        <v>0</v>
      </c>
      <c r="P64" s="84">
        <v>0</v>
      </c>
      <c r="Q64" s="77"/>
      <c r="R64" s="71"/>
      <c r="S64" s="104"/>
      <c r="T64" s="71"/>
      <c r="U64" s="71"/>
    </row>
    <row r="65" spans="1:21" hidden="1" x14ac:dyDescent="0.2">
      <c r="A65" s="78" t="s">
        <v>1966</v>
      </c>
      <c r="B65" s="92" t="s">
        <v>1965</v>
      </c>
      <c r="C65" s="91">
        <v>0</v>
      </c>
      <c r="D65" s="71">
        <v>0</v>
      </c>
      <c r="E65" s="71">
        <v>0</v>
      </c>
      <c r="F65" s="71">
        <v>0</v>
      </c>
      <c r="G65" s="71">
        <v>0</v>
      </c>
      <c r="H65" s="71">
        <v>0</v>
      </c>
      <c r="I65" s="71">
        <v>0</v>
      </c>
      <c r="J65" s="71">
        <v>0</v>
      </c>
      <c r="K65" s="71">
        <v>0</v>
      </c>
      <c r="L65" s="71">
        <v>0</v>
      </c>
      <c r="M65" s="71">
        <v>0</v>
      </c>
      <c r="N65" s="71">
        <v>0</v>
      </c>
      <c r="O65" s="71">
        <v>0</v>
      </c>
      <c r="P65" s="84">
        <v>0</v>
      </c>
      <c r="Q65" s="77"/>
      <c r="R65" s="71"/>
      <c r="S65" s="104"/>
      <c r="T65" s="71"/>
      <c r="U65" s="71"/>
    </row>
    <row r="66" spans="1:21" hidden="1" x14ac:dyDescent="0.2">
      <c r="A66" s="78" t="s">
        <v>1967</v>
      </c>
      <c r="B66" s="92" t="s">
        <v>1968</v>
      </c>
      <c r="C66" s="91">
        <v>0</v>
      </c>
      <c r="D66" s="71">
        <v>0</v>
      </c>
      <c r="E66" s="71">
        <v>0</v>
      </c>
      <c r="F66" s="71">
        <v>0</v>
      </c>
      <c r="G66" s="71">
        <v>0</v>
      </c>
      <c r="H66" s="71">
        <v>0</v>
      </c>
      <c r="I66" s="71">
        <v>0</v>
      </c>
      <c r="J66" s="71">
        <v>0</v>
      </c>
      <c r="K66" s="71">
        <v>0</v>
      </c>
      <c r="L66" s="71">
        <v>0</v>
      </c>
      <c r="M66" s="71">
        <v>0</v>
      </c>
      <c r="N66" s="71">
        <v>0</v>
      </c>
      <c r="O66" s="71">
        <v>0</v>
      </c>
      <c r="P66" s="84">
        <v>0</v>
      </c>
      <c r="Q66" s="77"/>
      <c r="R66" s="71"/>
      <c r="S66" s="104"/>
      <c r="T66" s="71"/>
      <c r="U66" s="71"/>
    </row>
    <row r="67" spans="1:21" hidden="1" x14ac:dyDescent="0.2">
      <c r="A67" s="78" t="s">
        <v>1969</v>
      </c>
      <c r="B67" s="92" t="s">
        <v>1970</v>
      </c>
      <c r="C67" s="91">
        <v>42</v>
      </c>
      <c r="D67" s="71">
        <v>27</v>
      </c>
      <c r="E67" s="71">
        <v>27</v>
      </c>
      <c r="F67" s="71">
        <v>27</v>
      </c>
      <c r="G67" s="71">
        <v>27</v>
      </c>
      <c r="H67" s="71">
        <v>27</v>
      </c>
      <c r="I67" s="71">
        <v>27</v>
      </c>
      <c r="J67" s="71">
        <v>27</v>
      </c>
      <c r="K67" s="71">
        <v>27</v>
      </c>
      <c r="L67" s="71">
        <v>27</v>
      </c>
      <c r="M67" s="71">
        <v>27</v>
      </c>
      <c r="N67" s="71">
        <v>27</v>
      </c>
      <c r="O67" s="71">
        <v>27</v>
      </c>
      <c r="P67" s="84">
        <v>28.153846153846153</v>
      </c>
      <c r="Q67" s="77"/>
      <c r="R67" s="71"/>
      <c r="S67" s="104"/>
      <c r="T67" s="71"/>
      <c r="U67" s="71"/>
    </row>
    <row r="68" spans="1:21" hidden="1" x14ac:dyDescent="0.2">
      <c r="A68" s="78" t="s">
        <v>1971</v>
      </c>
      <c r="B68" s="92" t="s">
        <v>1972</v>
      </c>
      <c r="C68" s="91">
        <v>464</v>
      </c>
      <c r="D68" s="71">
        <v>0</v>
      </c>
      <c r="E68" s="71">
        <v>0</v>
      </c>
      <c r="F68" s="71">
        <v>22</v>
      </c>
      <c r="G68" s="71">
        <v>0</v>
      </c>
      <c r="H68" s="71">
        <v>185</v>
      </c>
      <c r="I68" s="71">
        <v>199</v>
      </c>
      <c r="J68" s="71">
        <v>156</v>
      </c>
      <c r="K68" s="71">
        <v>0</v>
      </c>
      <c r="L68" s="71">
        <v>65</v>
      </c>
      <c r="M68" s="71">
        <v>0</v>
      </c>
      <c r="N68" s="71">
        <v>0</v>
      </c>
      <c r="O68" s="71">
        <v>0</v>
      </c>
      <c r="P68" s="84">
        <v>83.92307692307692</v>
      </c>
      <c r="Q68" s="77"/>
      <c r="R68" s="71"/>
      <c r="S68" s="104"/>
      <c r="T68" s="71"/>
      <c r="U68" s="71"/>
    </row>
    <row r="69" spans="1:21" hidden="1" x14ac:dyDescent="0.2">
      <c r="A69" s="78" t="s">
        <v>1973</v>
      </c>
      <c r="B69" s="92" t="s">
        <v>1974</v>
      </c>
      <c r="C69" s="91">
        <v>0</v>
      </c>
      <c r="D69" s="71">
        <v>0</v>
      </c>
      <c r="E69" s="71">
        <v>0</v>
      </c>
      <c r="F69" s="71">
        <v>0</v>
      </c>
      <c r="G69" s="71">
        <v>0</v>
      </c>
      <c r="H69" s="71">
        <v>0</v>
      </c>
      <c r="I69" s="71">
        <v>0</v>
      </c>
      <c r="J69" s="71">
        <v>0</v>
      </c>
      <c r="K69" s="71">
        <v>0</v>
      </c>
      <c r="L69" s="71">
        <v>0</v>
      </c>
      <c r="M69" s="71">
        <v>0</v>
      </c>
      <c r="N69" s="71">
        <v>0</v>
      </c>
      <c r="O69" s="71">
        <v>0</v>
      </c>
      <c r="P69" s="84">
        <v>0</v>
      </c>
      <c r="Q69" s="77"/>
      <c r="R69" s="71"/>
      <c r="S69" s="104"/>
      <c r="T69" s="71"/>
      <c r="U69" s="71"/>
    </row>
    <row r="70" spans="1:21" hidden="1" x14ac:dyDescent="0.2">
      <c r="A70" s="77" t="s">
        <v>1975</v>
      </c>
      <c r="B70" s="92" t="s">
        <v>1976</v>
      </c>
      <c r="C70" s="91">
        <v>145</v>
      </c>
      <c r="D70" s="71">
        <v>0</v>
      </c>
      <c r="E70" s="71">
        <v>0</v>
      </c>
      <c r="F70" s="71">
        <v>0</v>
      </c>
      <c r="G70" s="71">
        <v>0</v>
      </c>
      <c r="H70" s="71">
        <v>0</v>
      </c>
      <c r="I70" s="71">
        <v>0</v>
      </c>
      <c r="J70" s="71">
        <v>0</v>
      </c>
      <c r="K70" s="71">
        <v>0</v>
      </c>
      <c r="L70" s="71">
        <v>0</v>
      </c>
      <c r="M70" s="71">
        <v>0</v>
      </c>
      <c r="N70" s="71">
        <v>0</v>
      </c>
      <c r="O70" s="71">
        <v>0</v>
      </c>
      <c r="P70" s="84">
        <v>11.153846153846153</v>
      </c>
      <c r="Q70" s="77"/>
      <c r="R70" s="71"/>
      <c r="S70" s="104"/>
      <c r="T70" s="71"/>
      <c r="U70" s="71"/>
    </row>
    <row r="71" spans="1:21" hidden="1" x14ac:dyDescent="0.2">
      <c r="A71" s="77" t="s">
        <v>1983</v>
      </c>
      <c r="B71" s="92" t="s">
        <v>1810</v>
      </c>
      <c r="C71" s="91">
        <v>96</v>
      </c>
      <c r="D71" s="71">
        <v>0</v>
      </c>
      <c r="E71" s="71">
        <v>0</v>
      </c>
      <c r="F71" s="71">
        <v>0</v>
      </c>
      <c r="G71" s="71">
        <v>0</v>
      </c>
      <c r="H71" s="71">
        <v>0</v>
      </c>
      <c r="I71" s="71">
        <v>34</v>
      </c>
      <c r="J71" s="71">
        <v>3</v>
      </c>
      <c r="K71" s="71">
        <v>0</v>
      </c>
      <c r="L71" s="71">
        <v>0</v>
      </c>
      <c r="M71" s="71">
        <v>0</v>
      </c>
      <c r="N71" s="71">
        <v>0</v>
      </c>
      <c r="O71" s="71">
        <v>0</v>
      </c>
      <c r="P71" s="84">
        <v>10.23076923076923</v>
      </c>
      <c r="Q71" s="77"/>
      <c r="R71" s="71"/>
      <c r="S71" s="104"/>
      <c r="T71" s="71"/>
      <c r="U71" s="71"/>
    </row>
    <row r="72" spans="1:21" hidden="1" x14ac:dyDescent="0.2">
      <c r="A72" s="77" t="s">
        <v>1832</v>
      </c>
      <c r="B72" s="70" t="s">
        <v>467</v>
      </c>
      <c r="C72" s="71">
        <v>81569</v>
      </c>
      <c r="D72" s="71">
        <v>83865</v>
      </c>
      <c r="E72" s="71">
        <v>90091</v>
      </c>
      <c r="F72" s="71">
        <v>97101</v>
      </c>
      <c r="G72" s="71">
        <v>105154</v>
      </c>
      <c r="H72" s="71">
        <v>112384</v>
      </c>
      <c r="I72" s="71">
        <v>111640</v>
      </c>
      <c r="J72" s="71">
        <v>110366</v>
      </c>
      <c r="K72" s="71">
        <v>107361</v>
      </c>
      <c r="L72" s="71">
        <v>104788</v>
      </c>
      <c r="M72" s="71">
        <v>97001</v>
      </c>
      <c r="N72" s="71">
        <v>89299</v>
      </c>
      <c r="O72" s="71">
        <v>89067</v>
      </c>
      <c r="P72" s="84">
        <v>98437.38461538461</v>
      </c>
      <c r="Q72" s="77"/>
      <c r="R72" s="71"/>
      <c r="S72" s="104"/>
      <c r="T72" s="71"/>
      <c r="U72" s="71"/>
    </row>
    <row r="73" spans="1:21" hidden="1" x14ac:dyDescent="0.2">
      <c r="A73" s="77" t="s">
        <v>888</v>
      </c>
      <c r="B73" s="70" t="s">
        <v>468</v>
      </c>
      <c r="C73" s="71">
        <v>0</v>
      </c>
      <c r="D73" s="71">
        <v>0</v>
      </c>
      <c r="E73" s="71">
        <v>0</v>
      </c>
      <c r="F73" s="71">
        <v>0</v>
      </c>
      <c r="G73" s="71">
        <v>0</v>
      </c>
      <c r="H73" s="71">
        <v>0</v>
      </c>
      <c r="I73" s="71">
        <v>0</v>
      </c>
      <c r="J73" s="71">
        <v>0</v>
      </c>
      <c r="K73" s="71">
        <v>0</v>
      </c>
      <c r="L73" s="71">
        <v>0</v>
      </c>
      <c r="M73" s="71">
        <v>0</v>
      </c>
      <c r="N73" s="71">
        <v>0</v>
      </c>
      <c r="O73" s="71">
        <v>0</v>
      </c>
      <c r="P73" s="84">
        <v>0</v>
      </c>
      <c r="Q73" s="77"/>
      <c r="R73" s="71"/>
      <c r="S73" s="104"/>
      <c r="T73" s="71"/>
      <c r="U73" s="71"/>
    </row>
    <row r="74" spans="1:21" hidden="1" x14ac:dyDescent="0.2">
      <c r="A74" s="77" t="s">
        <v>918</v>
      </c>
      <c r="B74" s="70" t="s">
        <v>469</v>
      </c>
      <c r="C74" s="71">
        <v>56449</v>
      </c>
      <c r="D74" s="71">
        <v>56678</v>
      </c>
      <c r="E74" s="71">
        <v>56908</v>
      </c>
      <c r="F74" s="71">
        <v>57137</v>
      </c>
      <c r="G74" s="71">
        <v>57366</v>
      </c>
      <c r="H74" s="71">
        <v>57596</v>
      </c>
      <c r="I74" s="71">
        <v>57825</v>
      </c>
      <c r="J74" s="71">
        <v>58054</v>
      </c>
      <c r="K74" s="71">
        <v>58284</v>
      </c>
      <c r="L74" s="71">
        <v>58513</v>
      </c>
      <c r="M74" s="71">
        <v>58742</v>
      </c>
      <c r="N74" s="71">
        <v>58972</v>
      </c>
      <c r="O74" s="71">
        <v>59201</v>
      </c>
      <c r="P74" s="84">
        <v>57825</v>
      </c>
      <c r="Q74" s="77"/>
      <c r="R74" s="71"/>
      <c r="S74" s="104"/>
      <c r="T74" s="71"/>
      <c r="U74" s="71"/>
    </row>
    <row r="75" spans="1:21" hidden="1" x14ac:dyDescent="0.2">
      <c r="A75" s="77" t="s">
        <v>921</v>
      </c>
      <c r="B75" s="70" t="s">
        <v>470</v>
      </c>
      <c r="C75" s="71">
        <v>51</v>
      </c>
      <c r="D75" s="71">
        <v>0</v>
      </c>
      <c r="E75" s="71">
        <v>0</v>
      </c>
      <c r="F75" s="71">
        <v>0</v>
      </c>
      <c r="G75" s="71">
        <v>0</v>
      </c>
      <c r="H75" s="71">
        <v>0</v>
      </c>
      <c r="I75" s="71">
        <v>0</v>
      </c>
      <c r="J75" s="71">
        <v>0</v>
      </c>
      <c r="K75" s="71">
        <v>0</v>
      </c>
      <c r="L75" s="71">
        <v>0</v>
      </c>
      <c r="M75" s="71">
        <v>0</v>
      </c>
      <c r="N75" s="71">
        <v>0</v>
      </c>
      <c r="O75" s="71">
        <v>0</v>
      </c>
      <c r="P75" s="84">
        <v>3.9230769230769229</v>
      </c>
      <c r="Q75" s="77"/>
      <c r="R75" s="71"/>
      <c r="S75" s="104"/>
      <c r="T75" s="71"/>
      <c r="U75" s="71"/>
    </row>
    <row r="76" spans="1:21" hidden="1" x14ac:dyDescent="0.2">
      <c r="A76" s="77" t="s">
        <v>1040</v>
      </c>
      <c r="B76" s="70" t="s">
        <v>471</v>
      </c>
      <c r="C76" s="71">
        <v>0</v>
      </c>
      <c r="D76" s="71">
        <v>0</v>
      </c>
      <c r="E76" s="71">
        <v>0</v>
      </c>
      <c r="F76" s="71">
        <v>0</v>
      </c>
      <c r="G76" s="71">
        <v>0</v>
      </c>
      <c r="H76" s="71">
        <v>0</v>
      </c>
      <c r="I76" s="71">
        <v>0</v>
      </c>
      <c r="J76" s="71">
        <v>0</v>
      </c>
      <c r="K76" s="71">
        <v>0</v>
      </c>
      <c r="L76" s="71">
        <v>0</v>
      </c>
      <c r="M76" s="71">
        <v>0</v>
      </c>
      <c r="N76" s="71">
        <v>0</v>
      </c>
      <c r="O76" s="71">
        <v>0</v>
      </c>
      <c r="P76" s="84">
        <v>0</v>
      </c>
      <c r="Q76" s="77"/>
      <c r="R76" s="71"/>
      <c r="S76" s="104"/>
      <c r="T76" s="71"/>
      <c r="U76" s="71"/>
    </row>
    <row r="77" spans="1:21" hidden="1" x14ac:dyDescent="0.2">
      <c r="A77" s="77" t="s">
        <v>2379</v>
      </c>
      <c r="B77" s="70" t="s">
        <v>472</v>
      </c>
      <c r="C77" s="71">
        <v>8506</v>
      </c>
      <c r="D77" s="71">
        <v>12366</v>
      </c>
      <c r="E77" s="71">
        <v>10740</v>
      </c>
      <c r="F77" s="71">
        <v>9111</v>
      </c>
      <c r="G77" s="71">
        <v>18852</v>
      </c>
      <c r="H77" s="71">
        <v>17095</v>
      </c>
      <c r="I77" s="71">
        <v>15362</v>
      </c>
      <c r="J77" s="71">
        <v>17568</v>
      </c>
      <c r="K77" s="71">
        <v>15758</v>
      </c>
      <c r="L77" s="71">
        <v>13948</v>
      </c>
      <c r="M77" s="71">
        <v>12141</v>
      </c>
      <c r="N77" s="71">
        <v>10335</v>
      </c>
      <c r="O77" s="71">
        <v>8526</v>
      </c>
      <c r="P77" s="84">
        <v>13100.615384615385</v>
      </c>
      <c r="Q77" s="79"/>
      <c r="R77" s="71"/>
      <c r="S77" s="104"/>
      <c r="T77" s="71"/>
      <c r="U77" s="71"/>
    </row>
    <row r="78" spans="1:21" hidden="1" x14ac:dyDescent="0.2">
      <c r="A78" s="79" t="s">
        <v>1041</v>
      </c>
      <c r="B78" s="70" t="s">
        <v>473</v>
      </c>
      <c r="C78" s="71">
        <v>4219</v>
      </c>
      <c r="D78" s="71">
        <v>3150</v>
      </c>
      <c r="E78" s="71">
        <v>2033</v>
      </c>
      <c r="F78" s="71">
        <v>916</v>
      </c>
      <c r="G78" s="71">
        <v>11164</v>
      </c>
      <c r="H78" s="71">
        <v>9917</v>
      </c>
      <c r="I78" s="71">
        <v>8693</v>
      </c>
      <c r="J78" s="71">
        <v>11409</v>
      </c>
      <c r="K78" s="71">
        <v>10108</v>
      </c>
      <c r="L78" s="71">
        <v>8806</v>
      </c>
      <c r="M78" s="71">
        <v>7507</v>
      </c>
      <c r="N78" s="71">
        <v>6209</v>
      </c>
      <c r="O78" s="71">
        <v>4907</v>
      </c>
      <c r="P78" s="84">
        <v>6849.0769230769229</v>
      </c>
      <c r="Q78" s="79"/>
      <c r="R78" s="71"/>
      <c r="S78" s="104"/>
      <c r="T78" s="71"/>
      <c r="U78" s="71"/>
    </row>
    <row r="79" spans="1:21" hidden="1" x14ac:dyDescent="0.2">
      <c r="A79" s="79" t="s">
        <v>2345</v>
      </c>
      <c r="B79" s="70" t="s">
        <v>474</v>
      </c>
      <c r="C79" s="71">
        <v>0</v>
      </c>
      <c r="D79" s="71">
        <v>0</v>
      </c>
      <c r="E79" s="71">
        <v>0</v>
      </c>
      <c r="F79" s="71">
        <v>0</v>
      </c>
      <c r="G79" s="71">
        <v>0</v>
      </c>
      <c r="H79" s="71">
        <v>0</v>
      </c>
      <c r="I79" s="71">
        <v>0</v>
      </c>
      <c r="J79" s="71">
        <v>0</v>
      </c>
      <c r="K79" s="71">
        <v>0</v>
      </c>
      <c r="L79" s="71">
        <v>0</v>
      </c>
      <c r="M79" s="71">
        <v>0</v>
      </c>
      <c r="N79" s="71">
        <v>0</v>
      </c>
      <c r="O79" s="71">
        <v>0</v>
      </c>
      <c r="P79" s="84">
        <v>0</v>
      </c>
      <c r="Q79" s="80"/>
      <c r="R79" s="71"/>
      <c r="S79" s="104"/>
      <c r="T79" s="71"/>
      <c r="U79" s="71"/>
    </row>
    <row r="80" spans="1:21" hidden="1" x14ac:dyDescent="0.2">
      <c r="A80" s="80" t="s">
        <v>2349</v>
      </c>
      <c r="B80" s="70" t="s">
        <v>475</v>
      </c>
      <c r="C80" s="71">
        <v>3436</v>
      </c>
      <c r="D80" s="71">
        <v>3401</v>
      </c>
      <c r="E80" s="71">
        <v>3365</v>
      </c>
      <c r="F80" s="71">
        <v>3329</v>
      </c>
      <c r="G80" s="71">
        <v>3293</v>
      </c>
      <c r="H80" s="71">
        <v>3258</v>
      </c>
      <c r="I80" s="71">
        <v>3222</v>
      </c>
      <c r="J80" s="71">
        <v>3186</v>
      </c>
      <c r="K80" s="71">
        <v>3150</v>
      </c>
      <c r="L80" s="71">
        <v>3114</v>
      </c>
      <c r="M80" s="71">
        <v>3078</v>
      </c>
      <c r="N80" s="71">
        <v>3043</v>
      </c>
      <c r="O80" s="71">
        <v>3007</v>
      </c>
      <c r="P80" s="84">
        <v>3221.6923076923076</v>
      </c>
      <c r="Q80" s="79"/>
      <c r="R80" s="71"/>
      <c r="S80" s="104"/>
      <c r="T80" s="71"/>
      <c r="U80" s="71"/>
    </row>
    <row r="81" spans="1:21" hidden="1" x14ac:dyDescent="0.2">
      <c r="A81" s="79" t="s">
        <v>2351</v>
      </c>
      <c r="B81" s="70" t="s">
        <v>476</v>
      </c>
      <c r="C81" s="71">
        <v>30</v>
      </c>
      <c r="D81" s="71">
        <v>8</v>
      </c>
      <c r="E81" s="71">
        <v>7</v>
      </c>
      <c r="F81" s="71">
        <v>5</v>
      </c>
      <c r="G81" s="71">
        <v>4</v>
      </c>
      <c r="H81" s="71">
        <v>2</v>
      </c>
      <c r="I81" s="71">
        <v>0</v>
      </c>
      <c r="J81" s="71">
        <v>0</v>
      </c>
      <c r="K81" s="71">
        <v>0</v>
      </c>
      <c r="L81" s="71">
        <v>0</v>
      </c>
      <c r="M81" s="71">
        <v>0</v>
      </c>
      <c r="N81" s="71">
        <v>0</v>
      </c>
      <c r="O81" s="71">
        <v>0</v>
      </c>
      <c r="P81" s="84">
        <v>4.3076923076923075</v>
      </c>
      <c r="Q81" s="79"/>
      <c r="R81" s="71"/>
      <c r="S81" s="104"/>
      <c r="T81" s="71"/>
      <c r="U81" s="71"/>
    </row>
    <row r="82" spans="1:21" hidden="1" x14ac:dyDescent="0.2">
      <c r="A82" s="79" t="s">
        <v>2353</v>
      </c>
      <c r="B82" s="70" t="s">
        <v>477</v>
      </c>
      <c r="C82" s="71">
        <v>0</v>
      </c>
      <c r="D82" s="71">
        <v>0</v>
      </c>
      <c r="E82" s="71">
        <v>0</v>
      </c>
      <c r="F82" s="71">
        <v>0</v>
      </c>
      <c r="G82" s="71">
        <v>0</v>
      </c>
      <c r="H82" s="71">
        <v>0</v>
      </c>
      <c r="I82" s="71">
        <v>0</v>
      </c>
      <c r="J82" s="71">
        <v>0</v>
      </c>
      <c r="K82" s="71">
        <v>0</v>
      </c>
      <c r="L82" s="71">
        <v>0</v>
      </c>
      <c r="M82" s="71">
        <v>0</v>
      </c>
      <c r="N82" s="71">
        <v>0</v>
      </c>
      <c r="O82" s="71">
        <v>0</v>
      </c>
      <c r="P82" s="84">
        <v>0</v>
      </c>
      <c r="Q82" s="80"/>
      <c r="R82" s="71"/>
      <c r="S82" s="104"/>
      <c r="T82" s="71"/>
      <c r="U82" s="71"/>
    </row>
    <row r="83" spans="1:21" hidden="1" x14ac:dyDescent="0.2">
      <c r="A83" s="80" t="s">
        <v>2355</v>
      </c>
      <c r="B83" s="70" t="s">
        <v>478</v>
      </c>
      <c r="C83" s="70">
        <v>226</v>
      </c>
      <c r="D83" s="71">
        <v>225</v>
      </c>
      <c r="E83" s="71">
        <v>224</v>
      </c>
      <c r="F83" s="71">
        <v>222</v>
      </c>
      <c r="G83" s="71">
        <v>221</v>
      </c>
      <c r="H83" s="71">
        <v>219</v>
      </c>
      <c r="I83" s="71">
        <v>218</v>
      </c>
      <c r="J83" s="71">
        <v>216</v>
      </c>
      <c r="K83" s="71">
        <v>214</v>
      </c>
      <c r="L83" s="71">
        <v>212</v>
      </c>
      <c r="M83" s="71">
        <v>211</v>
      </c>
      <c r="N83" s="71">
        <v>209</v>
      </c>
      <c r="O83" s="71">
        <v>207</v>
      </c>
      <c r="P83" s="84">
        <v>217.23076923076923</v>
      </c>
      <c r="Q83" s="80"/>
      <c r="R83" s="71"/>
      <c r="S83" s="104"/>
      <c r="T83" s="71"/>
      <c r="U83" s="71"/>
    </row>
    <row r="84" spans="1:21" hidden="1" x14ac:dyDescent="0.2">
      <c r="A84" s="80" t="s">
        <v>2357</v>
      </c>
      <c r="B84" s="70" t="s">
        <v>479</v>
      </c>
      <c r="C84" s="70">
        <v>595</v>
      </c>
      <c r="D84" s="71">
        <v>579</v>
      </c>
      <c r="E84" s="71">
        <v>563</v>
      </c>
      <c r="F84" s="71">
        <v>547</v>
      </c>
      <c r="G84" s="71">
        <v>532</v>
      </c>
      <c r="H84" s="71">
        <v>516</v>
      </c>
      <c r="I84" s="71">
        <v>500</v>
      </c>
      <c r="J84" s="71">
        <v>484</v>
      </c>
      <c r="K84" s="71">
        <v>468</v>
      </c>
      <c r="L84" s="71">
        <v>452</v>
      </c>
      <c r="M84" s="71">
        <v>436</v>
      </c>
      <c r="N84" s="71">
        <v>421</v>
      </c>
      <c r="O84" s="71">
        <v>405</v>
      </c>
      <c r="P84" s="84">
        <v>499.84615384615387</v>
      </c>
      <c r="Q84" s="80"/>
      <c r="R84" s="71"/>
      <c r="S84" s="104"/>
      <c r="T84" s="71"/>
      <c r="U84" s="71"/>
    </row>
    <row r="85" spans="1:21" hidden="1" x14ac:dyDescent="0.2">
      <c r="A85" s="80" t="s">
        <v>2359</v>
      </c>
      <c r="B85" s="70" t="s">
        <v>480</v>
      </c>
      <c r="C85" s="70">
        <v>0</v>
      </c>
      <c r="D85" s="71">
        <v>69</v>
      </c>
      <c r="E85" s="71">
        <v>63</v>
      </c>
      <c r="F85" s="71">
        <v>56</v>
      </c>
      <c r="G85" s="71">
        <v>50</v>
      </c>
      <c r="H85" s="71">
        <v>44</v>
      </c>
      <c r="I85" s="71">
        <v>38</v>
      </c>
      <c r="J85" s="71">
        <v>31</v>
      </c>
      <c r="K85" s="71">
        <v>25</v>
      </c>
      <c r="L85" s="71">
        <v>19</v>
      </c>
      <c r="M85" s="71">
        <v>13</v>
      </c>
      <c r="N85" s="71">
        <v>6</v>
      </c>
      <c r="O85" s="71">
        <v>0</v>
      </c>
      <c r="P85" s="84">
        <v>31.846153846153847</v>
      </c>
      <c r="Q85" s="79"/>
      <c r="R85" s="71"/>
      <c r="S85" s="104"/>
      <c r="T85" s="71"/>
      <c r="U85" s="71"/>
    </row>
    <row r="86" spans="1:21" hidden="1" x14ac:dyDescent="0.2">
      <c r="A86" s="79" t="s">
        <v>2361</v>
      </c>
      <c r="B86" s="70" t="s">
        <v>481</v>
      </c>
      <c r="C86" s="71">
        <v>0</v>
      </c>
      <c r="D86" s="71">
        <v>0</v>
      </c>
      <c r="E86" s="71">
        <v>0</v>
      </c>
      <c r="F86" s="71">
        <v>0</v>
      </c>
      <c r="G86" s="71">
        <v>0</v>
      </c>
      <c r="H86" s="71">
        <v>0</v>
      </c>
      <c r="I86" s="71">
        <v>0</v>
      </c>
      <c r="J86" s="71">
        <v>0</v>
      </c>
      <c r="K86" s="71">
        <v>0</v>
      </c>
      <c r="L86" s="71">
        <v>0</v>
      </c>
      <c r="M86" s="71">
        <v>0</v>
      </c>
      <c r="N86" s="71">
        <v>0</v>
      </c>
      <c r="O86" s="71">
        <v>0</v>
      </c>
      <c r="P86" s="84">
        <v>0</v>
      </c>
      <c r="Q86" s="79"/>
      <c r="R86" s="71"/>
      <c r="S86" s="104"/>
      <c r="T86" s="71"/>
      <c r="U86" s="71"/>
    </row>
    <row r="87" spans="1:21" hidden="1" x14ac:dyDescent="0.2">
      <c r="A87" s="79" t="s">
        <v>2363</v>
      </c>
      <c r="B87" s="96" t="s">
        <v>482</v>
      </c>
      <c r="C87" s="71">
        <v>0</v>
      </c>
      <c r="D87" s="71">
        <v>0</v>
      </c>
      <c r="E87" s="71">
        <v>0</v>
      </c>
      <c r="F87" s="71">
        <v>0</v>
      </c>
      <c r="G87" s="71">
        <v>0</v>
      </c>
      <c r="H87" s="71">
        <v>0</v>
      </c>
      <c r="I87" s="71">
        <v>0</v>
      </c>
      <c r="J87" s="71">
        <v>0</v>
      </c>
      <c r="K87" s="71">
        <v>0</v>
      </c>
      <c r="L87" s="71">
        <v>0</v>
      </c>
      <c r="M87" s="71">
        <v>0</v>
      </c>
      <c r="N87" s="71">
        <v>0</v>
      </c>
      <c r="O87" s="71">
        <v>0</v>
      </c>
      <c r="P87" s="84">
        <v>0</v>
      </c>
      <c r="Q87" s="79"/>
      <c r="R87" s="71"/>
      <c r="S87" s="104"/>
      <c r="T87" s="71"/>
      <c r="U87" s="71"/>
    </row>
    <row r="88" spans="1:21" hidden="1" x14ac:dyDescent="0.2">
      <c r="A88" s="79" t="s">
        <v>2365</v>
      </c>
      <c r="B88" s="97" t="s">
        <v>483</v>
      </c>
      <c r="C88" s="71">
        <v>0</v>
      </c>
      <c r="D88" s="71">
        <v>4934</v>
      </c>
      <c r="E88" s="71">
        <v>4485</v>
      </c>
      <c r="F88" s="71">
        <v>4036</v>
      </c>
      <c r="G88" s="71">
        <v>3588</v>
      </c>
      <c r="H88" s="71">
        <v>3139</v>
      </c>
      <c r="I88" s="71">
        <v>2691</v>
      </c>
      <c r="J88" s="71">
        <v>2242</v>
      </c>
      <c r="K88" s="71">
        <v>1793</v>
      </c>
      <c r="L88" s="71">
        <v>1345</v>
      </c>
      <c r="M88" s="71">
        <v>896</v>
      </c>
      <c r="N88" s="71">
        <v>447</v>
      </c>
      <c r="O88" s="71">
        <v>0</v>
      </c>
      <c r="P88" s="84">
        <v>2276.6153846153848</v>
      </c>
      <c r="Q88" s="79"/>
      <c r="R88" s="71"/>
      <c r="S88" s="104"/>
      <c r="T88" s="71"/>
      <c r="U88" s="71"/>
    </row>
    <row r="89" spans="1:21" hidden="1" x14ac:dyDescent="0.2">
      <c r="A89" s="79" t="s">
        <v>2367</v>
      </c>
      <c r="B89" s="97" t="s">
        <v>484</v>
      </c>
      <c r="C89" s="71">
        <v>0</v>
      </c>
      <c r="D89" s="71">
        <v>0</v>
      </c>
      <c r="E89" s="71">
        <v>0</v>
      </c>
      <c r="F89" s="71">
        <v>0</v>
      </c>
      <c r="G89" s="71">
        <v>0</v>
      </c>
      <c r="H89" s="71">
        <v>0</v>
      </c>
      <c r="I89" s="71">
        <v>0</v>
      </c>
      <c r="J89" s="71">
        <v>0</v>
      </c>
      <c r="K89" s="71">
        <v>0</v>
      </c>
      <c r="L89" s="71">
        <v>0</v>
      </c>
      <c r="M89" s="71">
        <v>0</v>
      </c>
      <c r="N89" s="71">
        <v>0</v>
      </c>
      <c r="O89" s="71">
        <v>0</v>
      </c>
      <c r="P89" s="84">
        <v>0</v>
      </c>
      <c r="Q89" s="80"/>
      <c r="R89" s="71"/>
      <c r="S89" s="104"/>
      <c r="T89" s="71"/>
      <c r="U89" s="71"/>
    </row>
    <row r="90" spans="1:21" hidden="1" x14ac:dyDescent="0.2">
      <c r="A90" s="80" t="s">
        <v>2371</v>
      </c>
      <c r="B90" s="97" t="s">
        <v>485</v>
      </c>
      <c r="C90" s="71">
        <v>0</v>
      </c>
      <c r="D90" s="71">
        <v>0</v>
      </c>
      <c r="E90" s="71">
        <v>0</v>
      </c>
      <c r="F90" s="71">
        <v>0</v>
      </c>
      <c r="G90" s="71">
        <v>0</v>
      </c>
      <c r="H90" s="71">
        <v>0</v>
      </c>
      <c r="I90" s="71">
        <v>0</v>
      </c>
      <c r="J90" s="71">
        <v>0</v>
      </c>
      <c r="K90" s="71">
        <v>0</v>
      </c>
      <c r="L90" s="71">
        <v>0</v>
      </c>
      <c r="M90" s="71">
        <v>0</v>
      </c>
      <c r="N90" s="71">
        <v>0</v>
      </c>
      <c r="O90" s="71">
        <v>0</v>
      </c>
      <c r="P90" s="84">
        <v>0</v>
      </c>
      <c r="Q90" s="80"/>
      <c r="R90" s="71"/>
      <c r="S90" s="104"/>
      <c r="T90" s="71"/>
      <c r="U90" s="71"/>
    </row>
    <row r="91" spans="1:21" hidden="1" x14ac:dyDescent="0.2">
      <c r="A91" s="80" t="s">
        <v>2373</v>
      </c>
      <c r="B91" s="97" t="s">
        <v>486</v>
      </c>
      <c r="C91" s="71">
        <v>0</v>
      </c>
      <c r="D91" s="71">
        <v>0</v>
      </c>
      <c r="E91" s="71">
        <v>0</v>
      </c>
      <c r="F91" s="71">
        <v>0</v>
      </c>
      <c r="G91" s="71">
        <v>0</v>
      </c>
      <c r="H91" s="71">
        <v>0</v>
      </c>
      <c r="I91" s="71">
        <v>0</v>
      </c>
      <c r="J91" s="71">
        <v>0</v>
      </c>
      <c r="K91" s="71">
        <v>0</v>
      </c>
      <c r="L91" s="71">
        <v>0</v>
      </c>
      <c r="M91" s="71">
        <v>0</v>
      </c>
      <c r="N91" s="71">
        <v>0</v>
      </c>
      <c r="O91" s="71">
        <v>0</v>
      </c>
      <c r="P91" s="84">
        <v>0</v>
      </c>
      <c r="Q91" s="80"/>
      <c r="R91" s="71"/>
      <c r="S91" s="104"/>
      <c r="T91" s="71"/>
      <c r="U91" s="71"/>
    </row>
    <row r="92" spans="1:21" hidden="1" x14ac:dyDescent="0.2">
      <c r="A92" s="80" t="s">
        <v>2375</v>
      </c>
      <c r="B92" s="97" t="s">
        <v>487</v>
      </c>
      <c r="C92" s="71">
        <v>0</v>
      </c>
      <c r="D92" s="71">
        <v>0</v>
      </c>
      <c r="E92" s="71">
        <v>0</v>
      </c>
      <c r="F92" s="71">
        <v>0</v>
      </c>
      <c r="G92" s="71">
        <v>0</v>
      </c>
      <c r="H92" s="71">
        <v>0</v>
      </c>
      <c r="I92" s="71">
        <v>0</v>
      </c>
      <c r="J92" s="71">
        <v>0</v>
      </c>
      <c r="K92" s="71">
        <v>0</v>
      </c>
      <c r="L92" s="71">
        <v>0</v>
      </c>
      <c r="M92" s="71">
        <v>0</v>
      </c>
      <c r="N92" s="71">
        <v>0</v>
      </c>
      <c r="O92" s="71">
        <v>0</v>
      </c>
      <c r="P92" s="84">
        <v>0</v>
      </c>
      <c r="Q92" s="80"/>
      <c r="R92" s="71"/>
      <c r="S92" s="104"/>
      <c r="T92" s="71"/>
      <c r="U92" s="71"/>
    </row>
    <row r="93" spans="1:21" hidden="1" x14ac:dyDescent="0.2">
      <c r="A93" s="80" t="s">
        <v>2377</v>
      </c>
      <c r="B93" s="97" t="s">
        <v>488</v>
      </c>
      <c r="C93" s="71">
        <v>0</v>
      </c>
      <c r="D93" s="71">
        <v>0</v>
      </c>
      <c r="E93" s="71">
        <v>0</v>
      </c>
      <c r="F93" s="71">
        <v>0</v>
      </c>
      <c r="G93" s="71">
        <v>0</v>
      </c>
      <c r="H93" s="71">
        <v>0</v>
      </c>
      <c r="I93" s="71">
        <v>0</v>
      </c>
      <c r="J93" s="71">
        <v>0</v>
      </c>
      <c r="K93" s="71">
        <v>0</v>
      </c>
      <c r="L93" s="71">
        <v>0</v>
      </c>
      <c r="M93" s="71">
        <v>0</v>
      </c>
      <c r="N93" s="71">
        <v>0</v>
      </c>
      <c r="O93" s="71">
        <v>0</v>
      </c>
      <c r="P93" s="84">
        <v>0</v>
      </c>
      <c r="Q93" s="77"/>
      <c r="R93" s="71"/>
      <c r="S93" s="104"/>
      <c r="T93" s="71"/>
      <c r="U93" s="71"/>
    </row>
    <row r="94" spans="1:21" hidden="1" x14ac:dyDescent="0.2">
      <c r="A94" s="77" t="s">
        <v>2384</v>
      </c>
      <c r="B94" s="70" t="s">
        <v>489</v>
      </c>
      <c r="C94" s="71">
        <v>1</v>
      </c>
      <c r="D94" s="71">
        <v>0</v>
      </c>
      <c r="E94" s="71">
        <v>0</v>
      </c>
      <c r="F94" s="71">
        <v>0</v>
      </c>
      <c r="G94" s="71">
        <v>0</v>
      </c>
      <c r="H94" s="71">
        <v>0</v>
      </c>
      <c r="I94" s="71">
        <v>0</v>
      </c>
      <c r="J94" s="71">
        <v>0</v>
      </c>
      <c r="K94" s="71">
        <v>0</v>
      </c>
      <c r="L94" s="71">
        <v>0</v>
      </c>
      <c r="M94" s="71">
        <v>0</v>
      </c>
      <c r="N94" s="71">
        <v>0</v>
      </c>
      <c r="O94" s="71">
        <v>0</v>
      </c>
      <c r="P94" s="84">
        <v>7.6923076923076927E-2</v>
      </c>
      <c r="Q94" s="79"/>
      <c r="R94" s="71"/>
      <c r="S94" s="104"/>
      <c r="T94" s="71"/>
      <c r="U94" s="71"/>
    </row>
    <row r="95" spans="1:21" ht="15.75" hidden="1" x14ac:dyDescent="0.25">
      <c r="A95" s="79" t="s">
        <v>2380</v>
      </c>
      <c r="B95" s="70" t="s">
        <v>2935</v>
      </c>
      <c r="C95" s="71">
        <v>1</v>
      </c>
      <c r="D95" s="71">
        <v>0</v>
      </c>
      <c r="E95" s="71">
        <v>0</v>
      </c>
      <c r="F95" s="71">
        <v>0</v>
      </c>
      <c r="G95" s="71">
        <v>0</v>
      </c>
      <c r="H95" s="71">
        <v>0</v>
      </c>
      <c r="I95" s="71">
        <v>0</v>
      </c>
      <c r="J95" s="71">
        <v>0</v>
      </c>
      <c r="K95" s="71">
        <v>0</v>
      </c>
      <c r="L95" s="71">
        <v>0</v>
      </c>
      <c r="M95" s="71">
        <v>0</v>
      </c>
      <c r="N95" s="71">
        <v>0</v>
      </c>
      <c r="O95" s="86">
        <v>0</v>
      </c>
      <c r="P95" s="84">
        <v>7.6923076923076927E-2</v>
      </c>
      <c r="Q95" s="80"/>
      <c r="R95" s="86"/>
      <c r="S95" s="104"/>
      <c r="T95" s="86"/>
      <c r="U95" s="86"/>
    </row>
    <row r="96" spans="1:21" hidden="1" x14ac:dyDescent="0.2">
      <c r="A96" s="80" t="s">
        <v>2382</v>
      </c>
      <c r="B96" s="70" t="s">
        <v>2936</v>
      </c>
      <c r="C96" s="71">
        <v>0</v>
      </c>
      <c r="D96" s="71">
        <v>0</v>
      </c>
      <c r="E96" s="71">
        <v>0</v>
      </c>
      <c r="F96" s="71">
        <v>0</v>
      </c>
      <c r="G96" s="71">
        <v>0</v>
      </c>
      <c r="H96" s="71">
        <v>0</v>
      </c>
      <c r="I96" s="71">
        <v>0</v>
      </c>
      <c r="J96" s="71">
        <v>0</v>
      </c>
      <c r="K96" s="71">
        <v>0</v>
      </c>
      <c r="L96" s="71">
        <v>0</v>
      </c>
      <c r="M96" s="71">
        <v>0</v>
      </c>
      <c r="N96" s="71">
        <v>0</v>
      </c>
      <c r="O96" s="71">
        <v>0</v>
      </c>
      <c r="P96" s="84">
        <v>0</v>
      </c>
      <c r="Q96" s="77"/>
      <c r="R96" s="71"/>
      <c r="S96" s="104"/>
      <c r="T96" s="71"/>
      <c r="U96" s="71"/>
    </row>
    <row r="97" spans="1:35" hidden="1" x14ac:dyDescent="0.2">
      <c r="A97" s="77" t="s">
        <v>2389</v>
      </c>
      <c r="B97" s="70" t="s">
        <v>2937</v>
      </c>
      <c r="C97" s="71">
        <v>34439</v>
      </c>
      <c r="D97" s="71">
        <v>31461</v>
      </c>
      <c r="E97" s="71">
        <v>28680</v>
      </c>
      <c r="F97" s="71">
        <v>29427</v>
      </c>
      <c r="G97" s="71">
        <v>29807</v>
      </c>
      <c r="H97" s="71">
        <v>36772</v>
      </c>
      <c r="I97" s="71">
        <v>37668</v>
      </c>
      <c r="J97" s="71">
        <v>39687</v>
      </c>
      <c r="K97" s="71">
        <v>44180</v>
      </c>
      <c r="L97" s="71">
        <v>40050</v>
      </c>
      <c r="M97" s="71">
        <v>38924</v>
      </c>
      <c r="N97" s="71">
        <v>34531</v>
      </c>
      <c r="O97" s="71">
        <v>33300</v>
      </c>
      <c r="P97" s="84">
        <v>35302</v>
      </c>
      <c r="Q97" s="78"/>
      <c r="R97" s="71"/>
      <c r="S97" s="104"/>
      <c r="T97" s="71"/>
      <c r="U97" s="71"/>
    </row>
    <row r="98" spans="1:35" hidden="1" x14ac:dyDescent="0.2">
      <c r="A98" s="78" t="s">
        <v>2385</v>
      </c>
      <c r="B98" s="70" t="s">
        <v>2938</v>
      </c>
      <c r="C98" s="71">
        <v>34058</v>
      </c>
      <c r="D98" s="71">
        <v>31080</v>
      </c>
      <c r="E98" s="71">
        <v>28299</v>
      </c>
      <c r="F98" s="71">
        <v>29046</v>
      </c>
      <c r="G98" s="71">
        <v>29426</v>
      </c>
      <c r="H98" s="71">
        <v>36391</v>
      </c>
      <c r="I98" s="71">
        <v>37287</v>
      </c>
      <c r="J98" s="71">
        <v>39306</v>
      </c>
      <c r="K98" s="71">
        <v>43799</v>
      </c>
      <c r="L98" s="71">
        <v>39669</v>
      </c>
      <c r="M98" s="71">
        <v>38543</v>
      </c>
      <c r="N98" s="71">
        <v>34150</v>
      </c>
      <c r="O98" s="71">
        <v>32919</v>
      </c>
      <c r="P98" s="84">
        <v>34921</v>
      </c>
      <c r="Q98" s="78"/>
      <c r="R98" s="71"/>
      <c r="S98" s="104"/>
      <c r="T98" s="71"/>
      <c r="U98" s="71"/>
    </row>
    <row r="99" spans="1:35" hidden="1" x14ac:dyDescent="0.2">
      <c r="A99" s="78" t="s">
        <v>2387</v>
      </c>
      <c r="B99" s="70" t="s">
        <v>2939</v>
      </c>
      <c r="C99" s="71">
        <v>381</v>
      </c>
      <c r="D99" s="71">
        <v>381</v>
      </c>
      <c r="E99" s="71">
        <v>381</v>
      </c>
      <c r="F99" s="71">
        <v>381</v>
      </c>
      <c r="G99" s="71">
        <v>381</v>
      </c>
      <c r="H99" s="71">
        <v>381</v>
      </c>
      <c r="I99" s="71">
        <v>381</v>
      </c>
      <c r="J99" s="71">
        <v>381</v>
      </c>
      <c r="K99" s="71">
        <v>381</v>
      </c>
      <c r="L99" s="71">
        <v>381</v>
      </c>
      <c r="M99" s="71">
        <v>381</v>
      </c>
      <c r="N99" s="71">
        <v>381</v>
      </c>
      <c r="O99" s="71">
        <v>381</v>
      </c>
      <c r="P99" s="84">
        <v>381</v>
      </c>
      <c r="Q99" s="78"/>
      <c r="R99" s="71"/>
      <c r="S99" s="104"/>
      <c r="T99" s="71"/>
      <c r="U99" s="71"/>
    </row>
    <row r="100" spans="1:35" hidden="1" x14ac:dyDescent="0.2">
      <c r="A100" s="78" t="s">
        <v>2406</v>
      </c>
      <c r="B100" s="70" t="s">
        <v>2940</v>
      </c>
      <c r="C100" s="83">
        <v>3689</v>
      </c>
      <c r="D100" s="83">
        <v>12929</v>
      </c>
      <c r="E100" s="83">
        <v>11003</v>
      </c>
      <c r="F100" s="83">
        <v>8672</v>
      </c>
      <c r="G100" s="83">
        <v>7034</v>
      </c>
      <c r="H100" s="83">
        <v>6257</v>
      </c>
      <c r="I100" s="83">
        <v>5481</v>
      </c>
      <c r="J100" s="83">
        <v>4781</v>
      </c>
      <c r="K100" s="83">
        <v>3931</v>
      </c>
      <c r="L100" s="83">
        <v>2781</v>
      </c>
      <c r="M100" s="83">
        <v>1816</v>
      </c>
      <c r="N100" s="83">
        <v>1295</v>
      </c>
      <c r="O100" s="83">
        <v>1041</v>
      </c>
      <c r="P100" s="84">
        <v>5439.2307692307695</v>
      </c>
      <c r="Q100" s="78"/>
      <c r="R100" s="83"/>
      <c r="S100" s="104"/>
      <c r="T100" s="83"/>
      <c r="U100" s="83"/>
    </row>
    <row r="101" spans="1:35" hidden="1" x14ac:dyDescent="0.2">
      <c r="A101" s="78" t="s">
        <v>2390</v>
      </c>
      <c r="B101" s="70" t="s">
        <v>2941</v>
      </c>
      <c r="C101" s="83">
        <v>0</v>
      </c>
      <c r="D101" s="83">
        <v>12179</v>
      </c>
      <c r="E101" s="83">
        <v>10651</v>
      </c>
      <c r="F101" s="83">
        <v>8532</v>
      </c>
      <c r="G101" s="83">
        <v>6979</v>
      </c>
      <c r="H101" s="83">
        <v>6202</v>
      </c>
      <c r="I101" s="83">
        <v>5426</v>
      </c>
      <c r="J101" s="83">
        <v>4726</v>
      </c>
      <c r="K101" s="83">
        <v>3876</v>
      </c>
      <c r="L101" s="83">
        <v>2726</v>
      </c>
      <c r="M101" s="83">
        <v>1761</v>
      </c>
      <c r="N101" s="83">
        <v>1240</v>
      </c>
      <c r="O101" s="83">
        <v>986</v>
      </c>
      <c r="P101" s="84">
        <v>5021.8461538461543</v>
      </c>
      <c r="Q101" s="78"/>
      <c r="R101" s="83"/>
      <c r="S101" s="104"/>
      <c r="T101" s="83"/>
      <c r="U101" s="83"/>
      <c r="AI101" s="70">
        <v>12179</v>
      </c>
    </row>
    <row r="102" spans="1:35" hidden="1" x14ac:dyDescent="0.2">
      <c r="A102" s="78" t="s">
        <v>2392</v>
      </c>
      <c r="B102" s="70" t="s">
        <v>5039</v>
      </c>
      <c r="C102" s="83">
        <v>2357</v>
      </c>
      <c r="D102" s="83">
        <v>0</v>
      </c>
      <c r="E102" s="83">
        <v>0</v>
      </c>
      <c r="F102" s="83">
        <v>0</v>
      </c>
      <c r="G102" s="83">
        <v>0</v>
      </c>
      <c r="H102" s="83">
        <v>0</v>
      </c>
      <c r="I102" s="83">
        <v>0</v>
      </c>
      <c r="J102" s="83">
        <v>0</v>
      </c>
      <c r="K102" s="83">
        <v>0</v>
      </c>
      <c r="L102" s="83">
        <v>0</v>
      </c>
      <c r="M102" s="83">
        <v>0</v>
      </c>
      <c r="N102" s="83">
        <v>0</v>
      </c>
      <c r="O102" s="83">
        <v>0</v>
      </c>
      <c r="P102" s="84">
        <v>181.30769230769232</v>
      </c>
      <c r="Q102" s="78"/>
      <c r="R102" s="83"/>
      <c r="S102" s="104"/>
      <c r="T102" s="83"/>
      <c r="U102" s="83"/>
      <c r="AI102" s="70">
        <v>-2357</v>
      </c>
    </row>
    <row r="103" spans="1:35" hidden="1" x14ac:dyDescent="0.2">
      <c r="A103" s="78" t="s">
        <v>2394</v>
      </c>
      <c r="B103" s="70" t="s">
        <v>5040</v>
      </c>
      <c r="C103" s="83">
        <v>0</v>
      </c>
      <c r="D103" s="83">
        <v>0</v>
      </c>
      <c r="E103" s="83">
        <v>0</v>
      </c>
      <c r="F103" s="83">
        <v>0</v>
      </c>
      <c r="G103" s="83">
        <v>0</v>
      </c>
      <c r="H103" s="83">
        <v>0</v>
      </c>
      <c r="I103" s="83">
        <v>0</v>
      </c>
      <c r="J103" s="83">
        <v>0</v>
      </c>
      <c r="K103" s="83">
        <v>0</v>
      </c>
      <c r="L103" s="83">
        <v>0</v>
      </c>
      <c r="M103" s="83">
        <v>0</v>
      </c>
      <c r="N103" s="83">
        <v>0</v>
      </c>
      <c r="O103" s="83">
        <v>0</v>
      </c>
      <c r="P103" s="84">
        <v>0</v>
      </c>
      <c r="Q103" s="78"/>
      <c r="R103" s="83"/>
      <c r="S103" s="104"/>
      <c r="T103" s="83"/>
      <c r="U103" s="83"/>
      <c r="AI103" s="70">
        <v>0</v>
      </c>
    </row>
    <row r="104" spans="1:35" hidden="1" x14ac:dyDescent="0.2">
      <c r="A104" s="78" t="s">
        <v>2396</v>
      </c>
      <c r="B104" s="70" t="s">
        <v>5041</v>
      </c>
      <c r="C104" s="83">
        <v>1277</v>
      </c>
      <c r="D104" s="83">
        <v>695</v>
      </c>
      <c r="E104" s="83">
        <v>297</v>
      </c>
      <c r="F104" s="83">
        <v>85</v>
      </c>
      <c r="G104" s="83">
        <v>0</v>
      </c>
      <c r="H104" s="83">
        <v>0</v>
      </c>
      <c r="I104" s="83">
        <v>0</v>
      </c>
      <c r="J104" s="83">
        <v>0</v>
      </c>
      <c r="K104" s="83">
        <v>0</v>
      </c>
      <c r="L104" s="83">
        <v>0</v>
      </c>
      <c r="M104" s="83">
        <v>0</v>
      </c>
      <c r="N104" s="83">
        <v>0</v>
      </c>
      <c r="O104" s="83">
        <v>0</v>
      </c>
      <c r="P104" s="84">
        <v>181.07692307692307</v>
      </c>
      <c r="Q104" s="78"/>
      <c r="R104" s="83"/>
      <c r="S104" s="104"/>
      <c r="T104" s="83"/>
      <c r="U104" s="83"/>
      <c r="AI104" s="70">
        <v>-582</v>
      </c>
    </row>
    <row r="105" spans="1:35" hidden="1" x14ac:dyDescent="0.2">
      <c r="A105" s="78" t="s">
        <v>2398</v>
      </c>
      <c r="B105" s="70" t="s">
        <v>5042</v>
      </c>
      <c r="C105" s="83">
        <v>0</v>
      </c>
      <c r="D105" s="83">
        <v>0</v>
      </c>
      <c r="E105" s="83">
        <v>0</v>
      </c>
      <c r="F105" s="83">
        <v>0</v>
      </c>
      <c r="G105" s="83">
        <v>0</v>
      </c>
      <c r="H105" s="83">
        <v>0</v>
      </c>
      <c r="I105" s="83">
        <v>0</v>
      </c>
      <c r="J105" s="83">
        <v>0</v>
      </c>
      <c r="K105" s="83">
        <v>0</v>
      </c>
      <c r="L105" s="83">
        <v>0</v>
      </c>
      <c r="M105" s="83">
        <v>0</v>
      </c>
      <c r="N105" s="83">
        <v>0</v>
      </c>
      <c r="O105" s="83">
        <v>0</v>
      </c>
      <c r="P105" s="84">
        <v>0</v>
      </c>
      <c r="Q105" s="77"/>
      <c r="R105" s="83"/>
      <c r="S105" s="104"/>
      <c r="T105" s="83"/>
      <c r="U105" s="83"/>
      <c r="AI105" s="70">
        <v>0</v>
      </c>
    </row>
    <row r="106" spans="1:35" hidden="1" x14ac:dyDescent="0.2">
      <c r="A106" s="78" t="s">
        <v>2400</v>
      </c>
      <c r="B106" s="70" t="s">
        <v>5043</v>
      </c>
      <c r="C106" s="83">
        <v>0</v>
      </c>
      <c r="D106" s="83">
        <v>0</v>
      </c>
      <c r="E106" s="83">
        <v>0</v>
      </c>
      <c r="F106" s="83">
        <v>0</v>
      </c>
      <c r="G106" s="83">
        <v>0</v>
      </c>
      <c r="H106" s="83">
        <v>0</v>
      </c>
      <c r="I106" s="83">
        <v>0</v>
      </c>
      <c r="J106" s="83">
        <v>0</v>
      </c>
      <c r="K106" s="83">
        <v>0</v>
      </c>
      <c r="L106" s="83">
        <v>0</v>
      </c>
      <c r="M106" s="83">
        <v>0</v>
      </c>
      <c r="N106" s="83">
        <v>0</v>
      </c>
      <c r="O106" s="83">
        <v>0</v>
      </c>
      <c r="P106" s="84">
        <v>0</v>
      </c>
      <c r="Q106" s="77"/>
      <c r="R106" s="83"/>
      <c r="S106" s="104"/>
      <c r="T106" s="83"/>
      <c r="U106" s="83"/>
    </row>
    <row r="107" spans="1:35" hidden="1" x14ac:dyDescent="0.2">
      <c r="A107" s="78" t="s">
        <v>2404</v>
      </c>
      <c r="B107" s="70" t="s">
        <v>5041</v>
      </c>
      <c r="C107" s="83">
        <v>55</v>
      </c>
      <c r="D107" s="83">
        <v>55</v>
      </c>
      <c r="E107" s="83">
        <v>55</v>
      </c>
      <c r="F107" s="83">
        <v>55</v>
      </c>
      <c r="G107" s="83">
        <v>55</v>
      </c>
      <c r="H107" s="83">
        <v>55</v>
      </c>
      <c r="I107" s="83">
        <v>55</v>
      </c>
      <c r="J107" s="83">
        <v>55</v>
      </c>
      <c r="K107" s="83">
        <v>55</v>
      </c>
      <c r="L107" s="83">
        <v>55</v>
      </c>
      <c r="M107" s="83">
        <v>55</v>
      </c>
      <c r="N107" s="83">
        <v>55</v>
      </c>
      <c r="O107" s="83">
        <v>55</v>
      </c>
      <c r="P107" s="84">
        <v>55</v>
      </c>
      <c r="Q107" s="77"/>
      <c r="R107" s="83"/>
      <c r="S107" s="104"/>
      <c r="T107" s="83"/>
      <c r="U107" s="83"/>
    </row>
    <row r="108" spans="1:35" x14ac:dyDescent="0.2">
      <c r="A108" s="77" t="s">
        <v>3142</v>
      </c>
      <c r="B108" s="70" t="s">
        <v>5044</v>
      </c>
      <c r="C108" s="71">
        <v>20103</v>
      </c>
      <c r="D108" s="71">
        <v>19891</v>
      </c>
      <c r="E108" s="71">
        <v>19679</v>
      </c>
      <c r="F108" s="71">
        <v>19467</v>
      </c>
      <c r="G108" s="71">
        <v>19255</v>
      </c>
      <c r="H108" s="71">
        <v>19043</v>
      </c>
      <c r="I108" s="71">
        <v>18831</v>
      </c>
      <c r="J108" s="71">
        <v>18619</v>
      </c>
      <c r="K108" s="71">
        <v>18407</v>
      </c>
      <c r="L108" s="71">
        <v>18195</v>
      </c>
      <c r="M108" s="71">
        <v>17983</v>
      </c>
      <c r="N108" s="71">
        <v>19011</v>
      </c>
      <c r="O108" s="71">
        <v>18788</v>
      </c>
      <c r="P108" s="84">
        <v>19020.923076923078</v>
      </c>
      <c r="Q108" s="77"/>
      <c r="R108" s="71"/>
      <c r="S108" s="104"/>
      <c r="T108" s="71"/>
      <c r="U108" s="71"/>
    </row>
    <row r="109" spans="1:35" x14ac:dyDescent="0.2">
      <c r="A109" s="77" t="s">
        <v>746</v>
      </c>
      <c r="B109" s="70" t="s">
        <v>5045</v>
      </c>
      <c r="C109" s="71">
        <v>270639</v>
      </c>
      <c r="D109" s="71">
        <v>269528</v>
      </c>
      <c r="E109" s="71">
        <v>264283</v>
      </c>
      <c r="F109" s="71">
        <v>259462</v>
      </c>
      <c r="G109" s="71">
        <v>252286</v>
      </c>
      <c r="H109" s="71">
        <v>258555</v>
      </c>
      <c r="I109" s="71">
        <v>249046</v>
      </c>
      <c r="J109" s="71">
        <v>245325</v>
      </c>
      <c r="K109" s="71">
        <v>243206</v>
      </c>
      <c r="L109" s="71">
        <v>223111</v>
      </c>
      <c r="M109" s="71">
        <v>205457</v>
      </c>
      <c r="N109" s="71">
        <v>184229</v>
      </c>
      <c r="O109" s="71">
        <v>174709</v>
      </c>
      <c r="P109" s="84">
        <v>238448.92307692306</v>
      </c>
      <c r="Q109" s="77"/>
      <c r="R109" s="71"/>
      <c r="S109" s="104"/>
      <c r="T109" s="71"/>
      <c r="U109" s="71"/>
    </row>
    <row r="110" spans="1:35" x14ac:dyDescent="0.2">
      <c r="A110" s="78" t="s">
        <v>5046</v>
      </c>
      <c r="B110" s="70" t="s">
        <v>1984</v>
      </c>
      <c r="C110" s="71">
        <v>1</v>
      </c>
      <c r="D110" s="71">
        <v>1</v>
      </c>
      <c r="E110" s="71">
        <v>1</v>
      </c>
      <c r="F110" s="71">
        <v>1</v>
      </c>
      <c r="G110" s="71">
        <v>1</v>
      </c>
      <c r="H110" s="71">
        <v>1</v>
      </c>
      <c r="I110" s="71">
        <v>1</v>
      </c>
      <c r="J110" s="71">
        <v>1</v>
      </c>
      <c r="K110" s="71">
        <v>1</v>
      </c>
      <c r="L110" s="71">
        <v>1</v>
      </c>
      <c r="M110" s="71">
        <v>1</v>
      </c>
      <c r="N110" s="71">
        <v>1</v>
      </c>
      <c r="O110" s="71">
        <v>1</v>
      </c>
      <c r="P110" s="84">
        <v>1</v>
      </c>
      <c r="Q110" s="77"/>
      <c r="R110" s="71"/>
      <c r="S110" s="104"/>
      <c r="T110" s="71"/>
      <c r="U110" s="71"/>
    </row>
    <row r="111" spans="1:35" hidden="1" x14ac:dyDescent="0.2">
      <c r="A111" s="78" t="s">
        <v>3143</v>
      </c>
      <c r="B111" s="70" t="s">
        <v>5047</v>
      </c>
      <c r="C111" s="71">
        <v>185</v>
      </c>
      <c r="D111" s="71">
        <v>185</v>
      </c>
      <c r="E111" s="71">
        <v>185</v>
      </c>
      <c r="F111" s="71">
        <v>185</v>
      </c>
      <c r="G111" s="71">
        <v>185</v>
      </c>
      <c r="H111" s="71">
        <v>185</v>
      </c>
      <c r="I111" s="71">
        <v>185</v>
      </c>
      <c r="J111" s="71">
        <v>185</v>
      </c>
      <c r="K111" s="71">
        <v>185</v>
      </c>
      <c r="L111" s="71">
        <v>185</v>
      </c>
      <c r="M111" s="71">
        <v>185</v>
      </c>
      <c r="N111" s="71">
        <v>185</v>
      </c>
      <c r="O111" s="71">
        <v>185</v>
      </c>
      <c r="P111" s="84">
        <v>185</v>
      </c>
      <c r="Q111" s="77"/>
      <c r="R111" s="71"/>
      <c r="S111" s="104"/>
      <c r="T111" s="71"/>
      <c r="U111" s="71"/>
    </row>
    <row r="112" spans="1:35" ht="15.75" hidden="1" x14ac:dyDescent="0.25">
      <c r="A112" s="77" t="s">
        <v>3145</v>
      </c>
      <c r="B112" s="70" t="s">
        <v>5048</v>
      </c>
      <c r="C112" s="71">
        <v>4243</v>
      </c>
      <c r="D112" s="71">
        <v>4272</v>
      </c>
      <c r="E112" s="71">
        <v>4301</v>
      </c>
      <c r="F112" s="71">
        <v>4330</v>
      </c>
      <c r="G112" s="71">
        <v>4359</v>
      </c>
      <c r="H112" s="71">
        <v>4388</v>
      </c>
      <c r="I112" s="71">
        <v>4417</v>
      </c>
      <c r="J112" s="71">
        <v>4446</v>
      </c>
      <c r="K112" s="71">
        <v>4475</v>
      </c>
      <c r="L112" s="71">
        <v>4504</v>
      </c>
      <c r="M112" s="71">
        <v>4533</v>
      </c>
      <c r="N112" s="71">
        <v>4562</v>
      </c>
      <c r="O112" s="71">
        <v>4591</v>
      </c>
      <c r="P112" s="84">
        <v>4417</v>
      </c>
      <c r="Q112" s="82"/>
      <c r="R112" s="71"/>
      <c r="S112" s="104"/>
      <c r="T112" s="71"/>
      <c r="U112" s="71"/>
    </row>
    <row r="113" spans="1:21" hidden="1" x14ac:dyDescent="0.2">
      <c r="A113" s="77" t="s">
        <v>3147</v>
      </c>
      <c r="B113" s="70" t="s">
        <v>5049</v>
      </c>
      <c r="C113" s="70">
        <v>63396</v>
      </c>
      <c r="D113" s="71">
        <v>63564</v>
      </c>
      <c r="E113" s="71">
        <v>63732</v>
      </c>
      <c r="F113" s="71">
        <v>63899</v>
      </c>
      <c r="G113" s="71">
        <v>64067</v>
      </c>
      <c r="H113" s="71">
        <v>64235</v>
      </c>
      <c r="I113" s="71">
        <v>64403</v>
      </c>
      <c r="J113" s="71">
        <v>64571</v>
      </c>
      <c r="K113" s="71">
        <v>64739</v>
      </c>
      <c r="L113" s="71">
        <v>64907</v>
      </c>
      <c r="M113" s="71">
        <v>65075</v>
      </c>
      <c r="N113" s="71">
        <v>65243</v>
      </c>
      <c r="O113" s="71">
        <v>65411</v>
      </c>
      <c r="P113" s="84">
        <v>64403.230769230766</v>
      </c>
      <c r="Q113" s="77"/>
      <c r="R113" s="71"/>
      <c r="S113" s="104"/>
      <c r="T113" s="71"/>
      <c r="U113" s="71"/>
    </row>
    <row r="114" spans="1:21" hidden="1" x14ac:dyDescent="0.2">
      <c r="A114" s="77" t="s">
        <v>3149</v>
      </c>
      <c r="B114" s="70" t="s">
        <v>5050</v>
      </c>
      <c r="C114" s="70">
        <v>0</v>
      </c>
      <c r="D114" s="71">
        <v>0</v>
      </c>
      <c r="E114" s="71">
        <v>0</v>
      </c>
      <c r="F114" s="71">
        <v>0</v>
      </c>
      <c r="G114" s="71">
        <v>0</v>
      </c>
      <c r="H114" s="71">
        <v>0</v>
      </c>
      <c r="I114" s="71">
        <v>0</v>
      </c>
      <c r="J114" s="71">
        <v>0</v>
      </c>
      <c r="K114" s="71">
        <v>0</v>
      </c>
      <c r="L114" s="71">
        <v>0</v>
      </c>
      <c r="M114" s="71">
        <v>0</v>
      </c>
      <c r="N114" s="71">
        <v>0</v>
      </c>
      <c r="O114" s="71">
        <v>0</v>
      </c>
      <c r="P114" s="84">
        <v>0</v>
      </c>
      <c r="Q114" s="77"/>
      <c r="R114" s="71"/>
      <c r="S114" s="104"/>
      <c r="T114" s="71"/>
      <c r="U114" s="71"/>
    </row>
    <row r="115" spans="1:21" hidden="1" x14ac:dyDescent="0.2">
      <c r="A115" s="77" t="s">
        <v>3150</v>
      </c>
      <c r="B115" s="70" t="s">
        <v>5051</v>
      </c>
      <c r="C115" s="91">
        <v>0</v>
      </c>
      <c r="D115" s="71">
        <v>0</v>
      </c>
      <c r="E115" s="71">
        <v>0</v>
      </c>
      <c r="F115" s="71">
        <v>0</v>
      </c>
      <c r="G115" s="71">
        <v>0</v>
      </c>
      <c r="H115" s="71">
        <v>0</v>
      </c>
      <c r="I115" s="71">
        <v>0</v>
      </c>
      <c r="J115" s="71">
        <v>0</v>
      </c>
      <c r="K115" s="71">
        <v>0</v>
      </c>
      <c r="L115" s="71">
        <v>0</v>
      </c>
      <c r="M115" s="71">
        <v>0</v>
      </c>
      <c r="N115" s="71">
        <v>0</v>
      </c>
      <c r="O115" s="71">
        <v>0</v>
      </c>
      <c r="P115" s="84">
        <v>0</v>
      </c>
      <c r="Q115" s="77"/>
      <c r="R115" s="71"/>
      <c r="S115" s="104"/>
      <c r="T115" s="71"/>
      <c r="U115" s="71"/>
    </row>
    <row r="116" spans="1:21" hidden="1" x14ac:dyDescent="0.2">
      <c r="A116" s="77" t="s">
        <v>3152</v>
      </c>
      <c r="B116" s="70" t="s">
        <v>5052</v>
      </c>
      <c r="C116" s="71">
        <v>73857</v>
      </c>
      <c r="D116" s="71">
        <v>73902</v>
      </c>
      <c r="E116" s="71">
        <v>69696</v>
      </c>
      <c r="F116" s="71">
        <v>66280</v>
      </c>
      <c r="G116" s="71">
        <v>60018</v>
      </c>
      <c r="H116" s="71">
        <v>67259</v>
      </c>
      <c r="I116" s="71">
        <v>61665</v>
      </c>
      <c r="J116" s="71">
        <v>60928</v>
      </c>
      <c r="K116" s="71">
        <v>61682</v>
      </c>
      <c r="L116" s="71">
        <v>46436</v>
      </c>
      <c r="M116" s="71">
        <v>31382</v>
      </c>
      <c r="N116" s="71">
        <v>11071</v>
      </c>
      <c r="O116" s="71">
        <v>3210</v>
      </c>
      <c r="P116" s="84">
        <v>52875.846153846156</v>
      </c>
      <c r="Q116" s="77"/>
      <c r="R116" s="71"/>
      <c r="S116" s="104"/>
      <c r="T116" s="71"/>
      <c r="U116" s="71"/>
    </row>
    <row r="117" spans="1:21" hidden="1" x14ac:dyDescent="0.2">
      <c r="A117" s="77" t="s">
        <v>3154</v>
      </c>
      <c r="B117" s="70" t="s">
        <v>5053</v>
      </c>
      <c r="C117" s="71">
        <v>19891</v>
      </c>
      <c r="D117" s="71">
        <v>18771</v>
      </c>
      <c r="E117" s="71">
        <v>17945</v>
      </c>
      <c r="F117" s="71">
        <v>17817</v>
      </c>
      <c r="G117" s="71">
        <v>17205</v>
      </c>
      <c r="H117" s="71">
        <v>15980</v>
      </c>
      <c r="I117" s="71">
        <v>13372</v>
      </c>
      <c r="J117" s="71">
        <v>10429</v>
      </c>
      <c r="K117" s="71">
        <v>7525</v>
      </c>
      <c r="L117" s="71">
        <v>4303</v>
      </c>
      <c r="M117" s="71">
        <v>2279</v>
      </c>
      <c r="N117" s="71">
        <v>1358</v>
      </c>
      <c r="O117" s="71">
        <v>510</v>
      </c>
      <c r="P117" s="84">
        <v>11337.307692307691</v>
      </c>
      <c r="Q117" s="77"/>
      <c r="R117" s="71"/>
      <c r="S117" s="104"/>
      <c r="T117" s="71"/>
      <c r="U117" s="71"/>
    </row>
    <row r="118" spans="1:21" hidden="1" x14ac:dyDescent="0.2">
      <c r="A118" s="77" t="s">
        <v>3156</v>
      </c>
      <c r="B118" s="70" t="s">
        <v>5054</v>
      </c>
      <c r="C118" s="90">
        <v>1893</v>
      </c>
      <c r="D118" s="71">
        <v>1849</v>
      </c>
      <c r="E118" s="71">
        <v>1629</v>
      </c>
      <c r="F118" s="71">
        <v>1434</v>
      </c>
      <c r="G118" s="71">
        <v>1125</v>
      </c>
      <c r="H118" s="71">
        <v>1369</v>
      </c>
      <c r="I118" s="71">
        <v>1146</v>
      </c>
      <c r="J118" s="71">
        <v>1098</v>
      </c>
      <c r="K118" s="71">
        <v>1122</v>
      </c>
      <c r="L118" s="71">
        <v>580</v>
      </c>
      <c r="M118" s="71">
        <v>0</v>
      </c>
      <c r="N118" s="71">
        <v>0</v>
      </c>
      <c r="O118" s="71">
        <v>0</v>
      </c>
      <c r="P118" s="84">
        <v>1018.8461538461538</v>
      </c>
      <c r="Q118" s="77"/>
      <c r="R118" s="71"/>
      <c r="S118" s="104"/>
      <c r="T118" s="71"/>
      <c r="U118" s="71"/>
    </row>
    <row r="119" spans="1:21" hidden="1" x14ac:dyDescent="0.2">
      <c r="A119" s="77" t="s">
        <v>674</v>
      </c>
      <c r="B119" s="131" t="s">
        <v>5055</v>
      </c>
      <c r="C119" s="71">
        <v>-55</v>
      </c>
      <c r="D119" s="71">
        <v>-50</v>
      </c>
      <c r="E119" s="71">
        <v>-46</v>
      </c>
      <c r="F119" s="71">
        <v>-41</v>
      </c>
      <c r="G119" s="71">
        <v>-37</v>
      </c>
      <c r="H119" s="71">
        <v>-32</v>
      </c>
      <c r="I119" s="71">
        <v>-28</v>
      </c>
      <c r="J119" s="71">
        <v>-23</v>
      </c>
      <c r="K119" s="71">
        <v>-19</v>
      </c>
      <c r="L119" s="71">
        <v>-14</v>
      </c>
      <c r="M119" s="71">
        <v>-10</v>
      </c>
      <c r="N119" s="71">
        <v>-5</v>
      </c>
      <c r="O119" s="71">
        <v>0</v>
      </c>
      <c r="P119" s="84">
        <v>-27.692307692307693</v>
      </c>
      <c r="Q119" s="77"/>
      <c r="R119" s="71"/>
      <c r="S119" s="104"/>
      <c r="T119" s="71"/>
      <c r="U119" s="71"/>
    </row>
    <row r="120" spans="1:21" hidden="1" x14ac:dyDescent="0.2">
      <c r="A120" s="77" t="s">
        <v>678</v>
      </c>
      <c r="B120" s="70" t="s">
        <v>5056</v>
      </c>
      <c r="C120" s="90">
        <v>0</v>
      </c>
      <c r="D120" s="71">
        <v>0</v>
      </c>
      <c r="E120" s="71">
        <v>0</v>
      </c>
      <c r="F120" s="71">
        <v>0</v>
      </c>
      <c r="G120" s="71">
        <v>0</v>
      </c>
      <c r="H120" s="71">
        <v>0</v>
      </c>
      <c r="I120" s="71">
        <v>0</v>
      </c>
      <c r="J120" s="71">
        <v>0</v>
      </c>
      <c r="K120" s="71">
        <v>0</v>
      </c>
      <c r="L120" s="71">
        <v>0</v>
      </c>
      <c r="M120" s="71">
        <v>0</v>
      </c>
      <c r="N120" s="71">
        <v>0</v>
      </c>
      <c r="O120" s="71">
        <v>276</v>
      </c>
      <c r="P120" s="84">
        <v>21.23076923076923</v>
      </c>
      <c r="Q120" s="77"/>
      <c r="R120" s="71"/>
      <c r="S120" s="104"/>
      <c r="T120" s="71"/>
      <c r="U120" s="71"/>
    </row>
    <row r="121" spans="1:21" hidden="1" x14ac:dyDescent="0.2">
      <c r="A121" s="78" t="s">
        <v>680</v>
      </c>
      <c r="B121" s="70" t="s">
        <v>5057</v>
      </c>
      <c r="C121" s="90">
        <v>75304</v>
      </c>
      <c r="D121" s="71">
        <v>75304</v>
      </c>
      <c r="E121" s="71">
        <v>75304</v>
      </c>
      <c r="F121" s="71">
        <v>74214</v>
      </c>
      <c r="G121" s="71">
        <v>74214</v>
      </c>
      <c r="H121" s="71">
        <v>74214</v>
      </c>
      <c r="I121" s="71">
        <v>73124</v>
      </c>
      <c r="J121" s="71">
        <v>73124</v>
      </c>
      <c r="K121" s="71">
        <v>73124</v>
      </c>
      <c r="L121" s="71">
        <v>72033</v>
      </c>
      <c r="M121" s="71">
        <v>72033</v>
      </c>
      <c r="N121" s="71">
        <v>72033</v>
      </c>
      <c r="O121" s="71">
        <v>70943</v>
      </c>
      <c r="P121" s="84">
        <v>73459.076923076922</v>
      </c>
      <c r="Q121" s="77"/>
      <c r="R121" s="71"/>
      <c r="S121" s="104"/>
      <c r="T121" s="71"/>
      <c r="U121" s="71"/>
    </row>
    <row r="122" spans="1:21" hidden="1" x14ac:dyDescent="0.2">
      <c r="A122" s="78" t="s">
        <v>682</v>
      </c>
      <c r="B122" s="70" t="s">
        <v>5058</v>
      </c>
      <c r="C122" s="90">
        <v>9878</v>
      </c>
      <c r="D122" s="71">
        <v>9878</v>
      </c>
      <c r="E122" s="71">
        <v>9878</v>
      </c>
      <c r="F122" s="71">
        <v>9878</v>
      </c>
      <c r="G122" s="71">
        <v>9878</v>
      </c>
      <c r="H122" s="71">
        <v>9878</v>
      </c>
      <c r="I122" s="71">
        <v>9878</v>
      </c>
      <c r="J122" s="71">
        <v>9878</v>
      </c>
      <c r="K122" s="71">
        <v>9878</v>
      </c>
      <c r="L122" s="71">
        <v>9878</v>
      </c>
      <c r="M122" s="71">
        <v>9878</v>
      </c>
      <c r="N122" s="71">
        <v>9878</v>
      </c>
      <c r="O122" s="71">
        <v>9878</v>
      </c>
      <c r="P122" s="84">
        <v>9878</v>
      </c>
      <c r="Q122" s="77"/>
      <c r="R122" s="71"/>
      <c r="S122" s="104"/>
      <c r="T122" s="71"/>
      <c r="U122" s="71"/>
    </row>
    <row r="123" spans="1:21" hidden="1" x14ac:dyDescent="0.2">
      <c r="A123" s="78" t="s">
        <v>683</v>
      </c>
      <c r="B123" s="70" t="s">
        <v>5059</v>
      </c>
      <c r="C123" s="71">
        <v>2480</v>
      </c>
      <c r="D123" s="71">
        <v>2423</v>
      </c>
      <c r="E123" s="71">
        <v>2366</v>
      </c>
      <c r="F123" s="71">
        <v>2309</v>
      </c>
      <c r="G123" s="71">
        <v>2253</v>
      </c>
      <c r="H123" s="71">
        <v>2197</v>
      </c>
      <c r="I123" s="71">
        <v>2141</v>
      </c>
      <c r="J123" s="71">
        <v>2085</v>
      </c>
      <c r="K123" s="71">
        <v>2030</v>
      </c>
      <c r="L123" s="71">
        <v>1975</v>
      </c>
      <c r="M123" s="71">
        <v>1920</v>
      </c>
      <c r="N123" s="71">
        <v>1865</v>
      </c>
      <c r="O123" s="71">
        <v>1810</v>
      </c>
      <c r="P123" s="84">
        <v>2142.6153846153848</v>
      </c>
      <c r="Q123" s="77"/>
      <c r="R123" s="71"/>
      <c r="S123" s="104"/>
      <c r="T123" s="71"/>
      <c r="U123" s="71"/>
    </row>
    <row r="124" spans="1:21" hidden="1" x14ac:dyDescent="0.2">
      <c r="A124" s="77" t="s">
        <v>695</v>
      </c>
      <c r="B124" s="70" t="s">
        <v>5060</v>
      </c>
      <c r="C124" s="71">
        <v>135</v>
      </c>
      <c r="D124" s="71">
        <v>115</v>
      </c>
      <c r="E124" s="71">
        <v>98</v>
      </c>
      <c r="F124" s="71">
        <v>83</v>
      </c>
      <c r="G124" s="71">
        <v>69</v>
      </c>
      <c r="H124" s="71">
        <v>58</v>
      </c>
      <c r="I124" s="71">
        <v>48</v>
      </c>
      <c r="J124" s="71">
        <v>40</v>
      </c>
      <c r="K124" s="71">
        <v>33</v>
      </c>
      <c r="L124" s="71">
        <v>27</v>
      </c>
      <c r="M124" s="71">
        <v>22</v>
      </c>
      <c r="N124" s="71">
        <v>18</v>
      </c>
      <c r="O124" s="71">
        <v>16</v>
      </c>
      <c r="P124" s="84">
        <v>58.615384615384613</v>
      </c>
      <c r="Q124" s="77"/>
      <c r="R124" s="71"/>
      <c r="S124" s="104"/>
      <c r="T124" s="71"/>
      <c r="U124" s="71"/>
    </row>
    <row r="125" spans="1:21" hidden="1" x14ac:dyDescent="0.2">
      <c r="A125" s="77" t="s">
        <v>697</v>
      </c>
      <c r="B125" s="70" t="s">
        <v>5061</v>
      </c>
      <c r="C125" s="71">
        <v>1</v>
      </c>
      <c r="D125" s="71">
        <v>1</v>
      </c>
      <c r="E125" s="71">
        <v>1</v>
      </c>
      <c r="F125" s="71">
        <v>1</v>
      </c>
      <c r="G125" s="71">
        <v>1</v>
      </c>
      <c r="H125" s="71">
        <v>1</v>
      </c>
      <c r="I125" s="71">
        <v>0</v>
      </c>
      <c r="J125" s="71">
        <v>0</v>
      </c>
      <c r="K125" s="71">
        <v>0</v>
      </c>
      <c r="L125" s="71">
        <v>0</v>
      </c>
      <c r="M125" s="71">
        <v>0</v>
      </c>
      <c r="N125" s="71">
        <v>0</v>
      </c>
      <c r="O125" s="71">
        <v>0</v>
      </c>
      <c r="P125" s="84">
        <v>0.46153846153846156</v>
      </c>
      <c r="Q125" s="77"/>
      <c r="R125" s="71"/>
      <c r="S125" s="104"/>
      <c r="T125" s="71"/>
      <c r="U125" s="71"/>
    </row>
    <row r="126" spans="1:21" hidden="1" x14ac:dyDescent="0.2">
      <c r="A126" s="78" t="s">
        <v>699</v>
      </c>
      <c r="B126" s="70" t="s">
        <v>5062</v>
      </c>
      <c r="C126" s="71">
        <v>1446</v>
      </c>
      <c r="D126" s="71">
        <v>1556</v>
      </c>
      <c r="E126" s="71">
        <v>1664</v>
      </c>
      <c r="F126" s="71">
        <v>1770</v>
      </c>
      <c r="G126" s="71">
        <v>1873</v>
      </c>
      <c r="H126" s="71">
        <v>1974</v>
      </c>
      <c r="I126" s="71">
        <v>2073</v>
      </c>
      <c r="J126" s="71">
        <v>2169</v>
      </c>
      <c r="K126" s="71">
        <v>2263</v>
      </c>
      <c r="L126" s="71">
        <v>2355</v>
      </c>
      <c r="M126" s="71">
        <v>2445</v>
      </c>
      <c r="N126" s="71">
        <v>2532</v>
      </c>
      <c r="O126" s="71">
        <v>2617</v>
      </c>
      <c r="P126" s="84">
        <v>2056.6923076923076</v>
      </c>
      <c r="Q126" s="77"/>
      <c r="R126" s="71"/>
      <c r="S126" s="104"/>
      <c r="T126" s="71"/>
      <c r="U126" s="71"/>
    </row>
    <row r="127" spans="1:21" ht="15.75" hidden="1" x14ac:dyDescent="0.25">
      <c r="A127" s="78" t="s">
        <v>703</v>
      </c>
      <c r="B127" s="70" t="s">
        <v>5063</v>
      </c>
      <c r="C127" s="71">
        <v>0</v>
      </c>
      <c r="D127" s="86">
        <v>0</v>
      </c>
      <c r="E127" s="86">
        <v>0</v>
      </c>
      <c r="F127" s="86">
        <v>0</v>
      </c>
      <c r="G127" s="86">
        <v>0</v>
      </c>
      <c r="H127" s="86">
        <v>0</v>
      </c>
      <c r="I127" s="86">
        <v>0</v>
      </c>
      <c r="J127" s="86">
        <v>0</v>
      </c>
      <c r="K127" s="86">
        <v>0</v>
      </c>
      <c r="L127" s="86">
        <v>0</v>
      </c>
      <c r="M127" s="86">
        <v>0</v>
      </c>
      <c r="N127" s="86">
        <v>0</v>
      </c>
      <c r="O127" s="86">
        <v>0</v>
      </c>
      <c r="P127" s="84">
        <v>0</v>
      </c>
      <c r="Q127" s="77"/>
      <c r="R127" s="86"/>
      <c r="S127" s="104"/>
      <c r="T127" s="86"/>
      <c r="U127" s="86"/>
    </row>
    <row r="128" spans="1:21" x14ac:dyDescent="0.2">
      <c r="A128" s="77" t="s">
        <v>725</v>
      </c>
      <c r="B128" s="70" t="s">
        <v>5064</v>
      </c>
      <c r="C128" s="71">
        <v>17984</v>
      </c>
      <c r="D128" s="71">
        <v>17757</v>
      </c>
      <c r="E128" s="71">
        <v>17529</v>
      </c>
      <c r="F128" s="71">
        <v>17302</v>
      </c>
      <c r="G128" s="71">
        <v>17075</v>
      </c>
      <c r="H128" s="71">
        <v>16848</v>
      </c>
      <c r="I128" s="71">
        <v>16621</v>
      </c>
      <c r="J128" s="71">
        <v>16394</v>
      </c>
      <c r="K128" s="71">
        <v>16168</v>
      </c>
      <c r="L128" s="71">
        <v>15941</v>
      </c>
      <c r="M128" s="71">
        <v>15714</v>
      </c>
      <c r="N128" s="71">
        <v>15488</v>
      </c>
      <c r="O128" s="71">
        <v>15261</v>
      </c>
      <c r="P128" s="84">
        <v>16621.692307692309</v>
      </c>
      <c r="Q128" s="77"/>
      <c r="R128" s="71"/>
      <c r="S128" s="104"/>
      <c r="T128" s="71"/>
      <c r="U128" s="71"/>
    </row>
    <row r="129" spans="1:35" x14ac:dyDescent="0.2">
      <c r="A129" s="78" t="s">
        <v>705</v>
      </c>
      <c r="B129" s="70" t="s">
        <v>5065</v>
      </c>
      <c r="C129" s="71">
        <v>3392</v>
      </c>
      <c r="D129" s="71">
        <v>3390</v>
      </c>
      <c r="E129" s="71">
        <v>3387</v>
      </c>
      <c r="F129" s="71">
        <v>3385</v>
      </c>
      <c r="G129" s="71">
        <v>3382</v>
      </c>
      <c r="H129" s="71">
        <v>3380</v>
      </c>
      <c r="I129" s="71">
        <v>3377</v>
      </c>
      <c r="J129" s="71">
        <v>3374</v>
      </c>
      <c r="K129" s="71">
        <v>3372</v>
      </c>
      <c r="L129" s="71">
        <v>3370</v>
      </c>
      <c r="M129" s="71">
        <v>3367</v>
      </c>
      <c r="N129" s="71">
        <v>3365</v>
      </c>
      <c r="O129" s="71">
        <v>3362</v>
      </c>
      <c r="P129" s="84">
        <v>3377.1538461538462</v>
      </c>
      <c r="Q129" s="77"/>
      <c r="R129" s="71"/>
      <c r="S129" s="104"/>
      <c r="T129" s="71"/>
      <c r="U129" s="71"/>
    </row>
    <row r="130" spans="1:35" x14ac:dyDescent="0.2">
      <c r="A130" s="78" t="s">
        <v>708</v>
      </c>
      <c r="B130" s="70" t="s">
        <v>5066</v>
      </c>
      <c r="C130" s="71">
        <v>17072</v>
      </c>
      <c r="D130" s="71">
        <v>16788</v>
      </c>
      <c r="E130" s="71">
        <v>16504</v>
      </c>
      <c r="F130" s="71">
        <v>16219</v>
      </c>
      <c r="G130" s="71">
        <v>15935</v>
      </c>
      <c r="H130" s="71">
        <v>15653</v>
      </c>
      <c r="I130" s="71">
        <v>15371</v>
      </c>
      <c r="J130" s="71">
        <v>15089</v>
      </c>
      <c r="K130" s="71">
        <v>14807</v>
      </c>
      <c r="L130" s="71">
        <v>14525</v>
      </c>
      <c r="M130" s="71">
        <v>14243</v>
      </c>
      <c r="N130" s="71">
        <v>13961</v>
      </c>
      <c r="O130" s="71">
        <v>13680</v>
      </c>
      <c r="P130" s="84">
        <v>15372.846153846154</v>
      </c>
      <c r="Q130" s="77"/>
      <c r="R130" s="71"/>
      <c r="S130" s="104"/>
      <c r="T130" s="71"/>
      <c r="U130" s="71"/>
    </row>
    <row r="131" spans="1:35" x14ac:dyDescent="0.2">
      <c r="A131" s="77" t="s">
        <v>4443</v>
      </c>
      <c r="B131" s="70" t="s">
        <v>5067</v>
      </c>
      <c r="C131" s="71">
        <v>12681</v>
      </c>
      <c r="D131" s="71">
        <v>4954</v>
      </c>
      <c r="E131" s="71">
        <v>4979</v>
      </c>
      <c r="F131" s="71">
        <v>5016</v>
      </c>
      <c r="G131" s="71">
        <v>5070</v>
      </c>
      <c r="H131" s="71">
        <v>5122</v>
      </c>
      <c r="I131" s="71">
        <v>5174</v>
      </c>
      <c r="J131" s="71">
        <v>5236</v>
      </c>
      <c r="K131" s="71">
        <v>5288</v>
      </c>
      <c r="L131" s="71">
        <v>5340</v>
      </c>
      <c r="M131" s="71">
        <v>5403</v>
      </c>
      <c r="N131" s="71">
        <v>5454</v>
      </c>
      <c r="O131" s="71">
        <v>5506</v>
      </c>
      <c r="P131" s="84">
        <v>5786.3846153846152</v>
      </c>
      <c r="Q131" s="77"/>
      <c r="R131" s="71"/>
      <c r="S131" s="104"/>
      <c r="T131" s="71"/>
      <c r="U131" s="71"/>
    </row>
    <row r="132" spans="1:35" x14ac:dyDescent="0.2">
      <c r="A132" s="77" t="s">
        <v>299</v>
      </c>
      <c r="B132" s="70" t="s">
        <v>5068</v>
      </c>
      <c r="C132" s="71">
        <v>0</v>
      </c>
      <c r="D132" s="71">
        <v>0</v>
      </c>
      <c r="E132" s="71">
        <v>0</v>
      </c>
      <c r="F132" s="71">
        <v>0</v>
      </c>
      <c r="G132" s="71">
        <v>0</v>
      </c>
      <c r="H132" s="71">
        <v>0</v>
      </c>
      <c r="I132" s="71">
        <v>0</v>
      </c>
      <c r="J132" s="71">
        <v>0</v>
      </c>
      <c r="K132" s="71">
        <v>0</v>
      </c>
      <c r="L132" s="71">
        <v>0</v>
      </c>
      <c r="M132" s="71">
        <v>0</v>
      </c>
      <c r="N132" s="71">
        <v>0</v>
      </c>
      <c r="O132" s="71">
        <v>0</v>
      </c>
      <c r="P132" s="84">
        <v>0</v>
      </c>
      <c r="Q132" s="77"/>
      <c r="R132" s="71"/>
      <c r="S132" s="104"/>
      <c r="T132" s="71"/>
      <c r="U132" s="71"/>
      <c r="AI132" s="70">
        <v>0</v>
      </c>
    </row>
    <row r="133" spans="1:35" x14ac:dyDescent="0.2">
      <c r="A133" s="77" t="s">
        <v>330</v>
      </c>
      <c r="B133" s="70" t="s">
        <v>5069</v>
      </c>
      <c r="C133" s="71">
        <v>2032</v>
      </c>
      <c r="D133" s="71">
        <v>1509</v>
      </c>
      <c r="E133" s="71">
        <v>1512</v>
      </c>
      <c r="F133" s="71">
        <v>1516</v>
      </c>
      <c r="G133" s="71">
        <v>1520</v>
      </c>
      <c r="H133" s="71">
        <v>1524</v>
      </c>
      <c r="I133" s="71">
        <v>1528</v>
      </c>
      <c r="J133" s="71">
        <v>1532</v>
      </c>
      <c r="K133" s="71">
        <v>1536</v>
      </c>
      <c r="L133" s="71">
        <v>1540</v>
      </c>
      <c r="M133" s="71">
        <v>1544</v>
      </c>
      <c r="N133" s="71">
        <v>1548</v>
      </c>
      <c r="O133" s="71">
        <v>1552</v>
      </c>
      <c r="P133" s="84">
        <v>1568.6923076923076</v>
      </c>
      <c r="Q133" s="79"/>
      <c r="R133" s="71"/>
      <c r="S133" s="104"/>
      <c r="T133" s="71"/>
      <c r="U133" s="71"/>
      <c r="AI133" s="70">
        <v>-523</v>
      </c>
    </row>
    <row r="134" spans="1:35" x14ac:dyDescent="0.2">
      <c r="A134" s="79" t="s">
        <v>5070</v>
      </c>
      <c r="B134" s="70" t="s">
        <v>5071</v>
      </c>
      <c r="C134" s="71">
        <v>2032</v>
      </c>
      <c r="D134" s="71">
        <v>1509</v>
      </c>
      <c r="E134" s="71">
        <v>1512</v>
      </c>
      <c r="F134" s="71">
        <v>1516</v>
      </c>
      <c r="G134" s="71">
        <v>1520</v>
      </c>
      <c r="H134" s="71">
        <v>1524</v>
      </c>
      <c r="I134" s="71">
        <v>1528</v>
      </c>
      <c r="J134" s="71">
        <v>1532</v>
      </c>
      <c r="K134" s="71">
        <v>1536</v>
      </c>
      <c r="L134" s="71">
        <v>1540</v>
      </c>
      <c r="M134" s="71">
        <v>1544</v>
      </c>
      <c r="N134" s="71">
        <v>1548</v>
      </c>
      <c r="O134" s="71">
        <v>1552</v>
      </c>
      <c r="P134" s="84">
        <v>1568.6923076923076</v>
      </c>
      <c r="Q134" s="80"/>
      <c r="R134" s="71"/>
      <c r="S134" s="104"/>
      <c r="T134" s="71"/>
      <c r="U134" s="71"/>
      <c r="AI134" s="70">
        <v>-523</v>
      </c>
    </row>
    <row r="135" spans="1:35" x14ac:dyDescent="0.2">
      <c r="A135" s="80" t="s">
        <v>302</v>
      </c>
      <c r="B135" s="70" t="s">
        <v>5072</v>
      </c>
      <c r="C135" s="71">
        <v>0</v>
      </c>
      <c r="D135" s="71">
        <v>0</v>
      </c>
      <c r="E135" s="71">
        <v>0</v>
      </c>
      <c r="F135" s="71">
        <v>0</v>
      </c>
      <c r="G135" s="71">
        <v>0</v>
      </c>
      <c r="H135" s="71">
        <v>0</v>
      </c>
      <c r="I135" s="71">
        <v>0</v>
      </c>
      <c r="J135" s="71">
        <v>0</v>
      </c>
      <c r="K135" s="71">
        <v>0</v>
      </c>
      <c r="L135" s="71">
        <v>0</v>
      </c>
      <c r="M135" s="71">
        <v>0</v>
      </c>
      <c r="N135" s="71">
        <v>0</v>
      </c>
      <c r="O135" s="71">
        <v>0</v>
      </c>
      <c r="P135" s="84">
        <v>0</v>
      </c>
      <c r="Q135" s="80"/>
      <c r="R135" s="71"/>
      <c r="S135" s="104"/>
      <c r="T135" s="71"/>
      <c r="U135" s="71"/>
    </row>
    <row r="136" spans="1:35" x14ac:dyDescent="0.2">
      <c r="A136" s="80" t="s">
        <v>5073</v>
      </c>
      <c r="B136" s="70" t="s">
        <v>5074</v>
      </c>
      <c r="C136" s="71">
        <v>0</v>
      </c>
      <c r="D136" s="71">
        <v>0</v>
      </c>
      <c r="E136" s="71">
        <v>0</v>
      </c>
      <c r="F136" s="71">
        <v>0</v>
      </c>
      <c r="G136" s="71">
        <v>0</v>
      </c>
      <c r="H136" s="71">
        <v>0</v>
      </c>
      <c r="I136" s="71">
        <v>0</v>
      </c>
      <c r="J136" s="71">
        <v>0</v>
      </c>
      <c r="K136" s="71">
        <v>0</v>
      </c>
      <c r="L136" s="71">
        <v>0</v>
      </c>
      <c r="M136" s="71">
        <v>0</v>
      </c>
      <c r="N136" s="71">
        <v>0</v>
      </c>
      <c r="O136" s="71">
        <v>0</v>
      </c>
      <c r="P136" s="84">
        <v>0</v>
      </c>
      <c r="Q136" s="80"/>
      <c r="R136" s="71"/>
      <c r="S136" s="104"/>
      <c r="T136" s="71"/>
      <c r="U136" s="71"/>
    </row>
    <row r="137" spans="1:35" x14ac:dyDescent="0.2">
      <c r="A137" s="80" t="s">
        <v>326</v>
      </c>
      <c r="B137" s="70" t="s">
        <v>5075</v>
      </c>
      <c r="C137" s="71">
        <v>0</v>
      </c>
      <c r="D137" s="71">
        <v>0</v>
      </c>
      <c r="E137" s="71">
        <v>0</v>
      </c>
      <c r="F137" s="71">
        <v>0</v>
      </c>
      <c r="G137" s="71">
        <v>0</v>
      </c>
      <c r="H137" s="71">
        <v>0</v>
      </c>
      <c r="I137" s="71">
        <v>0</v>
      </c>
      <c r="J137" s="71">
        <v>0</v>
      </c>
      <c r="K137" s="71">
        <v>0</v>
      </c>
      <c r="L137" s="71">
        <v>0</v>
      </c>
      <c r="M137" s="71">
        <v>0</v>
      </c>
      <c r="N137" s="71">
        <v>0</v>
      </c>
      <c r="O137" s="71">
        <v>0</v>
      </c>
      <c r="P137" s="84">
        <v>0</v>
      </c>
      <c r="Q137" s="77"/>
      <c r="R137" s="71"/>
      <c r="S137" s="104"/>
      <c r="T137" s="71"/>
      <c r="U137" s="71"/>
    </row>
    <row r="138" spans="1:35" ht="15.75" x14ac:dyDescent="0.25">
      <c r="A138" s="77" t="s">
        <v>333</v>
      </c>
      <c r="B138" s="70" t="s">
        <v>5069</v>
      </c>
      <c r="C138" s="71">
        <v>0</v>
      </c>
      <c r="D138" s="71">
        <v>0</v>
      </c>
      <c r="E138" s="71">
        <v>0</v>
      </c>
      <c r="F138" s="71">
        <v>0</v>
      </c>
      <c r="G138" s="71">
        <v>0</v>
      </c>
      <c r="H138" s="71">
        <v>0</v>
      </c>
      <c r="I138" s="71">
        <v>0</v>
      </c>
      <c r="J138" s="71">
        <v>0</v>
      </c>
      <c r="K138" s="71">
        <v>0</v>
      </c>
      <c r="L138" s="71">
        <v>0</v>
      </c>
      <c r="M138" s="71">
        <v>0</v>
      </c>
      <c r="N138" s="71">
        <v>0</v>
      </c>
      <c r="O138" s="71">
        <v>0</v>
      </c>
      <c r="P138" s="84">
        <v>0</v>
      </c>
      <c r="Q138" s="82"/>
      <c r="R138" s="71"/>
      <c r="S138" s="104"/>
      <c r="T138" s="71"/>
      <c r="U138" s="71"/>
    </row>
    <row r="139" spans="1:35" ht="15.75" x14ac:dyDescent="0.25">
      <c r="A139" s="82" t="s">
        <v>1590</v>
      </c>
      <c r="B139" s="73" t="s">
        <v>5076</v>
      </c>
      <c r="C139" s="71">
        <v>175862</v>
      </c>
      <c r="D139" s="71">
        <v>173450</v>
      </c>
      <c r="E139" s="71">
        <v>172746</v>
      </c>
      <c r="F139" s="71">
        <v>171464</v>
      </c>
      <c r="G139" s="71">
        <v>170870</v>
      </c>
      <c r="H139" s="71">
        <v>170608</v>
      </c>
      <c r="I139" s="71">
        <v>169926</v>
      </c>
      <c r="J139" s="71">
        <v>169695</v>
      </c>
      <c r="K139" s="71">
        <v>169406</v>
      </c>
      <c r="L139" s="71">
        <v>168579</v>
      </c>
      <c r="M139" s="71">
        <v>168244</v>
      </c>
      <c r="N139" s="71">
        <v>168082</v>
      </c>
      <c r="O139" s="71">
        <v>167601</v>
      </c>
      <c r="P139" s="84">
        <v>170502.53846153847</v>
      </c>
      <c r="Q139" s="82"/>
      <c r="R139" s="71"/>
      <c r="S139" s="104"/>
      <c r="T139" s="71"/>
      <c r="U139" s="71"/>
    </row>
    <row r="140" spans="1:35" ht="15.75" x14ac:dyDescent="0.25">
      <c r="A140" s="82" t="s">
        <v>5077</v>
      </c>
      <c r="B140" s="73" t="s">
        <v>5078</v>
      </c>
      <c r="C140" s="70">
        <v>126130</v>
      </c>
      <c r="D140" s="71">
        <v>126302</v>
      </c>
      <c r="E140" s="71">
        <v>126474</v>
      </c>
      <c r="F140" s="71">
        <v>126646</v>
      </c>
      <c r="G140" s="71">
        <v>126819</v>
      </c>
      <c r="H140" s="71">
        <v>126991</v>
      </c>
      <c r="I140" s="71">
        <v>127163</v>
      </c>
      <c r="J140" s="71">
        <v>127336</v>
      </c>
      <c r="K140" s="71">
        <v>127508</v>
      </c>
      <c r="L140" s="71">
        <v>127680</v>
      </c>
      <c r="M140" s="71">
        <v>127853</v>
      </c>
      <c r="N140" s="71">
        <v>128025</v>
      </c>
      <c r="O140" s="71">
        <v>128197</v>
      </c>
      <c r="P140" s="84">
        <v>127163.38461538461</v>
      </c>
      <c r="Q140" s="85"/>
      <c r="R140" s="71"/>
      <c r="S140" s="104"/>
      <c r="T140" s="71"/>
      <c r="U140" s="71"/>
    </row>
    <row r="141" spans="1:35" ht="15.75" x14ac:dyDescent="0.25">
      <c r="A141" s="85" t="s">
        <v>4161</v>
      </c>
      <c r="B141" s="73" t="s">
        <v>5079</v>
      </c>
      <c r="C141" s="70">
        <v>6</v>
      </c>
      <c r="D141" s="70">
        <v>6</v>
      </c>
      <c r="E141" s="70">
        <v>7</v>
      </c>
      <c r="F141" s="70">
        <v>7</v>
      </c>
      <c r="G141" s="70">
        <v>7</v>
      </c>
      <c r="H141" s="70">
        <v>7</v>
      </c>
      <c r="I141" s="70">
        <v>8</v>
      </c>
      <c r="J141" s="70">
        <v>8</v>
      </c>
      <c r="K141" s="70">
        <v>8</v>
      </c>
      <c r="L141" s="70">
        <v>8</v>
      </c>
      <c r="M141" s="70">
        <v>8</v>
      </c>
      <c r="N141" s="70">
        <v>9</v>
      </c>
      <c r="O141" s="70">
        <v>9</v>
      </c>
      <c r="P141" s="84">
        <v>7.5384615384615383</v>
      </c>
      <c r="Q141" s="85"/>
      <c r="S141" s="104"/>
    </row>
    <row r="142" spans="1:35" ht="15.75" x14ac:dyDescent="0.25">
      <c r="A142" s="85" t="s">
        <v>4163</v>
      </c>
      <c r="B142" s="73" t="s">
        <v>5079</v>
      </c>
      <c r="C142" s="70">
        <v>436</v>
      </c>
      <c r="D142" s="70">
        <v>437</v>
      </c>
      <c r="E142" s="70">
        <v>439</v>
      </c>
      <c r="F142" s="70">
        <v>440</v>
      </c>
      <c r="G142" s="70">
        <v>441</v>
      </c>
      <c r="H142" s="70">
        <v>443</v>
      </c>
      <c r="I142" s="70">
        <v>444</v>
      </c>
      <c r="J142" s="70">
        <v>445</v>
      </c>
      <c r="K142" s="70">
        <v>447</v>
      </c>
      <c r="L142" s="70">
        <v>448</v>
      </c>
      <c r="M142" s="70">
        <v>449</v>
      </c>
      <c r="N142" s="70">
        <v>451</v>
      </c>
      <c r="O142" s="70">
        <v>452</v>
      </c>
      <c r="P142" s="84">
        <v>444</v>
      </c>
      <c r="Q142" s="82"/>
      <c r="S142" s="104"/>
    </row>
    <row r="143" spans="1:35" ht="15.75" x14ac:dyDescent="0.25">
      <c r="A143" s="82" t="s">
        <v>1576</v>
      </c>
      <c r="B143" s="73" t="s">
        <v>5080</v>
      </c>
      <c r="C143" s="70">
        <v>6164</v>
      </c>
      <c r="D143" s="70">
        <v>6054</v>
      </c>
      <c r="E143" s="70">
        <v>5944</v>
      </c>
      <c r="F143" s="70">
        <v>5834</v>
      </c>
      <c r="G143" s="70">
        <v>5723</v>
      </c>
      <c r="H143" s="70">
        <v>5613</v>
      </c>
      <c r="I143" s="70">
        <v>5502</v>
      </c>
      <c r="J143" s="70">
        <v>5392</v>
      </c>
      <c r="K143" s="70">
        <v>5281</v>
      </c>
      <c r="L143" s="70">
        <v>5171</v>
      </c>
      <c r="M143" s="70">
        <v>5060</v>
      </c>
      <c r="N143" s="70">
        <v>4950</v>
      </c>
      <c r="O143" s="70">
        <v>4839</v>
      </c>
      <c r="P143" s="84">
        <v>5502.0769230769229</v>
      </c>
      <c r="Q143" s="77"/>
      <c r="S143" s="104"/>
    </row>
    <row r="144" spans="1:35" ht="15.75" x14ac:dyDescent="0.25">
      <c r="A144" s="108" t="s">
        <v>1578</v>
      </c>
      <c r="B144" s="73" t="s">
        <v>5081</v>
      </c>
      <c r="C144" s="70">
        <v>28174</v>
      </c>
      <c r="D144" s="70">
        <v>28174</v>
      </c>
      <c r="E144" s="70">
        <v>28174</v>
      </c>
      <c r="F144" s="70">
        <v>27813</v>
      </c>
      <c r="G144" s="70">
        <v>27813</v>
      </c>
      <c r="H144" s="70">
        <v>27813</v>
      </c>
      <c r="I144" s="70">
        <v>27453</v>
      </c>
      <c r="J144" s="70">
        <v>27453</v>
      </c>
      <c r="K144" s="70">
        <v>27453</v>
      </c>
      <c r="L144" s="70">
        <v>27092</v>
      </c>
      <c r="M144" s="70">
        <v>27092</v>
      </c>
      <c r="N144" s="70">
        <v>27092</v>
      </c>
      <c r="O144" s="70">
        <v>26732</v>
      </c>
      <c r="P144" s="84">
        <v>27563.692307692309</v>
      </c>
      <c r="Q144" s="77"/>
      <c r="S144" s="104"/>
    </row>
    <row r="145" spans="1:21" ht="15.75" x14ac:dyDescent="0.25">
      <c r="A145" s="108" t="s">
        <v>1580</v>
      </c>
      <c r="B145" s="73" t="s">
        <v>5082</v>
      </c>
      <c r="C145" s="70">
        <v>4685</v>
      </c>
      <c r="D145" s="70">
        <v>4685</v>
      </c>
      <c r="E145" s="70">
        <v>4685</v>
      </c>
      <c r="F145" s="70">
        <v>4625</v>
      </c>
      <c r="G145" s="70">
        <v>4625</v>
      </c>
      <c r="H145" s="70">
        <v>4625</v>
      </c>
      <c r="I145" s="70">
        <v>4565</v>
      </c>
      <c r="J145" s="70">
        <v>4565</v>
      </c>
      <c r="K145" s="70">
        <v>4565</v>
      </c>
      <c r="L145" s="70">
        <v>4505</v>
      </c>
      <c r="M145" s="70">
        <v>4505</v>
      </c>
      <c r="N145" s="70">
        <v>4505</v>
      </c>
      <c r="O145" s="70">
        <v>4445</v>
      </c>
      <c r="P145" s="84">
        <v>4583.4615384615381</v>
      </c>
      <c r="Q145" s="77"/>
      <c r="S145" s="104"/>
    </row>
    <row r="146" spans="1:21" ht="15.75" x14ac:dyDescent="0.25">
      <c r="A146" s="108" t="s">
        <v>1582</v>
      </c>
      <c r="B146" s="73" t="s">
        <v>5083</v>
      </c>
      <c r="C146" s="70">
        <v>1058</v>
      </c>
      <c r="D146" s="70">
        <v>708</v>
      </c>
      <c r="E146" s="70">
        <v>602</v>
      </c>
      <c r="F146" s="70">
        <v>474</v>
      </c>
      <c r="G146" s="70">
        <v>384</v>
      </c>
      <c r="H146" s="70">
        <v>341</v>
      </c>
      <c r="I146" s="70">
        <v>298</v>
      </c>
      <c r="J146" s="70">
        <v>260</v>
      </c>
      <c r="K146" s="70">
        <v>213</v>
      </c>
      <c r="L146" s="70">
        <v>150</v>
      </c>
      <c r="M146" s="70">
        <v>97</v>
      </c>
      <c r="N146" s="70">
        <v>68</v>
      </c>
      <c r="O146" s="70">
        <v>54</v>
      </c>
      <c r="P146" s="84">
        <v>362.07692307692309</v>
      </c>
      <c r="Q146" s="77"/>
      <c r="S146" s="104"/>
    </row>
    <row r="147" spans="1:21" ht="15.75" x14ac:dyDescent="0.25">
      <c r="A147" s="108" t="s">
        <v>1584</v>
      </c>
      <c r="B147" s="73" t="s">
        <v>5084</v>
      </c>
      <c r="C147" s="70">
        <v>6359</v>
      </c>
      <c r="D147" s="70">
        <v>4258</v>
      </c>
      <c r="E147" s="70">
        <v>3621</v>
      </c>
      <c r="F147" s="70">
        <v>2850</v>
      </c>
      <c r="G147" s="70">
        <v>2308</v>
      </c>
      <c r="H147" s="70">
        <v>2051</v>
      </c>
      <c r="I147" s="70">
        <v>1794</v>
      </c>
      <c r="J147" s="70">
        <v>1563</v>
      </c>
      <c r="K147" s="70">
        <v>1282</v>
      </c>
      <c r="L147" s="70">
        <v>902</v>
      </c>
      <c r="M147" s="70">
        <v>583</v>
      </c>
      <c r="N147" s="70">
        <v>410</v>
      </c>
      <c r="O147" s="70">
        <v>326</v>
      </c>
      <c r="P147" s="84">
        <v>2177.4615384615386</v>
      </c>
      <c r="Q147" s="77"/>
      <c r="S147" s="104"/>
    </row>
    <row r="148" spans="1:21" ht="15.75" x14ac:dyDescent="0.25">
      <c r="A148" s="108" t="s">
        <v>1586</v>
      </c>
      <c r="B148" s="73" t="s">
        <v>5085</v>
      </c>
      <c r="C148" s="70">
        <v>406</v>
      </c>
      <c r="D148" s="70">
        <v>403</v>
      </c>
      <c r="E148" s="70">
        <v>399</v>
      </c>
      <c r="F148" s="70">
        <v>396</v>
      </c>
      <c r="G148" s="70">
        <v>392</v>
      </c>
      <c r="H148" s="70">
        <v>388</v>
      </c>
      <c r="I148" s="70">
        <v>385</v>
      </c>
      <c r="J148" s="70">
        <v>381</v>
      </c>
      <c r="K148" s="70">
        <v>378</v>
      </c>
      <c r="L148" s="70">
        <v>374</v>
      </c>
      <c r="M148" s="70">
        <v>370</v>
      </c>
      <c r="N148" s="70">
        <v>367</v>
      </c>
      <c r="O148" s="70">
        <v>363</v>
      </c>
      <c r="P148" s="84">
        <v>384.76923076923077</v>
      </c>
      <c r="Q148" s="77"/>
      <c r="S148" s="104"/>
    </row>
    <row r="149" spans="1:21" ht="15.75" x14ac:dyDescent="0.25">
      <c r="A149" s="108" t="s">
        <v>1588</v>
      </c>
      <c r="B149" s="73" t="s">
        <v>5086</v>
      </c>
      <c r="C149" s="70">
        <v>2444</v>
      </c>
      <c r="D149" s="70">
        <v>2423</v>
      </c>
      <c r="E149" s="70">
        <v>2401</v>
      </c>
      <c r="F149" s="70">
        <v>2379</v>
      </c>
      <c r="G149" s="70">
        <v>2358</v>
      </c>
      <c r="H149" s="70">
        <v>2336</v>
      </c>
      <c r="I149" s="70">
        <v>2314</v>
      </c>
      <c r="J149" s="70">
        <v>2292</v>
      </c>
      <c r="K149" s="70">
        <v>2271</v>
      </c>
      <c r="L149" s="70">
        <v>2249</v>
      </c>
      <c r="M149" s="70">
        <v>2227</v>
      </c>
      <c r="N149" s="70">
        <v>2205</v>
      </c>
      <c r="O149" s="70">
        <v>2184</v>
      </c>
      <c r="P149" s="84">
        <v>2314.0769230769229</v>
      </c>
      <c r="Q149" s="77"/>
      <c r="S149" s="104"/>
    </row>
    <row r="150" spans="1:21" x14ac:dyDescent="0.2">
      <c r="A150" s="77" t="s">
        <v>1593</v>
      </c>
      <c r="B150" s="70" t="s">
        <v>5087</v>
      </c>
      <c r="C150" s="71">
        <v>-119697</v>
      </c>
      <c r="D150" s="71">
        <v>-119697</v>
      </c>
      <c r="E150" s="71">
        <v>-119697</v>
      </c>
      <c r="F150" s="71">
        <v>-119697</v>
      </c>
      <c r="G150" s="71">
        <v>-119697</v>
      </c>
      <c r="H150" s="71">
        <v>-119697</v>
      </c>
      <c r="I150" s="71">
        <v>-119697</v>
      </c>
      <c r="J150" s="71">
        <v>-119697</v>
      </c>
      <c r="K150" s="71">
        <v>-119697</v>
      </c>
      <c r="L150" s="71">
        <v>-119697</v>
      </c>
      <c r="M150" s="71">
        <v>-119697</v>
      </c>
      <c r="N150" s="71">
        <v>-119697</v>
      </c>
      <c r="O150" s="71">
        <v>-119697</v>
      </c>
      <c r="P150" s="84">
        <v>-119697</v>
      </c>
      <c r="Q150" s="77"/>
      <c r="R150" s="71"/>
      <c r="S150" s="104"/>
      <c r="T150" s="71"/>
      <c r="U150" s="71"/>
    </row>
    <row r="151" spans="1:21" x14ac:dyDescent="0.2">
      <c r="A151" s="77" t="s">
        <v>5088</v>
      </c>
      <c r="B151" s="70" t="s">
        <v>5089</v>
      </c>
      <c r="C151" s="71">
        <v>0</v>
      </c>
      <c r="D151" s="71">
        <v>0</v>
      </c>
      <c r="E151" s="71">
        <v>0</v>
      </c>
      <c r="F151" s="71">
        <v>0</v>
      </c>
      <c r="G151" s="71">
        <v>0</v>
      </c>
      <c r="H151" s="71">
        <v>0</v>
      </c>
      <c r="I151" s="71">
        <v>0</v>
      </c>
      <c r="J151" s="71">
        <v>0</v>
      </c>
      <c r="K151" s="71">
        <v>0</v>
      </c>
      <c r="L151" s="71">
        <v>0</v>
      </c>
      <c r="M151" s="71">
        <v>0</v>
      </c>
      <c r="N151" s="71">
        <v>0</v>
      </c>
      <c r="O151" s="71">
        <v>0</v>
      </c>
      <c r="P151" s="84">
        <v>0</v>
      </c>
      <c r="Q151" s="77"/>
      <c r="R151" s="71"/>
      <c r="S151" s="104"/>
      <c r="T151" s="71"/>
      <c r="U151" s="71"/>
    </row>
    <row r="152" spans="1:21" x14ac:dyDescent="0.2">
      <c r="A152" s="77" t="s">
        <v>5088</v>
      </c>
      <c r="B152" s="70" t="s">
        <v>5090</v>
      </c>
      <c r="C152" s="71">
        <v>-1535840</v>
      </c>
      <c r="D152" s="71">
        <v>-1585840</v>
      </c>
      <c r="E152" s="71">
        <v>-1650840</v>
      </c>
      <c r="F152" s="71">
        <v>-1705840</v>
      </c>
      <c r="G152" s="71">
        <v>-1745840</v>
      </c>
      <c r="H152" s="71">
        <v>-1785840</v>
      </c>
      <c r="I152" s="71">
        <v>-1785840</v>
      </c>
      <c r="J152" s="71">
        <v>-1805840</v>
      </c>
      <c r="K152" s="71">
        <v>-1825840</v>
      </c>
      <c r="L152" s="71">
        <v>-1825840</v>
      </c>
      <c r="M152" s="71">
        <v>-1845840</v>
      </c>
      <c r="N152" s="71">
        <v>-1870840</v>
      </c>
      <c r="O152" s="71">
        <v>-1870840</v>
      </c>
      <c r="P152" s="84">
        <v>-1756993.8461538462</v>
      </c>
      <c r="Q152" s="109"/>
      <c r="R152" s="71"/>
      <c r="S152" s="104"/>
      <c r="T152" s="71"/>
      <c r="U152" s="71"/>
    </row>
    <row r="153" spans="1:21" ht="15.75" x14ac:dyDescent="0.25">
      <c r="A153" s="109" t="s">
        <v>5088</v>
      </c>
      <c r="B153" s="110" t="s">
        <v>5091</v>
      </c>
      <c r="C153" s="71">
        <v>-50000</v>
      </c>
      <c r="D153" s="86">
        <v>-65000</v>
      </c>
      <c r="E153" s="86">
        <v>-55000</v>
      </c>
      <c r="F153" s="86">
        <v>-40000</v>
      </c>
      <c r="G153" s="86">
        <v>-40000</v>
      </c>
      <c r="H153" s="86">
        <v>0</v>
      </c>
      <c r="I153" s="86">
        <v>-20000</v>
      </c>
      <c r="J153" s="86">
        <v>-20000</v>
      </c>
      <c r="K153" s="86">
        <v>0</v>
      </c>
      <c r="L153" s="86">
        <v>-20000</v>
      </c>
      <c r="M153" s="86">
        <v>-25000</v>
      </c>
      <c r="N153" s="86">
        <v>0</v>
      </c>
      <c r="O153" s="86">
        <v>0</v>
      </c>
      <c r="P153" s="84">
        <v>-25769.23076923077</v>
      </c>
      <c r="Q153" s="77"/>
      <c r="R153" s="71"/>
      <c r="S153" s="104"/>
      <c r="T153" s="71"/>
      <c r="U153" s="71"/>
    </row>
    <row r="154" spans="1:21" x14ac:dyDescent="0.2">
      <c r="A154" s="77" t="s">
        <v>1596</v>
      </c>
      <c r="B154" s="70" t="s">
        <v>5092</v>
      </c>
      <c r="C154" s="71">
        <v>-1585840</v>
      </c>
      <c r="D154" s="71">
        <v>-1650840</v>
      </c>
      <c r="E154" s="71">
        <v>-1705840</v>
      </c>
      <c r="F154" s="71">
        <v>-1745840</v>
      </c>
      <c r="G154" s="71">
        <v>-1785840</v>
      </c>
      <c r="H154" s="71">
        <v>-1785840</v>
      </c>
      <c r="I154" s="71">
        <v>-1805840</v>
      </c>
      <c r="J154" s="71">
        <v>-1825840</v>
      </c>
      <c r="K154" s="71">
        <v>-1825840</v>
      </c>
      <c r="L154" s="71">
        <v>-1845840</v>
      </c>
      <c r="M154" s="71">
        <v>-1870840</v>
      </c>
      <c r="N154" s="71">
        <v>-1870840</v>
      </c>
      <c r="O154" s="71">
        <v>-1870840</v>
      </c>
      <c r="P154" s="84">
        <v>-1782763.076923077</v>
      </c>
      <c r="Q154" s="77"/>
      <c r="R154" s="71"/>
      <c r="S154" s="104"/>
      <c r="T154" s="71"/>
      <c r="U154" s="71"/>
    </row>
    <row r="155" spans="1:21" x14ac:dyDescent="0.2">
      <c r="A155" s="77" t="s">
        <v>1603</v>
      </c>
      <c r="B155" s="70" t="s">
        <v>5093</v>
      </c>
      <c r="C155" s="71">
        <v>701</v>
      </c>
      <c r="D155" s="71">
        <v>701</v>
      </c>
      <c r="E155" s="71">
        <v>701</v>
      </c>
      <c r="F155" s="71">
        <v>701</v>
      </c>
      <c r="G155" s="71">
        <v>701</v>
      </c>
      <c r="H155" s="71">
        <v>701</v>
      </c>
      <c r="I155" s="71">
        <v>701</v>
      </c>
      <c r="J155" s="71">
        <v>701</v>
      </c>
      <c r="K155" s="71">
        <v>701</v>
      </c>
      <c r="L155" s="71">
        <v>701</v>
      </c>
      <c r="M155" s="71">
        <v>701</v>
      </c>
      <c r="N155" s="71">
        <v>701</v>
      </c>
      <c r="O155" s="71">
        <v>701</v>
      </c>
      <c r="P155" s="84">
        <v>701</v>
      </c>
      <c r="Q155" s="109"/>
      <c r="R155" s="71"/>
      <c r="S155" s="104"/>
      <c r="T155" s="71"/>
      <c r="U155" s="71"/>
    </row>
    <row r="156" spans="1:21" ht="14.65" customHeight="1" x14ac:dyDescent="0.2">
      <c r="A156" s="109" t="s">
        <v>5088</v>
      </c>
      <c r="B156" s="70" t="s">
        <v>5094</v>
      </c>
      <c r="C156" s="71">
        <v>-176268</v>
      </c>
      <c r="D156" s="71">
        <v>-183805</v>
      </c>
      <c r="E156" s="71">
        <v>-191379</v>
      </c>
      <c r="F156" s="71">
        <v>-157326</v>
      </c>
      <c r="G156" s="71">
        <v>-161602</v>
      </c>
      <c r="H156" s="71">
        <v>-148429</v>
      </c>
      <c r="I156" s="71">
        <v>-160182</v>
      </c>
      <c r="J156" s="71">
        <v>-176908</v>
      </c>
      <c r="K156" s="71">
        <v>-173478</v>
      </c>
      <c r="L156" s="71">
        <v>-192851</v>
      </c>
      <c r="M156" s="71">
        <v>-207735</v>
      </c>
      <c r="N156" s="71">
        <v>-162741</v>
      </c>
      <c r="O156" s="71">
        <v>-167533</v>
      </c>
      <c r="P156" s="84">
        <v>-173864.38461538462</v>
      </c>
      <c r="Q156" s="77"/>
      <c r="R156" s="71"/>
      <c r="S156" s="104"/>
      <c r="T156" s="71"/>
      <c r="U156" s="71"/>
    </row>
    <row r="157" spans="1:21" ht="14.65" customHeight="1" x14ac:dyDescent="0.2">
      <c r="A157" s="77" t="s">
        <v>5088</v>
      </c>
      <c r="B157" s="70" t="s">
        <v>5095</v>
      </c>
      <c r="C157" s="71">
        <v>-7537</v>
      </c>
      <c r="D157" s="71">
        <v>-7574</v>
      </c>
      <c r="E157" s="71">
        <v>-5253</v>
      </c>
      <c r="F157" s="71">
        <v>-4276</v>
      </c>
      <c r="G157" s="71">
        <v>-7191</v>
      </c>
      <c r="H157" s="71">
        <v>-11753</v>
      </c>
      <c r="I157" s="71">
        <v>-16726</v>
      </c>
      <c r="J157" s="71">
        <v>-19790</v>
      </c>
      <c r="K157" s="71">
        <v>-19373</v>
      </c>
      <c r="L157" s="71">
        <v>-14884</v>
      </c>
      <c r="M157" s="71">
        <v>-10898</v>
      </c>
      <c r="N157" s="71">
        <v>-4792</v>
      </c>
      <c r="O157" s="71">
        <v>-3474</v>
      </c>
      <c r="P157" s="84">
        <v>-10270.846153846154</v>
      </c>
      <c r="R157" s="71"/>
      <c r="S157" s="104"/>
      <c r="T157" s="71"/>
      <c r="U157" s="71"/>
    </row>
    <row r="158" spans="1:21" ht="14.65" customHeight="1" x14ac:dyDescent="0.2">
      <c r="B158" s="70" t="s">
        <v>5096</v>
      </c>
      <c r="C158" s="71">
        <v>0</v>
      </c>
      <c r="D158" s="71">
        <v>0</v>
      </c>
      <c r="E158" s="71">
        <v>39306</v>
      </c>
      <c r="F158" s="71">
        <v>0</v>
      </c>
      <c r="G158" s="71">
        <v>20364</v>
      </c>
      <c r="H158" s="71">
        <v>0</v>
      </c>
      <c r="I158" s="71">
        <v>0</v>
      </c>
      <c r="J158" s="71">
        <v>23220</v>
      </c>
      <c r="K158" s="71">
        <v>0</v>
      </c>
      <c r="L158" s="71">
        <v>0</v>
      </c>
      <c r="M158" s="71">
        <v>55892</v>
      </c>
      <c r="N158" s="71">
        <v>0</v>
      </c>
      <c r="O158" s="71">
        <v>0</v>
      </c>
      <c r="P158" s="84">
        <v>10675.538461538461</v>
      </c>
      <c r="R158" s="71"/>
      <c r="S158" s="104"/>
      <c r="T158" s="71"/>
      <c r="U158" s="71"/>
    </row>
    <row r="159" spans="1:21" x14ac:dyDescent="0.2">
      <c r="B159" s="90" t="s">
        <v>5097</v>
      </c>
      <c r="C159" s="90">
        <v>0</v>
      </c>
      <c r="D159" s="90">
        <v>0</v>
      </c>
      <c r="E159" s="90">
        <v>0</v>
      </c>
      <c r="F159" s="90">
        <v>0</v>
      </c>
      <c r="G159" s="90">
        <v>0</v>
      </c>
      <c r="H159" s="90">
        <v>0</v>
      </c>
      <c r="I159" s="90">
        <v>0</v>
      </c>
      <c r="J159" s="90">
        <v>0</v>
      </c>
      <c r="K159" s="90">
        <v>0</v>
      </c>
      <c r="L159" s="90">
        <v>0</v>
      </c>
      <c r="M159" s="90">
        <v>0</v>
      </c>
      <c r="N159" s="90">
        <v>0</v>
      </c>
      <c r="O159" s="90">
        <v>0</v>
      </c>
      <c r="P159" s="84">
        <v>0</v>
      </c>
      <c r="Q159" s="77"/>
      <c r="R159" s="90"/>
      <c r="S159" s="104"/>
      <c r="T159" s="90"/>
      <c r="U159" s="90"/>
    </row>
    <row r="160" spans="1:21" ht="14.65" customHeight="1" x14ac:dyDescent="0.2">
      <c r="A160" s="77" t="s">
        <v>1606</v>
      </c>
      <c r="B160" s="70" t="s">
        <v>5098</v>
      </c>
      <c r="C160" s="71">
        <v>-183805</v>
      </c>
      <c r="D160" s="71">
        <v>-191379</v>
      </c>
      <c r="E160" s="71">
        <v>-157326</v>
      </c>
      <c r="F160" s="71">
        <v>-161602</v>
      </c>
      <c r="G160" s="71">
        <v>-148429</v>
      </c>
      <c r="H160" s="71">
        <v>-160182</v>
      </c>
      <c r="I160" s="71">
        <v>-176908</v>
      </c>
      <c r="J160" s="71">
        <v>-173478</v>
      </c>
      <c r="K160" s="71">
        <v>-192851</v>
      </c>
      <c r="L160" s="71">
        <v>-207735</v>
      </c>
      <c r="M160" s="71">
        <v>-162741</v>
      </c>
      <c r="N160" s="71">
        <v>-167533</v>
      </c>
      <c r="O160" s="71">
        <v>-171007</v>
      </c>
      <c r="P160" s="84">
        <v>-173459.69230769231</v>
      </c>
      <c r="Q160" s="77"/>
      <c r="R160" s="71"/>
      <c r="S160" s="104"/>
      <c r="T160" s="71"/>
      <c r="U160" s="71"/>
    </row>
    <row r="161" spans="1:21" x14ac:dyDescent="0.2">
      <c r="A161" s="77" t="s">
        <v>1615</v>
      </c>
      <c r="B161" s="70" t="s">
        <v>5099</v>
      </c>
      <c r="C161" s="71">
        <v>4540</v>
      </c>
      <c r="D161" s="71">
        <v>4499</v>
      </c>
      <c r="E161" s="71">
        <v>4459</v>
      </c>
      <c r="F161" s="71">
        <v>4419</v>
      </c>
      <c r="G161" s="71">
        <v>4378</v>
      </c>
      <c r="H161" s="71">
        <v>4338</v>
      </c>
      <c r="I161" s="71">
        <v>4298</v>
      </c>
      <c r="J161" s="71">
        <v>4257</v>
      </c>
      <c r="K161" s="71">
        <v>4217</v>
      </c>
      <c r="L161" s="71">
        <v>4176</v>
      </c>
      <c r="M161" s="71">
        <v>4136</v>
      </c>
      <c r="N161" s="71">
        <v>4096</v>
      </c>
      <c r="O161" s="71">
        <v>4055</v>
      </c>
      <c r="P161" s="84">
        <v>4297.5384615384619</v>
      </c>
      <c r="Q161" s="77"/>
      <c r="R161" s="71"/>
      <c r="S161" s="104"/>
      <c r="T161" s="71"/>
      <c r="U161" s="71"/>
    </row>
    <row r="162" spans="1:21" ht="15.75" x14ac:dyDescent="0.25">
      <c r="A162" s="77" t="s">
        <v>1662</v>
      </c>
      <c r="B162" s="70" t="s">
        <v>5100</v>
      </c>
      <c r="C162" s="71">
        <v>-1668835</v>
      </c>
      <c r="D162" s="71">
        <v>-1668835</v>
      </c>
      <c r="E162" s="71">
        <v>-1668835</v>
      </c>
      <c r="F162" s="71">
        <v>-1668835</v>
      </c>
      <c r="G162" s="71">
        <v>-1668835</v>
      </c>
      <c r="H162" s="71">
        <v>-1668835</v>
      </c>
      <c r="I162" s="71">
        <v>-1668835</v>
      </c>
      <c r="J162" s="71">
        <v>-1668835</v>
      </c>
      <c r="K162" s="71">
        <v>-1668835</v>
      </c>
      <c r="L162" s="71">
        <v>-1668835</v>
      </c>
      <c r="M162" s="71">
        <v>-1668835</v>
      </c>
      <c r="N162" s="71">
        <v>-1793835</v>
      </c>
      <c r="O162" s="86">
        <v>-1793835</v>
      </c>
      <c r="P162" s="84">
        <v>-1688065.7692307692</v>
      </c>
      <c r="Q162" s="79"/>
      <c r="R162" s="86"/>
      <c r="S162" s="104"/>
      <c r="T162" s="86"/>
      <c r="U162" s="86"/>
    </row>
    <row r="163" spans="1:21" ht="15.75" x14ac:dyDescent="0.25">
      <c r="A163" s="79" t="s">
        <v>1619</v>
      </c>
      <c r="B163" s="70" t="s">
        <v>5101</v>
      </c>
      <c r="C163" s="71">
        <v>0</v>
      </c>
      <c r="D163" s="71">
        <v>0</v>
      </c>
      <c r="E163" s="71">
        <v>0</v>
      </c>
      <c r="F163" s="71">
        <v>0</v>
      </c>
      <c r="G163" s="71">
        <v>0</v>
      </c>
      <c r="H163" s="71">
        <v>0</v>
      </c>
      <c r="I163" s="71">
        <v>0</v>
      </c>
      <c r="J163" s="71">
        <v>0</v>
      </c>
      <c r="K163" s="71">
        <v>0</v>
      </c>
      <c r="L163" s="71">
        <v>0</v>
      </c>
      <c r="M163" s="71">
        <v>0</v>
      </c>
      <c r="N163" s="71">
        <v>0</v>
      </c>
      <c r="O163" s="86">
        <v>0</v>
      </c>
      <c r="P163" s="84">
        <v>0</v>
      </c>
      <c r="Q163" s="79"/>
      <c r="R163" s="86"/>
      <c r="S163" s="104"/>
      <c r="T163" s="86"/>
      <c r="U163" s="86"/>
    </row>
    <row r="164" spans="1:21" ht="15.75" x14ac:dyDescent="0.25">
      <c r="A164" s="79" t="s">
        <v>1625</v>
      </c>
      <c r="B164" s="70" t="s">
        <v>5102</v>
      </c>
      <c r="C164" s="71">
        <v>0</v>
      </c>
      <c r="D164" s="71">
        <v>0</v>
      </c>
      <c r="E164" s="71">
        <v>0</v>
      </c>
      <c r="F164" s="71">
        <v>0</v>
      </c>
      <c r="G164" s="71">
        <v>0</v>
      </c>
      <c r="H164" s="71">
        <v>0</v>
      </c>
      <c r="I164" s="71">
        <v>0</v>
      </c>
      <c r="J164" s="71">
        <v>0</v>
      </c>
      <c r="K164" s="71">
        <v>0</v>
      </c>
      <c r="L164" s="71">
        <v>0</v>
      </c>
      <c r="M164" s="71">
        <v>0</v>
      </c>
      <c r="N164" s="71">
        <v>0</v>
      </c>
      <c r="O164" s="86">
        <v>0</v>
      </c>
      <c r="P164" s="84">
        <v>0</v>
      </c>
      <c r="Q164" s="77"/>
      <c r="R164" s="86"/>
      <c r="S164" s="104"/>
      <c r="T164" s="86"/>
      <c r="U164" s="86"/>
    </row>
    <row r="165" spans="1:21" ht="15.75" x14ac:dyDescent="0.25">
      <c r="A165" s="77" t="s">
        <v>1627</v>
      </c>
      <c r="B165" s="70" t="s">
        <v>5103</v>
      </c>
      <c r="C165" s="71">
        <v>-250000</v>
      </c>
      <c r="D165" s="71">
        <v>-250000</v>
      </c>
      <c r="E165" s="71">
        <v>-250000</v>
      </c>
      <c r="F165" s="71">
        <v>-250000</v>
      </c>
      <c r="G165" s="71">
        <v>-250000</v>
      </c>
      <c r="H165" s="71">
        <v>-250000</v>
      </c>
      <c r="I165" s="71">
        <v>-250000</v>
      </c>
      <c r="J165" s="71">
        <v>-250000</v>
      </c>
      <c r="K165" s="71">
        <v>-250000</v>
      </c>
      <c r="L165" s="71">
        <v>-250000</v>
      </c>
      <c r="M165" s="71">
        <v>-250000</v>
      </c>
      <c r="N165" s="71">
        <v>-250000</v>
      </c>
      <c r="O165" s="86">
        <v>-250000</v>
      </c>
      <c r="P165" s="84">
        <v>-250000</v>
      </c>
      <c r="Q165" s="79"/>
      <c r="R165" s="86"/>
      <c r="S165" s="104"/>
      <c r="T165" s="86"/>
      <c r="U165" s="86"/>
    </row>
    <row r="166" spans="1:21" ht="15.75" x14ac:dyDescent="0.25">
      <c r="A166" s="79" t="s">
        <v>1631</v>
      </c>
      <c r="B166" s="70" t="s">
        <v>5104</v>
      </c>
      <c r="C166" s="71">
        <v>0</v>
      </c>
      <c r="D166" s="71">
        <v>0</v>
      </c>
      <c r="E166" s="71">
        <v>0</v>
      </c>
      <c r="F166" s="71">
        <v>0</v>
      </c>
      <c r="G166" s="71">
        <v>0</v>
      </c>
      <c r="H166" s="71">
        <v>0</v>
      </c>
      <c r="I166" s="71">
        <v>0</v>
      </c>
      <c r="J166" s="71">
        <v>0</v>
      </c>
      <c r="K166" s="71">
        <v>0</v>
      </c>
      <c r="L166" s="71">
        <v>0</v>
      </c>
      <c r="M166" s="71">
        <v>0</v>
      </c>
      <c r="N166" s="71">
        <v>0</v>
      </c>
      <c r="O166" s="86">
        <v>0</v>
      </c>
      <c r="P166" s="84">
        <v>0</v>
      </c>
      <c r="Q166" s="79"/>
      <c r="R166" s="86"/>
      <c r="S166" s="104"/>
      <c r="T166" s="86"/>
      <c r="U166" s="86"/>
    </row>
    <row r="167" spans="1:21" ht="15.75" x14ac:dyDescent="0.25">
      <c r="A167" s="80" t="s">
        <v>1616</v>
      </c>
      <c r="B167" s="70" t="s">
        <v>5105</v>
      </c>
      <c r="C167" s="71">
        <v>0</v>
      </c>
      <c r="D167" s="71">
        <v>0</v>
      </c>
      <c r="E167" s="71">
        <v>0</v>
      </c>
      <c r="F167" s="71">
        <v>0</v>
      </c>
      <c r="G167" s="71">
        <v>0</v>
      </c>
      <c r="H167" s="71">
        <v>0</v>
      </c>
      <c r="I167" s="71">
        <v>0</v>
      </c>
      <c r="J167" s="71">
        <v>0</v>
      </c>
      <c r="K167" s="71">
        <v>0</v>
      </c>
      <c r="L167" s="71">
        <v>0</v>
      </c>
      <c r="M167" s="71">
        <v>0</v>
      </c>
      <c r="N167" s="71">
        <v>0</v>
      </c>
      <c r="O167" s="86">
        <v>0</v>
      </c>
      <c r="P167" s="84">
        <v>0</v>
      </c>
      <c r="Q167" s="79"/>
      <c r="R167" s="86"/>
      <c r="S167" s="104"/>
      <c r="T167" s="86"/>
      <c r="U167" s="86"/>
    </row>
    <row r="168" spans="1:21" ht="15.75" x14ac:dyDescent="0.25">
      <c r="A168" s="80" t="s">
        <v>1635</v>
      </c>
      <c r="B168" s="70" t="s">
        <v>2911</v>
      </c>
      <c r="C168" s="71">
        <v>0</v>
      </c>
      <c r="D168" s="71">
        <v>0</v>
      </c>
      <c r="E168" s="71">
        <v>0</v>
      </c>
      <c r="F168" s="71">
        <v>0</v>
      </c>
      <c r="G168" s="71">
        <v>0</v>
      </c>
      <c r="H168" s="71">
        <v>0</v>
      </c>
      <c r="I168" s="71">
        <v>0</v>
      </c>
      <c r="J168" s="71">
        <v>0</v>
      </c>
      <c r="K168" s="71">
        <v>0</v>
      </c>
      <c r="L168" s="71">
        <v>0</v>
      </c>
      <c r="M168" s="71">
        <v>0</v>
      </c>
      <c r="N168" s="71">
        <v>-125000</v>
      </c>
      <c r="O168" s="86">
        <v>-125000</v>
      </c>
      <c r="P168" s="84">
        <v>-19230.76923076923</v>
      </c>
      <c r="Q168" s="80"/>
      <c r="R168" s="86"/>
      <c r="S168" s="104"/>
      <c r="T168" s="86"/>
      <c r="U168" s="86"/>
    </row>
    <row r="169" spans="1:21" ht="15.75" x14ac:dyDescent="0.25">
      <c r="A169" s="80" t="s">
        <v>1639</v>
      </c>
      <c r="B169" s="70" t="s">
        <v>5107</v>
      </c>
      <c r="C169" s="71">
        <v>-85950</v>
      </c>
      <c r="D169" s="71">
        <v>-85950</v>
      </c>
      <c r="E169" s="71">
        <v>-85950</v>
      </c>
      <c r="F169" s="71">
        <v>-85950</v>
      </c>
      <c r="G169" s="71">
        <v>-85950</v>
      </c>
      <c r="H169" s="71">
        <v>-85950</v>
      </c>
      <c r="I169" s="71">
        <v>-85950</v>
      </c>
      <c r="J169" s="71">
        <v>-85950</v>
      </c>
      <c r="K169" s="71">
        <v>-85950</v>
      </c>
      <c r="L169" s="71">
        <v>-85950</v>
      </c>
      <c r="M169" s="71">
        <v>-85950</v>
      </c>
      <c r="N169" s="71">
        <v>-85950</v>
      </c>
      <c r="O169" s="86">
        <v>-85950</v>
      </c>
      <c r="P169" s="84">
        <v>-85950</v>
      </c>
      <c r="Q169" s="80"/>
      <c r="R169" s="86"/>
      <c r="S169" s="104"/>
      <c r="T169" s="86"/>
      <c r="U169" s="86"/>
    </row>
    <row r="170" spans="1:21" ht="15.75" x14ac:dyDescent="0.25">
      <c r="A170" s="80" t="s">
        <v>1640</v>
      </c>
      <c r="B170" s="70" t="s">
        <v>5108</v>
      </c>
      <c r="C170" s="71">
        <v>-210000</v>
      </c>
      <c r="D170" s="71">
        <v>-210000</v>
      </c>
      <c r="E170" s="71">
        <v>-210000</v>
      </c>
      <c r="F170" s="71">
        <v>-210000</v>
      </c>
      <c r="G170" s="71">
        <v>-210000</v>
      </c>
      <c r="H170" s="71">
        <v>-210000</v>
      </c>
      <c r="I170" s="71">
        <v>-210000</v>
      </c>
      <c r="J170" s="71">
        <v>-210000</v>
      </c>
      <c r="K170" s="71">
        <v>-210000</v>
      </c>
      <c r="L170" s="71">
        <v>-210000</v>
      </c>
      <c r="M170" s="71">
        <v>-210000</v>
      </c>
      <c r="N170" s="71">
        <v>-210000</v>
      </c>
      <c r="O170" s="86">
        <v>-210000</v>
      </c>
      <c r="P170" s="84">
        <v>-210000</v>
      </c>
      <c r="Q170" s="80"/>
      <c r="R170" s="86"/>
      <c r="S170" s="104"/>
      <c r="T170" s="86"/>
      <c r="U170" s="86"/>
    </row>
    <row r="171" spans="1:21" ht="15.75" x14ac:dyDescent="0.25">
      <c r="A171" s="80" t="s">
        <v>1642</v>
      </c>
      <c r="B171" s="70" t="s">
        <v>5109</v>
      </c>
      <c r="C171" s="71">
        <v>-60685</v>
      </c>
      <c r="D171" s="71">
        <v>-60685</v>
      </c>
      <c r="E171" s="71">
        <v>-60685</v>
      </c>
      <c r="F171" s="71">
        <v>-60685</v>
      </c>
      <c r="G171" s="71">
        <v>-60685</v>
      </c>
      <c r="H171" s="71">
        <v>-60685</v>
      </c>
      <c r="I171" s="71">
        <v>-60685</v>
      </c>
      <c r="J171" s="71">
        <v>-60685</v>
      </c>
      <c r="K171" s="71">
        <v>-60685</v>
      </c>
      <c r="L171" s="71">
        <v>-60685</v>
      </c>
      <c r="M171" s="71">
        <v>-60685</v>
      </c>
      <c r="N171" s="71">
        <v>-60685</v>
      </c>
      <c r="O171" s="86">
        <v>-60685</v>
      </c>
      <c r="P171" s="84">
        <v>-60685</v>
      </c>
      <c r="Q171" s="80"/>
      <c r="R171" s="86"/>
      <c r="S171" s="104"/>
      <c r="T171" s="86"/>
      <c r="U171" s="86"/>
    </row>
    <row r="172" spans="1:21" ht="15.75" x14ac:dyDescent="0.25">
      <c r="A172" s="80" t="s">
        <v>1644</v>
      </c>
      <c r="B172" s="70" t="s">
        <v>5110</v>
      </c>
      <c r="C172" s="71">
        <v>-86400</v>
      </c>
      <c r="D172" s="71">
        <v>-86400</v>
      </c>
      <c r="E172" s="71">
        <v>-86400</v>
      </c>
      <c r="F172" s="71">
        <v>-86400</v>
      </c>
      <c r="G172" s="71">
        <v>-86400</v>
      </c>
      <c r="H172" s="71">
        <v>-86400</v>
      </c>
      <c r="I172" s="71">
        <v>-86400</v>
      </c>
      <c r="J172" s="71">
        <v>-86400</v>
      </c>
      <c r="K172" s="71">
        <v>-86400</v>
      </c>
      <c r="L172" s="71">
        <v>-86400</v>
      </c>
      <c r="M172" s="71">
        <v>-86400</v>
      </c>
      <c r="N172" s="71">
        <v>-86400</v>
      </c>
      <c r="O172" s="86">
        <v>-86400</v>
      </c>
      <c r="P172" s="84">
        <v>-86400</v>
      </c>
      <c r="Q172" s="80"/>
      <c r="R172" s="86"/>
      <c r="S172" s="104"/>
      <c r="T172" s="86"/>
      <c r="U172" s="86"/>
    </row>
    <row r="173" spans="1:21" ht="15.75" x14ac:dyDescent="0.25">
      <c r="A173" s="80" t="s">
        <v>1646</v>
      </c>
      <c r="B173" s="70" t="s">
        <v>5111</v>
      </c>
      <c r="C173" s="71">
        <v>-330000</v>
      </c>
      <c r="D173" s="71">
        <v>-330000</v>
      </c>
      <c r="E173" s="71">
        <v>-330000</v>
      </c>
      <c r="F173" s="71">
        <v>-330000</v>
      </c>
      <c r="G173" s="71">
        <v>-330000</v>
      </c>
      <c r="H173" s="71">
        <v>-330000</v>
      </c>
      <c r="I173" s="71">
        <v>-330000</v>
      </c>
      <c r="J173" s="71">
        <v>-330000</v>
      </c>
      <c r="K173" s="71">
        <v>-330000</v>
      </c>
      <c r="L173" s="71">
        <v>-330000</v>
      </c>
      <c r="M173" s="71">
        <v>-330000</v>
      </c>
      <c r="N173" s="71">
        <v>-330000</v>
      </c>
      <c r="O173" s="86">
        <v>-330000</v>
      </c>
      <c r="P173" s="84">
        <v>-330000</v>
      </c>
      <c r="Q173" s="80"/>
      <c r="R173" s="86"/>
      <c r="S173" s="104"/>
      <c r="T173" s="86"/>
      <c r="U173" s="86"/>
    </row>
    <row r="174" spans="1:21" ht="15.75" x14ac:dyDescent="0.25">
      <c r="A174" s="80" t="s">
        <v>5112</v>
      </c>
      <c r="B174" s="98" t="s">
        <v>365</v>
      </c>
      <c r="C174" s="71">
        <v>-100000</v>
      </c>
      <c r="D174" s="71">
        <v>-100000</v>
      </c>
      <c r="E174" s="71">
        <v>-100000</v>
      </c>
      <c r="F174" s="71">
        <v>-100000</v>
      </c>
      <c r="G174" s="71">
        <v>-100000</v>
      </c>
      <c r="H174" s="71">
        <v>-100000</v>
      </c>
      <c r="I174" s="71">
        <v>-100000</v>
      </c>
      <c r="J174" s="71">
        <v>-100000</v>
      </c>
      <c r="K174" s="71">
        <v>-100000</v>
      </c>
      <c r="L174" s="71">
        <v>-100000</v>
      </c>
      <c r="M174" s="71">
        <v>-100000</v>
      </c>
      <c r="N174" s="71">
        <v>-100000</v>
      </c>
      <c r="O174" s="71">
        <v>-100000</v>
      </c>
      <c r="P174" s="84">
        <v>-100000</v>
      </c>
      <c r="Q174" s="80"/>
      <c r="R174" s="86"/>
      <c r="S174" s="104"/>
      <c r="T174" s="86"/>
      <c r="U174" s="86"/>
    </row>
    <row r="175" spans="1:21" ht="15.75" x14ac:dyDescent="0.25">
      <c r="A175" s="80" t="s">
        <v>1649</v>
      </c>
      <c r="B175" s="70" t="s">
        <v>5113</v>
      </c>
      <c r="C175" s="71">
        <v>-250000</v>
      </c>
      <c r="D175" s="71">
        <v>-250000</v>
      </c>
      <c r="E175" s="71">
        <v>-250000</v>
      </c>
      <c r="F175" s="71">
        <v>-250000</v>
      </c>
      <c r="G175" s="71">
        <v>-250000</v>
      </c>
      <c r="H175" s="71">
        <v>-250000</v>
      </c>
      <c r="I175" s="71">
        <v>-250000</v>
      </c>
      <c r="J175" s="71">
        <v>-250000</v>
      </c>
      <c r="K175" s="71">
        <v>-250000</v>
      </c>
      <c r="L175" s="71">
        <v>-250000</v>
      </c>
      <c r="M175" s="71">
        <v>-250000</v>
      </c>
      <c r="N175" s="71">
        <v>-250000</v>
      </c>
      <c r="O175" s="86">
        <v>-250000</v>
      </c>
      <c r="P175" s="84">
        <v>-250000</v>
      </c>
      <c r="Q175" s="79"/>
      <c r="R175" s="86"/>
      <c r="S175" s="104"/>
      <c r="T175" s="86"/>
      <c r="U175" s="86"/>
    </row>
    <row r="176" spans="1:21" ht="15.75" x14ac:dyDescent="0.25">
      <c r="A176" s="79" t="s">
        <v>1658</v>
      </c>
      <c r="B176" s="70" t="s">
        <v>5114</v>
      </c>
      <c r="C176" s="71">
        <v>0</v>
      </c>
      <c r="D176" s="71">
        <v>0</v>
      </c>
      <c r="E176" s="71">
        <v>0</v>
      </c>
      <c r="F176" s="71">
        <v>0</v>
      </c>
      <c r="G176" s="71">
        <v>0</v>
      </c>
      <c r="H176" s="71">
        <v>0</v>
      </c>
      <c r="I176" s="71">
        <v>0</v>
      </c>
      <c r="J176" s="71">
        <v>0</v>
      </c>
      <c r="K176" s="71">
        <v>0</v>
      </c>
      <c r="L176" s="71">
        <v>0</v>
      </c>
      <c r="M176" s="71">
        <v>0</v>
      </c>
      <c r="N176" s="71">
        <v>0</v>
      </c>
      <c r="O176" s="86">
        <v>0</v>
      </c>
      <c r="P176" s="84">
        <v>0</v>
      </c>
      <c r="Q176" s="80"/>
      <c r="R176" s="86"/>
      <c r="S176" s="104"/>
      <c r="T176" s="86"/>
      <c r="U176" s="86"/>
    </row>
    <row r="177" spans="1:34" ht="15.75" x14ac:dyDescent="0.25">
      <c r="A177" s="80" t="s">
        <v>1637</v>
      </c>
      <c r="B177" s="70" t="s">
        <v>5115</v>
      </c>
      <c r="C177" s="71">
        <v>-190000</v>
      </c>
      <c r="D177" s="71">
        <v>-190000</v>
      </c>
      <c r="E177" s="71">
        <v>-190000</v>
      </c>
      <c r="F177" s="71">
        <v>-190000</v>
      </c>
      <c r="G177" s="71">
        <v>-190000</v>
      </c>
      <c r="H177" s="71">
        <v>-190000</v>
      </c>
      <c r="I177" s="71">
        <v>-190000</v>
      </c>
      <c r="J177" s="71">
        <v>-190000</v>
      </c>
      <c r="K177" s="71">
        <v>-190000</v>
      </c>
      <c r="L177" s="71">
        <v>-190000</v>
      </c>
      <c r="M177" s="71">
        <v>-190000</v>
      </c>
      <c r="N177" s="71">
        <v>-190000</v>
      </c>
      <c r="O177" s="86">
        <v>-190000</v>
      </c>
      <c r="P177" s="84">
        <v>-190000</v>
      </c>
      <c r="Q177" s="79"/>
      <c r="R177" s="86"/>
      <c r="S177" s="104"/>
      <c r="T177" s="86"/>
      <c r="U177" s="86"/>
    </row>
    <row r="178" spans="1:34" ht="15.75" x14ac:dyDescent="0.25">
      <c r="A178" s="80" t="s">
        <v>1651</v>
      </c>
      <c r="B178" s="98" t="s">
        <v>5116</v>
      </c>
      <c r="C178" s="71">
        <v>-54200</v>
      </c>
      <c r="D178" s="71">
        <v>-54200</v>
      </c>
      <c r="E178" s="71">
        <v>-54200</v>
      </c>
      <c r="F178" s="71">
        <v>-54200</v>
      </c>
      <c r="G178" s="71">
        <v>-54200</v>
      </c>
      <c r="H178" s="71">
        <v>-54200</v>
      </c>
      <c r="I178" s="71">
        <v>-54200</v>
      </c>
      <c r="J178" s="71">
        <v>-54200</v>
      </c>
      <c r="K178" s="71">
        <v>-54200</v>
      </c>
      <c r="L178" s="71">
        <v>-54200</v>
      </c>
      <c r="M178" s="71">
        <v>-54200</v>
      </c>
      <c r="N178" s="71">
        <v>-54200</v>
      </c>
      <c r="O178" s="86">
        <v>-54200</v>
      </c>
      <c r="P178" s="84">
        <v>-54200</v>
      </c>
      <c r="Q178" s="77"/>
      <c r="R178" s="86"/>
      <c r="S178" s="104"/>
      <c r="T178" s="86"/>
      <c r="U178" s="86"/>
    </row>
    <row r="179" spans="1:34" ht="15.75" x14ac:dyDescent="0.25">
      <c r="A179" s="80" t="s">
        <v>1652</v>
      </c>
      <c r="B179" s="98" t="s">
        <v>5117</v>
      </c>
      <c r="C179" s="71">
        <v>-51600</v>
      </c>
      <c r="D179" s="71">
        <v>-51600</v>
      </c>
      <c r="E179" s="71">
        <v>-51600</v>
      </c>
      <c r="F179" s="71">
        <v>-51600</v>
      </c>
      <c r="G179" s="71">
        <v>-51600</v>
      </c>
      <c r="H179" s="71">
        <v>-51600</v>
      </c>
      <c r="I179" s="71">
        <v>-51600</v>
      </c>
      <c r="J179" s="71">
        <v>-51600</v>
      </c>
      <c r="K179" s="71">
        <v>-51600</v>
      </c>
      <c r="L179" s="71">
        <v>-51600</v>
      </c>
      <c r="M179" s="71">
        <v>-51600</v>
      </c>
      <c r="N179" s="71">
        <v>-51600</v>
      </c>
      <c r="O179" s="86">
        <v>-51600</v>
      </c>
      <c r="P179" s="84">
        <v>-51600</v>
      </c>
      <c r="Q179" s="77"/>
      <c r="R179" s="86"/>
      <c r="S179" s="104"/>
      <c r="T179" s="86"/>
      <c r="U179" s="86"/>
    </row>
    <row r="180" spans="1:34" ht="15.75" x14ac:dyDescent="0.25">
      <c r="A180" s="80" t="s">
        <v>1654</v>
      </c>
      <c r="B180" s="98" t="s">
        <v>5118</v>
      </c>
      <c r="C180" s="71">
        <v>0</v>
      </c>
      <c r="D180" s="71">
        <v>0</v>
      </c>
      <c r="E180" s="71">
        <v>0</v>
      </c>
      <c r="F180" s="71">
        <v>0</v>
      </c>
      <c r="G180" s="71">
        <v>0</v>
      </c>
      <c r="H180" s="71">
        <v>0</v>
      </c>
      <c r="I180" s="71">
        <v>0</v>
      </c>
      <c r="J180" s="71">
        <v>0</v>
      </c>
      <c r="K180" s="71">
        <v>0</v>
      </c>
      <c r="L180" s="71">
        <v>0</v>
      </c>
      <c r="M180" s="71">
        <v>0</v>
      </c>
      <c r="N180" s="71">
        <v>0</v>
      </c>
      <c r="O180" s="86">
        <v>0</v>
      </c>
      <c r="P180" s="84">
        <v>0</v>
      </c>
      <c r="Q180" s="77"/>
      <c r="R180" s="86"/>
      <c r="S180" s="104"/>
      <c r="T180" s="86"/>
      <c r="U180" s="86"/>
    </row>
    <row r="181" spans="1:34" ht="14.65" customHeight="1" x14ac:dyDescent="0.2">
      <c r="A181" s="77" t="s">
        <v>1669</v>
      </c>
      <c r="B181" s="70" t="s">
        <v>5119</v>
      </c>
      <c r="C181" s="71">
        <v>-448</v>
      </c>
      <c r="D181" s="71">
        <v>-440</v>
      </c>
      <c r="E181" s="71">
        <v>-432</v>
      </c>
      <c r="F181" s="71">
        <v>-424</v>
      </c>
      <c r="G181" s="71">
        <v>-417</v>
      </c>
      <c r="H181" s="71">
        <v>-409</v>
      </c>
      <c r="I181" s="71">
        <v>-401</v>
      </c>
      <c r="J181" s="71">
        <v>-393</v>
      </c>
      <c r="K181" s="71">
        <v>-385</v>
      </c>
      <c r="L181" s="71">
        <v>-377</v>
      </c>
      <c r="M181" s="71">
        <v>-369</v>
      </c>
      <c r="N181" s="71">
        <v>-362</v>
      </c>
      <c r="O181" s="71">
        <v>-354</v>
      </c>
      <c r="P181" s="84">
        <v>-400.84615384615387</v>
      </c>
      <c r="Q181" s="77"/>
      <c r="R181" s="71"/>
      <c r="S181" s="104"/>
      <c r="T181" s="71"/>
      <c r="U181" s="71"/>
    </row>
    <row r="182" spans="1:34" x14ac:dyDescent="0.2">
      <c r="A182" s="77" t="s">
        <v>1494</v>
      </c>
      <c r="B182" s="70" t="s">
        <v>5120</v>
      </c>
      <c r="C182" s="71">
        <v>4433</v>
      </c>
      <c r="D182" s="71">
        <v>4393</v>
      </c>
      <c r="E182" s="71">
        <v>4352</v>
      </c>
      <c r="F182" s="71">
        <v>4312</v>
      </c>
      <c r="G182" s="71">
        <v>4272</v>
      </c>
      <c r="H182" s="71">
        <v>4231</v>
      </c>
      <c r="I182" s="71">
        <v>4191</v>
      </c>
      <c r="J182" s="71">
        <v>4150</v>
      </c>
      <c r="K182" s="71">
        <v>4110</v>
      </c>
      <c r="L182" s="71">
        <v>4070</v>
      </c>
      <c r="M182" s="71">
        <v>4029</v>
      </c>
      <c r="N182" s="71">
        <v>3989</v>
      </c>
      <c r="O182" s="71">
        <v>3948</v>
      </c>
      <c r="P182" s="84">
        <v>4190.7692307692305</v>
      </c>
      <c r="Q182" s="77"/>
      <c r="R182" s="71"/>
      <c r="S182" s="104"/>
      <c r="T182" s="71"/>
      <c r="U182" s="71"/>
    </row>
    <row r="183" spans="1:34" x14ac:dyDescent="0.2">
      <c r="A183" s="77" t="s">
        <v>1523</v>
      </c>
      <c r="B183" s="70" t="s">
        <v>5121</v>
      </c>
      <c r="C183" s="71">
        <v>-200086</v>
      </c>
      <c r="D183" s="71">
        <v>-199450</v>
      </c>
      <c r="E183" s="71">
        <v>-200303</v>
      </c>
      <c r="F183" s="71">
        <v>-199706</v>
      </c>
      <c r="G183" s="71">
        <v>-200560</v>
      </c>
      <c r="H183" s="71">
        <v>-201413</v>
      </c>
      <c r="I183" s="71">
        <v>-201177</v>
      </c>
      <c r="J183" s="71">
        <v>-202030</v>
      </c>
      <c r="K183" s="71">
        <v>-203884</v>
      </c>
      <c r="L183" s="71">
        <v>-193298</v>
      </c>
      <c r="M183" s="71">
        <v>-194152</v>
      </c>
      <c r="N183" s="71">
        <v>-195005</v>
      </c>
      <c r="O183" s="71">
        <v>-197559</v>
      </c>
      <c r="P183" s="84">
        <v>-199124.84615384616</v>
      </c>
      <c r="Q183" s="79"/>
      <c r="R183" s="71"/>
      <c r="S183" s="104"/>
      <c r="T183" s="71"/>
      <c r="U183" s="71"/>
    </row>
    <row r="184" spans="1:34" x14ac:dyDescent="0.2">
      <c r="A184" s="79" t="s">
        <v>1495</v>
      </c>
      <c r="B184" s="70" t="s">
        <v>5122</v>
      </c>
      <c r="C184" s="71">
        <v>-24310</v>
      </c>
      <c r="D184" s="71">
        <v>-24643</v>
      </c>
      <c r="E184" s="71">
        <v>-24976</v>
      </c>
      <c r="F184" s="71">
        <v>-25310</v>
      </c>
      <c r="G184" s="71">
        <v>-25643</v>
      </c>
      <c r="H184" s="71">
        <v>-25976</v>
      </c>
      <c r="I184" s="71">
        <v>-26310</v>
      </c>
      <c r="J184" s="71">
        <v>-26643</v>
      </c>
      <c r="K184" s="71">
        <v>-26976</v>
      </c>
      <c r="L184" s="71">
        <v>-27310</v>
      </c>
      <c r="M184" s="71">
        <v>-27643</v>
      </c>
      <c r="N184" s="71">
        <v>-27976</v>
      </c>
      <c r="O184" s="71">
        <v>-28310</v>
      </c>
      <c r="P184" s="84">
        <v>-26309.692307692309</v>
      </c>
      <c r="Q184" s="79"/>
      <c r="R184" s="71"/>
      <c r="S184" s="104"/>
      <c r="T184" s="71"/>
      <c r="U184" s="71"/>
      <c r="AH184" s="70">
        <v>-333</v>
      </c>
    </row>
    <row r="185" spans="1:34" x14ac:dyDescent="0.2">
      <c r="A185" s="79" t="s">
        <v>1497</v>
      </c>
      <c r="B185" s="70" t="s">
        <v>5123</v>
      </c>
      <c r="C185" s="71">
        <v>-9355</v>
      </c>
      <c r="D185" s="71">
        <v>-9389</v>
      </c>
      <c r="E185" s="71">
        <v>-9423</v>
      </c>
      <c r="F185" s="71">
        <v>-9457</v>
      </c>
      <c r="G185" s="71">
        <v>-9491</v>
      </c>
      <c r="H185" s="71">
        <v>-9525</v>
      </c>
      <c r="I185" s="71">
        <v>-9559</v>
      </c>
      <c r="J185" s="71">
        <v>-9593</v>
      </c>
      <c r="K185" s="71">
        <v>-9627</v>
      </c>
      <c r="L185" s="71">
        <v>-9661</v>
      </c>
      <c r="M185" s="71">
        <v>-9695</v>
      </c>
      <c r="N185" s="71">
        <v>-9729</v>
      </c>
      <c r="O185" s="71">
        <v>-9761</v>
      </c>
      <c r="P185" s="84">
        <v>-9558.8461538461543</v>
      </c>
      <c r="Q185" s="79"/>
      <c r="R185" s="71"/>
      <c r="S185" s="104"/>
      <c r="T185" s="71"/>
      <c r="U185" s="71"/>
      <c r="AH185" s="70">
        <v>-34</v>
      </c>
    </row>
    <row r="186" spans="1:34" x14ac:dyDescent="0.2">
      <c r="A186" s="79" t="s">
        <v>1499</v>
      </c>
      <c r="B186" s="70" t="s">
        <v>5124</v>
      </c>
      <c r="C186" s="71">
        <v>-10501</v>
      </c>
      <c r="D186" s="71">
        <v>-10545</v>
      </c>
      <c r="E186" s="71">
        <v>-10589</v>
      </c>
      <c r="F186" s="71">
        <v>-10633</v>
      </c>
      <c r="G186" s="71">
        <v>-10677</v>
      </c>
      <c r="H186" s="71">
        <v>-10721</v>
      </c>
      <c r="I186" s="71">
        <v>-10765</v>
      </c>
      <c r="J186" s="71">
        <v>-10809</v>
      </c>
      <c r="K186" s="71">
        <v>-10853</v>
      </c>
      <c r="L186" s="71">
        <v>-10897</v>
      </c>
      <c r="M186" s="71">
        <v>-10941</v>
      </c>
      <c r="N186" s="71">
        <v>-10985</v>
      </c>
      <c r="O186" s="71">
        <v>-11035</v>
      </c>
      <c r="P186" s="84">
        <v>-10765.461538461539</v>
      </c>
      <c r="Q186" s="79"/>
      <c r="R186" s="71"/>
      <c r="S186" s="104"/>
      <c r="T186" s="71"/>
      <c r="U186" s="71"/>
      <c r="AH186" s="70">
        <v>-44</v>
      </c>
    </row>
    <row r="187" spans="1:34" x14ac:dyDescent="0.2">
      <c r="A187" s="79" t="s">
        <v>1503</v>
      </c>
      <c r="B187" s="70" t="s">
        <v>4</v>
      </c>
      <c r="C187" s="71">
        <v>-304</v>
      </c>
      <c r="D187" s="71">
        <v>-306</v>
      </c>
      <c r="E187" s="71">
        <v>-308</v>
      </c>
      <c r="F187" s="71">
        <v>-310</v>
      </c>
      <c r="G187" s="71">
        <v>-312</v>
      </c>
      <c r="H187" s="71">
        <v>-314</v>
      </c>
      <c r="I187" s="71">
        <v>-316</v>
      </c>
      <c r="J187" s="71">
        <v>-318</v>
      </c>
      <c r="K187" s="71">
        <v>-320</v>
      </c>
      <c r="L187" s="71">
        <v>-322</v>
      </c>
      <c r="M187" s="71">
        <v>-324</v>
      </c>
      <c r="N187" s="71">
        <v>-326</v>
      </c>
      <c r="O187" s="71">
        <v>-324</v>
      </c>
      <c r="P187" s="84">
        <v>-315.69230769230768</v>
      </c>
      <c r="Q187" s="79"/>
      <c r="R187" s="71"/>
      <c r="S187" s="104"/>
      <c r="T187" s="71"/>
      <c r="U187" s="71"/>
      <c r="AH187" s="70">
        <v>-2</v>
      </c>
    </row>
    <row r="188" spans="1:34" x14ac:dyDescent="0.2">
      <c r="A188" s="79" t="s">
        <v>1505</v>
      </c>
      <c r="B188" s="70" t="s">
        <v>5</v>
      </c>
      <c r="C188" s="71">
        <v>36914</v>
      </c>
      <c r="D188" s="71">
        <v>37268</v>
      </c>
      <c r="E188" s="71">
        <v>36700</v>
      </c>
      <c r="F188" s="71">
        <v>36132</v>
      </c>
      <c r="G188" s="71">
        <v>35564</v>
      </c>
      <c r="H188" s="71">
        <v>34996</v>
      </c>
      <c r="I188" s="71">
        <v>34427</v>
      </c>
      <c r="J188" s="71">
        <v>33859</v>
      </c>
      <c r="K188" s="71">
        <v>33291</v>
      </c>
      <c r="L188" s="71">
        <v>43071</v>
      </c>
      <c r="M188" s="71">
        <v>42503</v>
      </c>
      <c r="N188" s="71">
        <v>41935</v>
      </c>
      <c r="O188" s="71">
        <v>41366</v>
      </c>
      <c r="P188" s="84">
        <v>37540.461538461539</v>
      </c>
      <c r="Q188" s="79"/>
      <c r="R188" s="71"/>
      <c r="S188" s="104"/>
      <c r="T188" s="71"/>
      <c r="U188" s="71"/>
      <c r="AH188" s="70">
        <v>354</v>
      </c>
    </row>
    <row r="189" spans="1:34" x14ac:dyDescent="0.2">
      <c r="A189" s="80" t="s">
        <v>1507</v>
      </c>
      <c r="B189" s="70" t="s">
        <v>6</v>
      </c>
      <c r="C189" s="71">
        <v>-43232</v>
      </c>
      <c r="D189" s="71">
        <v>-43232</v>
      </c>
      <c r="E189" s="71">
        <v>-43232</v>
      </c>
      <c r="F189" s="71">
        <v>-42807</v>
      </c>
      <c r="G189" s="71">
        <v>-42807</v>
      </c>
      <c r="H189" s="71">
        <v>-42807</v>
      </c>
      <c r="I189" s="71">
        <v>-42382</v>
      </c>
      <c r="J189" s="71">
        <v>-42382</v>
      </c>
      <c r="K189" s="71">
        <v>-42382</v>
      </c>
      <c r="L189" s="71">
        <v>-41957</v>
      </c>
      <c r="M189" s="71">
        <v>-41957</v>
      </c>
      <c r="N189" s="71">
        <v>-41957</v>
      </c>
      <c r="O189" s="71">
        <v>-41531</v>
      </c>
      <c r="P189" s="84">
        <v>-42512.692307692305</v>
      </c>
      <c r="Q189" s="79"/>
      <c r="R189" s="71"/>
      <c r="S189" s="104"/>
      <c r="T189" s="71"/>
      <c r="U189" s="71"/>
    </row>
    <row r="190" spans="1:34" x14ac:dyDescent="0.2">
      <c r="A190" s="80" t="s">
        <v>1509</v>
      </c>
      <c r="B190" s="70" t="s">
        <v>7</v>
      </c>
      <c r="C190" s="71">
        <v>0</v>
      </c>
      <c r="D190" s="71">
        <v>0</v>
      </c>
      <c r="E190" s="71">
        <v>0</v>
      </c>
      <c r="F190" s="71">
        <v>0</v>
      </c>
      <c r="G190" s="71">
        <v>0</v>
      </c>
      <c r="H190" s="71">
        <v>0</v>
      </c>
      <c r="I190" s="71">
        <v>0</v>
      </c>
      <c r="J190" s="71">
        <v>0</v>
      </c>
      <c r="K190" s="71">
        <v>0</v>
      </c>
      <c r="L190" s="71">
        <v>0</v>
      </c>
      <c r="M190" s="71">
        <v>0</v>
      </c>
      <c r="N190" s="71">
        <v>0</v>
      </c>
      <c r="O190" s="71">
        <v>0</v>
      </c>
      <c r="P190" s="84">
        <v>0</v>
      </c>
      <c r="Q190" s="79"/>
      <c r="R190" s="71"/>
      <c r="S190" s="104"/>
      <c r="T190" s="71"/>
      <c r="U190" s="71"/>
    </row>
    <row r="191" spans="1:34" x14ac:dyDescent="0.2">
      <c r="A191" s="79" t="s">
        <v>1511</v>
      </c>
      <c r="B191" s="70" t="s">
        <v>8</v>
      </c>
      <c r="C191" s="71">
        <v>-6188</v>
      </c>
      <c r="D191" s="71">
        <v>-6252</v>
      </c>
      <c r="E191" s="71">
        <v>-6299</v>
      </c>
      <c r="F191" s="71">
        <v>-5985</v>
      </c>
      <c r="G191" s="71">
        <v>-6032</v>
      </c>
      <c r="H191" s="71">
        <v>-6079</v>
      </c>
      <c r="I191" s="71">
        <v>-6125</v>
      </c>
      <c r="J191" s="71">
        <v>-6172</v>
      </c>
      <c r="K191" s="71">
        <v>-6219</v>
      </c>
      <c r="L191" s="71">
        <v>-6265</v>
      </c>
      <c r="M191" s="71">
        <v>-6312</v>
      </c>
      <c r="N191" s="71">
        <v>-6359</v>
      </c>
      <c r="O191" s="71">
        <v>-6405</v>
      </c>
      <c r="P191" s="84">
        <v>-6207.0769230769229</v>
      </c>
      <c r="Q191" s="79"/>
      <c r="R191" s="71"/>
      <c r="S191" s="104"/>
      <c r="T191" s="71"/>
      <c r="U191" s="71"/>
      <c r="AH191" s="70">
        <v>-64</v>
      </c>
    </row>
    <row r="192" spans="1:34" x14ac:dyDescent="0.2">
      <c r="A192" s="79" t="s">
        <v>1513</v>
      </c>
      <c r="B192" s="70" t="s">
        <v>9</v>
      </c>
      <c r="C192" s="71">
        <v>-91835</v>
      </c>
      <c r="D192" s="71">
        <v>-91648</v>
      </c>
      <c r="E192" s="71">
        <v>-91796</v>
      </c>
      <c r="F192" s="71">
        <v>-91943</v>
      </c>
      <c r="G192" s="71">
        <v>-92091</v>
      </c>
      <c r="H192" s="71">
        <v>-92238</v>
      </c>
      <c r="I192" s="71">
        <v>-92386</v>
      </c>
      <c r="J192" s="71">
        <v>-92533</v>
      </c>
      <c r="K192" s="71">
        <v>-92681</v>
      </c>
      <c r="L192" s="71">
        <v>-92828</v>
      </c>
      <c r="M192" s="71">
        <v>-92976</v>
      </c>
      <c r="N192" s="71">
        <v>-93123</v>
      </c>
      <c r="O192" s="71">
        <v>-93271</v>
      </c>
      <c r="P192" s="84">
        <v>-92411.461538461532</v>
      </c>
      <c r="Q192" s="79"/>
      <c r="R192" s="71"/>
      <c r="S192" s="104"/>
      <c r="T192" s="71"/>
      <c r="U192" s="71"/>
      <c r="AH192" s="70">
        <v>187</v>
      </c>
    </row>
    <row r="193" spans="1:34" x14ac:dyDescent="0.2">
      <c r="A193" s="79" t="s">
        <v>1515</v>
      </c>
      <c r="B193" s="70" t="s">
        <v>10</v>
      </c>
      <c r="C193" s="71">
        <v>-19203</v>
      </c>
      <c r="D193" s="71">
        <v>-18631</v>
      </c>
      <c r="E193" s="71">
        <v>-18308</v>
      </c>
      <c r="F193" s="71">
        <v>-17986</v>
      </c>
      <c r="G193" s="71">
        <v>-17664</v>
      </c>
      <c r="H193" s="71">
        <v>-17342</v>
      </c>
      <c r="I193" s="71">
        <v>-17019</v>
      </c>
      <c r="J193" s="71">
        <v>-16697</v>
      </c>
      <c r="K193" s="71">
        <v>-17375</v>
      </c>
      <c r="L193" s="71">
        <v>-17052</v>
      </c>
      <c r="M193" s="71">
        <v>-16730</v>
      </c>
      <c r="N193" s="71">
        <v>-16408</v>
      </c>
      <c r="O193" s="71">
        <v>-18876</v>
      </c>
      <c r="P193" s="84">
        <v>-17637.76923076923</v>
      </c>
      <c r="Q193" s="77"/>
      <c r="R193" s="71"/>
      <c r="S193" s="104"/>
      <c r="T193" s="71"/>
      <c r="U193" s="71"/>
      <c r="AH193" s="70">
        <v>572</v>
      </c>
    </row>
    <row r="194" spans="1:34" x14ac:dyDescent="0.2">
      <c r="A194" s="80" t="s">
        <v>1517</v>
      </c>
      <c r="B194" s="70" t="s">
        <v>11</v>
      </c>
      <c r="C194" s="71">
        <v>0</v>
      </c>
      <c r="D194" s="71">
        <v>0</v>
      </c>
      <c r="E194" s="71">
        <v>0</v>
      </c>
      <c r="F194" s="71">
        <v>0</v>
      </c>
      <c r="G194" s="71">
        <v>0</v>
      </c>
      <c r="H194" s="71">
        <v>0</v>
      </c>
      <c r="I194" s="71">
        <v>0</v>
      </c>
      <c r="J194" s="71">
        <v>0</v>
      </c>
      <c r="K194" s="71">
        <v>0</v>
      </c>
      <c r="L194" s="71">
        <v>0</v>
      </c>
      <c r="M194" s="71">
        <v>0</v>
      </c>
      <c r="N194" s="71">
        <v>0</v>
      </c>
      <c r="O194" s="71">
        <v>0</v>
      </c>
      <c r="P194" s="84">
        <v>0</v>
      </c>
      <c r="Q194" s="77"/>
      <c r="R194" s="71"/>
      <c r="S194" s="104"/>
      <c r="T194" s="71"/>
      <c r="U194" s="71"/>
    </row>
    <row r="195" spans="1:34" x14ac:dyDescent="0.2">
      <c r="A195" s="80" t="s">
        <v>1519</v>
      </c>
      <c r="B195" s="70" t="s">
        <v>12</v>
      </c>
      <c r="C195" s="71">
        <v>-30829</v>
      </c>
      <c r="D195" s="71">
        <v>-30829</v>
      </c>
      <c r="E195" s="71">
        <v>-30829</v>
      </c>
      <c r="F195" s="71">
        <v>-30207</v>
      </c>
      <c r="G195" s="71">
        <v>-30207</v>
      </c>
      <c r="H195" s="71">
        <v>-30207</v>
      </c>
      <c r="I195" s="71">
        <v>-29585</v>
      </c>
      <c r="J195" s="71">
        <v>-29585</v>
      </c>
      <c r="K195" s="71">
        <v>-29585</v>
      </c>
      <c r="L195" s="71">
        <v>-28963</v>
      </c>
      <c r="M195" s="71">
        <v>-28963</v>
      </c>
      <c r="N195" s="71">
        <v>-28963</v>
      </c>
      <c r="O195" s="71">
        <v>-28341</v>
      </c>
      <c r="P195" s="84">
        <v>-29776.384615384617</v>
      </c>
      <c r="Q195" s="77"/>
      <c r="R195" s="71"/>
      <c r="S195" s="104"/>
      <c r="T195" s="71"/>
      <c r="U195" s="71"/>
    </row>
    <row r="196" spans="1:34" x14ac:dyDescent="0.2">
      <c r="A196" s="80" t="s">
        <v>1521</v>
      </c>
      <c r="B196" s="70" t="s">
        <v>13</v>
      </c>
      <c r="C196" s="71">
        <v>-1243</v>
      </c>
      <c r="D196" s="71">
        <v>-1243</v>
      </c>
      <c r="E196" s="71">
        <v>-1243</v>
      </c>
      <c r="F196" s="71">
        <v>-1200</v>
      </c>
      <c r="G196" s="71">
        <v>-1200</v>
      </c>
      <c r="H196" s="71">
        <v>-1200</v>
      </c>
      <c r="I196" s="71">
        <v>-1157</v>
      </c>
      <c r="J196" s="71">
        <v>-1157</v>
      </c>
      <c r="K196" s="71">
        <v>-1157</v>
      </c>
      <c r="L196" s="71">
        <v>-1114</v>
      </c>
      <c r="M196" s="71">
        <v>-1114</v>
      </c>
      <c r="N196" s="71">
        <v>-1114</v>
      </c>
      <c r="O196" s="71">
        <v>-1071</v>
      </c>
      <c r="P196" s="84">
        <v>-1170.2307692307693</v>
      </c>
      <c r="Q196" s="77"/>
      <c r="R196" s="71"/>
      <c r="S196" s="104"/>
      <c r="T196" s="71"/>
      <c r="U196" s="71"/>
    </row>
    <row r="197" spans="1:34" x14ac:dyDescent="0.2">
      <c r="A197" s="77" t="s">
        <v>1532</v>
      </c>
      <c r="B197" s="70" t="s">
        <v>431</v>
      </c>
      <c r="C197" s="71">
        <v>-27093</v>
      </c>
      <c r="D197" s="71">
        <v>-27096</v>
      </c>
      <c r="E197" s="71">
        <v>-27099</v>
      </c>
      <c r="F197" s="71">
        <v>-27102</v>
      </c>
      <c r="G197" s="71">
        <v>-27105</v>
      </c>
      <c r="H197" s="71">
        <v>-27108</v>
      </c>
      <c r="I197" s="71">
        <v>-27111</v>
      </c>
      <c r="J197" s="71">
        <v>-27114</v>
      </c>
      <c r="K197" s="71">
        <v>-27117</v>
      </c>
      <c r="L197" s="71">
        <v>-27120</v>
      </c>
      <c r="M197" s="71">
        <v>-27123</v>
      </c>
      <c r="N197" s="71">
        <v>-27126</v>
      </c>
      <c r="O197" s="71">
        <v>-27129</v>
      </c>
      <c r="P197" s="84">
        <v>-27111</v>
      </c>
      <c r="Q197" s="109"/>
      <c r="R197" s="71"/>
      <c r="S197" s="104"/>
      <c r="T197" s="71"/>
      <c r="U197" s="71"/>
    </row>
    <row r="198" spans="1:34" ht="14.65" customHeight="1" x14ac:dyDescent="0.25">
      <c r="A198" s="109" t="s">
        <v>1543</v>
      </c>
      <c r="B198" s="90" t="s">
        <v>14</v>
      </c>
      <c r="C198" s="110">
        <v>-58925</v>
      </c>
      <c r="D198" s="110">
        <v>-5943</v>
      </c>
      <c r="E198" s="110">
        <v>-38281</v>
      </c>
      <c r="F198" s="110">
        <v>-22452</v>
      </c>
      <c r="G198" s="110">
        <v>-39758</v>
      </c>
      <c r="H198" s="110">
        <v>-103756</v>
      </c>
      <c r="I198" s="110">
        <v>-111877</v>
      </c>
      <c r="J198" s="110">
        <v>-90355</v>
      </c>
      <c r="K198" s="110">
        <v>-91699</v>
      </c>
      <c r="L198" s="110">
        <v>-104539</v>
      </c>
      <c r="M198" s="110">
        <v>-46449</v>
      </c>
      <c r="N198" s="110">
        <v>0</v>
      </c>
      <c r="O198" s="110">
        <v>-19800</v>
      </c>
      <c r="P198" s="84">
        <v>-56448.769230769234</v>
      </c>
      <c r="Q198" s="111"/>
      <c r="R198" s="110"/>
      <c r="S198" s="104"/>
      <c r="T198" s="110"/>
      <c r="U198" s="110"/>
    </row>
    <row r="199" spans="1:34" ht="15.75" x14ac:dyDescent="0.25">
      <c r="A199" s="111" t="s">
        <v>1533</v>
      </c>
      <c r="B199" s="90" t="s">
        <v>15</v>
      </c>
      <c r="C199" s="110">
        <v>-58925</v>
      </c>
      <c r="D199" s="110">
        <v>-5943</v>
      </c>
      <c r="E199" s="110">
        <v>-38281</v>
      </c>
      <c r="F199" s="110">
        <v>-22452</v>
      </c>
      <c r="G199" s="110">
        <v>-39758</v>
      </c>
      <c r="H199" s="110">
        <v>-103756</v>
      </c>
      <c r="I199" s="110">
        <v>-111877</v>
      </c>
      <c r="J199" s="110">
        <v>-90355</v>
      </c>
      <c r="K199" s="110">
        <v>-91699</v>
      </c>
      <c r="L199" s="110">
        <v>-104539</v>
      </c>
      <c r="M199" s="110">
        <v>-46449</v>
      </c>
      <c r="N199" s="110">
        <v>0</v>
      </c>
      <c r="O199" s="110">
        <v>-19800</v>
      </c>
      <c r="P199" s="84">
        <v>-56448.769230769234</v>
      </c>
      <c r="Q199" s="77"/>
      <c r="R199" s="110"/>
      <c r="S199" s="104"/>
      <c r="T199" s="110"/>
      <c r="U199" s="110"/>
    </row>
    <row r="200" spans="1:34" x14ac:dyDescent="0.2">
      <c r="A200" s="77" t="s">
        <v>3195</v>
      </c>
      <c r="B200" s="70" t="s">
        <v>16</v>
      </c>
      <c r="C200" s="71">
        <v>-170401</v>
      </c>
      <c r="D200" s="71">
        <v>-183056</v>
      </c>
      <c r="E200" s="71">
        <v>-173354</v>
      </c>
      <c r="F200" s="71">
        <v>-172060</v>
      </c>
      <c r="G200" s="71">
        <v>-161467</v>
      </c>
      <c r="H200" s="71">
        <v>-184363</v>
      </c>
      <c r="I200" s="71">
        <v>-166332</v>
      </c>
      <c r="J200" s="71">
        <v>-171821</v>
      </c>
      <c r="K200" s="71">
        <v>-175770</v>
      </c>
      <c r="L200" s="71">
        <v>-159327</v>
      </c>
      <c r="M200" s="71">
        <v>-146222</v>
      </c>
      <c r="N200" s="71">
        <v>-139849</v>
      </c>
      <c r="O200" s="71">
        <v>-156408</v>
      </c>
      <c r="P200" s="84">
        <v>-166186.92307692306</v>
      </c>
      <c r="Q200" s="77"/>
      <c r="R200" s="71"/>
      <c r="S200" s="104"/>
      <c r="T200" s="71"/>
      <c r="U200" s="71"/>
    </row>
    <row r="201" spans="1:34" x14ac:dyDescent="0.2">
      <c r="A201" s="77" t="s">
        <v>17</v>
      </c>
      <c r="B201" s="70" t="s">
        <v>18</v>
      </c>
      <c r="C201" s="91">
        <v>-8828</v>
      </c>
      <c r="D201" s="71">
        <v>-11739</v>
      </c>
      <c r="E201" s="71">
        <v>-12976</v>
      </c>
      <c r="F201" s="71">
        <v>-9926</v>
      </c>
      <c r="G201" s="71">
        <v>-12440</v>
      </c>
      <c r="H201" s="71">
        <v>-15408</v>
      </c>
      <c r="I201" s="71">
        <v>-9845</v>
      </c>
      <c r="J201" s="71">
        <v>-14187</v>
      </c>
      <c r="K201" s="71">
        <v>-17587</v>
      </c>
      <c r="L201" s="71">
        <v>-9794</v>
      </c>
      <c r="M201" s="71">
        <v>-12439</v>
      </c>
      <c r="N201" s="71">
        <v>-13443</v>
      </c>
      <c r="O201" s="71">
        <v>-9966</v>
      </c>
      <c r="P201" s="84">
        <v>-12198.307692307691</v>
      </c>
      <c r="Q201" s="77"/>
      <c r="R201" s="71"/>
      <c r="S201" s="104"/>
      <c r="T201" s="71"/>
      <c r="U201" s="71"/>
    </row>
    <row r="202" spans="1:34" x14ac:dyDescent="0.2">
      <c r="A202" s="77" t="s">
        <v>1544</v>
      </c>
      <c r="B202" s="70" t="s">
        <v>19</v>
      </c>
      <c r="C202" s="71">
        <v>-15411</v>
      </c>
      <c r="D202" s="71">
        <v>-8000</v>
      </c>
      <c r="E202" s="71">
        <v>-8500</v>
      </c>
      <c r="F202" s="71">
        <v>-10000</v>
      </c>
      <c r="G202" s="71">
        <v>-8500</v>
      </c>
      <c r="H202" s="71">
        <v>-8500</v>
      </c>
      <c r="I202" s="71">
        <v>-10000</v>
      </c>
      <c r="J202" s="71">
        <v>-8500</v>
      </c>
      <c r="K202" s="71">
        <v>-8500</v>
      </c>
      <c r="L202" s="71">
        <v>-10000</v>
      </c>
      <c r="M202" s="71">
        <v>-10000</v>
      </c>
      <c r="N202" s="71">
        <v>-10000</v>
      </c>
      <c r="O202" s="71">
        <v>-18000</v>
      </c>
      <c r="P202" s="84">
        <v>-10300.846153846154</v>
      </c>
      <c r="Q202" s="77"/>
      <c r="R202" s="71"/>
      <c r="S202" s="104"/>
      <c r="T202" s="71"/>
      <c r="U202" s="71"/>
    </row>
    <row r="203" spans="1:34" x14ac:dyDescent="0.2">
      <c r="A203" s="77" t="s">
        <v>1546</v>
      </c>
      <c r="B203" s="70" t="s">
        <v>20</v>
      </c>
      <c r="C203" s="71">
        <v>-7182</v>
      </c>
      <c r="D203" s="71">
        <v>-36542</v>
      </c>
      <c r="E203" s="71">
        <v>-12355</v>
      </c>
      <c r="F203" s="71">
        <v>-10769</v>
      </c>
      <c r="G203" s="71">
        <v>-9042</v>
      </c>
      <c r="H203" s="71">
        <v>-22649</v>
      </c>
      <c r="I203" s="71">
        <v>-14306</v>
      </c>
      <c r="J203" s="71">
        <v>-11355</v>
      </c>
      <c r="K203" s="71">
        <v>-12391</v>
      </c>
      <c r="L203" s="71">
        <v>-7277</v>
      </c>
      <c r="M203" s="71">
        <v>-7574</v>
      </c>
      <c r="N203" s="71">
        <v>-3887</v>
      </c>
      <c r="O203" s="71">
        <v>-5893</v>
      </c>
      <c r="P203" s="84">
        <v>-12401.692307692309</v>
      </c>
      <c r="Q203" s="77"/>
      <c r="R203" s="71"/>
      <c r="S203" s="104"/>
      <c r="T203" s="71"/>
      <c r="U203" s="71"/>
    </row>
    <row r="204" spans="1:34" x14ac:dyDescent="0.2">
      <c r="A204" s="77" t="s">
        <v>1548</v>
      </c>
      <c r="B204" s="70" t="s">
        <v>21</v>
      </c>
      <c r="C204" s="71">
        <v>-25860</v>
      </c>
      <c r="D204" s="71">
        <v>-25834</v>
      </c>
      <c r="E204" s="71">
        <v>-22486</v>
      </c>
      <c r="F204" s="71">
        <v>-30789</v>
      </c>
      <c r="G204" s="71">
        <v>-29775</v>
      </c>
      <c r="H204" s="71">
        <v>-31765</v>
      </c>
      <c r="I204" s="71">
        <v>-31902</v>
      </c>
      <c r="J204" s="71">
        <v>-32127</v>
      </c>
      <c r="K204" s="71">
        <v>-31178</v>
      </c>
      <c r="L204" s="71">
        <v>-31652</v>
      </c>
      <c r="M204" s="71">
        <v>-26158</v>
      </c>
      <c r="N204" s="71">
        <v>-25801</v>
      </c>
      <c r="O204" s="71">
        <v>-23163</v>
      </c>
      <c r="P204" s="84">
        <v>-28345.384615384617</v>
      </c>
      <c r="Q204" s="77"/>
      <c r="R204" s="71"/>
      <c r="S204" s="104"/>
      <c r="T204" s="71"/>
      <c r="U204" s="71"/>
    </row>
    <row r="205" spans="1:34" x14ac:dyDescent="0.2">
      <c r="A205" s="77" t="s">
        <v>1552</v>
      </c>
      <c r="B205" s="70" t="s">
        <v>22</v>
      </c>
      <c r="C205" s="71">
        <v>-33727</v>
      </c>
      <c r="D205" s="71">
        <v>-64115</v>
      </c>
      <c r="E205" s="71">
        <v>-58875</v>
      </c>
      <c r="F205" s="71">
        <v>-60550</v>
      </c>
      <c r="G205" s="71">
        <v>-45300</v>
      </c>
      <c r="H205" s="71">
        <v>-41525</v>
      </c>
      <c r="I205" s="71">
        <v>-31440</v>
      </c>
      <c r="J205" s="71">
        <v>-31275</v>
      </c>
      <c r="K205" s="71">
        <v>-28488</v>
      </c>
      <c r="L205" s="71">
        <v>-27445</v>
      </c>
      <c r="M205" s="71">
        <v>-25600</v>
      </c>
      <c r="N205" s="71">
        <v>-36600</v>
      </c>
      <c r="O205" s="71">
        <v>-34730</v>
      </c>
      <c r="P205" s="84">
        <v>-39974.615384615383</v>
      </c>
      <c r="Q205" s="77"/>
      <c r="R205" s="71"/>
      <c r="S205" s="104"/>
      <c r="T205" s="71"/>
      <c r="U205" s="71"/>
    </row>
    <row r="206" spans="1:34" x14ac:dyDescent="0.2">
      <c r="A206" s="77" t="s">
        <v>1554</v>
      </c>
      <c r="B206" s="70" t="s">
        <v>23</v>
      </c>
      <c r="C206" s="71">
        <v>-2696</v>
      </c>
      <c r="D206" s="71">
        <v>-6413</v>
      </c>
      <c r="E206" s="71">
        <v>-6086</v>
      </c>
      <c r="F206" s="71">
        <v>-2402</v>
      </c>
      <c r="G206" s="71">
        <v>-2168</v>
      </c>
      <c r="H206" s="71">
        <v>-3776</v>
      </c>
      <c r="I206" s="71">
        <v>-5797</v>
      </c>
      <c r="J206" s="71">
        <v>-7384</v>
      </c>
      <c r="K206" s="71">
        <v>-8990</v>
      </c>
      <c r="L206" s="71">
        <v>-7804</v>
      </c>
      <c r="M206" s="71">
        <v>-4165</v>
      </c>
      <c r="N206" s="71">
        <v>-1965</v>
      </c>
      <c r="O206" s="71">
        <v>-2459</v>
      </c>
      <c r="P206" s="84">
        <v>-4777.3076923076924</v>
      </c>
      <c r="Q206" s="77"/>
      <c r="R206" s="71"/>
      <c r="S206" s="104"/>
      <c r="T206" s="71"/>
      <c r="U206" s="71"/>
    </row>
    <row r="207" spans="1:34" x14ac:dyDescent="0.2">
      <c r="A207" s="77" t="s">
        <v>1560</v>
      </c>
      <c r="B207" s="70" t="s">
        <v>24</v>
      </c>
      <c r="C207" s="71">
        <v>-10900</v>
      </c>
      <c r="D207" s="71">
        <v>-965</v>
      </c>
      <c r="E207" s="71">
        <v>-1929</v>
      </c>
      <c r="F207" s="71">
        <v>-2894</v>
      </c>
      <c r="G207" s="71">
        <v>-3858</v>
      </c>
      <c r="H207" s="71">
        <v>-4823</v>
      </c>
      <c r="I207" s="71">
        <v>-5787</v>
      </c>
      <c r="J207" s="71">
        <v>-6752</v>
      </c>
      <c r="K207" s="71">
        <v>-7717</v>
      </c>
      <c r="L207" s="71">
        <v>-8681</v>
      </c>
      <c r="M207" s="71">
        <v>-9646</v>
      </c>
      <c r="N207" s="71">
        <v>-10610</v>
      </c>
      <c r="O207" s="71">
        <v>-11575</v>
      </c>
      <c r="P207" s="84">
        <v>-6625.9230769230771</v>
      </c>
      <c r="Q207" s="79"/>
      <c r="R207" s="71"/>
      <c r="S207" s="104"/>
      <c r="T207" s="71"/>
      <c r="U207" s="71"/>
    </row>
    <row r="208" spans="1:34" x14ac:dyDescent="0.2">
      <c r="A208" s="79" t="s">
        <v>1564</v>
      </c>
      <c r="B208" s="70" t="s">
        <v>25</v>
      </c>
      <c r="C208" s="71">
        <v>-7413</v>
      </c>
      <c r="D208" s="71">
        <v>-1887</v>
      </c>
      <c r="E208" s="71">
        <v>-1887</v>
      </c>
      <c r="F208" s="71">
        <v>-3482</v>
      </c>
      <c r="G208" s="71">
        <v>-4546</v>
      </c>
      <c r="H208" s="71">
        <v>-6141</v>
      </c>
      <c r="I208" s="71">
        <v>-7204</v>
      </c>
      <c r="J208" s="71">
        <v>-1355</v>
      </c>
      <c r="K208" s="71">
        <v>-2419</v>
      </c>
      <c r="L208" s="71">
        <v>-4014</v>
      </c>
      <c r="M208" s="71">
        <v>-5609</v>
      </c>
      <c r="N208" s="71">
        <v>-6673</v>
      </c>
      <c r="O208" s="71">
        <v>-823</v>
      </c>
      <c r="P208" s="84">
        <v>-4111.7692307692305</v>
      </c>
      <c r="Q208" s="79"/>
      <c r="R208" s="71"/>
      <c r="S208" s="104"/>
      <c r="T208" s="71"/>
      <c r="U208" s="71"/>
    </row>
    <row r="209" spans="1:21" x14ac:dyDescent="0.2">
      <c r="A209" s="79" t="s">
        <v>4871</v>
      </c>
      <c r="B209" s="70" t="s">
        <v>26</v>
      </c>
      <c r="C209" s="71">
        <v>-56189</v>
      </c>
      <c r="D209" s="71">
        <v>-25354</v>
      </c>
      <c r="E209" s="71">
        <v>-46040</v>
      </c>
      <c r="F209" s="71">
        <v>-39015</v>
      </c>
      <c r="G209" s="71">
        <v>-43592</v>
      </c>
      <c r="H209" s="71">
        <v>-47518</v>
      </c>
      <c r="I209" s="71">
        <v>-47779</v>
      </c>
      <c r="J209" s="71">
        <v>-56602</v>
      </c>
      <c r="K209" s="71">
        <v>-56203</v>
      </c>
      <c r="L209" s="71">
        <v>-50350</v>
      </c>
      <c r="M209" s="71">
        <v>-42708</v>
      </c>
      <c r="N209" s="71">
        <v>-28535</v>
      </c>
      <c r="O209" s="71">
        <v>-47450</v>
      </c>
      <c r="P209" s="84">
        <v>-45179.615384615383</v>
      </c>
      <c r="Q209" s="80"/>
      <c r="R209" s="71"/>
      <c r="S209" s="104"/>
      <c r="T209" s="71"/>
      <c r="U209" s="71"/>
    </row>
    <row r="210" spans="1:21" x14ac:dyDescent="0.2">
      <c r="A210" s="80" t="s">
        <v>4897</v>
      </c>
      <c r="B210" s="70" t="s">
        <v>27</v>
      </c>
      <c r="C210" s="71">
        <v>-2195</v>
      </c>
      <c r="D210" s="71">
        <v>-2207</v>
      </c>
      <c r="E210" s="71">
        <v>-2220</v>
      </c>
      <c r="F210" s="71">
        <v>-2233</v>
      </c>
      <c r="G210" s="71">
        <v>-2246</v>
      </c>
      <c r="H210" s="71">
        <v>-2258</v>
      </c>
      <c r="I210" s="71">
        <v>-2272</v>
      </c>
      <c r="J210" s="71">
        <v>-2284</v>
      </c>
      <c r="K210" s="71">
        <v>-2297</v>
      </c>
      <c r="L210" s="71">
        <v>-2310</v>
      </c>
      <c r="M210" s="71">
        <v>-2323</v>
      </c>
      <c r="N210" s="71">
        <v>-2335</v>
      </c>
      <c r="O210" s="71">
        <v>-2349</v>
      </c>
      <c r="P210" s="84">
        <v>-2271.4615384615386</v>
      </c>
      <c r="Q210" s="79"/>
      <c r="R210" s="71"/>
      <c r="S210" s="104"/>
      <c r="T210" s="71"/>
      <c r="U210" s="71"/>
    </row>
    <row r="211" spans="1:21" x14ac:dyDescent="0.2">
      <c r="A211" s="79" t="s">
        <v>3179</v>
      </c>
      <c r="B211" s="70" t="s">
        <v>28</v>
      </c>
      <c r="C211" s="71">
        <v>0</v>
      </c>
      <c r="D211" s="71">
        <v>0</v>
      </c>
      <c r="E211" s="71">
        <v>0</v>
      </c>
      <c r="F211" s="71">
        <v>0</v>
      </c>
      <c r="G211" s="71">
        <v>0</v>
      </c>
      <c r="H211" s="71">
        <v>0</v>
      </c>
      <c r="I211" s="71">
        <v>0</v>
      </c>
      <c r="J211" s="71">
        <v>0</v>
      </c>
      <c r="K211" s="71">
        <v>0</v>
      </c>
      <c r="L211" s="71">
        <v>0</v>
      </c>
      <c r="M211" s="71">
        <v>0</v>
      </c>
      <c r="N211" s="71">
        <v>0</v>
      </c>
      <c r="O211" s="71">
        <v>0</v>
      </c>
      <c r="P211" s="84">
        <v>0</v>
      </c>
      <c r="Q211" s="77"/>
      <c r="R211" s="71"/>
      <c r="S211" s="104"/>
      <c r="T211" s="71"/>
      <c r="U211" s="71"/>
    </row>
    <row r="212" spans="1:21" x14ac:dyDescent="0.2">
      <c r="A212" s="77" t="s">
        <v>3220</v>
      </c>
      <c r="B212" s="70" t="s">
        <v>29</v>
      </c>
      <c r="C212" s="71">
        <v>-7414</v>
      </c>
      <c r="D212" s="71">
        <v>-6988</v>
      </c>
      <c r="E212" s="71">
        <v>-7169</v>
      </c>
      <c r="F212" s="71">
        <v>-6940</v>
      </c>
      <c r="G212" s="71">
        <v>-18215</v>
      </c>
      <c r="H212" s="71">
        <v>-7510</v>
      </c>
      <c r="I212" s="71">
        <v>-10392</v>
      </c>
      <c r="J212" s="71">
        <v>-7900</v>
      </c>
      <c r="K212" s="71">
        <v>-7108</v>
      </c>
      <c r="L212" s="71">
        <v>-6517</v>
      </c>
      <c r="M212" s="71">
        <v>-6760</v>
      </c>
      <c r="N212" s="71">
        <v>-6375</v>
      </c>
      <c r="O212" s="71">
        <v>-6713</v>
      </c>
      <c r="P212" s="84">
        <v>-8153.9230769230771</v>
      </c>
      <c r="Q212" s="77"/>
      <c r="R212" s="71"/>
      <c r="S212" s="104"/>
      <c r="T212" s="71"/>
      <c r="U212" s="71"/>
    </row>
    <row r="213" spans="1:21" x14ac:dyDescent="0.2">
      <c r="A213" s="77" t="s">
        <v>30</v>
      </c>
      <c r="B213" s="70" t="s">
        <v>31</v>
      </c>
      <c r="C213" s="98">
        <v>0</v>
      </c>
      <c r="D213" s="70">
        <v>0</v>
      </c>
      <c r="E213" s="70">
        <v>0</v>
      </c>
      <c r="F213" s="70">
        <v>0</v>
      </c>
      <c r="G213" s="70">
        <v>0</v>
      </c>
      <c r="H213" s="70">
        <v>0</v>
      </c>
      <c r="I213" s="70">
        <v>0</v>
      </c>
      <c r="J213" s="70">
        <v>0</v>
      </c>
      <c r="K213" s="70">
        <v>0</v>
      </c>
      <c r="L213" s="70">
        <v>0</v>
      </c>
      <c r="M213" s="70">
        <v>0</v>
      </c>
      <c r="N213" s="70">
        <v>0</v>
      </c>
      <c r="O213" s="70">
        <v>0</v>
      </c>
      <c r="P213" s="84">
        <v>0</v>
      </c>
      <c r="Q213" s="79"/>
      <c r="S213" s="104"/>
    </row>
    <row r="214" spans="1:21" x14ac:dyDescent="0.2">
      <c r="A214" s="79" t="s">
        <v>3196</v>
      </c>
      <c r="B214" s="70" t="s">
        <v>32</v>
      </c>
      <c r="C214" s="71">
        <v>0</v>
      </c>
      <c r="D214" s="71">
        <v>642</v>
      </c>
      <c r="E214" s="71">
        <v>642</v>
      </c>
      <c r="F214" s="71">
        <v>642</v>
      </c>
      <c r="G214" s="71">
        <v>642</v>
      </c>
      <c r="H214" s="71">
        <v>642</v>
      </c>
      <c r="I214" s="71">
        <v>642</v>
      </c>
      <c r="J214" s="71">
        <v>642</v>
      </c>
      <c r="K214" s="71">
        <v>642</v>
      </c>
      <c r="L214" s="71">
        <v>642</v>
      </c>
      <c r="M214" s="71">
        <v>642</v>
      </c>
      <c r="N214" s="71">
        <v>642</v>
      </c>
      <c r="O214" s="71">
        <v>642</v>
      </c>
      <c r="P214" s="84">
        <v>592.61538461538464</v>
      </c>
      <c r="Q214" s="77"/>
      <c r="R214" s="71"/>
      <c r="S214" s="104"/>
      <c r="T214" s="71"/>
      <c r="U214" s="71"/>
    </row>
    <row r="215" spans="1:21" x14ac:dyDescent="0.2">
      <c r="A215" s="77" t="s">
        <v>3198</v>
      </c>
      <c r="B215" s="70" t="s">
        <v>33</v>
      </c>
      <c r="C215" s="71">
        <v>0</v>
      </c>
      <c r="D215" s="71">
        <v>0</v>
      </c>
      <c r="E215" s="71">
        <v>0</v>
      </c>
      <c r="F215" s="71">
        <v>0</v>
      </c>
      <c r="G215" s="71">
        <v>0</v>
      </c>
      <c r="H215" s="71">
        <v>0</v>
      </c>
      <c r="I215" s="71">
        <v>0</v>
      </c>
      <c r="J215" s="71">
        <v>0</v>
      </c>
      <c r="K215" s="71">
        <v>0</v>
      </c>
      <c r="L215" s="71">
        <v>0</v>
      </c>
      <c r="M215" s="71">
        <v>0</v>
      </c>
      <c r="N215" s="71">
        <v>0</v>
      </c>
      <c r="O215" s="71">
        <v>0</v>
      </c>
      <c r="P215" s="84">
        <v>0</v>
      </c>
      <c r="Q215" s="79"/>
      <c r="R215" s="71"/>
      <c r="S215" s="104"/>
      <c r="T215" s="71"/>
      <c r="U215" s="71"/>
    </row>
    <row r="216" spans="1:21" x14ac:dyDescent="0.2">
      <c r="A216" s="79" t="s">
        <v>3200</v>
      </c>
      <c r="B216" s="70" t="s">
        <v>34</v>
      </c>
      <c r="C216" s="71">
        <v>0</v>
      </c>
      <c r="D216" s="71">
        <v>0</v>
      </c>
      <c r="E216" s="71">
        <v>0</v>
      </c>
      <c r="F216" s="71">
        <v>0</v>
      </c>
      <c r="G216" s="71">
        <v>0</v>
      </c>
      <c r="H216" s="71">
        <v>0</v>
      </c>
      <c r="I216" s="71">
        <v>0</v>
      </c>
      <c r="J216" s="71">
        <v>0</v>
      </c>
      <c r="K216" s="71">
        <v>0</v>
      </c>
      <c r="L216" s="71">
        <v>0</v>
      </c>
      <c r="M216" s="71">
        <v>0</v>
      </c>
      <c r="N216" s="71">
        <v>0</v>
      </c>
      <c r="O216" s="71">
        <v>0</v>
      </c>
      <c r="P216" s="84">
        <v>0</v>
      </c>
      <c r="Q216" s="79"/>
      <c r="R216" s="71"/>
      <c r="S216" s="104"/>
      <c r="T216" s="71"/>
      <c r="U216" s="71"/>
    </row>
    <row r="217" spans="1:21" ht="15.75" x14ac:dyDescent="0.25">
      <c r="A217" s="79" t="s">
        <v>3204</v>
      </c>
      <c r="B217" s="73" t="s">
        <v>35</v>
      </c>
      <c r="C217" s="71">
        <v>-5317</v>
      </c>
      <c r="D217" s="71">
        <v>-5780</v>
      </c>
      <c r="E217" s="71">
        <v>-5961</v>
      </c>
      <c r="F217" s="71">
        <v>-5732</v>
      </c>
      <c r="G217" s="71">
        <v>-17007</v>
      </c>
      <c r="H217" s="71">
        <v>-6302</v>
      </c>
      <c r="I217" s="71">
        <v>-9184</v>
      </c>
      <c r="J217" s="71">
        <v>-6692</v>
      </c>
      <c r="K217" s="71">
        <v>-5900</v>
      </c>
      <c r="L217" s="71">
        <v>-5309</v>
      </c>
      <c r="M217" s="71">
        <v>-5552</v>
      </c>
      <c r="N217" s="71">
        <v>-5167</v>
      </c>
      <c r="O217" s="71">
        <v>-5505</v>
      </c>
      <c r="P217" s="84">
        <v>-6877.5384615384619</v>
      </c>
      <c r="Q217" s="77"/>
      <c r="R217" s="71"/>
      <c r="S217" s="104"/>
      <c r="T217" s="71"/>
      <c r="U217" s="71"/>
    </row>
    <row r="218" spans="1:21" x14ac:dyDescent="0.2">
      <c r="A218" s="80" t="s">
        <v>3206</v>
      </c>
      <c r="B218" s="70" t="s">
        <v>5020</v>
      </c>
      <c r="C218" s="71">
        <v>0</v>
      </c>
      <c r="D218" s="71">
        <v>0</v>
      </c>
      <c r="E218" s="71">
        <v>0</v>
      </c>
      <c r="F218" s="71">
        <v>0</v>
      </c>
      <c r="G218" s="71">
        <v>0</v>
      </c>
      <c r="H218" s="71">
        <v>0</v>
      </c>
      <c r="I218" s="71">
        <v>0</v>
      </c>
      <c r="J218" s="71">
        <v>0</v>
      </c>
      <c r="K218" s="71">
        <v>0</v>
      </c>
      <c r="L218" s="71">
        <v>0</v>
      </c>
      <c r="M218" s="71">
        <v>0</v>
      </c>
      <c r="N218" s="71">
        <v>0</v>
      </c>
      <c r="O218" s="71">
        <v>0</v>
      </c>
      <c r="P218" s="84">
        <v>0</v>
      </c>
      <c r="Q218" s="77"/>
      <c r="R218" s="71"/>
      <c r="S218" s="104"/>
      <c r="T218" s="71"/>
      <c r="U218" s="71"/>
    </row>
    <row r="219" spans="1:21" x14ac:dyDescent="0.2">
      <c r="A219" s="77" t="s">
        <v>4075</v>
      </c>
      <c r="B219" s="70" t="s">
        <v>5021</v>
      </c>
      <c r="C219" s="71">
        <v>0</v>
      </c>
      <c r="D219" s="71">
        <v>0</v>
      </c>
      <c r="E219" s="71">
        <v>0</v>
      </c>
      <c r="F219" s="71">
        <v>0</v>
      </c>
      <c r="G219" s="71">
        <v>0</v>
      </c>
      <c r="H219" s="71">
        <v>0</v>
      </c>
      <c r="I219" s="71">
        <v>0</v>
      </c>
      <c r="J219" s="71">
        <v>0</v>
      </c>
      <c r="K219" s="71">
        <v>0</v>
      </c>
      <c r="L219" s="71">
        <v>0</v>
      </c>
      <c r="M219" s="71">
        <v>0</v>
      </c>
      <c r="N219" s="71">
        <v>0</v>
      </c>
      <c r="O219" s="71">
        <v>0</v>
      </c>
      <c r="P219" s="84">
        <v>0</v>
      </c>
      <c r="Q219" s="79"/>
      <c r="R219" s="71"/>
      <c r="S219" s="104"/>
      <c r="T219" s="71"/>
      <c r="U219" s="71"/>
    </row>
    <row r="220" spans="1:21" x14ac:dyDescent="0.2">
      <c r="A220" s="79" t="s">
        <v>4077</v>
      </c>
      <c r="B220" s="70" t="s">
        <v>5022</v>
      </c>
      <c r="C220" s="71">
        <v>0</v>
      </c>
      <c r="D220" s="71">
        <v>0</v>
      </c>
      <c r="E220" s="71">
        <v>0</v>
      </c>
      <c r="F220" s="71">
        <v>0</v>
      </c>
      <c r="G220" s="71">
        <v>0</v>
      </c>
      <c r="H220" s="71">
        <v>0</v>
      </c>
      <c r="I220" s="71">
        <v>0</v>
      </c>
      <c r="J220" s="71">
        <v>0</v>
      </c>
      <c r="K220" s="71">
        <v>0</v>
      </c>
      <c r="L220" s="71">
        <v>0</v>
      </c>
      <c r="M220" s="71">
        <v>0</v>
      </c>
      <c r="N220" s="71">
        <v>0</v>
      </c>
      <c r="O220" s="71">
        <v>0</v>
      </c>
      <c r="P220" s="84">
        <v>0</v>
      </c>
      <c r="Q220" s="77"/>
      <c r="R220" s="71"/>
      <c r="S220" s="104"/>
      <c r="T220" s="71"/>
      <c r="U220" s="71"/>
    </row>
    <row r="221" spans="1:21" x14ac:dyDescent="0.2">
      <c r="A221" s="77" t="s">
        <v>627</v>
      </c>
      <c r="B221" s="70" t="s">
        <v>5023</v>
      </c>
      <c r="C221" s="71">
        <v>0</v>
      </c>
      <c r="D221" s="71">
        <v>0</v>
      </c>
      <c r="E221" s="71">
        <v>0</v>
      </c>
      <c r="F221" s="71">
        <v>0</v>
      </c>
      <c r="G221" s="71">
        <v>0</v>
      </c>
      <c r="H221" s="71">
        <v>0</v>
      </c>
      <c r="I221" s="71">
        <v>0</v>
      </c>
      <c r="J221" s="71">
        <v>0</v>
      </c>
      <c r="K221" s="71">
        <v>0</v>
      </c>
      <c r="L221" s="71">
        <v>0</v>
      </c>
      <c r="M221" s="71">
        <v>0</v>
      </c>
      <c r="N221" s="71">
        <v>0</v>
      </c>
      <c r="O221" s="71">
        <v>0</v>
      </c>
      <c r="P221" s="84">
        <v>0</v>
      </c>
      <c r="Q221" s="77"/>
      <c r="R221" s="71"/>
      <c r="S221" s="104"/>
      <c r="T221" s="71"/>
      <c r="U221" s="71"/>
    </row>
    <row r="222" spans="1:21" x14ac:dyDescent="0.2">
      <c r="A222" s="77" t="s">
        <v>629</v>
      </c>
      <c r="B222" s="70" t="s">
        <v>26</v>
      </c>
      <c r="C222" s="71">
        <v>-1785</v>
      </c>
      <c r="D222" s="71">
        <v>-1538</v>
      </c>
      <c r="E222" s="71">
        <v>-1538</v>
      </c>
      <c r="F222" s="71">
        <v>-1538</v>
      </c>
      <c r="G222" s="71">
        <v>-1538</v>
      </c>
      <c r="H222" s="71">
        <v>-1538</v>
      </c>
      <c r="I222" s="71">
        <v>-1538</v>
      </c>
      <c r="J222" s="71">
        <v>-1538</v>
      </c>
      <c r="K222" s="71">
        <v>-1538</v>
      </c>
      <c r="L222" s="71">
        <v>-1538</v>
      </c>
      <c r="M222" s="71">
        <v>-1538</v>
      </c>
      <c r="N222" s="71">
        <v>-1538</v>
      </c>
      <c r="O222" s="71">
        <v>-1538</v>
      </c>
      <c r="P222" s="84">
        <v>-1557</v>
      </c>
      <c r="Q222" s="77"/>
      <c r="R222" s="71"/>
      <c r="S222" s="104"/>
      <c r="T222" s="71"/>
      <c r="U222" s="71"/>
    </row>
    <row r="223" spans="1:21" x14ac:dyDescent="0.2">
      <c r="A223" s="77" t="s">
        <v>631</v>
      </c>
      <c r="B223" s="70" t="s">
        <v>5024</v>
      </c>
      <c r="C223" s="71">
        <v>0</v>
      </c>
      <c r="D223" s="71">
        <v>0</v>
      </c>
      <c r="E223" s="71">
        <v>0</v>
      </c>
      <c r="F223" s="71">
        <v>0</v>
      </c>
      <c r="G223" s="71">
        <v>0</v>
      </c>
      <c r="H223" s="71">
        <v>0</v>
      </c>
      <c r="I223" s="71">
        <v>0</v>
      </c>
      <c r="J223" s="71">
        <v>0</v>
      </c>
      <c r="K223" s="71">
        <v>0</v>
      </c>
      <c r="L223" s="71">
        <v>0</v>
      </c>
      <c r="M223" s="71">
        <v>0</v>
      </c>
      <c r="N223" s="71">
        <v>0</v>
      </c>
      <c r="O223" s="71">
        <v>0</v>
      </c>
      <c r="P223" s="84">
        <v>0</v>
      </c>
      <c r="Q223" s="79"/>
      <c r="R223" s="71"/>
      <c r="S223" s="104"/>
      <c r="T223" s="71"/>
      <c r="U223" s="71"/>
    </row>
    <row r="224" spans="1:21" x14ac:dyDescent="0.2">
      <c r="A224" s="79" t="s">
        <v>3214</v>
      </c>
      <c r="B224" s="70" t="s">
        <v>5025</v>
      </c>
      <c r="C224" s="71">
        <v>-312</v>
      </c>
      <c r="D224" s="71">
        <v>-312</v>
      </c>
      <c r="E224" s="71">
        <v>-312</v>
      </c>
      <c r="F224" s="71">
        <v>-312</v>
      </c>
      <c r="G224" s="71">
        <v>-312</v>
      </c>
      <c r="H224" s="71">
        <v>-312</v>
      </c>
      <c r="I224" s="71">
        <v>-312</v>
      </c>
      <c r="J224" s="71">
        <v>-312</v>
      </c>
      <c r="K224" s="71">
        <v>-312</v>
      </c>
      <c r="L224" s="71">
        <v>-312</v>
      </c>
      <c r="M224" s="71">
        <v>-312</v>
      </c>
      <c r="N224" s="71">
        <v>-312</v>
      </c>
      <c r="O224" s="71">
        <v>-312</v>
      </c>
      <c r="P224" s="84">
        <v>-312</v>
      </c>
      <c r="Q224" s="79"/>
      <c r="R224" s="71"/>
      <c r="S224" s="104"/>
      <c r="T224" s="71"/>
      <c r="U224" s="71"/>
    </row>
    <row r="225" spans="1:21" x14ac:dyDescent="0.2">
      <c r="A225" s="79" t="s">
        <v>3216</v>
      </c>
      <c r="B225" s="70" t="s">
        <v>5026</v>
      </c>
      <c r="C225" s="71">
        <v>0</v>
      </c>
      <c r="D225" s="71">
        <v>0</v>
      </c>
      <c r="E225" s="71">
        <v>0</v>
      </c>
      <c r="F225" s="71">
        <v>0</v>
      </c>
      <c r="G225" s="71">
        <v>0</v>
      </c>
      <c r="H225" s="71">
        <v>0</v>
      </c>
      <c r="I225" s="71">
        <v>0</v>
      </c>
      <c r="J225" s="71">
        <v>0</v>
      </c>
      <c r="K225" s="71">
        <v>0</v>
      </c>
      <c r="L225" s="71">
        <v>0</v>
      </c>
      <c r="M225" s="71">
        <v>0</v>
      </c>
      <c r="N225" s="71">
        <v>0</v>
      </c>
      <c r="O225" s="71">
        <v>0</v>
      </c>
      <c r="P225" s="84">
        <v>0</v>
      </c>
      <c r="Q225" s="79"/>
      <c r="R225" s="71"/>
      <c r="S225" s="104"/>
      <c r="T225" s="71"/>
      <c r="U225" s="71"/>
    </row>
    <row r="226" spans="1:21" x14ac:dyDescent="0.2">
      <c r="A226" s="79" t="s">
        <v>3218</v>
      </c>
      <c r="B226" s="70" t="s">
        <v>5027</v>
      </c>
      <c r="C226" s="71">
        <v>0</v>
      </c>
      <c r="D226" s="71">
        <v>0</v>
      </c>
      <c r="E226" s="71">
        <v>0</v>
      </c>
      <c r="F226" s="71">
        <v>0</v>
      </c>
      <c r="G226" s="71">
        <v>0</v>
      </c>
      <c r="H226" s="71">
        <v>0</v>
      </c>
      <c r="I226" s="71">
        <v>0</v>
      </c>
      <c r="J226" s="71">
        <v>0</v>
      </c>
      <c r="K226" s="71">
        <v>0</v>
      </c>
      <c r="L226" s="71">
        <v>0</v>
      </c>
      <c r="M226" s="71">
        <v>0</v>
      </c>
      <c r="N226" s="71">
        <v>0</v>
      </c>
      <c r="O226" s="71">
        <v>0</v>
      </c>
      <c r="P226" s="84">
        <v>0</v>
      </c>
      <c r="Q226" s="77"/>
      <c r="R226" s="71"/>
      <c r="S226" s="104"/>
      <c r="T226" s="71"/>
      <c r="U226" s="71"/>
    </row>
    <row r="227" spans="1:21" x14ac:dyDescent="0.2">
      <c r="A227" s="77" t="s">
        <v>3223</v>
      </c>
      <c r="B227" s="70" t="s">
        <v>5028</v>
      </c>
      <c r="C227" s="71">
        <v>-115325</v>
      </c>
      <c r="D227" s="71">
        <v>-116375</v>
      </c>
      <c r="E227" s="71">
        <v>-117434</v>
      </c>
      <c r="F227" s="71">
        <v>-118503</v>
      </c>
      <c r="G227" s="71">
        <v>-119582</v>
      </c>
      <c r="H227" s="71">
        <v>-120670</v>
      </c>
      <c r="I227" s="71">
        <v>-121768</v>
      </c>
      <c r="J227" s="71">
        <v>-122876</v>
      </c>
      <c r="K227" s="71">
        <v>-123994</v>
      </c>
      <c r="L227" s="71">
        <v>-125123</v>
      </c>
      <c r="M227" s="71">
        <v>-126262</v>
      </c>
      <c r="N227" s="71">
        <v>-127411</v>
      </c>
      <c r="O227" s="71">
        <v>-128571</v>
      </c>
      <c r="P227" s="84">
        <v>-121838</v>
      </c>
      <c r="Q227" s="79"/>
      <c r="R227" s="71"/>
      <c r="S227" s="104"/>
      <c r="T227" s="71"/>
      <c r="U227" s="71"/>
    </row>
    <row r="228" spans="1:21" x14ac:dyDescent="0.2">
      <c r="A228" s="79" t="s">
        <v>3221</v>
      </c>
      <c r="B228" s="70" t="s">
        <v>5029</v>
      </c>
      <c r="C228" s="71">
        <v>-115325</v>
      </c>
      <c r="D228" s="71">
        <v>-116375</v>
      </c>
      <c r="E228" s="71">
        <v>-117434</v>
      </c>
      <c r="F228" s="71">
        <v>-118503</v>
      </c>
      <c r="G228" s="71">
        <v>-119582</v>
      </c>
      <c r="H228" s="71">
        <v>-120670</v>
      </c>
      <c r="I228" s="71">
        <v>-121768</v>
      </c>
      <c r="J228" s="71">
        <v>-122876</v>
      </c>
      <c r="K228" s="71">
        <v>-123994</v>
      </c>
      <c r="L228" s="71">
        <v>-125123</v>
      </c>
      <c r="M228" s="71">
        <v>-126262</v>
      </c>
      <c r="N228" s="71">
        <v>-127411</v>
      </c>
      <c r="O228" s="71">
        <v>-128571</v>
      </c>
      <c r="P228" s="84">
        <v>-121838</v>
      </c>
      <c r="Q228" s="77"/>
      <c r="R228" s="71"/>
      <c r="S228" s="104"/>
      <c r="T228" s="71"/>
      <c r="U228" s="71"/>
    </row>
    <row r="229" spans="1:21" ht="14.65" customHeight="1" x14ac:dyDescent="0.25">
      <c r="A229" s="77" t="s">
        <v>99</v>
      </c>
      <c r="B229" s="70" t="s">
        <v>5030</v>
      </c>
      <c r="C229" s="71">
        <v>-14237</v>
      </c>
      <c r="D229" s="71">
        <v>-18546</v>
      </c>
      <c r="E229" s="71">
        <v>-25051</v>
      </c>
      <c r="F229" s="71">
        <v>-26193</v>
      </c>
      <c r="G229" s="71">
        <v>-29137</v>
      </c>
      <c r="H229" s="71">
        <v>-33295</v>
      </c>
      <c r="I229" s="71">
        <v>-43524</v>
      </c>
      <c r="J229" s="71">
        <v>-55549</v>
      </c>
      <c r="K229" s="71">
        <v>-70372</v>
      </c>
      <c r="L229" s="71">
        <v>-67756</v>
      </c>
      <c r="M229" s="71">
        <v>-79267</v>
      </c>
      <c r="N229" s="71">
        <v>-45454</v>
      </c>
      <c r="O229" s="71">
        <v>-14836</v>
      </c>
      <c r="P229" s="84">
        <v>-40247.461538461539</v>
      </c>
      <c r="Q229" s="85"/>
      <c r="R229" s="71"/>
      <c r="S229" s="104"/>
      <c r="T229" s="71"/>
      <c r="U229" s="71"/>
    </row>
    <row r="230" spans="1:21" ht="15.75" x14ac:dyDescent="0.25">
      <c r="A230" s="85" t="s">
        <v>3224</v>
      </c>
      <c r="B230" s="73" t="s">
        <v>5031</v>
      </c>
      <c r="C230" s="70">
        <v>0</v>
      </c>
      <c r="D230" s="70">
        <v>0</v>
      </c>
      <c r="E230" s="70">
        <v>0</v>
      </c>
      <c r="F230" s="70">
        <v>0</v>
      </c>
      <c r="G230" s="70">
        <v>0</v>
      </c>
      <c r="H230" s="70">
        <v>0</v>
      </c>
      <c r="I230" s="70">
        <v>0</v>
      </c>
      <c r="J230" s="70">
        <v>0</v>
      </c>
      <c r="K230" s="70">
        <v>0</v>
      </c>
      <c r="L230" s="70">
        <v>0</v>
      </c>
      <c r="M230" s="70">
        <v>0</v>
      </c>
      <c r="N230" s="70">
        <v>0</v>
      </c>
      <c r="O230" s="70">
        <v>0</v>
      </c>
      <c r="P230" s="84">
        <v>0</v>
      </c>
      <c r="Q230" s="85"/>
      <c r="S230" s="104"/>
    </row>
    <row r="231" spans="1:21" ht="15.75" x14ac:dyDescent="0.25">
      <c r="A231" s="85" t="s">
        <v>3226</v>
      </c>
      <c r="B231" s="73" t="s">
        <v>5032</v>
      </c>
      <c r="C231" s="70">
        <v>0</v>
      </c>
      <c r="D231" s="70">
        <v>-4185</v>
      </c>
      <c r="E231" s="70">
        <v>-4185</v>
      </c>
      <c r="F231" s="70">
        <v>0</v>
      </c>
      <c r="G231" s="70">
        <v>0</v>
      </c>
      <c r="H231" s="70">
        <v>0</v>
      </c>
      <c r="I231" s="70">
        <v>0</v>
      </c>
      <c r="J231" s="70">
        <v>0</v>
      </c>
      <c r="K231" s="70">
        <v>0</v>
      </c>
      <c r="L231" s="70">
        <v>0</v>
      </c>
      <c r="M231" s="70">
        <v>0</v>
      </c>
      <c r="N231" s="70">
        <v>0</v>
      </c>
      <c r="O231" s="70">
        <v>0</v>
      </c>
      <c r="P231" s="84">
        <v>-643.84615384615381</v>
      </c>
      <c r="Q231" s="85"/>
      <c r="S231" s="104"/>
    </row>
    <row r="232" spans="1:21" ht="15.75" x14ac:dyDescent="0.25">
      <c r="A232" s="85" t="s">
        <v>3228</v>
      </c>
      <c r="B232" s="73" t="s">
        <v>5033</v>
      </c>
      <c r="C232" s="70">
        <v>-4185</v>
      </c>
      <c r="D232" s="70">
        <v>-2407</v>
      </c>
      <c r="E232" s="70">
        <v>-4839</v>
      </c>
      <c r="F232" s="70">
        <v>-6169</v>
      </c>
      <c r="G232" s="70">
        <v>-3955</v>
      </c>
      <c r="H232" s="70">
        <v>-6124</v>
      </c>
      <c r="I232" s="70">
        <v>-9859</v>
      </c>
      <c r="J232" s="70">
        <v>-19829</v>
      </c>
      <c r="K232" s="70">
        <v>-28994</v>
      </c>
      <c r="L232" s="70">
        <v>-20504</v>
      </c>
      <c r="M232" s="70">
        <v>-30533</v>
      </c>
      <c r="N232" s="70">
        <v>-38429</v>
      </c>
      <c r="O232" s="70">
        <v>-2968</v>
      </c>
      <c r="P232" s="84">
        <v>-13753.461538461539</v>
      </c>
      <c r="Q232" s="79"/>
      <c r="S232" s="104"/>
    </row>
    <row r="233" spans="1:21" ht="15.75" x14ac:dyDescent="0.25">
      <c r="A233" s="79" t="s">
        <v>3230</v>
      </c>
      <c r="B233" s="70" t="s">
        <v>5034</v>
      </c>
      <c r="C233" s="70">
        <v>-3</v>
      </c>
      <c r="D233" s="70">
        <v>-3</v>
      </c>
      <c r="E233" s="70">
        <v>-3</v>
      </c>
      <c r="F233" s="70">
        <v>-3</v>
      </c>
      <c r="G233" s="70">
        <v>-3</v>
      </c>
      <c r="H233" s="70">
        <v>-3</v>
      </c>
      <c r="I233" s="70">
        <v>-3</v>
      </c>
      <c r="J233" s="70">
        <v>-3</v>
      </c>
      <c r="K233" s="70">
        <v>-3</v>
      </c>
      <c r="L233" s="70">
        <v>-3</v>
      </c>
      <c r="M233" s="70">
        <v>-3</v>
      </c>
      <c r="N233" s="70">
        <v>-3</v>
      </c>
      <c r="O233" s="70">
        <v>-3</v>
      </c>
      <c r="P233" s="84">
        <v>-3</v>
      </c>
      <c r="Q233" s="85"/>
      <c r="S233" s="104"/>
    </row>
    <row r="234" spans="1:21" ht="15.75" x14ac:dyDescent="0.25">
      <c r="A234" s="85" t="s">
        <v>5191</v>
      </c>
      <c r="B234" s="73" t="s">
        <v>5035</v>
      </c>
      <c r="C234" s="70">
        <v>-2041</v>
      </c>
      <c r="D234" s="70">
        <v>-452</v>
      </c>
      <c r="E234" s="70">
        <v>-908</v>
      </c>
      <c r="F234" s="70">
        <v>-1181</v>
      </c>
      <c r="G234" s="70">
        <v>-1890</v>
      </c>
      <c r="H234" s="70">
        <v>958</v>
      </c>
      <c r="I234" s="70">
        <v>-741</v>
      </c>
      <c r="J234" s="70">
        <v>810</v>
      </c>
      <c r="K234" s="70">
        <v>-766</v>
      </c>
      <c r="L234" s="70">
        <v>-2890</v>
      </c>
      <c r="M234" s="70">
        <v>-1349</v>
      </c>
      <c r="N234" s="70">
        <v>-2714</v>
      </c>
      <c r="O234" s="70">
        <v>-3261</v>
      </c>
      <c r="P234" s="84">
        <v>-1263.4615384615386</v>
      </c>
      <c r="Q234" s="79"/>
      <c r="S234" s="104"/>
    </row>
    <row r="235" spans="1:21" x14ac:dyDescent="0.2">
      <c r="A235" s="79" t="s">
        <v>1998</v>
      </c>
      <c r="B235" s="70" t="s">
        <v>5036</v>
      </c>
      <c r="C235" s="71">
        <v>-8008</v>
      </c>
      <c r="D235" s="71">
        <v>-7632</v>
      </c>
      <c r="E235" s="71">
        <v>-7383</v>
      </c>
      <c r="F235" s="71">
        <v>-7240</v>
      </c>
      <c r="G235" s="71">
        <v>-7822</v>
      </c>
      <c r="H235" s="71">
        <v>-8793</v>
      </c>
      <c r="I235" s="71">
        <v>-9721</v>
      </c>
      <c r="J235" s="71">
        <v>-9460</v>
      </c>
      <c r="K235" s="71">
        <v>-9676</v>
      </c>
      <c r="L235" s="71">
        <v>-9559</v>
      </c>
      <c r="M235" s="71">
        <v>-8715</v>
      </c>
      <c r="N235" s="71">
        <v>-8175</v>
      </c>
      <c r="O235" s="71">
        <v>-8604</v>
      </c>
      <c r="P235" s="84">
        <v>-8522.1538461538457</v>
      </c>
      <c r="Q235" s="77"/>
      <c r="R235" s="71"/>
      <c r="S235" s="104"/>
      <c r="T235" s="71"/>
      <c r="U235" s="71"/>
    </row>
    <row r="236" spans="1:21" ht="14.65" customHeight="1" x14ac:dyDescent="0.2">
      <c r="A236" s="77" t="s">
        <v>2004</v>
      </c>
      <c r="B236" s="70" t="s">
        <v>5037</v>
      </c>
      <c r="C236" s="71">
        <v>0</v>
      </c>
      <c r="D236" s="71">
        <v>-3867</v>
      </c>
      <c r="E236" s="71">
        <v>-7733</v>
      </c>
      <c r="F236" s="71">
        <v>-11600</v>
      </c>
      <c r="G236" s="71">
        <v>-15467</v>
      </c>
      <c r="H236" s="71">
        <v>-19333</v>
      </c>
      <c r="I236" s="71">
        <v>-23200</v>
      </c>
      <c r="J236" s="71">
        <v>-27067</v>
      </c>
      <c r="K236" s="71">
        <v>-30933</v>
      </c>
      <c r="L236" s="71">
        <v>-34800</v>
      </c>
      <c r="M236" s="71">
        <v>-38667</v>
      </c>
      <c r="N236" s="71">
        <v>3867</v>
      </c>
      <c r="O236" s="71">
        <v>0</v>
      </c>
      <c r="P236" s="84">
        <v>-16061.538461538461</v>
      </c>
      <c r="Q236" s="77"/>
      <c r="R236" s="71"/>
      <c r="S236" s="104"/>
      <c r="T236" s="71"/>
      <c r="U236" s="71"/>
    </row>
    <row r="237" spans="1:21" ht="14.65" customHeight="1" x14ac:dyDescent="0.2">
      <c r="A237" s="77" t="s">
        <v>158</v>
      </c>
      <c r="B237" s="70" t="s">
        <v>5038</v>
      </c>
      <c r="C237" s="90">
        <v>-23684.5</v>
      </c>
      <c r="D237" s="90">
        <v>-32423.5</v>
      </c>
      <c r="E237" s="90">
        <v>-30983.5</v>
      </c>
      <c r="F237" s="90">
        <v>-35129.5</v>
      </c>
      <c r="G237" s="90">
        <v>-32524.5</v>
      </c>
      <c r="H237" s="90">
        <v>-24729.5</v>
      </c>
      <c r="I237" s="90">
        <v>-26786.5</v>
      </c>
      <c r="J237" s="90">
        <v>-35814.5</v>
      </c>
      <c r="K237" s="90">
        <v>-34314.5</v>
      </c>
      <c r="L237" s="90">
        <v>-38393.5</v>
      </c>
      <c r="M237" s="90">
        <v>-35640.5</v>
      </c>
      <c r="N237" s="90">
        <v>-28151.25</v>
      </c>
      <c r="O237" s="90">
        <v>-24880</v>
      </c>
      <c r="P237" s="84">
        <v>-31035.057692307691</v>
      </c>
      <c r="Q237" s="79"/>
      <c r="R237" s="90"/>
      <c r="S237" s="104"/>
      <c r="T237" s="90"/>
      <c r="U237" s="90"/>
    </row>
    <row r="238" spans="1:21" ht="14.65" customHeight="1" x14ac:dyDescent="0.2">
      <c r="A238" s="80" t="s">
        <v>100</v>
      </c>
      <c r="B238" s="70" t="s">
        <v>2018</v>
      </c>
      <c r="C238" s="71">
        <v>0</v>
      </c>
      <c r="D238" s="71">
        <v>0</v>
      </c>
      <c r="E238" s="71">
        <v>0</v>
      </c>
      <c r="F238" s="71">
        <v>0</v>
      </c>
      <c r="G238" s="71">
        <v>0</v>
      </c>
      <c r="H238" s="71">
        <v>0</v>
      </c>
      <c r="I238" s="71">
        <v>0</v>
      </c>
      <c r="J238" s="71">
        <v>0</v>
      </c>
      <c r="K238" s="71">
        <v>0</v>
      </c>
      <c r="L238" s="71">
        <v>0</v>
      </c>
      <c r="M238" s="71">
        <v>0</v>
      </c>
      <c r="N238" s="71">
        <v>0</v>
      </c>
      <c r="O238" s="71">
        <v>0</v>
      </c>
      <c r="P238" s="84">
        <v>0</v>
      </c>
      <c r="Q238" s="79"/>
      <c r="R238" s="71"/>
      <c r="S238" s="104"/>
      <c r="T238" s="71"/>
      <c r="U238" s="71"/>
    </row>
    <row r="239" spans="1:21" ht="14.65" customHeight="1" x14ac:dyDescent="0.2">
      <c r="A239" s="79" t="s">
        <v>104</v>
      </c>
      <c r="B239" s="70" t="s">
        <v>2019</v>
      </c>
      <c r="C239" s="71">
        <v>-1651</v>
      </c>
      <c r="D239" s="71">
        <v>-1959</v>
      </c>
      <c r="E239" s="71">
        <v>-2484</v>
      </c>
      <c r="F239" s="71">
        <v>-3014</v>
      </c>
      <c r="G239" s="71">
        <v>-3549</v>
      </c>
      <c r="H239" s="71">
        <v>-4089</v>
      </c>
      <c r="I239" s="71">
        <v>-4634</v>
      </c>
      <c r="J239" s="71">
        <v>-5094</v>
      </c>
      <c r="K239" s="71">
        <v>-5558</v>
      </c>
      <c r="L239" s="71">
        <v>-6026</v>
      </c>
      <c r="M239" s="71">
        <v>-6498</v>
      </c>
      <c r="N239" s="71">
        <v>-6975</v>
      </c>
      <c r="O239" s="71">
        <v>-1656</v>
      </c>
      <c r="P239" s="84">
        <v>-4091.3076923076924</v>
      </c>
      <c r="Q239" s="79"/>
      <c r="R239" s="71"/>
      <c r="S239" s="104"/>
      <c r="T239" s="71"/>
      <c r="U239" s="71"/>
    </row>
    <row r="240" spans="1:21" ht="14.65" customHeight="1" x14ac:dyDescent="0.2">
      <c r="A240" s="79" t="s">
        <v>106</v>
      </c>
      <c r="B240" s="70" t="s">
        <v>2020</v>
      </c>
      <c r="C240" s="71">
        <v>0</v>
      </c>
      <c r="D240" s="71">
        <v>0</v>
      </c>
      <c r="E240" s="71">
        <v>0</v>
      </c>
      <c r="F240" s="71">
        <v>0</v>
      </c>
      <c r="G240" s="71">
        <v>0</v>
      </c>
      <c r="H240" s="71">
        <v>0</v>
      </c>
      <c r="I240" s="71">
        <v>0</v>
      </c>
      <c r="J240" s="71">
        <v>0</v>
      </c>
      <c r="K240" s="71">
        <v>0</v>
      </c>
      <c r="L240" s="71">
        <v>0</v>
      </c>
      <c r="M240" s="71">
        <v>0</v>
      </c>
      <c r="N240" s="71">
        <v>0</v>
      </c>
      <c r="O240" s="71">
        <v>0</v>
      </c>
      <c r="P240" s="84">
        <v>0</v>
      </c>
      <c r="Q240" s="79"/>
      <c r="R240" s="71"/>
      <c r="S240" s="104"/>
      <c r="T240" s="71"/>
      <c r="U240" s="71"/>
    </row>
    <row r="241" spans="1:21" x14ac:dyDescent="0.2">
      <c r="A241" s="79" t="s">
        <v>110</v>
      </c>
      <c r="B241" s="70" t="s">
        <v>2021</v>
      </c>
      <c r="C241" s="71">
        <v>0</v>
      </c>
      <c r="D241" s="71">
        <v>0</v>
      </c>
      <c r="E241" s="71">
        <v>0</v>
      </c>
      <c r="F241" s="71">
        <v>0</v>
      </c>
      <c r="G241" s="71">
        <v>0</v>
      </c>
      <c r="H241" s="71">
        <v>0</v>
      </c>
      <c r="I241" s="71">
        <v>0</v>
      </c>
      <c r="J241" s="71">
        <v>0</v>
      </c>
      <c r="K241" s="71">
        <v>0</v>
      </c>
      <c r="L241" s="71">
        <v>0</v>
      </c>
      <c r="M241" s="71">
        <v>0</v>
      </c>
      <c r="N241" s="71">
        <v>0</v>
      </c>
      <c r="O241" s="71">
        <v>0</v>
      </c>
      <c r="P241" s="84">
        <v>0</v>
      </c>
      <c r="Q241" s="79"/>
      <c r="R241" s="71"/>
      <c r="S241" s="104"/>
      <c r="T241" s="71"/>
      <c r="U241" s="71"/>
    </row>
    <row r="242" spans="1:21" x14ac:dyDescent="0.2">
      <c r="A242" s="80" t="s">
        <v>108</v>
      </c>
      <c r="B242" s="70" t="s">
        <v>2022</v>
      </c>
      <c r="C242" s="71">
        <v>-2046</v>
      </c>
      <c r="D242" s="71">
        <v>-3411</v>
      </c>
      <c r="E242" s="71">
        <v>-4775</v>
      </c>
      <c r="F242" s="71">
        <v>-6140</v>
      </c>
      <c r="G242" s="71">
        <v>-7504</v>
      </c>
      <c r="H242" s="71">
        <v>-681</v>
      </c>
      <c r="I242" s="71">
        <v>-2046</v>
      </c>
      <c r="J242" s="71">
        <v>-3411</v>
      </c>
      <c r="K242" s="71">
        <v>-4775</v>
      </c>
      <c r="L242" s="71">
        <v>-6140</v>
      </c>
      <c r="M242" s="71">
        <v>-7505</v>
      </c>
      <c r="N242" s="71">
        <v>-681</v>
      </c>
      <c r="O242" s="71">
        <v>-2046</v>
      </c>
      <c r="P242" s="84">
        <v>-3935.4615384615386</v>
      </c>
      <c r="Q242" s="79"/>
      <c r="R242" s="71"/>
      <c r="S242" s="104"/>
      <c r="T242" s="71"/>
      <c r="U242" s="71"/>
    </row>
    <row r="243" spans="1:21" ht="14.65" customHeight="1" x14ac:dyDescent="0.25">
      <c r="A243" s="79" t="s">
        <v>114</v>
      </c>
      <c r="B243" s="70" t="s">
        <v>2023</v>
      </c>
      <c r="C243" s="71">
        <v>0</v>
      </c>
      <c r="D243" s="71">
        <v>0</v>
      </c>
      <c r="E243" s="71">
        <v>0</v>
      </c>
      <c r="F243" s="71">
        <v>0</v>
      </c>
      <c r="G243" s="71">
        <v>0</v>
      </c>
      <c r="H243" s="71">
        <v>0</v>
      </c>
      <c r="I243" s="71">
        <v>0</v>
      </c>
      <c r="J243" s="71">
        <v>0</v>
      </c>
      <c r="K243" s="71">
        <v>0</v>
      </c>
      <c r="L243" s="71">
        <v>0</v>
      </c>
      <c r="M243" s="71">
        <v>0</v>
      </c>
      <c r="N243" s="71">
        <v>0</v>
      </c>
      <c r="O243" s="86">
        <v>0</v>
      </c>
      <c r="P243" s="84">
        <v>0</v>
      </c>
      <c r="Q243" s="79"/>
      <c r="R243" s="86"/>
      <c r="S243" s="104"/>
      <c r="T243" s="86"/>
      <c r="U243" s="86"/>
    </row>
    <row r="244" spans="1:21" x14ac:dyDescent="0.2">
      <c r="A244" s="80" t="s">
        <v>141</v>
      </c>
      <c r="B244" s="98" t="s">
        <v>2024</v>
      </c>
      <c r="C244" s="71">
        <v>-993</v>
      </c>
      <c r="D244" s="90">
        <v>-1270</v>
      </c>
      <c r="E244" s="90">
        <v>-1525</v>
      </c>
      <c r="F244" s="90">
        <v>-249</v>
      </c>
      <c r="G244" s="90">
        <v>-504</v>
      </c>
      <c r="H244" s="90">
        <v>-759</v>
      </c>
      <c r="I244" s="90">
        <v>-1014</v>
      </c>
      <c r="J244" s="90">
        <v>-1269</v>
      </c>
      <c r="K244" s="90">
        <v>-1524</v>
      </c>
      <c r="L244" s="90">
        <v>-248</v>
      </c>
      <c r="M244" s="90">
        <v>-504</v>
      </c>
      <c r="N244" s="90">
        <v>-759</v>
      </c>
      <c r="O244" s="90">
        <v>-1015</v>
      </c>
      <c r="P244" s="84">
        <v>-894.84615384615381</v>
      </c>
      <c r="Q244" s="79"/>
      <c r="R244" s="90"/>
      <c r="S244" s="104"/>
      <c r="T244" s="90"/>
      <c r="U244" s="90"/>
    </row>
    <row r="245" spans="1:21" x14ac:dyDescent="0.2">
      <c r="A245" s="80" t="s">
        <v>142</v>
      </c>
      <c r="B245" s="98" t="s">
        <v>2025</v>
      </c>
      <c r="C245" s="71">
        <v>-945</v>
      </c>
      <c r="D245" s="90">
        <v>-1123</v>
      </c>
      <c r="E245" s="90">
        <v>-1345</v>
      </c>
      <c r="F245" s="90">
        <v>-237</v>
      </c>
      <c r="G245" s="90">
        <v>-459</v>
      </c>
      <c r="H245" s="90">
        <v>-680</v>
      </c>
      <c r="I245" s="90">
        <v>-902</v>
      </c>
      <c r="J245" s="90">
        <v>-1123</v>
      </c>
      <c r="K245" s="90">
        <v>-1345</v>
      </c>
      <c r="L245" s="90">
        <v>-237</v>
      </c>
      <c r="M245" s="90">
        <v>-459</v>
      </c>
      <c r="N245" s="90">
        <v>-680</v>
      </c>
      <c r="O245" s="90">
        <v>-901</v>
      </c>
      <c r="P245" s="84">
        <v>-802.76923076923072</v>
      </c>
      <c r="Q245" s="79"/>
      <c r="R245" s="90"/>
      <c r="S245" s="104"/>
      <c r="T245" s="90"/>
      <c r="U245" s="90"/>
    </row>
    <row r="246" spans="1:21" x14ac:dyDescent="0.2">
      <c r="A246" s="80" t="s">
        <v>2026</v>
      </c>
      <c r="B246" s="99" t="s">
        <v>364</v>
      </c>
      <c r="C246" s="71">
        <v>-1016.5</v>
      </c>
      <c r="D246" s="71">
        <v>-1524.5</v>
      </c>
      <c r="E246" s="71">
        <v>-2032.5</v>
      </c>
      <c r="F246" s="71">
        <v>-2541.5</v>
      </c>
      <c r="G246" s="71">
        <v>-3049.5</v>
      </c>
      <c r="H246" s="71">
        <v>-507.5</v>
      </c>
      <c r="I246" s="71">
        <v>-1016.5</v>
      </c>
      <c r="J246" s="71">
        <v>-1524.5</v>
      </c>
      <c r="K246" s="71">
        <v>-2032.5</v>
      </c>
      <c r="L246" s="71">
        <v>-2541.5</v>
      </c>
      <c r="M246" s="71">
        <v>-3049.5</v>
      </c>
      <c r="N246" s="71">
        <v>-507.5</v>
      </c>
      <c r="O246" s="71">
        <v>-1016.5</v>
      </c>
      <c r="P246" s="84">
        <v>-1720.0384615384614</v>
      </c>
      <c r="Q246" s="79"/>
      <c r="R246" s="71"/>
      <c r="S246" s="104"/>
      <c r="T246" s="71"/>
      <c r="U246" s="71"/>
    </row>
    <row r="247" spans="1:21" x14ac:dyDescent="0.2">
      <c r="A247" s="80" t="s">
        <v>144</v>
      </c>
      <c r="B247" s="98" t="s">
        <v>2027</v>
      </c>
      <c r="C247" s="71">
        <v>0</v>
      </c>
      <c r="D247" s="71">
        <v>0</v>
      </c>
      <c r="E247" s="71">
        <v>0</v>
      </c>
      <c r="F247" s="71">
        <v>0</v>
      </c>
      <c r="G247" s="71">
        <v>0</v>
      </c>
      <c r="H247" s="71">
        <v>0</v>
      </c>
      <c r="I247" s="71">
        <v>0</v>
      </c>
      <c r="J247" s="71">
        <v>0</v>
      </c>
      <c r="K247" s="71">
        <v>0</v>
      </c>
      <c r="L247" s="71">
        <v>0</v>
      </c>
      <c r="M247" s="71">
        <v>0</v>
      </c>
      <c r="N247" s="71">
        <v>0</v>
      </c>
      <c r="O247" s="71">
        <v>0</v>
      </c>
      <c r="P247" s="84">
        <v>0</v>
      </c>
      <c r="Q247" s="79"/>
      <c r="R247" s="71"/>
      <c r="S247" s="104"/>
      <c r="T247" s="71"/>
      <c r="U247" s="71"/>
    </row>
    <row r="248" spans="1:21" x14ac:dyDescent="0.2">
      <c r="A248" s="79" t="s">
        <v>123</v>
      </c>
      <c r="B248" s="70" t="s">
        <v>2912</v>
      </c>
      <c r="C248" s="71">
        <v>0</v>
      </c>
      <c r="D248" s="71">
        <v>0</v>
      </c>
      <c r="E248" s="71">
        <v>0</v>
      </c>
      <c r="F248" s="71">
        <v>0</v>
      </c>
      <c r="G248" s="71">
        <v>0</v>
      </c>
      <c r="H248" s="71">
        <v>0</v>
      </c>
      <c r="I248" s="71">
        <v>0</v>
      </c>
      <c r="J248" s="71">
        <v>0</v>
      </c>
      <c r="K248" s="71">
        <v>0</v>
      </c>
      <c r="L248" s="71">
        <v>0</v>
      </c>
      <c r="M248" s="71">
        <v>0</v>
      </c>
      <c r="N248" s="71">
        <v>-718.75</v>
      </c>
      <c r="O248" s="71">
        <v>-1437.5</v>
      </c>
      <c r="P248" s="84">
        <v>-165.86538461538461</v>
      </c>
      <c r="Q248" s="79"/>
      <c r="R248" s="71"/>
      <c r="S248" s="104"/>
      <c r="T248" s="71"/>
      <c r="U248" s="71"/>
    </row>
    <row r="249" spans="1:21" x14ac:dyDescent="0.2">
      <c r="A249" s="79" t="s">
        <v>125</v>
      </c>
      <c r="B249" s="70" t="s">
        <v>2029</v>
      </c>
      <c r="C249" s="70">
        <v>-39</v>
      </c>
      <c r="D249" s="70">
        <v>-39</v>
      </c>
      <c r="E249" s="70">
        <v>-39</v>
      </c>
      <c r="F249" s="70">
        <v>-39</v>
      </c>
      <c r="G249" s="70">
        <v>-39</v>
      </c>
      <c r="H249" s="70">
        <v>-39</v>
      </c>
      <c r="I249" s="70">
        <v>-39</v>
      </c>
      <c r="J249" s="70">
        <v>-39</v>
      </c>
      <c r="K249" s="70">
        <v>-39</v>
      </c>
      <c r="L249" s="70">
        <v>-39</v>
      </c>
      <c r="M249" s="70">
        <v>-39</v>
      </c>
      <c r="N249" s="70">
        <v>-39</v>
      </c>
      <c r="O249" s="70">
        <v>-39</v>
      </c>
      <c r="P249" s="84">
        <v>-39</v>
      </c>
      <c r="Q249" s="79"/>
      <c r="S249" s="104"/>
    </row>
    <row r="250" spans="1:21" x14ac:dyDescent="0.2">
      <c r="A250" s="79" t="s">
        <v>127</v>
      </c>
      <c r="B250" s="70" t="s">
        <v>2030</v>
      </c>
      <c r="C250" s="71">
        <v>-1589</v>
      </c>
      <c r="D250" s="71">
        <v>-2563</v>
      </c>
      <c r="E250" s="71">
        <v>-3537</v>
      </c>
      <c r="F250" s="71">
        <v>-4510</v>
      </c>
      <c r="G250" s="71">
        <v>-5484</v>
      </c>
      <c r="H250" s="71">
        <v>-616</v>
      </c>
      <c r="I250" s="71">
        <v>-1589</v>
      </c>
      <c r="J250" s="71">
        <v>-2563</v>
      </c>
      <c r="K250" s="71">
        <v>-3537</v>
      </c>
      <c r="L250" s="71">
        <v>-4510</v>
      </c>
      <c r="M250" s="71">
        <v>-5484</v>
      </c>
      <c r="N250" s="71">
        <v>-615</v>
      </c>
      <c r="O250" s="71">
        <v>-1589</v>
      </c>
      <c r="P250" s="84">
        <v>-2937.3846153846152</v>
      </c>
      <c r="Q250" s="80"/>
      <c r="R250" s="71"/>
      <c r="S250" s="104"/>
      <c r="T250" s="71"/>
      <c r="U250" s="71"/>
    </row>
    <row r="251" spans="1:21" x14ac:dyDescent="0.2">
      <c r="A251" s="80" t="s">
        <v>129</v>
      </c>
      <c r="B251" s="70" t="s">
        <v>2031</v>
      </c>
      <c r="C251" s="71">
        <v>-1432</v>
      </c>
      <c r="D251" s="71">
        <v>-1790</v>
      </c>
      <c r="E251" s="71">
        <v>-2148</v>
      </c>
      <c r="F251" s="71">
        <v>-358</v>
      </c>
      <c r="G251" s="71">
        <v>-716</v>
      </c>
      <c r="H251" s="71">
        <v>-1074</v>
      </c>
      <c r="I251" s="71">
        <v>-1433</v>
      </c>
      <c r="J251" s="71">
        <v>-1791</v>
      </c>
      <c r="K251" s="71">
        <v>-2149</v>
      </c>
      <c r="L251" s="71">
        <v>-358</v>
      </c>
      <c r="M251" s="71">
        <v>-716</v>
      </c>
      <c r="N251" s="71">
        <v>-1074</v>
      </c>
      <c r="O251" s="71">
        <v>-1433</v>
      </c>
      <c r="P251" s="84">
        <v>-1267.0769230769231</v>
      </c>
      <c r="Q251" s="79"/>
      <c r="R251" s="71"/>
      <c r="S251" s="104"/>
      <c r="T251" s="71"/>
      <c r="U251" s="71"/>
    </row>
    <row r="252" spans="1:21" x14ac:dyDescent="0.2">
      <c r="A252" s="80" t="s">
        <v>130</v>
      </c>
      <c r="B252" s="70" t="s">
        <v>2032</v>
      </c>
      <c r="C252" s="71">
        <v>-602</v>
      </c>
      <c r="D252" s="71">
        <v>-1805</v>
      </c>
      <c r="E252" s="71">
        <v>-3008</v>
      </c>
      <c r="F252" s="71">
        <v>-4211</v>
      </c>
      <c r="G252" s="71">
        <v>-5414</v>
      </c>
      <c r="H252" s="71">
        <v>-6617</v>
      </c>
      <c r="I252" s="71">
        <v>-602</v>
      </c>
      <c r="J252" s="71">
        <v>-1805</v>
      </c>
      <c r="K252" s="71">
        <v>-3008</v>
      </c>
      <c r="L252" s="71">
        <v>-4211</v>
      </c>
      <c r="M252" s="71">
        <v>-5414</v>
      </c>
      <c r="N252" s="71">
        <v>-6617</v>
      </c>
      <c r="O252" s="71">
        <v>-602</v>
      </c>
      <c r="P252" s="84">
        <v>-3378.1538461538462</v>
      </c>
      <c r="Q252" s="80"/>
      <c r="R252" s="71"/>
      <c r="S252" s="104"/>
      <c r="T252" s="71"/>
      <c r="U252" s="71"/>
    </row>
    <row r="253" spans="1:21" x14ac:dyDescent="0.2">
      <c r="A253" s="80" t="s">
        <v>132</v>
      </c>
      <c r="B253" s="70" t="s">
        <v>2033</v>
      </c>
      <c r="C253" s="71">
        <v>-776</v>
      </c>
      <c r="D253" s="71">
        <v>-1034</v>
      </c>
      <c r="E253" s="71">
        <v>-1292</v>
      </c>
      <c r="F253" s="71">
        <v>-1550</v>
      </c>
      <c r="G253" s="71">
        <v>-260</v>
      </c>
      <c r="H253" s="71">
        <v>-518</v>
      </c>
      <c r="I253" s="71">
        <v>-775</v>
      </c>
      <c r="J253" s="71">
        <v>-1033</v>
      </c>
      <c r="K253" s="71">
        <v>-1291</v>
      </c>
      <c r="L253" s="71">
        <v>-1549</v>
      </c>
      <c r="M253" s="71">
        <v>-260</v>
      </c>
      <c r="N253" s="71">
        <v>-518</v>
      </c>
      <c r="O253" s="71">
        <v>-776</v>
      </c>
      <c r="P253" s="84">
        <v>-894.76923076923072</v>
      </c>
      <c r="Q253" s="80"/>
      <c r="R253" s="71"/>
      <c r="S253" s="104"/>
      <c r="T253" s="71"/>
      <c r="U253" s="71"/>
    </row>
    <row r="254" spans="1:21" x14ac:dyDescent="0.2">
      <c r="A254" s="80" t="s">
        <v>134</v>
      </c>
      <c r="B254" s="70" t="s">
        <v>2034</v>
      </c>
      <c r="C254" s="71">
        <v>-1188</v>
      </c>
      <c r="D254" s="71">
        <v>-1584</v>
      </c>
      <c r="E254" s="71">
        <v>-1980</v>
      </c>
      <c r="F254" s="71">
        <v>-2376</v>
      </c>
      <c r="G254" s="71">
        <v>-396</v>
      </c>
      <c r="H254" s="71">
        <v>-792</v>
      </c>
      <c r="I254" s="71">
        <v>-1188</v>
      </c>
      <c r="J254" s="71">
        <v>-1584</v>
      </c>
      <c r="K254" s="71">
        <v>-1980</v>
      </c>
      <c r="L254" s="71">
        <v>-2376</v>
      </c>
      <c r="M254" s="71">
        <v>-396</v>
      </c>
      <c r="N254" s="71">
        <v>-792</v>
      </c>
      <c r="O254" s="71">
        <v>-1188</v>
      </c>
      <c r="P254" s="84">
        <v>-1370.7692307692307</v>
      </c>
      <c r="Q254" s="80"/>
      <c r="R254" s="71"/>
      <c r="S254" s="104"/>
      <c r="T254" s="71"/>
      <c r="U254" s="71"/>
    </row>
    <row r="255" spans="1:21" x14ac:dyDescent="0.2">
      <c r="A255" s="80" t="s">
        <v>136</v>
      </c>
      <c r="B255" s="70" t="s">
        <v>2035</v>
      </c>
      <c r="C255" s="71">
        <v>-7889</v>
      </c>
      <c r="D255" s="71">
        <v>-9642</v>
      </c>
      <c r="E255" s="71">
        <v>-876</v>
      </c>
      <c r="F255" s="71">
        <v>-2629</v>
      </c>
      <c r="G255" s="71">
        <v>-4382</v>
      </c>
      <c r="H255" s="71">
        <v>-6135</v>
      </c>
      <c r="I255" s="71">
        <v>-7889</v>
      </c>
      <c r="J255" s="71">
        <v>-9642</v>
      </c>
      <c r="K255" s="71">
        <v>-876</v>
      </c>
      <c r="L255" s="71">
        <v>-2629</v>
      </c>
      <c r="M255" s="71">
        <v>-4382</v>
      </c>
      <c r="N255" s="71">
        <v>-6135</v>
      </c>
      <c r="O255" s="71">
        <v>-7889</v>
      </c>
      <c r="P255" s="84">
        <v>-5461.1538461538457</v>
      </c>
      <c r="Q255" s="80"/>
      <c r="R255" s="71"/>
      <c r="S255" s="104"/>
      <c r="T255" s="71"/>
      <c r="U255" s="71"/>
    </row>
    <row r="256" spans="1:21" x14ac:dyDescent="0.2">
      <c r="A256" s="80" t="s">
        <v>137</v>
      </c>
      <c r="B256" s="70" t="s">
        <v>2036</v>
      </c>
      <c r="C256" s="71">
        <v>0</v>
      </c>
      <c r="D256" s="71">
        <v>0</v>
      </c>
      <c r="E256" s="71">
        <v>0</v>
      </c>
      <c r="F256" s="71">
        <v>0</v>
      </c>
      <c r="G256" s="71">
        <v>0</v>
      </c>
      <c r="H256" s="71">
        <v>0</v>
      </c>
      <c r="I256" s="71">
        <v>0</v>
      </c>
      <c r="J256" s="71">
        <v>0</v>
      </c>
      <c r="K256" s="71">
        <v>0</v>
      </c>
      <c r="L256" s="71">
        <v>0</v>
      </c>
      <c r="M256" s="71">
        <v>0</v>
      </c>
      <c r="N256" s="71">
        <v>0</v>
      </c>
      <c r="O256" s="71">
        <v>0</v>
      </c>
      <c r="P256" s="84">
        <v>0</v>
      </c>
      <c r="Q256" s="80"/>
      <c r="R256" s="71"/>
      <c r="S256" s="104"/>
      <c r="T256" s="71"/>
      <c r="U256" s="71"/>
    </row>
    <row r="257" spans="1:21" x14ac:dyDescent="0.2">
      <c r="A257" s="80" t="s">
        <v>139</v>
      </c>
      <c r="B257" s="70" t="s">
        <v>260</v>
      </c>
      <c r="C257" s="71">
        <v>-3255</v>
      </c>
      <c r="D257" s="71">
        <v>-4557</v>
      </c>
      <c r="E257" s="71">
        <v>-5859</v>
      </c>
      <c r="F257" s="71">
        <v>-7161</v>
      </c>
      <c r="G257" s="71">
        <v>-651</v>
      </c>
      <c r="H257" s="71">
        <v>-1953</v>
      </c>
      <c r="I257" s="71">
        <v>-3255</v>
      </c>
      <c r="J257" s="71">
        <v>-4557</v>
      </c>
      <c r="K257" s="71">
        <v>-5859</v>
      </c>
      <c r="L257" s="71">
        <v>-7161</v>
      </c>
      <c r="M257" s="71">
        <v>-651</v>
      </c>
      <c r="N257" s="71">
        <v>-1953</v>
      </c>
      <c r="O257" s="71">
        <v>-3255</v>
      </c>
      <c r="P257" s="84">
        <v>-3855.9230769230771</v>
      </c>
      <c r="Q257" s="80"/>
      <c r="R257" s="71"/>
      <c r="S257" s="104"/>
      <c r="T257" s="71"/>
      <c r="U257" s="71"/>
    </row>
    <row r="258" spans="1:21" x14ac:dyDescent="0.2">
      <c r="A258" s="80" t="s">
        <v>148</v>
      </c>
      <c r="B258" s="70" t="s">
        <v>261</v>
      </c>
      <c r="C258" s="91">
        <v>-263</v>
      </c>
      <c r="D258" s="91">
        <v>-122</v>
      </c>
      <c r="E258" s="91">
        <v>-83</v>
      </c>
      <c r="F258" s="91">
        <v>-114</v>
      </c>
      <c r="G258" s="91">
        <v>-117</v>
      </c>
      <c r="H258" s="91">
        <v>-269</v>
      </c>
      <c r="I258" s="91">
        <v>-404</v>
      </c>
      <c r="J258" s="91">
        <v>-379</v>
      </c>
      <c r="K258" s="91">
        <v>-341</v>
      </c>
      <c r="L258" s="91">
        <v>-368</v>
      </c>
      <c r="M258" s="91">
        <v>-283</v>
      </c>
      <c r="N258" s="91">
        <v>-87</v>
      </c>
      <c r="O258" s="91">
        <v>-37</v>
      </c>
      <c r="P258" s="84">
        <v>-220.53846153846155</v>
      </c>
      <c r="Q258" s="79"/>
      <c r="R258" s="91"/>
      <c r="S258" s="104"/>
      <c r="T258" s="91"/>
      <c r="U258" s="91"/>
    </row>
    <row r="259" spans="1:21" x14ac:dyDescent="0.2">
      <c r="A259" s="79" t="s">
        <v>156</v>
      </c>
      <c r="B259" s="70" t="s">
        <v>262</v>
      </c>
      <c r="C259" s="90">
        <v>0</v>
      </c>
      <c r="D259" s="90">
        <v>0</v>
      </c>
      <c r="E259" s="90">
        <v>0</v>
      </c>
      <c r="F259" s="90">
        <v>0</v>
      </c>
      <c r="G259" s="90">
        <v>0</v>
      </c>
      <c r="H259" s="90">
        <v>0</v>
      </c>
      <c r="I259" s="90">
        <v>0</v>
      </c>
      <c r="J259" s="90">
        <v>0</v>
      </c>
      <c r="K259" s="90">
        <v>0</v>
      </c>
      <c r="L259" s="90">
        <v>0</v>
      </c>
      <c r="M259" s="90">
        <v>0</v>
      </c>
      <c r="N259" s="90">
        <v>0</v>
      </c>
      <c r="O259" s="90">
        <v>0</v>
      </c>
      <c r="P259" s="84">
        <v>0</v>
      </c>
      <c r="Q259" s="77"/>
      <c r="R259" s="90"/>
      <c r="S259" s="104"/>
      <c r="T259" s="90"/>
      <c r="U259" s="90"/>
    </row>
    <row r="260" spans="1:21" x14ac:dyDescent="0.2">
      <c r="A260" s="77" t="s">
        <v>2847</v>
      </c>
      <c r="B260" s="70" t="s">
        <v>263</v>
      </c>
      <c r="C260" s="90">
        <v>0</v>
      </c>
      <c r="D260" s="90">
        <v>0</v>
      </c>
      <c r="E260" s="90">
        <v>0</v>
      </c>
      <c r="F260" s="90">
        <v>0</v>
      </c>
      <c r="G260" s="90">
        <v>-20364</v>
      </c>
      <c r="H260" s="90">
        <v>0</v>
      </c>
      <c r="I260" s="90">
        <v>0</v>
      </c>
      <c r="J260" s="90">
        <v>-23220</v>
      </c>
      <c r="K260" s="90">
        <v>0</v>
      </c>
      <c r="L260" s="90">
        <v>0</v>
      </c>
      <c r="M260" s="90">
        <v>-55892</v>
      </c>
      <c r="N260" s="90">
        <v>0</v>
      </c>
      <c r="O260" s="90">
        <v>0</v>
      </c>
      <c r="P260" s="84">
        <v>-7652</v>
      </c>
      <c r="Q260" s="77"/>
      <c r="R260" s="90"/>
      <c r="S260" s="104"/>
      <c r="T260" s="90"/>
      <c r="U260" s="90"/>
    </row>
    <row r="261" spans="1:21" x14ac:dyDescent="0.2">
      <c r="A261" s="77" t="s">
        <v>2845</v>
      </c>
      <c r="B261" s="70" t="s">
        <v>264</v>
      </c>
      <c r="C261" s="90">
        <v>0</v>
      </c>
      <c r="D261" s="90">
        <v>0</v>
      </c>
      <c r="E261" s="90">
        <v>0</v>
      </c>
      <c r="F261" s="90">
        <v>0</v>
      </c>
      <c r="G261" s="90">
        <v>-20364</v>
      </c>
      <c r="H261" s="90">
        <v>0</v>
      </c>
      <c r="I261" s="90">
        <v>0</v>
      </c>
      <c r="J261" s="90">
        <v>-23220</v>
      </c>
      <c r="K261" s="90">
        <v>0</v>
      </c>
      <c r="L261" s="90">
        <v>0</v>
      </c>
      <c r="M261" s="90">
        <v>-55892</v>
      </c>
      <c r="N261" s="90">
        <v>0</v>
      </c>
      <c r="O261" s="90">
        <v>0</v>
      </c>
      <c r="P261" s="84">
        <v>-7652</v>
      </c>
      <c r="Q261" s="77"/>
      <c r="R261" s="90"/>
      <c r="S261" s="104"/>
      <c r="T261" s="90"/>
      <c r="U261" s="90"/>
    </row>
    <row r="262" spans="1:21" x14ac:dyDescent="0.2">
      <c r="A262" s="77" t="s">
        <v>2556</v>
      </c>
      <c r="B262" s="70" t="s">
        <v>265</v>
      </c>
      <c r="C262" s="71">
        <v>-6855</v>
      </c>
      <c r="D262" s="71">
        <v>-5977</v>
      </c>
      <c r="E262" s="71">
        <v>-4465</v>
      </c>
      <c r="F262" s="71">
        <v>-4541</v>
      </c>
      <c r="G262" s="71">
        <v>-4794</v>
      </c>
      <c r="H262" s="71">
        <v>-5265</v>
      </c>
      <c r="I262" s="71">
        <v>-5377</v>
      </c>
      <c r="J262" s="71">
        <v>-5950</v>
      </c>
      <c r="K262" s="71">
        <v>-6260</v>
      </c>
      <c r="L262" s="71">
        <v>-6536</v>
      </c>
      <c r="M262" s="71">
        <v>-5705</v>
      </c>
      <c r="N262" s="71">
        <v>-4874</v>
      </c>
      <c r="O262" s="71">
        <v>-4872</v>
      </c>
      <c r="P262" s="84">
        <v>-5497.7692307692305</v>
      </c>
      <c r="Q262" s="77"/>
      <c r="R262" s="71"/>
      <c r="S262" s="104"/>
      <c r="T262" s="71"/>
      <c r="U262" s="71"/>
    </row>
    <row r="263" spans="1:21" x14ac:dyDescent="0.2">
      <c r="A263" s="77" t="s">
        <v>2566</v>
      </c>
      <c r="B263" s="70" t="s">
        <v>266</v>
      </c>
      <c r="C263" s="71">
        <v>-24339</v>
      </c>
      <c r="D263" s="71">
        <v>-24270</v>
      </c>
      <c r="E263" s="71">
        <v>-24343</v>
      </c>
      <c r="F263" s="71">
        <v>-24415</v>
      </c>
      <c r="G263" s="71">
        <v>-24488</v>
      </c>
      <c r="H263" s="71">
        <v>-24561</v>
      </c>
      <c r="I263" s="71">
        <v>-24633</v>
      </c>
      <c r="J263" s="71">
        <v>-24706</v>
      </c>
      <c r="K263" s="71">
        <v>-24779</v>
      </c>
      <c r="L263" s="71">
        <v>-24852</v>
      </c>
      <c r="M263" s="71">
        <v>-24924</v>
      </c>
      <c r="N263" s="71">
        <v>-24997</v>
      </c>
      <c r="O263" s="71">
        <v>-25070</v>
      </c>
      <c r="P263" s="84">
        <v>-24644.384615384617</v>
      </c>
      <c r="Q263" s="79"/>
      <c r="R263" s="71"/>
      <c r="S263" s="104"/>
      <c r="T263" s="71"/>
      <c r="U263" s="71"/>
    </row>
    <row r="264" spans="1:21" x14ac:dyDescent="0.2">
      <c r="A264" s="79" t="s">
        <v>2557</v>
      </c>
      <c r="B264" s="70" t="s">
        <v>267</v>
      </c>
      <c r="C264" s="70">
        <v>-14461</v>
      </c>
      <c r="D264" s="70">
        <v>-14392</v>
      </c>
      <c r="E264" s="70">
        <v>-14465</v>
      </c>
      <c r="F264" s="70">
        <v>-14537</v>
      </c>
      <c r="G264" s="70">
        <v>-14610</v>
      </c>
      <c r="H264" s="70">
        <v>-14683</v>
      </c>
      <c r="I264" s="70">
        <v>-14755</v>
      </c>
      <c r="J264" s="70">
        <v>-14828</v>
      </c>
      <c r="K264" s="70">
        <v>-14901</v>
      </c>
      <c r="L264" s="70">
        <v>-14974</v>
      </c>
      <c r="M264" s="70">
        <v>-15046</v>
      </c>
      <c r="N264" s="70">
        <v>-15119</v>
      </c>
      <c r="O264" s="70">
        <v>-15192</v>
      </c>
      <c r="P264" s="84">
        <v>-14766.384615384615</v>
      </c>
      <c r="Q264" s="79"/>
      <c r="S264" s="104"/>
    </row>
    <row r="265" spans="1:21" x14ac:dyDescent="0.2">
      <c r="A265" s="80" t="s">
        <v>2559</v>
      </c>
      <c r="B265" s="96" t="s">
        <v>268</v>
      </c>
      <c r="C265" s="71">
        <v>-9655</v>
      </c>
      <c r="D265" s="71">
        <v>-9655</v>
      </c>
      <c r="E265" s="71">
        <v>-9655</v>
      </c>
      <c r="F265" s="71">
        <v>-9655</v>
      </c>
      <c r="G265" s="71">
        <v>-9655</v>
      </c>
      <c r="H265" s="71">
        <v>-9655</v>
      </c>
      <c r="I265" s="71">
        <v>-9655</v>
      </c>
      <c r="J265" s="71">
        <v>-9655</v>
      </c>
      <c r="K265" s="71">
        <v>-9655</v>
      </c>
      <c r="L265" s="71">
        <v>-9655</v>
      </c>
      <c r="M265" s="71">
        <v>-9655</v>
      </c>
      <c r="N265" s="71">
        <v>-9655</v>
      </c>
      <c r="O265" s="71">
        <v>-9655</v>
      </c>
      <c r="P265" s="84">
        <v>-9655</v>
      </c>
      <c r="Q265" s="80"/>
      <c r="R265" s="71"/>
      <c r="S265" s="104"/>
      <c r="T265" s="71"/>
      <c r="U265" s="71"/>
    </row>
    <row r="266" spans="1:21" x14ac:dyDescent="0.2">
      <c r="A266" s="80" t="s">
        <v>2561</v>
      </c>
      <c r="B266" s="96" t="s">
        <v>1510</v>
      </c>
      <c r="C266" s="71">
        <v>-223</v>
      </c>
      <c r="D266" s="71">
        <v>-223</v>
      </c>
      <c r="E266" s="71">
        <v>-223</v>
      </c>
      <c r="F266" s="71">
        <v>-223</v>
      </c>
      <c r="G266" s="71">
        <v>-223</v>
      </c>
      <c r="H266" s="71">
        <v>-223</v>
      </c>
      <c r="I266" s="71">
        <v>-223</v>
      </c>
      <c r="J266" s="71">
        <v>-223</v>
      </c>
      <c r="K266" s="71">
        <v>-223</v>
      </c>
      <c r="L266" s="71">
        <v>-223</v>
      </c>
      <c r="M266" s="71">
        <v>-223</v>
      </c>
      <c r="N266" s="71">
        <v>-223</v>
      </c>
      <c r="O266" s="71">
        <v>-223</v>
      </c>
      <c r="P266" s="84">
        <v>-223</v>
      </c>
      <c r="Q266" s="80"/>
      <c r="R266" s="71"/>
      <c r="S266" s="104"/>
      <c r="T266" s="71"/>
      <c r="U266" s="71"/>
    </row>
    <row r="267" spans="1:21" ht="15.75" x14ac:dyDescent="0.25">
      <c r="A267" s="80" t="s">
        <v>2888</v>
      </c>
      <c r="B267" s="97" t="s">
        <v>2940</v>
      </c>
      <c r="C267" s="86">
        <v>-3687</v>
      </c>
      <c r="D267" s="86">
        <v>-12927</v>
      </c>
      <c r="E267" s="86">
        <v>-11001</v>
      </c>
      <c r="F267" s="86">
        <v>-8670</v>
      </c>
      <c r="G267" s="86">
        <v>-7032</v>
      </c>
      <c r="H267" s="86">
        <v>-6255</v>
      </c>
      <c r="I267" s="86">
        <v>-5479</v>
      </c>
      <c r="J267" s="86">
        <v>-4779</v>
      </c>
      <c r="K267" s="86">
        <v>-3929</v>
      </c>
      <c r="L267" s="86">
        <v>-2779</v>
      </c>
      <c r="M267" s="86">
        <v>-1814</v>
      </c>
      <c r="N267" s="86">
        <v>-1293</v>
      </c>
      <c r="O267" s="86">
        <v>-1039</v>
      </c>
      <c r="P267" s="84">
        <v>-5437.2307692307695</v>
      </c>
      <c r="Q267" s="80"/>
      <c r="R267" s="86"/>
      <c r="S267" s="104"/>
      <c r="T267" s="86"/>
      <c r="U267" s="86"/>
    </row>
    <row r="268" spans="1:21" x14ac:dyDescent="0.2">
      <c r="A268" s="80" t="s">
        <v>2567</v>
      </c>
      <c r="B268" s="97" t="s">
        <v>269</v>
      </c>
      <c r="C268" s="71">
        <v>-2357</v>
      </c>
      <c r="D268" s="83">
        <v>0</v>
      </c>
      <c r="E268" s="83">
        <v>0</v>
      </c>
      <c r="F268" s="83">
        <v>0</v>
      </c>
      <c r="G268" s="83">
        <v>0</v>
      </c>
      <c r="H268" s="83">
        <v>0</v>
      </c>
      <c r="I268" s="83">
        <v>0</v>
      </c>
      <c r="J268" s="83">
        <v>0</v>
      </c>
      <c r="K268" s="83">
        <v>0</v>
      </c>
      <c r="L268" s="83">
        <v>0</v>
      </c>
      <c r="M268" s="83">
        <v>0</v>
      </c>
      <c r="N268" s="83">
        <v>0</v>
      </c>
      <c r="O268" s="83">
        <v>0</v>
      </c>
      <c r="P268" s="84">
        <v>-181.30769230769232</v>
      </c>
      <c r="Q268" s="80"/>
      <c r="R268" s="83"/>
      <c r="S268" s="104"/>
      <c r="T268" s="83"/>
      <c r="U268" s="83"/>
    </row>
    <row r="269" spans="1:21" x14ac:dyDescent="0.2">
      <c r="A269" s="80" t="s">
        <v>2876</v>
      </c>
      <c r="B269" s="97" t="s">
        <v>270</v>
      </c>
      <c r="C269" s="91">
        <v>0</v>
      </c>
      <c r="D269" s="83">
        <v>-12179</v>
      </c>
      <c r="E269" s="83">
        <v>-10651</v>
      </c>
      <c r="F269" s="83">
        <v>-8532</v>
      </c>
      <c r="G269" s="83">
        <v>-6979</v>
      </c>
      <c r="H269" s="83">
        <v>-6202</v>
      </c>
      <c r="I269" s="83">
        <v>-5426</v>
      </c>
      <c r="J269" s="83">
        <v>-4726</v>
      </c>
      <c r="K269" s="83">
        <v>-3876</v>
      </c>
      <c r="L269" s="83">
        <v>-2726</v>
      </c>
      <c r="M269" s="83">
        <v>-1761</v>
      </c>
      <c r="N269" s="83">
        <v>-1240</v>
      </c>
      <c r="O269" s="83">
        <v>-986</v>
      </c>
      <c r="P269" s="84">
        <v>-5021.8461538461543</v>
      </c>
      <c r="Q269" s="80"/>
      <c r="R269" s="83"/>
      <c r="S269" s="104"/>
      <c r="T269" s="83"/>
      <c r="U269" s="83"/>
    </row>
    <row r="270" spans="1:21" x14ac:dyDescent="0.2">
      <c r="A270" s="80" t="s">
        <v>2878</v>
      </c>
      <c r="B270" s="97" t="s">
        <v>271</v>
      </c>
      <c r="C270" s="91">
        <v>0</v>
      </c>
      <c r="D270" s="83">
        <v>0</v>
      </c>
      <c r="E270" s="83">
        <v>0</v>
      </c>
      <c r="F270" s="83">
        <v>0</v>
      </c>
      <c r="G270" s="83">
        <v>0</v>
      </c>
      <c r="H270" s="83">
        <v>0</v>
      </c>
      <c r="I270" s="83">
        <v>0</v>
      </c>
      <c r="J270" s="83">
        <v>0</v>
      </c>
      <c r="K270" s="83">
        <v>0</v>
      </c>
      <c r="L270" s="83">
        <v>0</v>
      </c>
      <c r="M270" s="83">
        <v>0</v>
      </c>
      <c r="N270" s="83">
        <v>0</v>
      </c>
      <c r="O270" s="83">
        <v>0</v>
      </c>
      <c r="P270" s="84">
        <v>0</v>
      </c>
      <c r="Q270" s="80"/>
      <c r="R270" s="83"/>
      <c r="S270" s="104"/>
      <c r="T270" s="83"/>
      <c r="U270" s="83"/>
    </row>
    <row r="271" spans="1:21" x14ac:dyDescent="0.2">
      <c r="A271" s="80" t="s">
        <v>2880</v>
      </c>
      <c r="B271" s="97" t="s">
        <v>272</v>
      </c>
      <c r="C271" s="91">
        <v>0</v>
      </c>
      <c r="D271" s="83">
        <v>0</v>
      </c>
      <c r="E271" s="83">
        <v>0</v>
      </c>
      <c r="F271" s="83">
        <v>0</v>
      </c>
      <c r="G271" s="83">
        <v>0</v>
      </c>
      <c r="H271" s="83">
        <v>0</v>
      </c>
      <c r="I271" s="83">
        <v>0</v>
      </c>
      <c r="J271" s="83">
        <v>0</v>
      </c>
      <c r="K271" s="83">
        <v>0</v>
      </c>
      <c r="L271" s="83">
        <v>0</v>
      </c>
      <c r="M271" s="83">
        <v>0</v>
      </c>
      <c r="N271" s="83">
        <v>0</v>
      </c>
      <c r="O271" s="83">
        <v>0</v>
      </c>
      <c r="P271" s="84">
        <v>0</v>
      </c>
      <c r="Q271" s="80"/>
      <c r="R271" s="83"/>
      <c r="S271" s="104"/>
      <c r="T271" s="83"/>
      <c r="U271" s="83"/>
    </row>
    <row r="272" spans="1:21" x14ac:dyDescent="0.2">
      <c r="A272" s="80" t="s">
        <v>2881</v>
      </c>
      <c r="B272" s="97" t="s">
        <v>273</v>
      </c>
      <c r="C272" s="91">
        <v>-1277</v>
      </c>
      <c r="D272" s="83">
        <v>-695</v>
      </c>
      <c r="E272" s="83">
        <v>-297</v>
      </c>
      <c r="F272" s="83">
        <v>-85</v>
      </c>
      <c r="G272" s="83">
        <v>0</v>
      </c>
      <c r="H272" s="83">
        <v>0</v>
      </c>
      <c r="I272" s="83">
        <v>0</v>
      </c>
      <c r="J272" s="83">
        <v>0</v>
      </c>
      <c r="K272" s="83">
        <v>0</v>
      </c>
      <c r="L272" s="83">
        <v>0</v>
      </c>
      <c r="M272" s="83">
        <v>0</v>
      </c>
      <c r="N272" s="83">
        <v>0</v>
      </c>
      <c r="O272" s="83">
        <v>0</v>
      </c>
      <c r="P272" s="84">
        <v>-181.07692307692307</v>
      </c>
      <c r="Q272" s="77"/>
      <c r="R272" s="83"/>
      <c r="S272" s="104"/>
      <c r="T272" s="83"/>
      <c r="U272" s="83"/>
    </row>
    <row r="273" spans="1:21" x14ac:dyDescent="0.2">
      <c r="A273" s="80" t="s">
        <v>2882</v>
      </c>
      <c r="B273" s="97" t="s">
        <v>274</v>
      </c>
      <c r="C273" s="91">
        <v>0</v>
      </c>
      <c r="D273" s="83">
        <v>0</v>
      </c>
      <c r="E273" s="83">
        <v>0</v>
      </c>
      <c r="F273" s="83">
        <v>0</v>
      </c>
      <c r="G273" s="83">
        <v>0</v>
      </c>
      <c r="H273" s="83">
        <v>0</v>
      </c>
      <c r="I273" s="83">
        <v>0</v>
      </c>
      <c r="J273" s="83">
        <v>0</v>
      </c>
      <c r="K273" s="83">
        <v>0</v>
      </c>
      <c r="L273" s="83">
        <v>0</v>
      </c>
      <c r="M273" s="83">
        <v>0</v>
      </c>
      <c r="N273" s="83">
        <v>0</v>
      </c>
      <c r="O273" s="83">
        <v>0</v>
      </c>
      <c r="P273" s="84">
        <v>0</v>
      </c>
      <c r="Q273" s="77"/>
      <c r="R273" s="83"/>
      <c r="S273" s="104"/>
      <c r="T273" s="83"/>
      <c r="U273" s="83"/>
    </row>
    <row r="274" spans="1:21" x14ac:dyDescent="0.2">
      <c r="A274" s="80" t="s">
        <v>2886</v>
      </c>
      <c r="B274" s="97" t="s">
        <v>272</v>
      </c>
      <c r="C274" s="91">
        <v>-53</v>
      </c>
      <c r="D274" s="83">
        <v>-53</v>
      </c>
      <c r="E274" s="83">
        <v>-53</v>
      </c>
      <c r="F274" s="83">
        <v>-53</v>
      </c>
      <c r="G274" s="83">
        <v>-53</v>
      </c>
      <c r="H274" s="83">
        <v>-53</v>
      </c>
      <c r="I274" s="83">
        <v>-53</v>
      </c>
      <c r="J274" s="83">
        <v>-53</v>
      </c>
      <c r="K274" s="83">
        <v>-53</v>
      </c>
      <c r="L274" s="83">
        <v>-53</v>
      </c>
      <c r="M274" s="83">
        <v>-53</v>
      </c>
      <c r="N274" s="83">
        <v>-53</v>
      </c>
      <c r="O274" s="83">
        <v>-53</v>
      </c>
      <c r="P274" s="84">
        <v>-53</v>
      </c>
      <c r="Q274" s="77"/>
      <c r="R274" s="83"/>
      <c r="S274" s="104"/>
      <c r="T274" s="83"/>
      <c r="U274" s="83"/>
    </row>
    <row r="275" spans="1:21" x14ac:dyDescent="0.2">
      <c r="A275" s="77" t="s">
        <v>2891</v>
      </c>
      <c r="B275" s="70" t="s">
        <v>275</v>
      </c>
      <c r="C275" s="71">
        <v>0</v>
      </c>
      <c r="D275" s="70">
        <v>0</v>
      </c>
      <c r="E275" s="70">
        <v>0</v>
      </c>
      <c r="F275" s="70">
        <v>0</v>
      </c>
      <c r="G275" s="70">
        <v>0</v>
      </c>
      <c r="H275" s="70">
        <v>0</v>
      </c>
      <c r="I275" s="70">
        <v>0</v>
      </c>
      <c r="J275" s="70">
        <v>0</v>
      </c>
      <c r="K275" s="70">
        <v>0</v>
      </c>
      <c r="L275" s="70">
        <v>0</v>
      </c>
      <c r="M275" s="70">
        <v>0</v>
      </c>
      <c r="N275" s="70">
        <v>0</v>
      </c>
      <c r="O275" s="70">
        <v>0</v>
      </c>
      <c r="P275" s="84">
        <v>0</v>
      </c>
      <c r="Q275" s="77"/>
      <c r="S275" s="104"/>
    </row>
    <row r="276" spans="1:21" x14ac:dyDescent="0.2">
      <c r="A276" s="77" t="s">
        <v>2616</v>
      </c>
      <c r="B276" s="70" t="s">
        <v>276</v>
      </c>
      <c r="C276" s="71">
        <v>-12768</v>
      </c>
      <c r="D276" s="71">
        <v>-12058</v>
      </c>
      <c r="E276" s="71">
        <v>-12146</v>
      </c>
      <c r="F276" s="71">
        <v>-11289</v>
      </c>
      <c r="G276" s="71">
        <v>-10230</v>
      </c>
      <c r="H276" s="71">
        <v>-9170</v>
      </c>
      <c r="I276" s="71">
        <v>-9580</v>
      </c>
      <c r="J276" s="71">
        <v>-9971</v>
      </c>
      <c r="K276" s="71">
        <v>-10367</v>
      </c>
      <c r="L276" s="71">
        <v>-10809</v>
      </c>
      <c r="M276" s="71">
        <v>-11190</v>
      </c>
      <c r="N276" s="71">
        <v>-11771</v>
      </c>
      <c r="O276" s="71">
        <v>-12137</v>
      </c>
      <c r="P276" s="84">
        <v>-11037.384615384615</v>
      </c>
      <c r="Q276" s="77"/>
      <c r="R276" s="71"/>
      <c r="S276" s="104"/>
      <c r="T276" s="71"/>
      <c r="U276" s="71"/>
    </row>
    <row r="277" spans="1:21" x14ac:dyDescent="0.2">
      <c r="A277" s="77" t="s">
        <v>277</v>
      </c>
      <c r="B277" s="70" t="s">
        <v>278</v>
      </c>
      <c r="C277" s="71">
        <v>-7316</v>
      </c>
      <c r="D277" s="71">
        <v>-6446</v>
      </c>
      <c r="E277" s="71">
        <v>-6523</v>
      </c>
      <c r="F277" s="71">
        <v>-6655</v>
      </c>
      <c r="G277" s="71">
        <v>-6585</v>
      </c>
      <c r="H277" s="71">
        <v>-6514</v>
      </c>
      <c r="I277" s="71">
        <v>-6458</v>
      </c>
      <c r="J277" s="71">
        <v>-6388</v>
      </c>
      <c r="K277" s="71">
        <v>-6319</v>
      </c>
      <c r="L277" s="71">
        <v>-6299</v>
      </c>
      <c r="M277" s="71">
        <v>-6221</v>
      </c>
      <c r="N277" s="71">
        <v>-6338</v>
      </c>
      <c r="O277" s="71">
        <v>-6394</v>
      </c>
      <c r="P277" s="84">
        <v>-6496.6153846153848</v>
      </c>
      <c r="Q277" s="77"/>
      <c r="R277" s="71"/>
      <c r="S277" s="104"/>
      <c r="T277" s="71"/>
      <c r="U277" s="71"/>
    </row>
    <row r="278" spans="1:21" ht="15.75" x14ac:dyDescent="0.25">
      <c r="A278" s="77" t="s">
        <v>2892</v>
      </c>
      <c r="B278" s="96" t="s">
        <v>279</v>
      </c>
      <c r="C278" s="86">
        <v>-9</v>
      </c>
      <c r="D278" s="86">
        <v>-8</v>
      </c>
      <c r="E278" s="86">
        <v>-8</v>
      </c>
      <c r="F278" s="86">
        <v>-8</v>
      </c>
      <c r="G278" s="86">
        <v>-8</v>
      </c>
      <c r="H278" s="86">
        <v>-8</v>
      </c>
      <c r="I278" s="86">
        <v>-12</v>
      </c>
      <c r="J278" s="86">
        <v>-12</v>
      </c>
      <c r="K278" s="86">
        <v>-16</v>
      </c>
      <c r="L278" s="86">
        <v>-17</v>
      </c>
      <c r="M278" s="86">
        <v>-15</v>
      </c>
      <c r="N278" s="86">
        <v>-18</v>
      </c>
      <c r="O278" s="86">
        <v>-17</v>
      </c>
      <c r="P278" s="84">
        <v>-12</v>
      </c>
      <c r="Q278" s="79"/>
      <c r="R278" s="86"/>
      <c r="S278" s="104"/>
      <c r="T278" s="86"/>
      <c r="U278" s="86"/>
    </row>
    <row r="279" spans="1:21" x14ac:dyDescent="0.2">
      <c r="A279" s="79" t="s">
        <v>2896</v>
      </c>
      <c r="B279" s="70" t="s">
        <v>280</v>
      </c>
      <c r="C279" s="71">
        <v>0</v>
      </c>
      <c r="D279" s="71">
        <v>0</v>
      </c>
      <c r="E279" s="71">
        <v>0</v>
      </c>
      <c r="F279" s="71">
        <v>0</v>
      </c>
      <c r="G279" s="71">
        <v>0</v>
      </c>
      <c r="H279" s="71">
        <v>0</v>
      </c>
      <c r="I279" s="71">
        <v>0</v>
      </c>
      <c r="J279" s="71">
        <v>0</v>
      </c>
      <c r="K279" s="71">
        <v>0</v>
      </c>
      <c r="L279" s="71">
        <v>0</v>
      </c>
      <c r="M279" s="71">
        <v>0</v>
      </c>
      <c r="N279" s="71">
        <v>0</v>
      </c>
      <c r="O279" s="71">
        <v>0</v>
      </c>
      <c r="P279" s="84">
        <v>0</v>
      </c>
      <c r="Q279" s="80"/>
      <c r="R279" s="71"/>
      <c r="S279" s="104"/>
      <c r="T279" s="71"/>
      <c r="U279" s="71"/>
    </row>
    <row r="280" spans="1:21" x14ac:dyDescent="0.2">
      <c r="A280" s="80" t="s">
        <v>2573</v>
      </c>
      <c r="B280" s="70" t="s">
        <v>281</v>
      </c>
      <c r="C280" s="71">
        <v>-359</v>
      </c>
      <c r="D280" s="71">
        <v>-365</v>
      </c>
      <c r="E280" s="71">
        <v>-372</v>
      </c>
      <c r="F280" s="71">
        <v>-379</v>
      </c>
      <c r="G280" s="71">
        <v>-386</v>
      </c>
      <c r="H280" s="71">
        <v>-393</v>
      </c>
      <c r="I280" s="71">
        <v>-401</v>
      </c>
      <c r="J280" s="71">
        <v>-408</v>
      </c>
      <c r="K280" s="71">
        <v>-415</v>
      </c>
      <c r="L280" s="71">
        <v>-422</v>
      </c>
      <c r="M280" s="71">
        <v>-429</v>
      </c>
      <c r="N280" s="71">
        <v>-436</v>
      </c>
      <c r="O280" s="71">
        <v>-444</v>
      </c>
      <c r="P280" s="84">
        <v>-400.69230769230768</v>
      </c>
      <c r="Q280" s="80"/>
      <c r="R280" s="71"/>
      <c r="S280" s="104"/>
      <c r="T280" s="71"/>
      <c r="U280" s="71"/>
    </row>
    <row r="281" spans="1:21" x14ac:dyDescent="0.2">
      <c r="A281" s="80" t="s">
        <v>2575</v>
      </c>
      <c r="B281" s="70" t="s">
        <v>282</v>
      </c>
      <c r="C281" s="71">
        <v>-233</v>
      </c>
      <c r="D281" s="71">
        <v>-239</v>
      </c>
      <c r="E281" s="71">
        <v>-243</v>
      </c>
      <c r="F281" s="71">
        <v>-247</v>
      </c>
      <c r="G281" s="71">
        <v>-251</v>
      </c>
      <c r="H281" s="71">
        <v>-255</v>
      </c>
      <c r="I281" s="71">
        <v>-259</v>
      </c>
      <c r="J281" s="71">
        <v>-263</v>
      </c>
      <c r="K281" s="71">
        <v>-267</v>
      </c>
      <c r="L281" s="71">
        <v>-271</v>
      </c>
      <c r="M281" s="71">
        <v>-275</v>
      </c>
      <c r="N281" s="71">
        <v>-279</v>
      </c>
      <c r="O281" s="71">
        <v>-282</v>
      </c>
      <c r="P281" s="84">
        <v>-258.76923076923077</v>
      </c>
      <c r="Q281" s="77"/>
      <c r="R281" s="71"/>
      <c r="S281" s="104"/>
      <c r="T281" s="71"/>
      <c r="U281" s="71"/>
    </row>
    <row r="282" spans="1:21" x14ac:dyDescent="0.2">
      <c r="A282" s="77" t="s">
        <v>2577</v>
      </c>
      <c r="B282" s="70" t="s">
        <v>281</v>
      </c>
      <c r="C282" s="71">
        <v>0</v>
      </c>
      <c r="D282" s="71">
        <v>0</v>
      </c>
      <c r="E282" s="71">
        <v>0</v>
      </c>
      <c r="F282" s="71">
        <v>0</v>
      </c>
      <c r="G282" s="71">
        <v>0</v>
      </c>
      <c r="H282" s="71">
        <v>0</v>
      </c>
      <c r="I282" s="71">
        <v>0</v>
      </c>
      <c r="J282" s="71">
        <v>0</v>
      </c>
      <c r="K282" s="71">
        <v>0</v>
      </c>
      <c r="L282" s="71">
        <v>0</v>
      </c>
      <c r="M282" s="71">
        <v>0</v>
      </c>
      <c r="N282" s="71">
        <v>0</v>
      </c>
      <c r="O282" s="71">
        <v>0</v>
      </c>
      <c r="P282" s="84">
        <v>0</v>
      </c>
      <c r="Q282" s="77"/>
      <c r="R282" s="71"/>
      <c r="S282" s="104"/>
      <c r="T282" s="71"/>
      <c r="U282" s="71"/>
    </row>
    <row r="283" spans="1:21" x14ac:dyDescent="0.2">
      <c r="A283" s="77" t="s">
        <v>2579</v>
      </c>
      <c r="B283" s="70" t="s">
        <v>282</v>
      </c>
      <c r="C283" s="71">
        <v>0</v>
      </c>
      <c r="D283" s="71">
        <v>0</v>
      </c>
      <c r="E283" s="71">
        <v>0</v>
      </c>
      <c r="F283" s="71">
        <v>0</v>
      </c>
      <c r="G283" s="71">
        <v>0</v>
      </c>
      <c r="H283" s="71">
        <v>0</v>
      </c>
      <c r="I283" s="71">
        <v>0</v>
      </c>
      <c r="J283" s="71">
        <v>0</v>
      </c>
      <c r="K283" s="71">
        <v>0</v>
      </c>
      <c r="L283" s="71">
        <v>0</v>
      </c>
      <c r="M283" s="71">
        <v>0</v>
      </c>
      <c r="N283" s="71">
        <v>0</v>
      </c>
      <c r="O283" s="71">
        <v>0</v>
      </c>
      <c r="P283" s="84">
        <v>0</v>
      </c>
      <c r="Q283" s="79"/>
      <c r="R283" s="71"/>
      <c r="S283" s="104"/>
      <c r="T283" s="71"/>
      <c r="U283" s="71"/>
    </row>
    <row r="284" spans="1:21" x14ac:dyDescent="0.2">
      <c r="A284" s="79" t="s">
        <v>2581</v>
      </c>
      <c r="B284" s="70" t="s">
        <v>283</v>
      </c>
      <c r="C284" s="71">
        <v>-4851</v>
      </c>
      <c r="D284" s="71">
        <v>-5000</v>
      </c>
      <c r="E284" s="71">
        <v>-5000</v>
      </c>
      <c r="F284" s="71">
        <v>-4000</v>
      </c>
      <c r="G284" s="71">
        <v>-3000</v>
      </c>
      <c r="H284" s="71">
        <v>-2000</v>
      </c>
      <c r="I284" s="71">
        <v>-2450</v>
      </c>
      <c r="J284" s="71">
        <v>-2900</v>
      </c>
      <c r="K284" s="71">
        <v>-3350</v>
      </c>
      <c r="L284" s="71">
        <v>-3800</v>
      </c>
      <c r="M284" s="71">
        <v>-4250</v>
      </c>
      <c r="N284" s="71">
        <v>-4700</v>
      </c>
      <c r="O284" s="71">
        <v>-5000</v>
      </c>
      <c r="P284" s="84">
        <v>-3869.3076923076924</v>
      </c>
      <c r="Q284" s="79"/>
      <c r="R284" s="71"/>
      <c r="S284" s="104"/>
      <c r="T284" s="71"/>
      <c r="U284" s="71"/>
    </row>
    <row r="285" spans="1:21" x14ac:dyDescent="0.2">
      <c r="A285" s="79" t="s">
        <v>2588</v>
      </c>
      <c r="B285" s="70" t="s">
        <v>284</v>
      </c>
      <c r="C285" s="71">
        <v>0</v>
      </c>
      <c r="D285" s="71">
        <v>0</v>
      </c>
      <c r="E285" s="71">
        <v>0</v>
      </c>
      <c r="F285" s="71">
        <v>0</v>
      </c>
      <c r="G285" s="71">
        <v>0</v>
      </c>
      <c r="H285" s="71">
        <v>0</v>
      </c>
      <c r="I285" s="71">
        <v>0</v>
      </c>
      <c r="J285" s="71">
        <v>0</v>
      </c>
      <c r="K285" s="71">
        <v>0</v>
      </c>
      <c r="L285" s="71">
        <v>0</v>
      </c>
      <c r="M285" s="71">
        <v>0</v>
      </c>
      <c r="N285" s="71">
        <v>0</v>
      </c>
      <c r="O285" s="71">
        <v>0</v>
      </c>
      <c r="P285" s="84">
        <v>0</v>
      </c>
      <c r="Q285" s="77"/>
      <c r="R285" s="71"/>
      <c r="S285" s="104"/>
      <c r="T285" s="71"/>
      <c r="U285" s="71"/>
    </row>
    <row r="286" spans="1:21" ht="15.75" x14ac:dyDescent="0.25">
      <c r="A286" s="77" t="s">
        <v>2721</v>
      </c>
      <c r="B286" s="70" t="s">
        <v>285</v>
      </c>
      <c r="C286" s="90">
        <v>-22594</v>
      </c>
      <c r="D286" s="90">
        <v>-22812</v>
      </c>
      <c r="E286" s="90">
        <v>-22523</v>
      </c>
      <c r="F286" s="90">
        <v>-22258</v>
      </c>
      <c r="G286" s="90">
        <v>-22079</v>
      </c>
      <c r="H286" s="90">
        <v>-21428</v>
      </c>
      <c r="I286" s="90">
        <v>-21372</v>
      </c>
      <c r="J286" s="90">
        <v>-21574</v>
      </c>
      <c r="K286" s="90">
        <v>-21768</v>
      </c>
      <c r="L286" s="90">
        <v>-22090</v>
      </c>
      <c r="M286" s="90">
        <v>-21671</v>
      </c>
      <c r="N286" s="90">
        <v>-20848</v>
      </c>
      <c r="O286" s="90">
        <v>-19660</v>
      </c>
      <c r="P286" s="84">
        <v>-21744.384615384617</v>
      </c>
      <c r="Q286" s="82"/>
      <c r="R286" s="90"/>
      <c r="S286" s="104"/>
      <c r="T286" s="90"/>
      <c r="U286" s="90"/>
    </row>
    <row r="287" spans="1:21" ht="15.75" x14ac:dyDescent="0.25">
      <c r="A287" s="82" t="s">
        <v>2617</v>
      </c>
      <c r="B287" s="73" t="s">
        <v>286</v>
      </c>
      <c r="C287" s="71">
        <v>-17737</v>
      </c>
      <c r="D287" s="71">
        <v>-17650</v>
      </c>
      <c r="E287" s="71">
        <v>-17564</v>
      </c>
      <c r="F287" s="71">
        <v>-17477</v>
      </c>
      <c r="G287" s="71">
        <v>-17391</v>
      </c>
      <c r="H287" s="71">
        <v>-17304</v>
      </c>
      <c r="I287" s="71">
        <v>-17217</v>
      </c>
      <c r="J287" s="71">
        <v>-17130</v>
      </c>
      <c r="K287" s="71">
        <v>-17043</v>
      </c>
      <c r="L287" s="71">
        <v>-16956</v>
      </c>
      <c r="M287" s="71">
        <v>-16870</v>
      </c>
      <c r="N287" s="71">
        <v>-16783</v>
      </c>
      <c r="O287" s="71">
        <v>-16697</v>
      </c>
      <c r="P287" s="84">
        <v>-17216.846153846152</v>
      </c>
      <c r="Q287" s="77"/>
      <c r="R287" s="71"/>
      <c r="S287" s="104"/>
      <c r="T287" s="71"/>
      <c r="U287" s="71"/>
    </row>
    <row r="288" spans="1:21" x14ac:dyDescent="0.2">
      <c r="A288" s="77" t="s">
        <v>2619</v>
      </c>
      <c r="B288" s="70" t="s">
        <v>287</v>
      </c>
      <c r="C288" s="71">
        <v>0</v>
      </c>
      <c r="D288" s="71">
        <v>-22</v>
      </c>
      <c r="E288" s="71">
        <v>-19</v>
      </c>
      <c r="F288" s="71">
        <v>-17</v>
      </c>
      <c r="G288" s="71">
        <v>-15</v>
      </c>
      <c r="H288" s="71">
        <v>-13</v>
      </c>
      <c r="I288" s="71">
        <v>-12</v>
      </c>
      <c r="J288" s="71">
        <v>-10</v>
      </c>
      <c r="K288" s="71">
        <v>-8</v>
      </c>
      <c r="L288" s="71">
        <v>-6</v>
      </c>
      <c r="M288" s="71">
        <v>-5</v>
      </c>
      <c r="N288" s="71">
        <v>-3</v>
      </c>
      <c r="O288" s="71">
        <v>-2</v>
      </c>
      <c r="P288" s="84">
        <v>-10.153846153846153</v>
      </c>
      <c r="Q288" s="77"/>
      <c r="R288" s="71"/>
      <c r="S288" s="104"/>
      <c r="T288" s="71"/>
      <c r="U288" s="71"/>
    </row>
    <row r="289" spans="1:27" x14ac:dyDescent="0.2">
      <c r="A289" s="77" t="s">
        <v>288</v>
      </c>
      <c r="B289" s="70" t="s">
        <v>289</v>
      </c>
      <c r="C289" s="71">
        <v>-2367</v>
      </c>
      <c r="D289" s="71">
        <v>-2260</v>
      </c>
      <c r="E289" s="71">
        <v>-2125</v>
      </c>
      <c r="F289" s="71">
        <v>-1989</v>
      </c>
      <c r="G289" s="71">
        <v>-1854</v>
      </c>
      <c r="H289" s="71">
        <v>-1719</v>
      </c>
      <c r="I289" s="71">
        <v>-1588</v>
      </c>
      <c r="J289" s="71">
        <v>-1457</v>
      </c>
      <c r="K289" s="71">
        <v>-1326</v>
      </c>
      <c r="L289" s="71">
        <v>-1196</v>
      </c>
      <c r="M289" s="71">
        <v>-1065</v>
      </c>
      <c r="N289" s="71">
        <v>-934</v>
      </c>
      <c r="O289" s="71">
        <v>-803</v>
      </c>
      <c r="P289" s="84">
        <v>-1591</v>
      </c>
      <c r="Q289" s="77"/>
      <c r="R289" s="71"/>
      <c r="S289" s="104"/>
      <c r="T289" s="71"/>
      <c r="U289" s="71"/>
    </row>
    <row r="290" spans="1:27" x14ac:dyDescent="0.2">
      <c r="A290" s="77" t="s">
        <v>2623</v>
      </c>
      <c r="B290" s="70" t="s">
        <v>5051</v>
      </c>
      <c r="C290" s="71">
        <v>-986</v>
      </c>
      <c r="D290" s="71">
        <v>-926</v>
      </c>
      <c r="E290" s="71">
        <v>-734</v>
      </c>
      <c r="F290" s="71">
        <v>-468</v>
      </c>
      <c r="G290" s="71">
        <v>-284</v>
      </c>
      <c r="H290" s="71">
        <v>-237</v>
      </c>
      <c r="I290" s="71">
        <v>-412</v>
      </c>
      <c r="J290" s="71">
        <v>-678</v>
      </c>
      <c r="K290" s="71">
        <v>-952</v>
      </c>
      <c r="L290" s="71">
        <v>-1263</v>
      </c>
      <c r="M290" s="71">
        <v>-1366</v>
      </c>
      <c r="N290" s="71">
        <v>-1152</v>
      </c>
      <c r="O290" s="71">
        <v>-1029</v>
      </c>
      <c r="P290" s="84">
        <v>-806.69230769230774</v>
      </c>
      <c r="Q290" s="77"/>
      <c r="R290" s="71"/>
      <c r="S290" s="104"/>
      <c r="T290" s="71"/>
      <c r="U290" s="71"/>
    </row>
    <row r="291" spans="1:27" ht="15.75" x14ac:dyDescent="0.25">
      <c r="A291" s="77" t="s">
        <v>2625</v>
      </c>
      <c r="B291" s="70" t="s">
        <v>5052</v>
      </c>
      <c r="C291" s="71">
        <v>0</v>
      </c>
      <c r="D291" s="86">
        <v>0</v>
      </c>
      <c r="E291" s="86">
        <v>0</v>
      </c>
      <c r="F291" s="86">
        <v>0</v>
      </c>
      <c r="G291" s="86">
        <v>0</v>
      </c>
      <c r="H291" s="86">
        <v>0</v>
      </c>
      <c r="I291" s="86">
        <v>0</v>
      </c>
      <c r="J291" s="86">
        <v>0</v>
      </c>
      <c r="K291" s="86">
        <v>0</v>
      </c>
      <c r="L291" s="86">
        <v>0</v>
      </c>
      <c r="M291" s="86">
        <v>0</v>
      </c>
      <c r="N291" s="86">
        <v>0</v>
      </c>
      <c r="O291" s="86">
        <v>0</v>
      </c>
      <c r="P291" s="84">
        <v>0</v>
      </c>
      <c r="Q291" s="77"/>
      <c r="R291" s="86"/>
      <c r="S291" s="104"/>
      <c r="T291" s="86"/>
      <c r="U291" s="86"/>
    </row>
    <row r="292" spans="1:27" ht="15.75" x14ac:dyDescent="0.25">
      <c r="A292" s="77" t="s">
        <v>2627</v>
      </c>
      <c r="B292" s="70" t="s">
        <v>5053</v>
      </c>
      <c r="C292" s="71">
        <v>0</v>
      </c>
      <c r="D292" s="86">
        <v>0</v>
      </c>
      <c r="E292" s="86">
        <v>0</v>
      </c>
      <c r="F292" s="86">
        <v>0</v>
      </c>
      <c r="G292" s="86">
        <v>0</v>
      </c>
      <c r="H292" s="86">
        <v>0</v>
      </c>
      <c r="I292" s="86">
        <v>0</v>
      </c>
      <c r="J292" s="86">
        <v>0</v>
      </c>
      <c r="K292" s="86">
        <v>0</v>
      </c>
      <c r="L292" s="86">
        <v>0</v>
      </c>
      <c r="M292" s="86">
        <v>0</v>
      </c>
      <c r="N292" s="86">
        <v>0</v>
      </c>
      <c r="O292" s="86">
        <v>0</v>
      </c>
      <c r="P292" s="84">
        <v>0</v>
      </c>
      <c r="Q292" s="77"/>
      <c r="R292" s="86"/>
      <c r="S292" s="104"/>
      <c r="T292" s="86"/>
      <c r="U292" s="86"/>
    </row>
    <row r="293" spans="1:27" ht="15.75" x14ac:dyDescent="0.25">
      <c r="A293" s="77" t="s">
        <v>2629</v>
      </c>
      <c r="B293" s="70" t="s">
        <v>5054</v>
      </c>
      <c r="C293" s="71">
        <v>0</v>
      </c>
      <c r="D293" s="86">
        <v>0</v>
      </c>
      <c r="E293" s="86">
        <v>0</v>
      </c>
      <c r="F293" s="86">
        <v>0</v>
      </c>
      <c r="G293" s="86">
        <v>0</v>
      </c>
      <c r="H293" s="86">
        <v>0</v>
      </c>
      <c r="I293" s="86">
        <v>0</v>
      </c>
      <c r="J293" s="86">
        <v>0</v>
      </c>
      <c r="K293" s="86">
        <v>0</v>
      </c>
      <c r="L293" s="86">
        <v>0</v>
      </c>
      <c r="M293" s="86">
        <v>-36</v>
      </c>
      <c r="N293" s="86">
        <v>-826</v>
      </c>
      <c r="O293" s="86">
        <v>-1129</v>
      </c>
      <c r="P293" s="84">
        <v>-153.15384615384616</v>
      </c>
      <c r="Q293" s="77"/>
      <c r="R293" s="86"/>
      <c r="S293" s="104"/>
      <c r="T293" s="86"/>
      <c r="U293" s="86"/>
    </row>
    <row r="294" spans="1:27" ht="15.75" x14ac:dyDescent="0.25">
      <c r="A294" s="77" t="s">
        <v>2631</v>
      </c>
      <c r="B294" s="70" t="s">
        <v>5056</v>
      </c>
      <c r="C294" s="71">
        <v>-1504</v>
      </c>
      <c r="D294" s="86">
        <v>-1954</v>
      </c>
      <c r="E294" s="86">
        <v>-2081</v>
      </c>
      <c r="F294" s="86">
        <v>-2307</v>
      </c>
      <c r="G294" s="86">
        <v>-2535</v>
      </c>
      <c r="H294" s="86">
        <v>-2155</v>
      </c>
      <c r="I294" s="86">
        <v>-2143</v>
      </c>
      <c r="J294" s="86">
        <v>-2299</v>
      </c>
      <c r="K294" s="86">
        <v>-2439</v>
      </c>
      <c r="L294" s="86">
        <v>-2669</v>
      </c>
      <c r="M294" s="86">
        <v>-2329</v>
      </c>
      <c r="N294" s="86">
        <v>-1150</v>
      </c>
      <c r="O294" s="86">
        <v>0</v>
      </c>
      <c r="P294" s="84">
        <v>-1966.5384615384614</v>
      </c>
      <c r="Q294" s="82"/>
      <c r="R294" s="86"/>
      <c r="S294" s="104"/>
      <c r="T294" s="86"/>
      <c r="U294" s="86"/>
      <c r="X294" s="71"/>
      <c r="Y294" s="71"/>
      <c r="Z294" s="71"/>
      <c r="AA294" s="71"/>
    </row>
    <row r="295" spans="1:27" ht="15.75" x14ac:dyDescent="0.25">
      <c r="A295" s="78" t="s">
        <v>2691</v>
      </c>
      <c r="B295" s="70" t="s">
        <v>290</v>
      </c>
      <c r="C295" s="71">
        <v>0</v>
      </c>
      <c r="D295" s="86">
        <v>0</v>
      </c>
      <c r="E295" s="86">
        <v>0</v>
      </c>
      <c r="F295" s="86">
        <v>0</v>
      </c>
      <c r="G295" s="86">
        <v>0</v>
      </c>
      <c r="H295" s="86">
        <v>0</v>
      </c>
      <c r="I295" s="86">
        <v>0</v>
      </c>
      <c r="J295" s="86">
        <v>0</v>
      </c>
      <c r="K295" s="86">
        <v>0</v>
      </c>
      <c r="L295" s="86">
        <v>0</v>
      </c>
      <c r="M295" s="86">
        <v>0</v>
      </c>
      <c r="N295" s="86">
        <v>0</v>
      </c>
      <c r="O295" s="86">
        <v>0</v>
      </c>
      <c r="P295" s="84">
        <v>0</v>
      </c>
      <c r="Q295" s="82"/>
      <c r="R295" s="86"/>
      <c r="S295" s="104"/>
      <c r="T295" s="86"/>
      <c r="U295" s="86"/>
    </row>
    <row r="296" spans="1:27" ht="15.75" hidden="1" x14ac:dyDescent="0.25">
      <c r="A296" s="78" t="s">
        <v>2635</v>
      </c>
      <c r="B296" s="70" t="s">
        <v>291</v>
      </c>
      <c r="C296" s="71">
        <v>-1585</v>
      </c>
      <c r="D296" s="71">
        <v>-1569</v>
      </c>
      <c r="E296" s="71">
        <v>-1553</v>
      </c>
      <c r="F296" s="71">
        <v>-1536</v>
      </c>
      <c r="G296" s="71">
        <v>-1520</v>
      </c>
      <c r="H296" s="71">
        <v>-1503</v>
      </c>
      <c r="I296" s="71">
        <v>-1483</v>
      </c>
      <c r="J296" s="71">
        <v>-1463</v>
      </c>
      <c r="K296" s="71">
        <v>-1445</v>
      </c>
      <c r="L296" s="71">
        <v>-1441</v>
      </c>
      <c r="M296" s="71">
        <v>-1436</v>
      </c>
      <c r="N296" s="71">
        <v>-1432</v>
      </c>
      <c r="O296" s="71">
        <v>-1427</v>
      </c>
      <c r="P296" s="84">
        <v>-1491.7692307692307</v>
      </c>
      <c r="Q296" s="82"/>
      <c r="R296" s="71"/>
      <c r="S296" s="104"/>
      <c r="T296" s="71"/>
      <c r="U296" s="71"/>
    </row>
    <row r="297" spans="1:27" ht="15.75" hidden="1" x14ac:dyDescent="0.25">
      <c r="A297" s="78" t="s">
        <v>2638</v>
      </c>
      <c r="B297" s="70" t="s">
        <v>292</v>
      </c>
      <c r="C297" s="71">
        <v>-782</v>
      </c>
      <c r="D297" s="71">
        <v>-647</v>
      </c>
      <c r="E297" s="71">
        <v>-512</v>
      </c>
      <c r="F297" s="71">
        <v>-378</v>
      </c>
      <c r="G297" s="71">
        <v>-243</v>
      </c>
      <c r="H297" s="71">
        <v>-108</v>
      </c>
      <c r="I297" s="71">
        <v>0</v>
      </c>
      <c r="J297" s="71">
        <v>0</v>
      </c>
      <c r="K297" s="71">
        <v>0</v>
      </c>
      <c r="L297" s="71">
        <v>0</v>
      </c>
      <c r="M297" s="71">
        <v>0</v>
      </c>
      <c r="N297" s="71">
        <v>0</v>
      </c>
      <c r="O297" s="71">
        <v>0</v>
      </c>
      <c r="P297" s="84">
        <v>-205.38461538461539</v>
      </c>
      <c r="Q297" s="82"/>
      <c r="R297" s="71"/>
      <c r="S297" s="104"/>
      <c r="T297" s="71"/>
      <c r="U297" s="71"/>
    </row>
    <row r="298" spans="1:27" ht="15.75" x14ac:dyDescent="0.25">
      <c r="A298" s="82" t="s">
        <v>1329</v>
      </c>
      <c r="B298" s="73" t="s">
        <v>293</v>
      </c>
      <c r="C298" s="70">
        <v>-10979</v>
      </c>
      <c r="D298" s="70">
        <v>-10949</v>
      </c>
      <c r="E298" s="70">
        <v>-10918</v>
      </c>
      <c r="F298" s="70">
        <v>-10888</v>
      </c>
      <c r="G298" s="70">
        <v>-10857</v>
      </c>
      <c r="H298" s="70">
        <v>-10827</v>
      </c>
      <c r="I298" s="70">
        <v>-10796</v>
      </c>
      <c r="J298" s="70">
        <v>-10765</v>
      </c>
      <c r="K298" s="70">
        <v>-10734</v>
      </c>
      <c r="L298" s="70">
        <v>-10703</v>
      </c>
      <c r="M298" s="70">
        <v>-10673</v>
      </c>
      <c r="N298" s="70">
        <v>-10642</v>
      </c>
      <c r="O298" s="70">
        <v>-10611</v>
      </c>
      <c r="P298" s="84">
        <v>-10795.538461538461</v>
      </c>
      <c r="Q298" s="85"/>
      <c r="S298" s="104"/>
    </row>
    <row r="299" spans="1:27" ht="15.75" x14ac:dyDescent="0.25">
      <c r="A299" s="82" t="s">
        <v>294</v>
      </c>
      <c r="B299" s="73" t="s">
        <v>295</v>
      </c>
      <c r="C299" s="70">
        <v>-10977</v>
      </c>
      <c r="D299" s="70">
        <v>-10947</v>
      </c>
      <c r="E299" s="70">
        <v>-10916</v>
      </c>
      <c r="F299" s="70">
        <v>-10886</v>
      </c>
      <c r="G299" s="70">
        <v>-10855</v>
      </c>
      <c r="H299" s="70">
        <v>-10825</v>
      </c>
      <c r="I299" s="70">
        <v>-10794</v>
      </c>
      <c r="J299" s="70">
        <v>-10763</v>
      </c>
      <c r="K299" s="70">
        <v>-10732</v>
      </c>
      <c r="L299" s="70">
        <v>-10701</v>
      </c>
      <c r="M299" s="70">
        <v>-10671</v>
      </c>
      <c r="N299" s="70">
        <v>-10640</v>
      </c>
      <c r="O299" s="70">
        <v>-10609</v>
      </c>
      <c r="P299" s="84">
        <v>-10793.538461538461</v>
      </c>
      <c r="Q299" s="85"/>
      <c r="S299" s="104"/>
    </row>
    <row r="300" spans="1:27" ht="15.75" x14ac:dyDescent="0.25">
      <c r="A300" s="85" t="s">
        <v>5217</v>
      </c>
      <c r="B300" s="73" t="s">
        <v>296</v>
      </c>
      <c r="C300" s="70">
        <v>0</v>
      </c>
      <c r="D300" s="70">
        <v>0</v>
      </c>
      <c r="E300" s="70">
        <v>0</v>
      </c>
      <c r="F300" s="70">
        <v>0</v>
      </c>
      <c r="G300" s="70">
        <v>0</v>
      </c>
      <c r="H300" s="70">
        <v>0</v>
      </c>
      <c r="I300" s="70">
        <v>0</v>
      </c>
      <c r="J300" s="70">
        <v>0</v>
      </c>
      <c r="K300" s="70">
        <v>0</v>
      </c>
      <c r="L300" s="70">
        <v>0</v>
      </c>
      <c r="M300" s="70">
        <v>0</v>
      </c>
      <c r="N300" s="70">
        <v>0</v>
      </c>
      <c r="O300" s="70">
        <v>0</v>
      </c>
      <c r="P300" s="84">
        <v>0</v>
      </c>
      <c r="Q300" s="85"/>
      <c r="S300" s="104"/>
    </row>
    <row r="301" spans="1:27" ht="15.75" x14ac:dyDescent="0.25">
      <c r="A301" s="85" t="s">
        <v>1315</v>
      </c>
      <c r="B301" s="73" t="s">
        <v>297</v>
      </c>
      <c r="C301" s="70">
        <v>-1</v>
      </c>
      <c r="D301" s="70">
        <v>-1</v>
      </c>
      <c r="E301" s="70">
        <v>-1</v>
      </c>
      <c r="F301" s="70">
        <v>-1</v>
      </c>
      <c r="G301" s="70">
        <v>-1</v>
      </c>
      <c r="H301" s="70">
        <v>-1</v>
      </c>
      <c r="I301" s="70">
        <v>-1</v>
      </c>
      <c r="J301" s="70">
        <v>-1</v>
      </c>
      <c r="K301" s="70">
        <v>-1</v>
      </c>
      <c r="L301" s="70">
        <v>-1</v>
      </c>
      <c r="M301" s="70">
        <v>-1</v>
      </c>
      <c r="N301" s="70">
        <v>-1</v>
      </c>
      <c r="O301" s="70">
        <v>-1</v>
      </c>
      <c r="P301" s="84">
        <v>-1</v>
      </c>
      <c r="Q301" s="77"/>
      <c r="S301" s="104"/>
    </row>
    <row r="302" spans="1:27" ht="15.75" x14ac:dyDescent="0.25">
      <c r="A302" s="85" t="s">
        <v>1317</v>
      </c>
      <c r="B302" s="73" t="s">
        <v>297</v>
      </c>
      <c r="C302" s="70">
        <v>-1</v>
      </c>
      <c r="D302" s="70">
        <v>-1</v>
      </c>
      <c r="E302" s="70">
        <v>-1</v>
      </c>
      <c r="F302" s="70">
        <v>-1</v>
      </c>
      <c r="G302" s="70">
        <v>-1</v>
      </c>
      <c r="H302" s="70">
        <v>-1</v>
      </c>
      <c r="I302" s="70">
        <v>-1</v>
      </c>
      <c r="J302" s="70">
        <v>-1</v>
      </c>
      <c r="K302" s="70">
        <v>-1</v>
      </c>
      <c r="L302" s="70">
        <v>-1</v>
      </c>
      <c r="M302" s="70">
        <v>-1</v>
      </c>
      <c r="N302" s="70">
        <v>-1</v>
      </c>
      <c r="O302" s="70">
        <v>-1</v>
      </c>
      <c r="P302" s="84">
        <v>-1</v>
      </c>
      <c r="Q302" s="77"/>
      <c r="S302" s="104"/>
    </row>
    <row r="303" spans="1:27" ht="15.75" x14ac:dyDescent="0.25">
      <c r="A303" s="77" t="s">
        <v>47</v>
      </c>
      <c r="B303" s="70" t="s">
        <v>1336</v>
      </c>
      <c r="C303" s="70">
        <v>-1102</v>
      </c>
      <c r="D303" s="70">
        <v>-1102</v>
      </c>
      <c r="E303" s="70">
        <v>-1098</v>
      </c>
      <c r="F303" s="70">
        <v>-1092</v>
      </c>
      <c r="G303" s="70">
        <v>-1084</v>
      </c>
      <c r="H303" s="70">
        <v>-1036</v>
      </c>
      <c r="I303" s="70">
        <v>-1055</v>
      </c>
      <c r="J303" s="70">
        <v>-1053</v>
      </c>
      <c r="K303" s="70">
        <v>-1006</v>
      </c>
      <c r="L303" s="70">
        <v>-953</v>
      </c>
      <c r="M303" s="70">
        <v>-980</v>
      </c>
      <c r="N303" s="70">
        <v>-974</v>
      </c>
      <c r="O303" s="70">
        <v>-968</v>
      </c>
      <c r="P303" s="84">
        <v>-1038.6923076923076</v>
      </c>
      <c r="Q303" s="82"/>
      <c r="S303" s="104"/>
    </row>
    <row r="304" spans="1:27" ht="15.75" x14ac:dyDescent="0.25">
      <c r="A304" s="77" t="s">
        <v>50</v>
      </c>
      <c r="B304" s="70" t="s">
        <v>1337</v>
      </c>
      <c r="C304" s="91">
        <v>0</v>
      </c>
      <c r="D304" s="91">
        <v>0</v>
      </c>
      <c r="E304" s="91">
        <v>0</v>
      </c>
      <c r="F304" s="91">
        <v>0</v>
      </c>
      <c r="G304" s="91">
        <v>0</v>
      </c>
      <c r="H304" s="91">
        <v>0</v>
      </c>
      <c r="I304" s="91">
        <v>0</v>
      </c>
      <c r="J304" s="91">
        <v>0</v>
      </c>
      <c r="K304" s="91">
        <v>0</v>
      </c>
      <c r="L304" s="91">
        <v>0</v>
      </c>
      <c r="M304" s="91">
        <v>0</v>
      </c>
      <c r="N304" s="91">
        <v>0</v>
      </c>
      <c r="O304" s="91">
        <v>0</v>
      </c>
      <c r="P304" s="84">
        <v>0</v>
      </c>
      <c r="Q304" s="82"/>
      <c r="R304" s="91"/>
      <c r="S304" s="104"/>
      <c r="T304" s="91"/>
      <c r="U304" s="91"/>
    </row>
    <row r="305" spans="1:21" ht="15.75" x14ac:dyDescent="0.25">
      <c r="A305" s="82" t="s">
        <v>55</v>
      </c>
      <c r="B305" s="73" t="s">
        <v>1338</v>
      </c>
      <c r="C305" s="70">
        <v>-8339</v>
      </c>
      <c r="D305" s="70">
        <v>-8339</v>
      </c>
      <c r="E305" s="70">
        <v>-8339</v>
      </c>
      <c r="F305" s="70">
        <v>-8339</v>
      </c>
      <c r="G305" s="70">
        <v>-8339</v>
      </c>
      <c r="H305" s="70">
        <v>-8339</v>
      </c>
      <c r="I305" s="70">
        <v>-8339</v>
      </c>
      <c r="J305" s="70">
        <v>-8339</v>
      </c>
      <c r="K305" s="70">
        <v>-8339</v>
      </c>
      <c r="L305" s="70">
        <v>-8339</v>
      </c>
      <c r="M305" s="70">
        <v>-8339</v>
      </c>
      <c r="N305" s="70">
        <v>-8339</v>
      </c>
      <c r="O305" s="70">
        <v>-8339</v>
      </c>
      <c r="P305" s="84">
        <v>-8339</v>
      </c>
      <c r="Q305" s="82"/>
      <c r="S305" s="104"/>
    </row>
    <row r="306" spans="1:21" ht="15.75" x14ac:dyDescent="0.25">
      <c r="A306" s="82" t="s">
        <v>194</v>
      </c>
      <c r="B306" s="73" t="s">
        <v>1338</v>
      </c>
      <c r="C306" s="70">
        <v>-560581</v>
      </c>
      <c r="D306" s="70">
        <v>-562588</v>
      </c>
      <c r="E306" s="70">
        <v>-564597</v>
      </c>
      <c r="F306" s="70">
        <v>-566604</v>
      </c>
      <c r="G306" s="70">
        <v>-568613</v>
      </c>
      <c r="H306" s="70">
        <v>-570620</v>
      </c>
      <c r="I306" s="70">
        <v>-572629</v>
      </c>
      <c r="J306" s="70">
        <v>-574636</v>
      </c>
      <c r="K306" s="70">
        <v>-576645</v>
      </c>
      <c r="L306" s="70">
        <v>-578652</v>
      </c>
      <c r="M306" s="70">
        <v>-580661</v>
      </c>
      <c r="N306" s="70">
        <v>-582668</v>
      </c>
      <c r="O306" s="70">
        <v>-584677</v>
      </c>
      <c r="P306" s="84">
        <v>-572628.5384615385</v>
      </c>
      <c r="Q306" s="82"/>
      <c r="S306" s="104"/>
    </row>
    <row r="307" spans="1:21" ht="15.75" x14ac:dyDescent="0.25">
      <c r="A307" s="82" t="s">
        <v>1339</v>
      </c>
      <c r="B307" s="73" t="s">
        <v>1340</v>
      </c>
      <c r="C307" s="70">
        <v>-523216</v>
      </c>
      <c r="D307" s="70">
        <v>-525135</v>
      </c>
      <c r="E307" s="70">
        <v>-527055</v>
      </c>
      <c r="F307" s="70">
        <v>-528974</v>
      </c>
      <c r="G307" s="70">
        <v>-530894</v>
      </c>
      <c r="H307" s="70">
        <v>-532813</v>
      </c>
      <c r="I307" s="70">
        <v>-534733</v>
      </c>
      <c r="J307" s="70">
        <v>-536652</v>
      </c>
      <c r="K307" s="70">
        <v>-538572</v>
      </c>
      <c r="L307" s="70">
        <v>-540491</v>
      </c>
      <c r="M307" s="70">
        <v>-542411</v>
      </c>
      <c r="N307" s="70">
        <v>-544330</v>
      </c>
      <c r="O307" s="70">
        <v>-546250</v>
      </c>
      <c r="P307" s="84">
        <v>-534732.76923076925</v>
      </c>
      <c r="Q307" s="82"/>
      <c r="S307" s="104"/>
    </row>
    <row r="308" spans="1:21" ht="15.75" x14ac:dyDescent="0.25">
      <c r="A308" s="82" t="s">
        <v>186</v>
      </c>
      <c r="B308" s="73" t="s">
        <v>1341</v>
      </c>
      <c r="C308" s="70">
        <v>-37365</v>
      </c>
      <c r="D308" s="70">
        <v>-37453</v>
      </c>
      <c r="E308" s="70">
        <v>-37542</v>
      </c>
      <c r="F308" s="70">
        <v>-37630</v>
      </c>
      <c r="G308" s="70">
        <v>-37719</v>
      </c>
      <c r="H308" s="70">
        <v>-37807</v>
      </c>
      <c r="I308" s="70">
        <v>-37896</v>
      </c>
      <c r="J308" s="70">
        <v>-37984</v>
      </c>
      <c r="K308" s="70">
        <v>-38073</v>
      </c>
      <c r="L308" s="70">
        <v>-38161</v>
      </c>
      <c r="M308" s="70">
        <v>-38250</v>
      </c>
      <c r="N308" s="70">
        <v>-38338</v>
      </c>
      <c r="O308" s="70">
        <v>-38427</v>
      </c>
      <c r="P308" s="84">
        <v>-37895.769230769234</v>
      </c>
      <c r="Q308" s="82"/>
      <c r="R308" s="97"/>
      <c r="S308" s="104"/>
      <c r="T308" s="97"/>
      <c r="U308" s="97"/>
    </row>
    <row r="309" spans="1:21" ht="15.75" x14ac:dyDescent="0.25">
      <c r="A309" s="82" t="s">
        <v>4600</v>
      </c>
      <c r="B309" s="73" t="s">
        <v>1338</v>
      </c>
      <c r="C309" s="70">
        <v>-40224</v>
      </c>
      <c r="D309" s="70">
        <v>-37189</v>
      </c>
      <c r="E309" s="70">
        <v>-34267</v>
      </c>
      <c r="F309" s="70">
        <v>-31351</v>
      </c>
      <c r="G309" s="70">
        <v>-27794</v>
      </c>
      <c r="H309" s="70">
        <v>-29756</v>
      </c>
      <c r="I309" s="70">
        <v>-25632</v>
      </c>
      <c r="J309" s="70">
        <v>-23772</v>
      </c>
      <c r="K309" s="70">
        <v>-22470</v>
      </c>
      <c r="L309" s="70">
        <v>-14120</v>
      </c>
      <c r="M309" s="70">
        <v>-6782</v>
      </c>
      <c r="N309" s="70">
        <v>1763</v>
      </c>
      <c r="O309" s="70">
        <v>5679</v>
      </c>
      <c r="P309" s="84">
        <v>-21993.461538461539</v>
      </c>
      <c r="Q309" s="82"/>
      <c r="S309" s="104"/>
    </row>
    <row r="310" spans="1:21" ht="15.75" x14ac:dyDescent="0.25">
      <c r="A310" s="82" t="s">
        <v>1342</v>
      </c>
      <c r="B310" s="73" t="s">
        <v>1343</v>
      </c>
      <c r="C310" s="70">
        <v>14510</v>
      </c>
      <c r="D310" s="70">
        <v>15151</v>
      </c>
      <c r="E310" s="70">
        <v>17386</v>
      </c>
      <c r="F310" s="70">
        <v>19038</v>
      </c>
      <c r="G310" s="70">
        <v>22018</v>
      </c>
      <c r="H310" s="70">
        <v>19812</v>
      </c>
      <c r="I310" s="70">
        <v>23271</v>
      </c>
      <c r="J310" s="70">
        <v>24918</v>
      </c>
      <c r="K310" s="70">
        <v>25947</v>
      </c>
      <c r="L310" s="70">
        <v>33489</v>
      </c>
      <c r="M310" s="70">
        <v>40510</v>
      </c>
      <c r="N310" s="70">
        <v>48909</v>
      </c>
      <c r="O310" s="70">
        <v>52362</v>
      </c>
      <c r="P310" s="84">
        <v>27486.23076923077</v>
      </c>
      <c r="Q310" s="82"/>
      <c r="S310" s="104"/>
    </row>
    <row r="311" spans="1:21" ht="15.75" x14ac:dyDescent="0.25">
      <c r="A311" s="82" t="s">
        <v>4592</v>
      </c>
      <c r="B311" s="73" t="s">
        <v>1344</v>
      </c>
      <c r="C311" s="70">
        <v>-14458</v>
      </c>
      <c r="D311" s="70">
        <v>-14515</v>
      </c>
      <c r="E311" s="70">
        <v>-14571</v>
      </c>
      <c r="F311" s="70">
        <v>-14627</v>
      </c>
      <c r="G311" s="70">
        <v>-14682</v>
      </c>
      <c r="H311" s="70">
        <v>-14738</v>
      </c>
      <c r="I311" s="70">
        <v>-14793</v>
      </c>
      <c r="J311" s="70">
        <v>-14849</v>
      </c>
      <c r="K311" s="70">
        <v>-14904</v>
      </c>
      <c r="L311" s="70">
        <v>-14960</v>
      </c>
      <c r="M311" s="70">
        <v>-15015</v>
      </c>
      <c r="N311" s="70">
        <v>-15071</v>
      </c>
      <c r="O311" s="70">
        <v>-15126</v>
      </c>
      <c r="P311" s="84">
        <v>-14793</v>
      </c>
      <c r="Q311" s="82"/>
      <c r="S311" s="104"/>
    </row>
    <row r="312" spans="1:21" ht="15.75" x14ac:dyDescent="0.25">
      <c r="A312" s="82" t="s">
        <v>4594</v>
      </c>
      <c r="B312" s="73" t="s">
        <v>1345</v>
      </c>
      <c r="C312" s="70">
        <v>-1058</v>
      </c>
      <c r="D312" s="70">
        <v>-708</v>
      </c>
      <c r="E312" s="70">
        <v>-602</v>
      </c>
      <c r="F312" s="70">
        <v>-474</v>
      </c>
      <c r="G312" s="70">
        <v>-384</v>
      </c>
      <c r="H312" s="70">
        <v>-341</v>
      </c>
      <c r="I312" s="70">
        <v>-298</v>
      </c>
      <c r="J312" s="70">
        <v>-260</v>
      </c>
      <c r="K312" s="70">
        <v>-213</v>
      </c>
      <c r="L312" s="70">
        <v>-150</v>
      </c>
      <c r="M312" s="70">
        <v>-97</v>
      </c>
      <c r="N312" s="70">
        <v>-68</v>
      </c>
      <c r="O312" s="70">
        <v>-54</v>
      </c>
      <c r="P312" s="84">
        <v>-362.07692307692309</v>
      </c>
      <c r="Q312" s="77"/>
      <c r="S312" s="104"/>
    </row>
    <row r="313" spans="1:21" ht="15.75" x14ac:dyDescent="0.25">
      <c r="A313" s="82" t="s">
        <v>4595</v>
      </c>
      <c r="B313" s="73" t="s">
        <v>1346</v>
      </c>
      <c r="C313" s="70">
        <v>-6359</v>
      </c>
      <c r="D313" s="70">
        <v>-4258</v>
      </c>
      <c r="E313" s="70">
        <v>-3621</v>
      </c>
      <c r="F313" s="70">
        <v>-2850</v>
      </c>
      <c r="G313" s="70">
        <v>-2308</v>
      </c>
      <c r="H313" s="70">
        <v>-2051</v>
      </c>
      <c r="I313" s="70">
        <v>-1794</v>
      </c>
      <c r="J313" s="70">
        <v>-1563</v>
      </c>
      <c r="K313" s="70">
        <v>-1282</v>
      </c>
      <c r="L313" s="70">
        <v>-902</v>
      </c>
      <c r="M313" s="70">
        <v>-583</v>
      </c>
      <c r="N313" s="70">
        <v>-410</v>
      </c>
      <c r="O313" s="70">
        <v>-326</v>
      </c>
      <c r="P313" s="84">
        <v>-2177.4615384615386</v>
      </c>
      <c r="S313" s="104"/>
    </row>
    <row r="314" spans="1:21" ht="15.75" x14ac:dyDescent="0.25">
      <c r="A314" s="108" t="s">
        <v>4596</v>
      </c>
      <c r="B314" s="73" t="s">
        <v>1347</v>
      </c>
      <c r="C314" s="70">
        <v>-28174</v>
      </c>
      <c r="D314" s="70">
        <v>-28174</v>
      </c>
      <c r="E314" s="70">
        <v>-28174</v>
      </c>
      <c r="F314" s="70">
        <v>-27813</v>
      </c>
      <c r="G314" s="70">
        <v>-27813</v>
      </c>
      <c r="H314" s="70">
        <v>-27813</v>
      </c>
      <c r="I314" s="70">
        <v>-27453</v>
      </c>
      <c r="J314" s="70">
        <v>-27453</v>
      </c>
      <c r="K314" s="70">
        <v>-27453</v>
      </c>
      <c r="L314" s="70">
        <v>-27092</v>
      </c>
      <c r="M314" s="70">
        <v>-27092</v>
      </c>
      <c r="N314" s="70">
        <v>-27092</v>
      </c>
      <c r="O314" s="70">
        <v>-26732</v>
      </c>
      <c r="P314" s="84">
        <v>-27563.692307692309</v>
      </c>
      <c r="S314" s="104"/>
    </row>
    <row r="315" spans="1:21" ht="15.75" x14ac:dyDescent="0.25">
      <c r="A315" s="108" t="s">
        <v>4597</v>
      </c>
      <c r="B315" s="73" t="s">
        <v>1348</v>
      </c>
      <c r="C315" s="70">
        <v>-4685</v>
      </c>
      <c r="D315" s="70">
        <v>-4685</v>
      </c>
      <c r="E315" s="70">
        <v>-4685</v>
      </c>
      <c r="F315" s="70">
        <v>-4625</v>
      </c>
      <c r="G315" s="70">
        <v>-4625</v>
      </c>
      <c r="H315" s="70">
        <v>-4625</v>
      </c>
      <c r="I315" s="70">
        <v>-4565</v>
      </c>
      <c r="J315" s="70">
        <v>-4565</v>
      </c>
      <c r="K315" s="70">
        <v>-4565</v>
      </c>
      <c r="L315" s="70">
        <v>-4505</v>
      </c>
      <c r="M315" s="70">
        <v>-4505</v>
      </c>
      <c r="N315" s="70">
        <v>-4505</v>
      </c>
      <c r="O315" s="70">
        <v>-4445</v>
      </c>
      <c r="P315" s="84">
        <v>-4583.4615384615381</v>
      </c>
      <c r="S315" s="104"/>
    </row>
    <row r="316" spans="1:21" ht="15.75" x14ac:dyDescent="0.25">
      <c r="A316" s="108" t="s">
        <v>4598</v>
      </c>
      <c r="B316" s="73" t="s">
        <v>5085</v>
      </c>
      <c r="C316" s="70">
        <v>0</v>
      </c>
      <c r="D316" s="70">
        <v>0</v>
      </c>
      <c r="E316" s="70">
        <v>0</v>
      </c>
      <c r="F316" s="70">
        <v>0</v>
      </c>
      <c r="G316" s="70">
        <v>0</v>
      </c>
      <c r="H316" s="70">
        <v>0</v>
      </c>
      <c r="I316" s="70">
        <v>0</v>
      </c>
      <c r="J316" s="70">
        <v>0</v>
      </c>
      <c r="K316" s="70">
        <v>0</v>
      </c>
      <c r="L316" s="70">
        <v>0</v>
      </c>
      <c r="M316" s="70">
        <v>0</v>
      </c>
      <c r="N316" s="70">
        <v>0</v>
      </c>
      <c r="O316" s="70">
        <v>0</v>
      </c>
      <c r="P316" s="84">
        <v>0</v>
      </c>
      <c r="S316" s="104"/>
    </row>
    <row r="317" spans="1:21" ht="15.75" x14ac:dyDescent="0.25">
      <c r="A317" s="108" t="s">
        <v>4599</v>
      </c>
      <c r="B317" s="73" t="s">
        <v>1349</v>
      </c>
      <c r="C317" s="70">
        <v>0</v>
      </c>
      <c r="D317" s="70">
        <v>0</v>
      </c>
      <c r="E317" s="70">
        <v>0</v>
      </c>
      <c r="F317" s="70">
        <v>0</v>
      </c>
      <c r="G317" s="70">
        <v>0</v>
      </c>
      <c r="H317" s="70">
        <v>0</v>
      </c>
      <c r="I317" s="70">
        <v>0</v>
      </c>
      <c r="J317" s="70">
        <v>0</v>
      </c>
      <c r="K317" s="70">
        <v>0</v>
      </c>
      <c r="L317" s="70">
        <v>0</v>
      </c>
      <c r="M317" s="70">
        <v>0</v>
      </c>
      <c r="N317" s="70">
        <v>0</v>
      </c>
      <c r="O317" s="70">
        <v>0</v>
      </c>
      <c r="P317" s="84">
        <v>0</v>
      </c>
      <c r="S317" s="104"/>
    </row>
    <row r="318" spans="1:21" x14ac:dyDescent="0.2">
      <c r="C318" s="71"/>
      <c r="D318" s="71"/>
      <c r="E318" s="71"/>
      <c r="F318" s="71"/>
      <c r="G318" s="71"/>
      <c r="H318" s="71"/>
      <c r="I318" s="71"/>
      <c r="J318" s="71"/>
      <c r="K318" s="71"/>
      <c r="L318" s="71"/>
      <c r="M318" s="71"/>
      <c r="N318" s="71"/>
      <c r="O318" s="71"/>
      <c r="P318" s="71"/>
      <c r="R318" s="71"/>
      <c r="S318" s="104"/>
      <c r="T318" s="71"/>
      <c r="U318" s="71"/>
    </row>
    <row r="319" spans="1:21" x14ac:dyDescent="0.2">
      <c r="B319" s="70" t="s">
        <v>1350</v>
      </c>
      <c r="C319" s="71">
        <v>4857584.7962699998</v>
      </c>
      <c r="D319" s="71">
        <v>4909686.7962699998</v>
      </c>
      <c r="E319" s="71">
        <v>4955989.7962699998</v>
      </c>
      <c r="F319" s="71">
        <v>4984498.7962699998</v>
      </c>
      <c r="G319" s="71">
        <v>5047889.7962699998</v>
      </c>
      <c r="H319" s="71">
        <v>5115794.7962699998</v>
      </c>
      <c r="I319" s="71">
        <v>5156350.7962699998</v>
      </c>
      <c r="J319" s="71">
        <v>5201359.7962699998</v>
      </c>
      <c r="K319" s="71">
        <v>5219135.7962699998</v>
      </c>
      <c r="L319" s="71">
        <v>5235443.7962699998</v>
      </c>
      <c r="M319" s="71">
        <v>5204122.7962699998</v>
      </c>
      <c r="N319" s="71">
        <v>5177494.7962699998</v>
      </c>
      <c r="O319" s="71">
        <v>5184618.7962699998</v>
      </c>
      <c r="P319" s="71">
        <v>5096151.6424238468</v>
      </c>
      <c r="R319" s="71"/>
      <c r="S319" s="104"/>
      <c r="T319" s="71"/>
      <c r="U319" s="71"/>
    </row>
    <row r="320" spans="1:21" x14ac:dyDescent="0.2">
      <c r="B320" s="70" t="s">
        <v>1351</v>
      </c>
      <c r="C320" s="100">
        <v>-4857584.5</v>
      </c>
      <c r="D320" s="100">
        <v>-4909686.5</v>
      </c>
      <c r="E320" s="100">
        <v>-4955989.5</v>
      </c>
      <c r="F320" s="100">
        <v>-4984498.5</v>
      </c>
      <c r="G320" s="100">
        <v>-5047889.5</v>
      </c>
      <c r="H320" s="100">
        <v>-5115794.5</v>
      </c>
      <c r="I320" s="100">
        <v>-5156350.5</v>
      </c>
      <c r="J320" s="100">
        <v>-5201359.5</v>
      </c>
      <c r="K320" s="100">
        <v>-5219135.5</v>
      </c>
      <c r="L320" s="100">
        <v>-5235443.5</v>
      </c>
      <c r="M320" s="100">
        <v>-5204122.5</v>
      </c>
      <c r="N320" s="100">
        <v>-5177495.25</v>
      </c>
      <c r="O320" s="100">
        <v>-5184619</v>
      </c>
      <c r="P320" s="100">
        <v>-5096151.4423076939</v>
      </c>
      <c r="R320" s="100"/>
      <c r="S320" s="104"/>
      <c r="T320" s="100"/>
      <c r="U320" s="100"/>
    </row>
    <row r="321" spans="2:23" x14ac:dyDescent="0.2">
      <c r="C321" s="71"/>
      <c r="D321" s="71"/>
      <c r="E321" s="71"/>
      <c r="F321" s="71"/>
      <c r="G321" s="71"/>
      <c r="H321" s="71"/>
      <c r="I321" s="71"/>
      <c r="J321" s="71"/>
      <c r="K321" s="71"/>
      <c r="L321" s="71"/>
      <c r="M321" s="71"/>
      <c r="N321" s="71"/>
      <c r="O321" s="71"/>
      <c r="P321" s="71"/>
      <c r="R321" s="71"/>
      <c r="S321" s="71"/>
      <c r="T321" s="71"/>
      <c r="U321" s="71"/>
      <c r="V321" s="71"/>
      <c r="W321" s="71"/>
    </row>
    <row r="322" spans="2:23" x14ac:dyDescent="0.2">
      <c r="B322" s="70" t="s">
        <v>1352</v>
      </c>
      <c r="C322" s="71">
        <v>0.29626999981701374</v>
      </c>
      <c r="D322" s="71">
        <v>0.29626999981701374</v>
      </c>
      <c r="E322" s="71">
        <v>0.29626999981701374</v>
      </c>
      <c r="F322" s="71">
        <v>0.29626999981701374</v>
      </c>
      <c r="G322" s="71">
        <v>0.29626999981701374</v>
      </c>
      <c r="H322" s="71">
        <v>0.29626999981701374</v>
      </c>
      <c r="I322" s="71">
        <v>0.29626999981701374</v>
      </c>
      <c r="J322" s="71">
        <v>0.29626999981701374</v>
      </c>
      <c r="K322" s="71">
        <v>0.29626999981701374</v>
      </c>
      <c r="L322" s="71">
        <v>0.29626999981701374</v>
      </c>
      <c r="M322" s="71">
        <v>0.29626999981701374</v>
      </c>
      <c r="N322" s="71">
        <v>-0.45373000018298626</v>
      </c>
      <c r="O322" s="71">
        <v>-0.20373000018298626</v>
      </c>
      <c r="P322" s="71">
        <v>0.20011615287512541</v>
      </c>
      <c r="R322" s="71"/>
      <c r="S322" s="71"/>
      <c r="T322" s="71"/>
      <c r="U322" s="71"/>
      <c r="V322" s="71"/>
      <c r="W322" s="71"/>
    </row>
    <row r="323" spans="2:23" x14ac:dyDescent="0.2">
      <c r="V323" s="71"/>
      <c r="W323" s="71"/>
    </row>
    <row r="324" spans="2:23" x14ac:dyDescent="0.2">
      <c r="V324" s="71"/>
      <c r="W324" s="71"/>
    </row>
    <row r="325" spans="2:23" x14ac:dyDescent="0.2">
      <c r="B325" s="70" t="s">
        <v>1353</v>
      </c>
      <c r="C325" s="70">
        <v>2</v>
      </c>
      <c r="D325" s="70">
        <v>3</v>
      </c>
      <c r="E325" s="70">
        <v>4</v>
      </c>
      <c r="F325" s="70">
        <v>5</v>
      </c>
      <c r="G325" s="70">
        <v>6</v>
      </c>
      <c r="H325" s="70">
        <v>7</v>
      </c>
      <c r="I325" s="70">
        <v>8</v>
      </c>
      <c r="J325" s="70">
        <v>9</v>
      </c>
      <c r="K325" s="70">
        <v>10</v>
      </c>
      <c r="L325" s="70">
        <v>11</v>
      </c>
      <c r="M325" s="70">
        <v>12</v>
      </c>
      <c r="N325" s="70">
        <v>13</v>
      </c>
      <c r="O325" s="70">
        <v>14</v>
      </c>
      <c r="P325" s="70">
        <v>16</v>
      </c>
      <c r="V325" s="71"/>
      <c r="W325" s="71"/>
    </row>
    <row r="326" spans="2:23" x14ac:dyDescent="0.2">
      <c r="V326" s="71"/>
      <c r="W326" s="71"/>
    </row>
    <row r="327" spans="2:23" x14ac:dyDescent="0.2">
      <c r="V327" s="71"/>
      <c r="W327" s="71"/>
    </row>
    <row r="328" spans="2:23" x14ac:dyDescent="0.2">
      <c r="V328" s="71"/>
      <c r="W328" s="71"/>
    </row>
    <row r="329" spans="2:23" x14ac:dyDescent="0.2">
      <c r="C329" s="70">
        <v>272996</v>
      </c>
      <c r="D329" s="70">
        <v>269528</v>
      </c>
      <c r="E329" s="70">
        <v>264283</v>
      </c>
      <c r="F329" s="70">
        <v>259462</v>
      </c>
      <c r="G329" s="70">
        <v>252286</v>
      </c>
      <c r="H329" s="70">
        <v>258555</v>
      </c>
      <c r="I329" s="70">
        <v>249046</v>
      </c>
      <c r="J329" s="70">
        <v>245325</v>
      </c>
      <c r="K329" s="70">
        <v>243206</v>
      </c>
      <c r="L329" s="70">
        <v>223111</v>
      </c>
      <c r="M329" s="70">
        <v>205457</v>
      </c>
      <c r="N329" s="70">
        <v>184229</v>
      </c>
      <c r="O329" s="70">
        <v>174709</v>
      </c>
      <c r="V329" s="71"/>
      <c r="W329" s="71"/>
    </row>
    <row r="330" spans="2:23" x14ac:dyDescent="0.2">
      <c r="C330" s="70">
        <v>-514158</v>
      </c>
      <c r="D330" s="70">
        <v>-527327</v>
      </c>
      <c r="E330" s="70">
        <v>-527053</v>
      </c>
      <c r="F330" s="70">
        <v>-526071</v>
      </c>
      <c r="G330" s="70">
        <v>-525856</v>
      </c>
      <c r="H330" s="70">
        <v>-525963</v>
      </c>
      <c r="I330" s="70">
        <v>-525757</v>
      </c>
      <c r="J330" s="70">
        <v>-527133</v>
      </c>
      <c r="K330" s="70">
        <v>-528318</v>
      </c>
      <c r="L330" s="70">
        <v>-529012</v>
      </c>
      <c r="M330" s="70">
        <v>-528279</v>
      </c>
      <c r="N330" s="70">
        <v>-526554</v>
      </c>
      <c r="O330" s="70">
        <v>-526178</v>
      </c>
      <c r="V330" s="71"/>
      <c r="W330" s="71"/>
    </row>
    <row r="331" spans="2:23" x14ac:dyDescent="0.2">
      <c r="V331" s="71"/>
      <c r="W331" s="71"/>
    </row>
    <row r="332" spans="2:23" x14ac:dyDescent="0.2">
      <c r="D332" s="70">
        <v>350</v>
      </c>
      <c r="E332" s="70">
        <v>106</v>
      </c>
      <c r="F332" s="70">
        <v>128</v>
      </c>
      <c r="G332" s="70">
        <v>90</v>
      </c>
      <c r="H332" s="70">
        <v>43</v>
      </c>
      <c r="I332" s="70">
        <v>43</v>
      </c>
      <c r="J332" s="70">
        <v>38</v>
      </c>
      <c r="K332" s="70">
        <v>47</v>
      </c>
      <c r="L332" s="70">
        <v>63</v>
      </c>
      <c r="M332" s="70">
        <v>53</v>
      </c>
      <c r="N332" s="70">
        <v>29</v>
      </c>
      <c r="O332" s="70">
        <v>14</v>
      </c>
      <c r="V332" s="71"/>
      <c r="W332" s="71"/>
    </row>
    <row r="333" spans="2:23" x14ac:dyDescent="0.2">
      <c r="D333" s="70">
        <v>2101</v>
      </c>
      <c r="E333" s="70">
        <v>637</v>
      </c>
      <c r="F333" s="70">
        <v>771</v>
      </c>
      <c r="G333" s="70">
        <v>542</v>
      </c>
      <c r="H333" s="70">
        <v>257</v>
      </c>
      <c r="I333" s="70">
        <v>257</v>
      </c>
      <c r="J333" s="70">
        <v>231</v>
      </c>
      <c r="K333" s="70">
        <v>281</v>
      </c>
      <c r="L333" s="70">
        <v>380</v>
      </c>
      <c r="M333" s="70">
        <v>319</v>
      </c>
      <c r="N333" s="70">
        <v>173</v>
      </c>
      <c r="O333" s="70">
        <v>84</v>
      </c>
      <c r="V333" s="71"/>
      <c r="W333" s="71"/>
    </row>
    <row r="334" spans="2:23" x14ac:dyDescent="0.2">
      <c r="D334" s="70">
        <v>2451</v>
      </c>
      <c r="E334" s="70">
        <v>743</v>
      </c>
      <c r="F334" s="70">
        <v>899</v>
      </c>
      <c r="G334" s="70">
        <v>632</v>
      </c>
      <c r="H334" s="70">
        <v>300</v>
      </c>
      <c r="I334" s="70">
        <v>300</v>
      </c>
      <c r="J334" s="70">
        <v>269</v>
      </c>
      <c r="K334" s="70">
        <v>328</v>
      </c>
      <c r="L334" s="70">
        <v>443</v>
      </c>
      <c r="M334" s="70">
        <v>372</v>
      </c>
      <c r="N334" s="70">
        <v>202</v>
      </c>
      <c r="O334" s="70">
        <v>98</v>
      </c>
      <c r="V334" s="71"/>
      <c r="W334" s="71"/>
    </row>
    <row r="335" spans="2:23" x14ac:dyDescent="0.2">
      <c r="V335" s="71"/>
      <c r="W335" s="71"/>
    </row>
    <row r="336" spans="2:23" x14ac:dyDescent="0.2">
      <c r="V336" s="71"/>
      <c r="W336" s="71"/>
    </row>
    <row r="337" spans="4:23" x14ac:dyDescent="0.2">
      <c r="D337" s="70">
        <v>5370631</v>
      </c>
      <c r="E337" s="70">
        <v>5418652</v>
      </c>
      <c r="F337" s="70">
        <v>5448551</v>
      </c>
      <c r="G337" s="70">
        <v>5513322</v>
      </c>
      <c r="H337" s="70">
        <v>5582539</v>
      </c>
      <c r="I337" s="70">
        <v>5623498</v>
      </c>
      <c r="J337" s="70">
        <v>5670158</v>
      </c>
      <c r="K337" s="70">
        <v>5689553</v>
      </c>
      <c r="L337" s="70">
        <v>5707159</v>
      </c>
      <c r="M337" s="70">
        <v>5676267</v>
      </c>
      <c r="N337" s="70">
        <v>5649035</v>
      </c>
      <c r="O337" s="70">
        <v>5657002</v>
      </c>
      <c r="V337" s="71"/>
      <c r="W337" s="71"/>
    </row>
    <row r="338" spans="4:23" x14ac:dyDescent="0.2">
      <c r="V338" s="71"/>
      <c r="W338" s="71"/>
    </row>
    <row r="339" spans="4:23" x14ac:dyDescent="0.2">
      <c r="V339" s="71"/>
      <c r="W339" s="71"/>
    </row>
    <row r="340" spans="4:23" x14ac:dyDescent="0.2">
      <c r="V340" s="71"/>
      <c r="W340" s="71"/>
    </row>
    <row r="341" spans="4:23" x14ac:dyDescent="0.2">
      <c r="V341" s="71"/>
      <c r="W341" s="71"/>
    </row>
    <row r="342" spans="4:23" x14ac:dyDescent="0.2">
      <c r="V342" s="71"/>
      <c r="W342" s="71"/>
    </row>
    <row r="343" spans="4:23" x14ac:dyDescent="0.2">
      <c r="V343" s="71"/>
      <c r="W343" s="71"/>
    </row>
    <row r="344" spans="4:23" x14ac:dyDescent="0.2">
      <c r="V344" s="71"/>
      <c r="W344" s="71"/>
    </row>
    <row r="345" spans="4:23" x14ac:dyDescent="0.2">
      <c r="V345" s="71"/>
      <c r="W345" s="71"/>
    </row>
    <row r="346" spans="4:23" x14ac:dyDescent="0.2">
      <c r="V346" s="71"/>
      <c r="W346" s="71"/>
    </row>
    <row r="347" spans="4:23" x14ac:dyDescent="0.2">
      <c r="V347" s="71"/>
      <c r="W347" s="71"/>
    </row>
    <row r="348" spans="4:23" x14ac:dyDescent="0.2">
      <c r="V348" s="71"/>
      <c r="W348" s="71"/>
    </row>
    <row r="349" spans="4:23" x14ac:dyDescent="0.2">
      <c r="V349" s="71"/>
      <c r="W349" s="71"/>
    </row>
    <row r="350" spans="4:23" x14ac:dyDescent="0.2">
      <c r="V350" s="71"/>
      <c r="W350" s="71"/>
    </row>
    <row r="351" spans="4:23" x14ac:dyDescent="0.2">
      <c r="V351" s="71"/>
      <c r="W351" s="71"/>
    </row>
    <row r="352" spans="4:23" x14ac:dyDescent="0.2">
      <c r="V352" s="71"/>
      <c r="W352" s="71"/>
    </row>
    <row r="353" spans="3:23" x14ac:dyDescent="0.2">
      <c r="V353" s="71"/>
      <c r="W353" s="71"/>
    </row>
    <row r="354" spans="3:23" x14ac:dyDescent="0.2">
      <c r="V354" s="71"/>
      <c r="W354" s="71"/>
    </row>
    <row r="355" spans="3:23" x14ac:dyDescent="0.2">
      <c r="P355" s="71"/>
      <c r="S355" s="71"/>
      <c r="V355" s="71"/>
      <c r="W355" s="71"/>
    </row>
    <row r="356" spans="3:23" x14ac:dyDescent="0.2">
      <c r="V356" s="71"/>
      <c r="W356" s="71"/>
    </row>
    <row r="357" spans="3:23" x14ac:dyDescent="0.2">
      <c r="V357" s="71"/>
      <c r="W357" s="71"/>
    </row>
    <row r="358" spans="3:23" x14ac:dyDescent="0.2">
      <c r="V358" s="71"/>
      <c r="W358" s="71"/>
    </row>
    <row r="359" spans="3:23" x14ac:dyDescent="0.2">
      <c r="V359" s="71"/>
      <c r="W359" s="71"/>
    </row>
    <row r="360" spans="3:23" x14ac:dyDescent="0.2">
      <c r="V360" s="71"/>
      <c r="W360" s="71"/>
    </row>
    <row r="364" spans="3:23" x14ac:dyDescent="0.2">
      <c r="C364" s="71"/>
      <c r="D364" s="71"/>
      <c r="E364" s="71"/>
      <c r="F364" s="71"/>
      <c r="G364" s="71"/>
      <c r="H364" s="71"/>
      <c r="I364" s="71"/>
      <c r="J364" s="71"/>
      <c r="K364" s="71"/>
      <c r="L364" s="71"/>
      <c r="M364" s="71"/>
      <c r="N364" s="71"/>
      <c r="O364" s="71"/>
      <c r="R364" s="71"/>
      <c r="T364" s="71"/>
      <c r="U364" s="71"/>
    </row>
    <row r="365" spans="3:23" x14ac:dyDescent="0.2">
      <c r="C365" s="71"/>
      <c r="D365" s="71"/>
      <c r="E365" s="71"/>
      <c r="F365" s="71"/>
      <c r="G365" s="71"/>
      <c r="H365" s="71"/>
      <c r="I365" s="71"/>
      <c r="J365" s="71"/>
      <c r="K365" s="71"/>
      <c r="L365" s="71"/>
      <c r="M365" s="71"/>
      <c r="N365" s="71"/>
      <c r="O365" s="71"/>
      <c r="R365" s="71"/>
      <c r="T365" s="71"/>
      <c r="U365" s="71"/>
    </row>
    <row r="366" spans="3:23" x14ac:dyDescent="0.2">
      <c r="C366" s="71"/>
      <c r="D366" s="71"/>
      <c r="E366" s="71"/>
      <c r="F366" s="71"/>
      <c r="G366" s="71"/>
      <c r="H366" s="71"/>
      <c r="I366" s="71"/>
      <c r="J366" s="71"/>
      <c r="K366" s="71"/>
      <c r="L366" s="71"/>
      <c r="M366" s="71"/>
      <c r="N366" s="71"/>
      <c r="O366" s="71"/>
      <c r="R366" s="71"/>
      <c r="T366" s="71"/>
      <c r="U366" s="71"/>
    </row>
    <row r="367" spans="3:23" x14ac:dyDescent="0.2">
      <c r="C367" s="71"/>
      <c r="D367" s="71"/>
      <c r="E367" s="71"/>
      <c r="F367" s="71"/>
      <c r="G367" s="71"/>
      <c r="H367" s="71"/>
      <c r="I367" s="71"/>
      <c r="J367" s="71"/>
      <c r="K367" s="71"/>
      <c r="L367" s="71"/>
      <c r="M367" s="71"/>
      <c r="N367" s="71"/>
      <c r="O367" s="71"/>
      <c r="R367" s="71"/>
      <c r="T367" s="71"/>
      <c r="U367" s="71"/>
    </row>
    <row r="368" spans="3:23" x14ac:dyDescent="0.2">
      <c r="C368" s="71"/>
      <c r="D368" s="71"/>
      <c r="E368" s="71"/>
      <c r="F368" s="71"/>
      <c r="G368" s="71"/>
      <c r="H368" s="71"/>
      <c r="I368" s="71"/>
      <c r="J368" s="71"/>
      <c r="K368" s="71"/>
      <c r="L368" s="71"/>
      <c r="M368" s="71"/>
      <c r="N368" s="71"/>
      <c r="O368" s="71"/>
      <c r="R368" s="71"/>
      <c r="T368" s="71"/>
      <c r="U368" s="71"/>
    </row>
    <row r="369" spans="3:21" x14ac:dyDescent="0.2">
      <c r="C369" s="71"/>
      <c r="D369" s="71"/>
      <c r="E369" s="71"/>
      <c r="F369" s="71"/>
      <c r="G369" s="71"/>
      <c r="H369" s="71"/>
      <c r="I369" s="71"/>
      <c r="J369" s="71"/>
      <c r="K369" s="71"/>
      <c r="L369" s="71"/>
      <c r="M369" s="71"/>
      <c r="N369" s="71"/>
      <c r="O369" s="71"/>
      <c r="R369" s="71"/>
      <c r="T369" s="71"/>
      <c r="U369" s="71"/>
    </row>
    <row r="410" spans="3:17" x14ac:dyDescent="0.2">
      <c r="C410" s="70">
        <v>-8008</v>
      </c>
      <c r="D410" s="70">
        <v>-7632</v>
      </c>
      <c r="E410" s="70">
        <v>-7383</v>
      </c>
      <c r="F410" s="70">
        <v>-7240</v>
      </c>
      <c r="G410" s="70">
        <v>-7822</v>
      </c>
      <c r="H410" s="70">
        <v>-8793</v>
      </c>
      <c r="I410" s="70">
        <v>-9721</v>
      </c>
      <c r="J410" s="70">
        <v>-9460</v>
      </c>
      <c r="K410" s="70">
        <v>-9676</v>
      </c>
      <c r="L410" s="70">
        <v>-9559</v>
      </c>
      <c r="M410" s="70">
        <v>-8715</v>
      </c>
      <c r="N410" s="70">
        <v>-8175</v>
      </c>
      <c r="O410" s="70">
        <v>-8604</v>
      </c>
      <c r="Q410" s="70">
        <v>4872</v>
      </c>
    </row>
    <row r="411" spans="3:17" x14ac:dyDescent="0.2">
      <c r="D411" s="70">
        <v>376</v>
      </c>
      <c r="E411" s="70">
        <v>249</v>
      </c>
      <c r="F411" s="70">
        <v>143</v>
      </c>
      <c r="G411" s="70">
        <v>-582</v>
      </c>
      <c r="H411" s="70">
        <v>-971</v>
      </c>
      <c r="I411" s="70">
        <v>-928</v>
      </c>
      <c r="J411" s="70">
        <v>261</v>
      </c>
      <c r="K411" s="70">
        <v>-216</v>
      </c>
      <c r="L411" s="70">
        <v>117</v>
      </c>
      <c r="M411" s="70">
        <v>844</v>
      </c>
      <c r="N411" s="70">
        <v>540</v>
      </c>
      <c r="O411" s="70">
        <v>-429</v>
      </c>
      <c r="Q411" s="70">
        <v>2</v>
      </c>
    </row>
    <row r="974" spans="3:17" x14ac:dyDescent="0.2">
      <c r="E974" s="70">
        <v>-3866</v>
      </c>
    </row>
    <row r="976" spans="3:17" x14ac:dyDescent="0.2">
      <c r="C976" s="70">
        <v>6774</v>
      </c>
      <c r="D976" s="70">
        <v>5977</v>
      </c>
      <c r="E976" s="70">
        <v>4465</v>
      </c>
      <c r="F976" s="70">
        <v>4541</v>
      </c>
      <c r="G976" s="70">
        <v>4794</v>
      </c>
      <c r="H976" s="70">
        <v>5265</v>
      </c>
      <c r="I976" s="70">
        <v>5377</v>
      </c>
      <c r="J976" s="70">
        <v>5950</v>
      </c>
      <c r="K976" s="70">
        <v>6260</v>
      </c>
      <c r="L976" s="70">
        <v>6536</v>
      </c>
      <c r="M976" s="70">
        <v>5705</v>
      </c>
      <c r="N976" s="70">
        <v>4874</v>
      </c>
      <c r="O976" s="70">
        <v>4872</v>
      </c>
      <c r="Q976" s="70">
        <v>4872</v>
      </c>
    </row>
    <row r="977" spans="4:17" x14ac:dyDescent="0.2">
      <c r="D977" s="70">
        <v>797</v>
      </c>
      <c r="E977" s="70">
        <v>1512</v>
      </c>
      <c r="F977" s="70">
        <v>-76</v>
      </c>
      <c r="G977" s="70">
        <v>-253</v>
      </c>
      <c r="H977" s="70">
        <v>-471</v>
      </c>
      <c r="I977" s="70">
        <v>-112</v>
      </c>
      <c r="J977" s="70">
        <v>-573</v>
      </c>
      <c r="K977" s="70">
        <v>-310</v>
      </c>
      <c r="L977" s="70">
        <v>-276</v>
      </c>
      <c r="M977" s="70">
        <v>831</v>
      </c>
      <c r="N977" s="70">
        <v>831</v>
      </c>
      <c r="O977" s="70">
        <v>2</v>
      </c>
      <c r="Q977" s="70">
        <v>2</v>
      </c>
    </row>
    <row r="1161" spans="1:21" x14ac:dyDescent="0.2">
      <c r="A1161" s="70" t="s">
        <v>1363</v>
      </c>
      <c r="Q1161" s="71"/>
    </row>
    <row r="1162" spans="1:21" x14ac:dyDescent="0.2">
      <c r="Q1162" s="71"/>
    </row>
    <row r="1163" spans="1:21" x14ac:dyDescent="0.2">
      <c r="A1163" s="71"/>
      <c r="C1163" s="71"/>
      <c r="D1163" s="71"/>
      <c r="E1163" s="71"/>
      <c r="F1163" s="71"/>
      <c r="G1163" s="71"/>
      <c r="H1163" s="71"/>
      <c r="I1163" s="71"/>
      <c r="J1163" s="71"/>
      <c r="K1163" s="71"/>
      <c r="L1163" s="71"/>
      <c r="M1163" s="71"/>
      <c r="N1163" s="71"/>
      <c r="O1163" s="71"/>
      <c r="Q1163" s="71"/>
      <c r="R1163" s="71"/>
      <c r="T1163" s="71"/>
      <c r="U1163" s="71"/>
    </row>
    <row r="1164" spans="1:21" x14ac:dyDescent="0.2">
      <c r="A1164" s="71"/>
      <c r="C1164" s="70" t="s">
        <v>424</v>
      </c>
      <c r="D1164" s="70" t="s">
        <v>424</v>
      </c>
      <c r="E1164" s="70" t="s">
        <v>424</v>
      </c>
      <c r="F1164" s="70" t="s">
        <v>424</v>
      </c>
      <c r="G1164" s="70" t="s">
        <v>424</v>
      </c>
      <c r="H1164" s="70" t="s">
        <v>424</v>
      </c>
      <c r="I1164" s="70" t="s">
        <v>424</v>
      </c>
      <c r="J1164" s="70" t="s">
        <v>424</v>
      </c>
      <c r="K1164" s="70" t="s">
        <v>424</v>
      </c>
      <c r="L1164" s="70" t="s">
        <v>424</v>
      </c>
      <c r="M1164" s="70" t="s">
        <v>424</v>
      </c>
      <c r="N1164" s="70" t="s">
        <v>424</v>
      </c>
      <c r="O1164" s="70" t="s">
        <v>424</v>
      </c>
      <c r="Q1164" s="70" t="s">
        <v>424</v>
      </c>
    </row>
    <row r="1165" spans="1:21" x14ac:dyDescent="0.2">
      <c r="A1165" s="71"/>
      <c r="C1165" s="75" t="s">
        <v>1364</v>
      </c>
      <c r="D1165" s="75" t="s">
        <v>1365</v>
      </c>
      <c r="E1165" s="75" t="s">
        <v>1366</v>
      </c>
      <c r="F1165" s="75" t="s">
        <v>1367</v>
      </c>
      <c r="G1165" s="75" t="s">
        <v>1368</v>
      </c>
      <c r="H1165" s="75" t="s">
        <v>1369</v>
      </c>
      <c r="I1165" s="75" t="s">
        <v>1370</v>
      </c>
      <c r="J1165" s="75" t="s">
        <v>1371</v>
      </c>
      <c r="K1165" s="75" t="s">
        <v>1372</v>
      </c>
      <c r="L1165" s="75" t="s">
        <v>1373</v>
      </c>
      <c r="M1165" s="75" t="s">
        <v>1374</v>
      </c>
      <c r="N1165" s="75" t="s">
        <v>1375</v>
      </c>
      <c r="O1165" s="75" t="s">
        <v>1364</v>
      </c>
      <c r="Q1165" s="70" t="s">
        <v>1364</v>
      </c>
      <c r="R1165" s="75"/>
      <c r="T1165" s="75"/>
      <c r="U1165" s="75"/>
    </row>
    <row r="1166" spans="1:21" x14ac:dyDescent="0.2">
      <c r="A1166" s="70" t="s">
        <v>5465</v>
      </c>
      <c r="B1166" s="70" t="s">
        <v>446</v>
      </c>
      <c r="C1166" s="70">
        <v>0</v>
      </c>
      <c r="D1166" s="70">
        <v>0</v>
      </c>
      <c r="E1166" s="70">
        <v>0</v>
      </c>
      <c r="F1166" s="70">
        <v>0</v>
      </c>
      <c r="G1166" s="70">
        <v>0</v>
      </c>
      <c r="H1166" s="70">
        <v>0</v>
      </c>
      <c r="I1166" s="70">
        <v>0</v>
      </c>
      <c r="J1166" s="70">
        <v>0</v>
      </c>
      <c r="K1166" s="70">
        <v>0</v>
      </c>
      <c r="L1166" s="70">
        <v>0</v>
      </c>
      <c r="M1166" s="70">
        <v>0</v>
      </c>
      <c r="N1166" s="70">
        <v>0</v>
      </c>
      <c r="O1166" s="70">
        <v>0</v>
      </c>
      <c r="Q1166" s="70">
        <v>0</v>
      </c>
    </row>
    <row r="1167" spans="1:21" x14ac:dyDescent="0.2">
      <c r="A1167" s="70" t="s">
        <v>5488</v>
      </c>
      <c r="B1167" s="70" t="s">
        <v>450</v>
      </c>
      <c r="C1167" s="70">
        <v>1000</v>
      </c>
      <c r="D1167" s="70">
        <v>1000</v>
      </c>
      <c r="E1167" s="70">
        <v>1000</v>
      </c>
      <c r="F1167" s="70">
        <v>1000</v>
      </c>
      <c r="G1167" s="70">
        <v>1000</v>
      </c>
      <c r="H1167" s="70">
        <v>1000</v>
      </c>
      <c r="I1167" s="70">
        <v>1000</v>
      </c>
      <c r="J1167" s="70">
        <v>1000</v>
      </c>
      <c r="K1167" s="70">
        <v>1000</v>
      </c>
      <c r="L1167" s="70">
        <v>1000</v>
      </c>
      <c r="M1167" s="70">
        <v>1000</v>
      </c>
      <c r="N1167" s="70">
        <v>6076</v>
      </c>
      <c r="O1167" s="70">
        <v>1000</v>
      </c>
      <c r="Q1167" s="70">
        <v>1000</v>
      </c>
    </row>
    <row r="1168" spans="1:21" x14ac:dyDescent="0.2">
      <c r="A1168" s="70" t="s">
        <v>5487</v>
      </c>
      <c r="B1168" s="70" t="s">
        <v>448</v>
      </c>
      <c r="C1168" s="70">
        <v>85</v>
      </c>
      <c r="D1168" s="70">
        <v>84</v>
      </c>
      <c r="E1168" s="70">
        <v>84</v>
      </c>
      <c r="F1168" s="70">
        <v>84</v>
      </c>
      <c r="G1168" s="70">
        <v>84</v>
      </c>
      <c r="H1168" s="70">
        <v>84</v>
      </c>
      <c r="I1168" s="70">
        <v>84</v>
      </c>
      <c r="J1168" s="70">
        <v>84</v>
      </c>
      <c r="K1168" s="70">
        <v>84</v>
      </c>
      <c r="L1168" s="70">
        <v>84</v>
      </c>
      <c r="M1168" s="70">
        <v>84</v>
      </c>
      <c r="N1168" s="70">
        <v>84</v>
      </c>
      <c r="O1168" s="70">
        <v>84</v>
      </c>
      <c r="Q1168" s="70">
        <v>84</v>
      </c>
    </row>
    <row r="1169" spans="1:21" ht="15.75" x14ac:dyDescent="0.25">
      <c r="B1169" s="73" t="s">
        <v>1376</v>
      </c>
      <c r="C1169" s="70">
        <v>181</v>
      </c>
      <c r="D1169" s="70">
        <v>0</v>
      </c>
      <c r="E1169" s="70">
        <v>0</v>
      </c>
      <c r="F1169" s="70">
        <v>0</v>
      </c>
      <c r="G1169" s="70">
        <v>0</v>
      </c>
      <c r="H1169" s="70">
        <v>0</v>
      </c>
      <c r="I1169" s="70">
        <v>0</v>
      </c>
      <c r="J1169" s="70">
        <v>0</v>
      </c>
      <c r="K1169" s="70">
        <v>0</v>
      </c>
      <c r="L1169" s="70">
        <v>0</v>
      </c>
      <c r="M1169" s="70">
        <v>0</v>
      </c>
      <c r="N1169" s="70">
        <v>0</v>
      </c>
      <c r="O1169" s="70">
        <v>0</v>
      </c>
      <c r="Q1169" s="70">
        <v>0</v>
      </c>
    </row>
    <row r="1170" spans="1:21" ht="15.75" x14ac:dyDescent="0.25">
      <c r="B1170" s="73" t="s">
        <v>1377</v>
      </c>
      <c r="C1170" s="75">
        <v>1</v>
      </c>
      <c r="D1170" s="75">
        <v>1</v>
      </c>
      <c r="E1170" s="75">
        <v>1</v>
      </c>
      <c r="F1170" s="75">
        <v>1</v>
      </c>
      <c r="G1170" s="75">
        <v>1</v>
      </c>
      <c r="H1170" s="75">
        <v>1</v>
      </c>
      <c r="I1170" s="75">
        <v>1</v>
      </c>
      <c r="J1170" s="75">
        <v>1</v>
      </c>
      <c r="K1170" s="75">
        <v>1</v>
      </c>
      <c r="L1170" s="75">
        <v>1</v>
      </c>
      <c r="M1170" s="75">
        <v>1</v>
      </c>
      <c r="N1170" s="75">
        <v>1</v>
      </c>
      <c r="O1170" s="75">
        <v>1</v>
      </c>
      <c r="Q1170" s="70">
        <v>1</v>
      </c>
      <c r="R1170" s="75"/>
      <c r="T1170" s="75"/>
      <c r="U1170" s="75"/>
    </row>
    <row r="1171" spans="1:21" ht="15.75" thickBot="1" x14ac:dyDescent="0.25">
      <c r="B1171" s="70" t="s">
        <v>1378</v>
      </c>
      <c r="C1171" s="101">
        <v>1267</v>
      </c>
      <c r="D1171" s="101">
        <v>1085</v>
      </c>
      <c r="E1171" s="101">
        <v>1085</v>
      </c>
      <c r="F1171" s="101">
        <v>1085</v>
      </c>
      <c r="G1171" s="101">
        <v>1085</v>
      </c>
      <c r="H1171" s="101">
        <v>1085</v>
      </c>
      <c r="I1171" s="101">
        <v>1085</v>
      </c>
      <c r="J1171" s="101">
        <v>1085</v>
      </c>
      <c r="K1171" s="101">
        <v>1085</v>
      </c>
      <c r="L1171" s="101">
        <v>1085</v>
      </c>
      <c r="M1171" s="101">
        <v>1085</v>
      </c>
      <c r="N1171" s="101">
        <v>6161</v>
      </c>
      <c r="O1171" s="101">
        <v>1085</v>
      </c>
      <c r="Q1171" s="70">
        <v>1085</v>
      </c>
      <c r="R1171" s="101"/>
      <c r="T1171" s="101"/>
      <c r="U1171" s="101"/>
    </row>
    <row r="1172" spans="1:21" ht="15.75" thickTop="1" x14ac:dyDescent="0.2"/>
    <row r="1173" spans="1:21" x14ac:dyDescent="0.2">
      <c r="A1173" s="70" t="s">
        <v>1815</v>
      </c>
      <c r="B1173" s="70" t="s">
        <v>462</v>
      </c>
      <c r="C1173" s="70">
        <v>9747</v>
      </c>
      <c r="D1173" s="70">
        <v>7240</v>
      </c>
      <c r="E1173" s="70">
        <v>8071</v>
      </c>
      <c r="F1173" s="70">
        <v>5596</v>
      </c>
      <c r="G1173" s="70">
        <v>5975</v>
      </c>
      <c r="H1173" s="70">
        <v>7499</v>
      </c>
      <c r="I1173" s="70">
        <v>6082</v>
      </c>
      <c r="J1173" s="70">
        <v>5966</v>
      </c>
      <c r="K1173" s="70">
        <v>6195</v>
      </c>
      <c r="L1173" s="70">
        <v>5925</v>
      </c>
      <c r="M1173" s="70">
        <v>6422</v>
      </c>
      <c r="N1173" s="70">
        <v>6948</v>
      </c>
      <c r="O1173" s="70">
        <v>5725</v>
      </c>
      <c r="Q1173" s="70">
        <v>5856</v>
      </c>
    </row>
    <row r="1174" spans="1:21" ht="15.75" x14ac:dyDescent="0.25">
      <c r="B1174" s="73" t="s">
        <v>1379</v>
      </c>
      <c r="C1174" s="75">
        <v>-478</v>
      </c>
      <c r="D1174" s="75">
        <v>0</v>
      </c>
      <c r="E1174" s="75">
        <v>0</v>
      </c>
      <c r="F1174" s="75">
        <v>0</v>
      </c>
      <c r="G1174" s="75">
        <v>0</v>
      </c>
      <c r="H1174" s="75">
        <v>0</v>
      </c>
      <c r="I1174" s="75">
        <v>0</v>
      </c>
      <c r="J1174" s="75">
        <v>0</v>
      </c>
      <c r="K1174" s="75">
        <v>0</v>
      </c>
      <c r="L1174" s="75">
        <v>0</v>
      </c>
      <c r="M1174" s="75">
        <v>0</v>
      </c>
      <c r="N1174" s="75">
        <v>0</v>
      </c>
      <c r="O1174" s="75">
        <v>0</v>
      </c>
      <c r="Q1174" s="70">
        <v>0</v>
      </c>
      <c r="R1174" s="75"/>
      <c r="T1174" s="75"/>
      <c r="U1174" s="75"/>
    </row>
    <row r="1175" spans="1:21" ht="15.75" thickBot="1" x14ac:dyDescent="0.25">
      <c r="B1175" s="70" t="s">
        <v>1380</v>
      </c>
      <c r="C1175" s="101">
        <v>9269</v>
      </c>
      <c r="D1175" s="101">
        <v>7240</v>
      </c>
      <c r="E1175" s="101">
        <v>8071</v>
      </c>
      <c r="F1175" s="101">
        <v>5596</v>
      </c>
      <c r="G1175" s="101">
        <v>5975</v>
      </c>
      <c r="H1175" s="101">
        <v>7499</v>
      </c>
      <c r="I1175" s="101">
        <v>6082</v>
      </c>
      <c r="J1175" s="101">
        <v>5966</v>
      </c>
      <c r="K1175" s="101">
        <v>6195</v>
      </c>
      <c r="L1175" s="101">
        <v>5925</v>
      </c>
      <c r="M1175" s="101">
        <v>6422</v>
      </c>
      <c r="N1175" s="101">
        <v>6948</v>
      </c>
      <c r="O1175" s="101">
        <v>5725</v>
      </c>
      <c r="Q1175" s="70">
        <v>5856</v>
      </c>
      <c r="R1175" s="101"/>
      <c r="T1175" s="101"/>
      <c r="U1175" s="101"/>
    </row>
    <row r="1176" spans="1:21" ht="15.75" thickTop="1" x14ac:dyDescent="0.2"/>
    <row r="1177" spans="1:21" x14ac:dyDescent="0.2">
      <c r="A1177" s="70" t="s">
        <v>5480</v>
      </c>
      <c r="B1177" s="70" t="s">
        <v>447</v>
      </c>
      <c r="C1177" s="70">
        <v>132</v>
      </c>
      <c r="D1177" s="70">
        <v>86</v>
      </c>
      <c r="E1177" s="70">
        <v>86</v>
      </c>
      <c r="F1177" s="70">
        <v>86</v>
      </c>
      <c r="G1177" s="70">
        <v>86</v>
      </c>
      <c r="H1177" s="70">
        <v>86</v>
      </c>
      <c r="I1177" s="70">
        <v>86</v>
      </c>
      <c r="J1177" s="70">
        <v>86</v>
      </c>
      <c r="K1177" s="70">
        <v>86</v>
      </c>
      <c r="L1177" s="70">
        <v>86</v>
      </c>
      <c r="M1177" s="70">
        <v>86</v>
      </c>
      <c r="N1177" s="70">
        <v>86</v>
      </c>
      <c r="O1177" s="70">
        <v>86</v>
      </c>
      <c r="Q1177" s="70">
        <v>86</v>
      </c>
    </row>
    <row r="1178" spans="1:21" x14ac:dyDescent="0.2">
      <c r="A1178" s="70" t="s">
        <v>5502</v>
      </c>
      <c r="B1178" s="70" t="s">
        <v>452</v>
      </c>
      <c r="C1178" s="70">
        <v>88663</v>
      </c>
      <c r="D1178" s="70">
        <v>157464</v>
      </c>
      <c r="E1178" s="70">
        <v>156273</v>
      </c>
      <c r="F1178" s="70">
        <v>134328</v>
      </c>
      <c r="G1178" s="70">
        <v>146726</v>
      </c>
      <c r="H1178" s="70">
        <v>156577</v>
      </c>
      <c r="I1178" s="70">
        <v>173027</v>
      </c>
      <c r="J1178" s="70">
        <v>187025</v>
      </c>
      <c r="K1178" s="70">
        <v>174597</v>
      </c>
      <c r="L1178" s="70">
        <v>201519</v>
      </c>
      <c r="M1178" s="70">
        <v>172842</v>
      </c>
      <c r="N1178" s="70">
        <v>153129</v>
      </c>
      <c r="O1178" s="70">
        <v>163371</v>
      </c>
      <c r="Q1178" s="70">
        <v>163352</v>
      </c>
    </row>
    <row r="1179" spans="1:21" x14ac:dyDescent="0.2">
      <c r="A1179" s="70" t="s">
        <v>4979</v>
      </c>
      <c r="B1179" s="70" t="s">
        <v>453</v>
      </c>
      <c r="C1179" s="70">
        <v>17882</v>
      </c>
      <c r="D1179" s="70">
        <v>12158</v>
      </c>
      <c r="E1179" s="70">
        <v>10706</v>
      </c>
      <c r="F1179" s="70">
        <v>14681</v>
      </c>
      <c r="G1179" s="70">
        <v>12899</v>
      </c>
      <c r="H1179" s="70">
        <v>12867</v>
      </c>
      <c r="I1179" s="70">
        <v>13691</v>
      </c>
      <c r="J1179" s="70">
        <v>14153</v>
      </c>
      <c r="K1179" s="70">
        <v>17633</v>
      </c>
      <c r="L1179" s="70">
        <v>12218</v>
      </c>
      <c r="M1179" s="70">
        <v>14790</v>
      </c>
      <c r="N1179" s="70">
        <v>12499</v>
      </c>
      <c r="O1179" s="70">
        <v>11605</v>
      </c>
      <c r="Q1179" s="70">
        <v>10437</v>
      </c>
    </row>
    <row r="1180" spans="1:21" x14ac:dyDescent="0.2">
      <c r="A1180" s="70" t="s">
        <v>4984</v>
      </c>
      <c r="B1180" s="70" t="s">
        <v>461</v>
      </c>
      <c r="C1180" s="70">
        <v>-2481</v>
      </c>
      <c r="D1180" s="70">
        <v>-253</v>
      </c>
      <c r="E1180" s="70">
        <v>-176</v>
      </c>
      <c r="F1180" s="70">
        <v>-283</v>
      </c>
      <c r="G1180" s="70">
        <v>-358</v>
      </c>
      <c r="H1180" s="70">
        <v>-523</v>
      </c>
      <c r="I1180" s="70">
        <v>-831</v>
      </c>
      <c r="J1180" s="70">
        <v>-1126</v>
      </c>
      <c r="K1180" s="70">
        <v>-1330</v>
      </c>
      <c r="L1180" s="70">
        <v>-1532</v>
      </c>
      <c r="M1180" s="70">
        <v>-1059</v>
      </c>
      <c r="N1180" s="70">
        <v>-737</v>
      </c>
      <c r="O1180" s="70">
        <v>-461</v>
      </c>
      <c r="Q1180" s="70">
        <v>-461</v>
      </c>
    </row>
    <row r="1181" spans="1:21" x14ac:dyDescent="0.2">
      <c r="A1181" s="70" t="s">
        <v>2384</v>
      </c>
      <c r="B1181" s="70" t="s">
        <v>489</v>
      </c>
      <c r="C1181" s="70">
        <v>0</v>
      </c>
      <c r="D1181" s="70">
        <v>0</v>
      </c>
      <c r="E1181" s="70">
        <v>0</v>
      </c>
      <c r="F1181" s="70">
        <v>0</v>
      </c>
      <c r="G1181" s="70">
        <v>0</v>
      </c>
      <c r="H1181" s="70">
        <v>0</v>
      </c>
      <c r="I1181" s="70">
        <v>0</v>
      </c>
      <c r="J1181" s="70">
        <v>0</v>
      </c>
      <c r="K1181" s="70">
        <v>0</v>
      </c>
      <c r="L1181" s="70">
        <v>0</v>
      </c>
      <c r="M1181" s="70">
        <v>0</v>
      </c>
      <c r="N1181" s="70">
        <v>0</v>
      </c>
      <c r="O1181" s="70">
        <v>0</v>
      </c>
      <c r="Q1181" s="70">
        <v>0</v>
      </c>
    </row>
    <row r="1182" spans="1:21" x14ac:dyDescent="0.2">
      <c r="A1182" s="70" t="s">
        <v>2389</v>
      </c>
      <c r="B1182" s="70" t="s">
        <v>2937</v>
      </c>
      <c r="C1182" s="70">
        <v>30157</v>
      </c>
      <c r="D1182" s="70">
        <v>31461</v>
      </c>
      <c r="E1182" s="70">
        <v>28680</v>
      </c>
      <c r="F1182" s="70">
        <v>29427</v>
      </c>
      <c r="G1182" s="70">
        <v>29807</v>
      </c>
      <c r="H1182" s="70">
        <v>36772</v>
      </c>
      <c r="I1182" s="70">
        <v>37668</v>
      </c>
      <c r="J1182" s="70">
        <v>39687</v>
      </c>
      <c r="K1182" s="70">
        <v>44180</v>
      </c>
      <c r="L1182" s="70">
        <v>40050</v>
      </c>
      <c r="M1182" s="70">
        <v>38924</v>
      </c>
      <c r="N1182" s="70">
        <v>34531</v>
      </c>
      <c r="O1182" s="70">
        <v>33300</v>
      </c>
      <c r="Q1182" s="70">
        <v>33285</v>
      </c>
    </row>
    <row r="1183" spans="1:21" ht="15.75" x14ac:dyDescent="0.25">
      <c r="B1183" s="73" t="s">
        <v>1376</v>
      </c>
      <c r="C1183" s="75">
        <v>319</v>
      </c>
      <c r="D1183" s="75">
        <v>0</v>
      </c>
      <c r="E1183" s="75">
        <v>0</v>
      </c>
      <c r="F1183" s="75">
        <v>0</v>
      </c>
      <c r="G1183" s="75">
        <v>0</v>
      </c>
      <c r="H1183" s="75">
        <v>0</v>
      </c>
      <c r="I1183" s="75">
        <v>0</v>
      </c>
      <c r="J1183" s="75">
        <v>0</v>
      </c>
      <c r="K1183" s="75">
        <v>0</v>
      </c>
      <c r="L1183" s="75">
        <v>0</v>
      </c>
      <c r="M1183" s="75">
        <v>0</v>
      </c>
      <c r="N1183" s="75">
        <v>0</v>
      </c>
      <c r="O1183" s="75">
        <v>0</v>
      </c>
      <c r="Q1183" s="70">
        <v>0</v>
      </c>
      <c r="R1183" s="75"/>
      <c r="T1183" s="75"/>
      <c r="U1183" s="75"/>
    </row>
    <row r="1184" spans="1:21" ht="15.75" thickBot="1" x14ac:dyDescent="0.25">
      <c r="B1184" s="70" t="s">
        <v>1381</v>
      </c>
      <c r="C1184" s="101">
        <v>134672</v>
      </c>
      <c r="D1184" s="101">
        <v>200916</v>
      </c>
      <c r="E1184" s="101">
        <v>195569</v>
      </c>
      <c r="F1184" s="101">
        <v>178239</v>
      </c>
      <c r="G1184" s="101">
        <v>189160</v>
      </c>
      <c r="H1184" s="101">
        <v>205779</v>
      </c>
      <c r="I1184" s="101">
        <v>223641</v>
      </c>
      <c r="J1184" s="101">
        <v>239825</v>
      </c>
      <c r="K1184" s="101">
        <v>235166</v>
      </c>
      <c r="L1184" s="101">
        <v>252341</v>
      </c>
      <c r="M1184" s="101">
        <v>225583</v>
      </c>
      <c r="N1184" s="101">
        <v>199508</v>
      </c>
      <c r="O1184" s="101">
        <v>207901</v>
      </c>
      <c r="Q1184" s="70">
        <v>206699</v>
      </c>
      <c r="R1184" s="101"/>
      <c r="T1184" s="101"/>
      <c r="U1184" s="101"/>
    </row>
    <row r="1185" spans="1:21" ht="15.75" thickTop="1" x14ac:dyDescent="0.2"/>
    <row r="1186" spans="1:21" x14ac:dyDescent="0.2">
      <c r="A1186" s="70" t="s">
        <v>918</v>
      </c>
      <c r="B1186" s="70" t="s">
        <v>469</v>
      </c>
      <c r="C1186" s="70">
        <v>51300</v>
      </c>
      <c r="D1186" s="70">
        <v>56678</v>
      </c>
      <c r="E1186" s="70">
        <v>56908</v>
      </c>
      <c r="F1186" s="70">
        <v>57137</v>
      </c>
      <c r="G1186" s="70">
        <v>57366</v>
      </c>
      <c r="H1186" s="70">
        <v>57596</v>
      </c>
      <c r="I1186" s="70">
        <v>57825</v>
      </c>
      <c r="J1186" s="70">
        <v>58054</v>
      </c>
      <c r="K1186" s="70">
        <v>58284</v>
      </c>
      <c r="L1186" s="70">
        <v>58513</v>
      </c>
      <c r="M1186" s="70">
        <v>58742</v>
      </c>
      <c r="N1186" s="70">
        <v>58972</v>
      </c>
      <c r="O1186" s="70">
        <v>59201</v>
      </c>
      <c r="Q1186" s="71">
        <v>59201</v>
      </c>
    </row>
    <row r="1187" spans="1:21" x14ac:dyDescent="0.2">
      <c r="Q1187" s="71"/>
    </row>
    <row r="1188" spans="1:21" x14ac:dyDescent="0.2">
      <c r="A1188" s="71" t="s">
        <v>1832</v>
      </c>
      <c r="B1188" s="71" t="s">
        <v>467</v>
      </c>
      <c r="C1188" s="71">
        <v>78910</v>
      </c>
      <c r="D1188" s="71">
        <v>83865</v>
      </c>
      <c r="E1188" s="71">
        <v>90091</v>
      </c>
      <c r="F1188" s="71">
        <v>97101</v>
      </c>
      <c r="G1188" s="71">
        <v>105154</v>
      </c>
      <c r="H1188" s="71">
        <v>112384</v>
      </c>
      <c r="I1188" s="71">
        <v>111640</v>
      </c>
      <c r="J1188" s="71">
        <v>110366</v>
      </c>
      <c r="K1188" s="71">
        <v>107361</v>
      </c>
      <c r="L1188" s="71">
        <v>104788</v>
      </c>
      <c r="M1188" s="71">
        <v>97001</v>
      </c>
      <c r="N1188" s="71">
        <v>89299</v>
      </c>
      <c r="O1188" s="71">
        <v>89067</v>
      </c>
      <c r="Q1188" s="70">
        <v>92036</v>
      </c>
      <c r="R1188" s="71"/>
      <c r="T1188" s="71"/>
      <c r="U1188" s="71"/>
    </row>
    <row r="1189" spans="1:21" x14ac:dyDescent="0.2">
      <c r="A1189" s="71" t="s">
        <v>921</v>
      </c>
      <c r="B1189" s="71" t="s">
        <v>470</v>
      </c>
      <c r="C1189" s="100">
        <v>0</v>
      </c>
      <c r="D1189" s="100">
        <v>0</v>
      </c>
      <c r="E1189" s="100">
        <v>0</v>
      </c>
      <c r="F1189" s="100">
        <v>0</v>
      </c>
      <c r="G1189" s="100">
        <v>0</v>
      </c>
      <c r="H1189" s="100">
        <v>0</v>
      </c>
      <c r="I1189" s="100">
        <v>0</v>
      </c>
      <c r="J1189" s="100">
        <v>0</v>
      </c>
      <c r="K1189" s="100">
        <v>0</v>
      </c>
      <c r="L1189" s="100">
        <v>0</v>
      </c>
      <c r="M1189" s="100">
        <v>0</v>
      </c>
      <c r="N1189" s="100">
        <v>0</v>
      </c>
      <c r="O1189" s="100">
        <v>0</v>
      </c>
      <c r="Q1189" s="70">
        <v>0</v>
      </c>
      <c r="R1189" s="100"/>
      <c r="T1189" s="100"/>
      <c r="U1189" s="100"/>
    </row>
    <row r="1190" spans="1:21" ht="15.75" thickBot="1" x14ac:dyDescent="0.25">
      <c r="B1190" s="70" t="s">
        <v>1382</v>
      </c>
      <c r="C1190" s="101">
        <v>78910</v>
      </c>
      <c r="D1190" s="101">
        <v>83865</v>
      </c>
      <c r="E1190" s="101">
        <v>90091</v>
      </c>
      <c r="F1190" s="101">
        <v>97101</v>
      </c>
      <c r="G1190" s="101">
        <v>105154</v>
      </c>
      <c r="H1190" s="101">
        <v>112384</v>
      </c>
      <c r="I1190" s="101">
        <v>111640</v>
      </c>
      <c r="J1190" s="101">
        <v>110366</v>
      </c>
      <c r="K1190" s="101">
        <v>107361</v>
      </c>
      <c r="L1190" s="101">
        <v>104788</v>
      </c>
      <c r="M1190" s="101">
        <v>97001</v>
      </c>
      <c r="N1190" s="101">
        <v>89299</v>
      </c>
      <c r="O1190" s="101">
        <v>89067</v>
      </c>
      <c r="Q1190" s="70">
        <v>92036</v>
      </c>
      <c r="R1190" s="101"/>
      <c r="T1190" s="101"/>
      <c r="U1190" s="101"/>
    </row>
    <row r="1191" spans="1:21" ht="15.75" thickTop="1" x14ac:dyDescent="0.2"/>
    <row r="1192" spans="1:21" x14ac:dyDescent="0.2">
      <c r="A1192" s="70" t="s">
        <v>2379</v>
      </c>
      <c r="B1192" s="70" t="s">
        <v>472</v>
      </c>
      <c r="C1192" s="75">
        <v>12267</v>
      </c>
      <c r="D1192" s="75">
        <v>12366</v>
      </c>
      <c r="E1192" s="75">
        <v>10740</v>
      </c>
      <c r="F1192" s="75">
        <v>9111</v>
      </c>
      <c r="G1192" s="75">
        <v>18852</v>
      </c>
      <c r="H1192" s="75">
        <v>17095</v>
      </c>
      <c r="I1192" s="75">
        <v>15362</v>
      </c>
      <c r="J1192" s="75">
        <v>17568</v>
      </c>
      <c r="K1192" s="75">
        <v>15758</v>
      </c>
      <c r="L1192" s="75">
        <v>13948</v>
      </c>
      <c r="M1192" s="75">
        <v>12141</v>
      </c>
      <c r="N1192" s="75">
        <v>10335</v>
      </c>
      <c r="O1192" s="75">
        <v>8526</v>
      </c>
      <c r="Q1192" s="70">
        <v>8526</v>
      </c>
      <c r="R1192" s="75"/>
      <c r="T1192" s="75"/>
      <c r="U1192" s="75"/>
    </row>
    <row r="1194" spans="1:21" x14ac:dyDescent="0.2">
      <c r="B1194" s="70" t="s">
        <v>5260</v>
      </c>
      <c r="C1194" s="70">
        <v>287685</v>
      </c>
      <c r="D1194" s="70">
        <v>362150</v>
      </c>
      <c r="E1194" s="70">
        <v>362464</v>
      </c>
      <c r="F1194" s="70">
        <v>348269</v>
      </c>
      <c r="G1194" s="70">
        <v>377592</v>
      </c>
      <c r="H1194" s="70">
        <v>401438</v>
      </c>
      <c r="I1194" s="70">
        <v>415635</v>
      </c>
      <c r="J1194" s="70">
        <v>432864</v>
      </c>
      <c r="K1194" s="70">
        <v>423849</v>
      </c>
      <c r="L1194" s="70">
        <v>436600</v>
      </c>
      <c r="M1194" s="70">
        <v>400974</v>
      </c>
      <c r="N1194" s="70">
        <v>371223</v>
      </c>
      <c r="O1194" s="70">
        <v>371505</v>
      </c>
      <c r="Q1194" s="70">
        <v>373403</v>
      </c>
    </row>
    <row r="1196" spans="1:21" x14ac:dyDescent="0.2">
      <c r="A1196" s="70" t="s">
        <v>884</v>
      </c>
      <c r="B1196" s="70" t="s">
        <v>430</v>
      </c>
      <c r="C1196" s="71">
        <v>3876894</v>
      </c>
      <c r="D1196" s="71">
        <v>5224178.7962699998</v>
      </c>
      <c r="E1196" s="71">
        <v>5243389.7962699998</v>
      </c>
      <c r="F1196" s="71">
        <v>5255406.7962699998</v>
      </c>
      <c r="G1196" s="71">
        <v>5270529.7962699998</v>
      </c>
      <c r="H1196" s="71">
        <v>5283946.7962699998</v>
      </c>
      <c r="I1196" s="71">
        <v>5342689.7962699998</v>
      </c>
      <c r="J1196" s="71">
        <v>5402334.7962699998</v>
      </c>
      <c r="K1196" s="71">
        <v>5409910.7962699998</v>
      </c>
      <c r="L1196" s="71">
        <v>5424326.7962699998</v>
      </c>
      <c r="M1196" s="71">
        <v>5443572.7962699998</v>
      </c>
      <c r="N1196" s="71">
        <v>5664671.7962699998</v>
      </c>
      <c r="O1196" s="71">
        <v>5693802.7962699998</v>
      </c>
      <c r="Q1196" s="70">
        <v>5693802.7962699998</v>
      </c>
      <c r="R1196" s="71"/>
      <c r="T1196" s="71"/>
      <c r="U1196" s="71"/>
    </row>
    <row r="1197" spans="1:21" x14ac:dyDescent="0.2">
      <c r="A1197" s="70" t="s">
        <v>3668</v>
      </c>
      <c r="B1197" s="70" t="s">
        <v>440</v>
      </c>
      <c r="C1197" s="71">
        <v>4726</v>
      </c>
      <c r="D1197" s="71">
        <v>5173</v>
      </c>
      <c r="E1197" s="71">
        <v>5151</v>
      </c>
      <c r="F1197" s="71">
        <v>5128</v>
      </c>
      <c r="G1197" s="71">
        <v>5105</v>
      </c>
      <c r="H1197" s="71">
        <v>5083</v>
      </c>
      <c r="I1197" s="71">
        <v>5060</v>
      </c>
      <c r="J1197" s="71">
        <v>5037</v>
      </c>
      <c r="K1197" s="71">
        <v>5014</v>
      </c>
      <c r="L1197" s="71">
        <v>4992</v>
      </c>
      <c r="M1197" s="71">
        <v>4969</v>
      </c>
      <c r="N1197" s="71">
        <v>4946</v>
      </c>
      <c r="O1197" s="71">
        <v>4923</v>
      </c>
      <c r="Q1197" s="70">
        <v>4923</v>
      </c>
      <c r="R1197" s="71"/>
      <c r="T1197" s="71"/>
      <c r="U1197" s="71"/>
    </row>
    <row r="1198" spans="1:21" x14ac:dyDescent="0.2">
      <c r="A1198" s="70" t="s">
        <v>5386</v>
      </c>
      <c r="B1198" s="70" t="s">
        <v>434</v>
      </c>
      <c r="C1198" s="100">
        <v>268067</v>
      </c>
      <c r="D1198" s="100">
        <v>377362</v>
      </c>
      <c r="E1198" s="100">
        <v>364236</v>
      </c>
      <c r="F1198" s="100">
        <v>369384</v>
      </c>
      <c r="G1198" s="100">
        <v>377227</v>
      </c>
      <c r="H1198" s="100">
        <v>582969</v>
      </c>
      <c r="I1198" s="100">
        <v>552446</v>
      </c>
      <c r="J1198" s="100">
        <v>503541</v>
      </c>
      <c r="K1198" s="100">
        <v>506662</v>
      </c>
      <c r="L1198" s="100">
        <v>646902</v>
      </c>
      <c r="M1198" s="100">
        <v>644922</v>
      </c>
      <c r="N1198" s="100">
        <v>433858</v>
      </c>
      <c r="O1198" s="100">
        <v>553386</v>
      </c>
      <c r="Q1198" s="71">
        <v>553386</v>
      </c>
      <c r="R1198" s="100"/>
      <c r="T1198" s="100"/>
      <c r="U1198" s="100"/>
    </row>
    <row r="1199" spans="1:21" ht="15.75" thickBot="1" x14ac:dyDescent="0.25">
      <c r="B1199" s="70" t="s">
        <v>5261</v>
      </c>
      <c r="C1199" s="103">
        <v>4149687</v>
      </c>
      <c r="D1199" s="103">
        <v>5606713.7962699998</v>
      </c>
      <c r="E1199" s="103">
        <v>5612776.7962699998</v>
      </c>
      <c r="F1199" s="103">
        <v>5629918.7962699998</v>
      </c>
      <c r="G1199" s="103">
        <v>5652861.7962699998</v>
      </c>
      <c r="H1199" s="103">
        <v>5871998.7962699998</v>
      </c>
      <c r="I1199" s="103">
        <v>5900195.7962699998</v>
      </c>
      <c r="J1199" s="103">
        <v>5910912.7962699998</v>
      </c>
      <c r="K1199" s="103">
        <v>5921586.7962699998</v>
      </c>
      <c r="L1199" s="103">
        <v>6076220.7962699998</v>
      </c>
      <c r="M1199" s="103">
        <v>6093463.7962699998</v>
      </c>
      <c r="N1199" s="103">
        <v>6103475.7962699998</v>
      </c>
      <c r="O1199" s="103">
        <v>6252111.7962699998</v>
      </c>
      <c r="Q1199" s="70">
        <v>6252111.7962699998</v>
      </c>
      <c r="R1199" s="103"/>
      <c r="T1199" s="103"/>
      <c r="U1199" s="103"/>
    </row>
    <row r="1200" spans="1:21" ht="15.75" thickTop="1" x14ac:dyDescent="0.2">
      <c r="A1200" s="71"/>
      <c r="C1200" s="71"/>
      <c r="D1200" s="71"/>
      <c r="E1200" s="71"/>
      <c r="F1200" s="71"/>
      <c r="G1200" s="71"/>
      <c r="H1200" s="71"/>
      <c r="I1200" s="71"/>
      <c r="J1200" s="71"/>
      <c r="K1200" s="71"/>
      <c r="L1200" s="71"/>
      <c r="M1200" s="71"/>
      <c r="N1200" s="71"/>
      <c r="O1200" s="71"/>
      <c r="R1200" s="71"/>
      <c r="T1200" s="71"/>
      <c r="U1200" s="71"/>
    </row>
    <row r="1201" spans="1:23" x14ac:dyDescent="0.2">
      <c r="A1201" s="70" t="s">
        <v>5383</v>
      </c>
      <c r="B1201" s="70" t="s">
        <v>433</v>
      </c>
      <c r="C1201" s="71">
        <v>34125</v>
      </c>
      <c r="D1201" s="71">
        <v>42942</v>
      </c>
      <c r="E1201" s="71">
        <v>42942</v>
      </c>
      <c r="F1201" s="71">
        <v>42942</v>
      </c>
      <c r="G1201" s="71">
        <v>42942</v>
      </c>
      <c r="H1201" s="71">
        <v>42942</v>
      </c>
      <c r="I1201" s="71">
        <v>42942</v>
      </c>
      <c r="J1201" s="71">
        <v>42942</v>
      </c>
      <c r="K1201" s="71">
        <v>42942</v>
      </c>
      <c r="L1201" s="71">
        <v>42942</v>
      </c>
      <c r="M1201" s="71">
        <v>42942</v>
      </c>
      <c r="N1201" s="71">
        <v>42942</v>
      </c>
      <c r="O1201" s="71">
        <v>44268</v>
      </c>
      <c r="Q1201" s="70">
        <v>44268</v>
      </c>
      <c r="R1201" s="71"/>
      <c r="T1201" s="71"/>
      <c r="U1201" s="71"/>
    </row>
    <row r="1202" spans="1:23" x14ac:dyDescent="0.2">
      <c r="A1202" s="70" t="s">
        <v>5389</v>
      </c>
      <c r="B1202" s="70" t="s">
        <v>435</v>
      </c>
      <c r="C1202" s="100">
        <v>300151</v>
      </c>
      <c r="D1202" s="100">
        <v>410992</v>
      </c>
      <c r="E1202" s="100">
        <v>466615</v>
      </c>
      <c r="F1202" s="100">
        <v>512244</v>
      </c>
      <c r="G1202" s="100">
        <v>545380</v>
      </c>
      <c r="H1202" s="100">
        <v>374091</v>
      </c>
      <c r="I1202" s="100">
        <v>390202</v>
      </c>
      <c r="J1202" s="100">
        <v>420130</v>
      </c>
      <c r="K1202" s="100">
        <v>449239</v>
      </c>
      <c r="L1202" s="100">
        <v>329866</v>
      </c>
      <c r="M1202" s="100">
        <v>344772</v>
      </c>
      <c r="N1202" s="100">
        <v>368361</v>
      </c>
      <c r="O1202" s="100">
        <v>244660</v>
      </c>
      <c r="Q1202" s="71">
        <v>244660</v>
      </c>
      <c r="R1202" s="100"/>
      <c r="T1202" s="100"/>
      <c r="U1202" s="100"/>
    </row>
    <row r="1203" spans="1:23" ht="15.75" thickBot="1" x14ac:dyDescent="0.25">
      <c r="B1203" s="70" t="s">
        <v>5262</v>
      </c>
      <c r="C1203" s="103">
        <v>334276</v>
      </c>
      <c r="D1203" s="103">
        <v>453934</v>
      </c>
      <c r="E1203" s="103">
        <v>509557</v>
      </c>
      <c r="F1203" s="103">
        <v>555186</v>
      </c>
      <c r="G1203" s="103">
        <v>588322</v>
      </c>
      <c r="H1203" s="103">
        <v>417033</v>
      </c>
      <c r="I1203" s="103">
        <v>433144</v>
      </c>
      <c r="J1203" s="103">
        <v>463072</v>
      </c>
      <c r="K1203" s="103">
        <v>492181</v>
      </c>
      <c r="L1203" s="103">
        <v>372808</v>
      </c>
      <c r="M1203" s="103">
        <v>387714</v>
      </c>
      <c r="N1203" s="103">
        <v>411303</v>
      </c>
      <c r="O1203" s="103">
        <v>288928</v>
      </c>
      <c r="Q1203" s="71">
        <v>288928</v>
      </c>
      <c r="R1203" s="103"/>
      <c r="T1203" s="103"/>
      <c r="U1203" s="103"/>
    </row>
    <row r="1204" spans="1:23" ht="15.75" thickTop="1" x14ac:dyDescent="0.2">
      <c r="A1204" s="71"/>
      <c r="C1204" s="71"/>
      <c r="D1204" s="71"/>
      <c r="E1204" s="71"/>
      <c r="F1204" s="71"/>
      <c r="G1204" s="71"/>
      <c r="H1204" s="71"/>
      <c r="I1204" s="71"/>
      <c r="J1204" s="71"/>
      <c r="K1204" s="71"/>
      <c r="L1204" s="71"/>
      <c r="M1204" s="71"/>
      <c r="N1204" s="71"/>
      <c r="O1204" s="71"/>
      <c r="Q1204" s="71"/>
      <c r="R1204" s="71"/>
      <c r="T1204" s="71"/>
      <c r="U1204" s="71"/>
    </row>
    <row r="1205" spans="1:23" x14ac:dyDescent="0.2">
      <c r="A1205" s="71"/>
      <c r="B1205" s="70" t="s">
        <v>5263</v>
      </c>
      <c r="C1205" s="71">
        <v>8348</v>
      </c>
      <c r="D1205" s="71">
        <v>3712</v>
      </c>
      <c r="E1205" s="71">
        <v>3716</v>
      </c>
      <c r="F1205" s="71">
        <v>3727</v>
      </c>
      <c r="G1205" s="71">
        <v>3756</v>
      </c>
      <c r="H1205" s="71">
        <v>3804</v>
      </c>
      <c r="I1205" s="71">
        <v>3876</v>
      </c>
      <c r="J1205" s="71">
        <v>4025</v>
      </c>
      <c r="K1205" s="71">
        <v>4137</v>
      </c>
      <c r="L1205" s="71">
        <v>4148</v>
      </c>
      <c r="M1205" s="71">
        <v>4143</v>
      </c>
      <c r="N1205" s="71">
        <v>4129</v>
      </c>
      <c r="O1205" s="71">
        <v>4113</v>
      </c>
      <c r="Q1205" s="71">
        <v>4113</v>
      </c>
      <c r="R1205" s="71"/>
      <c r="T1205" s="71"/>
      <c r="U1205" s="71"/>
    </row>
    <row r="1206" spans="1:23" x14ac:dyDescent="0.2">
      <c r="A1206" s="71"/>
      <c r="C1206" s="71"/>
      <c r="D1206" s="71"/>
      <c r="E1206" s="71"/>
      <c r="F1206" s="71"/>
      <c r="G1206" s="71"/>
      <c r="H1206" s="71"/>
      <c r="I1206" s="71"/>
      <c r="J1206" s="71"/>
      <c r="K1206" s="71"/>
      <c r="L1206" s="71"/>
      <c r="M1206" s="71"/>
      <c r="N1206" s="71"/>
      <c r="O1206" s="71"/>
      <c r="Q1206" s="71"/>
      <c r="R1206" s="71"/>
      <c r="T1206" s="71"/>
      <c r="U1206" s="71"/>
    </row>
    <row r="1207" spans="1:23" x14ac:dyDescent="0.2">
      <c r="A1207" s="71" t="s">
        <v>3660</v>
      </c>
      <c r="B1207" s="71" t="s">
        <v>5264</v>
      </c>
      <c r="C1207" s="71">
        <v>1795267</v>
      </c>
      <c r="D1207" s="71">
        <v>1999357</v>
      </c>
      <c r="E1207" s="71">
        <v>2006999</v>
      </c>
      <c r="F1207" s="71">
        <v>2018472</v>
      </c>
      <c r="G1207" s="71">
        <v>2030950</v>
      </c>
      <c r="H1207" s="71">
        <v>2039861</v>
      </c>
      <c r="I1207" s="71">
        <v>2046759</v>
      </c>
      <c r="J1207" s="71">
        <v>2054975</v>
      </c>
      <c r="K1207" s="71">
        <v>2064665</v>
      </c>
      <c r="L1207" s="71">
        <v>2074152</v>
      </c>
      <c r="M1207" s="71">
        <v>2082892</v>
      </c>
      <c r="N1207" s="71">
        <v>2092528</v>
      </c>
      <c r="O1207" s="71">
        <v>2101509</v>
      </c>
      <c r="Q1207" s="71">
        <v>2101509</v>
      </c>
      <c r="R1207" s="71"/>
      <c r="T1207" s="71"/>
      <c r="U1207" s="71"/>
    </row>
    <row r="1208" spans="1:23" x14ac:dyDescent="0.2">
      <c r="A1208" s="71"/>
      <c r="C1208" s="71"/>
      <c r="D1208" s="71"/>
      <c r="E1208" s="71"/>
      <c r="F1208" s="71"/>
      <c r="G1208" s="71"/>
      <c r="H1208" s="71"/>
      <c r="I1208" s="71"/>
      <c r="J1208" s="71"/>
      <c r="K1208" s="71"/>
      <c r="L1208" s="71"/>
      <c r="M1208" s="71"/>
      <c r="N1208" s="71"/>
      <c r="O1208" s="71"/>
      <c r="Q1208" s="71"/>
      <c r="R1208" s="71"/>
      <c r="T1208" s="71"/>
      <c r="U1208" s="71"/>
    </row>
    <row r="1209" spans="1:23" x14ac:dyDescent="0.2">
      <c r="A1209" s="71" t="s">
        <v>1153</v>
      </c>
      <c r="B1209" s="71" t="s">
        <v>443</v>
      </c>
      <c r="C1209" s="71">
        <v>40</v>
      </c>
      <c r="D1209" s="71">
        <v>274</v>
      </c>
      <c r="E1209" s="71">
        <v>274</v>
      </c>
      <c r="F1209" s="71">
        <v>274</v>
      </c>
      <c r="G1209" s="71">
        <v>274</v>
      </c>
      <c r="H1209" s="71">
        <v>274</v>
      </c>
      <c r="I1209" s="71">
        <v>274</v>
      </c>
      <c r="J1209" s="71">
        <v>274</v>
      </c>
      <c r="K1209" s="71">
        <v>274</v>
      </c>
      <c r="L1209" s="71">
        <v>274</v>
      </c>
      <c r="M1209" s="71">
        <v>274</v>
      </c>
      <c r="N1209" s="71">
        <v>274</v>
      </c>
      <c r="O1209" s="71">
        <v>274</v>
      </c>
      <c r="P1209" s="71"/>
      <c r="Q1209" s="71">
        <v>274</v>
      </c>
      <c r="R1209" s="71"/>
      <c r="S1209" s="71"/>
      <c r="T1209" s="71"/>
      <c r="U1209" s="71"/>
      <c r="V1209" s="71"/>
      <c r="W1209" s="71"/>
    </row>
    <row r="1210" spans="1:23" ht="15.75" x14ac:dyDescent="0.25">
      <c r="A1210" s="71"/>
      <c r="B1210" s="73" t="s">
        <v>5265</v>
      </c>
      <c r="C1210" s="100">
        <v>-40</v>
      </c>
      <c r="D1210" s="100">
        <v>-274</v>
      </c>
      <c r="E1210" s="100">
        <v>-274</v>
      </c>
      <c r="F1210" s="100">
        <v>-274</v>
      </c>
      <c r="G1210" s="100">
        <v>-274</v>
      </c>
      <c r="H1210" s="100">
        <v>-274</v>
      </c>
      <c r="I1210" s="100">
        <v>-274</v>
      </c>
      <c r="J1210" s="100">
        <v>-274</v>
      </c>
      <c r="K1210" s="100">
        <v>-274</v>
      </c>
      <c r="L1210" s="100">
        <v>-274</v>
      </c>
      <c r="M1210" s="100">
        <v>-274</v>
      </c>
      <c r="N1210" s="100">
        <v>-274</v>
      </c>
      <c r="O1210" s="100">
        <v>-274</v>
      </c>
      <c r="Q1210" s="71">
        <v>-274</v>
      </c>
      <c r="R1210" s="100"/>
      <c r="T1210" s="100"/>
      <c r="U1210" s="100"/>
    </row>
    <row r="1211" spans="1:23" ht="15.75" thickBot="1" x14ac:dyDescent="0.25">
      <c r="A1211" s="71"/>
      <c r="B1211" s="70" t="s">
        <v>5266</v>
      </c>
      <c r="C1211" s="103">
        <v>0</v>
      </c>
      <c r="D1211" s="103">
        <v>0</v>
      </c>
      <c r="E1211" s="103">
        <v>0</v>
      </c>
      <c r="F1211" s="103">
        <v>0</v>
      </c>
      <c r="G1211" s="103">
        <v>0</v>
      </c>
      <c r="H1211" s="103">
        <v>0</v>
      </c>
      <c r="I1211" s="103">
        <v>0</v>
      </c>
      <c r="J1211" s="103">
        <v>0</v>
      </c>
      <c r="K1211" s="103">
        <v>0</v>
      </c>
      <c r="L1211" s="103">
        <v>0</v>
      </c>
      <c r="M1211" s="103">
        <v>0</v>
      </c>
      <c r="N1211" s="103">
        <v>0</v>
      </c>
      <c r="O1211" s="103">
        <v>0</v>
      </c>
      <c r="Q1211" s="71">
        <v>0</v>
      </c>
      <c r="R1211" s="103"/>
      <c r="T1211" s="103"/>
      <c r="U1211" s="103"/>
    </row>
    <row r="1212" spans="1:23" ht="15.75" thickTop="1" x14ac:dyDescent="0.2">
      <c r="A1212" s="71"/>
      <c r="C1212" s="71"/>
      <c r="D1212" s="71"/>
      <c r="E1212" s="71"/>
      <c r="F1212" s="71"/>
      <c r="G1212" s="71"/>
      <c r="H1212" s="71"/>
      <c r="I1212" s="71"/>
      <c r="J1212" s="71"/>
      <c r="K1212" s="71"/>
      <c r="L1212" s="71"/>
      <c r="M1212" s="71"/>
      <c r="N1212" s="71"/>
      <c r="O1212" s="71"/>
      <c r="Q1212" s="71"/>
      <c r="R1212" s="71"/>
      <c r="T1212" s="71"/>
      <c r="U1212" s="71"/>
    </row>
    <row r="1213" spans="1:23" x14ac:dyDescent="0.2">
      <c r="A1213" s="71"/>
      <c r="B1213" s="70" t="s">
        <v>5267</v>
      </c>
      <c r="C1213" s="71">
        <v>11285</v>
      </c>
      <c r="D1213" s="71">
        <v>37648</v>
      </c>
      <c r="E1213" s="71">
        <v>37208</v>
      </c>
      <c r="F1213" s="71">
        <v>36769</v>
      </c>
      <c r="G1213" s="71">
        <v>36330</v>
      </c>
      <c r="H1213" s="71">
        <v>35891</v>
      </c>
      <c r="I1213" s="71">
        <v>35452</v>
      </c>
      <c r="J1213" s="71">
        <v>35013</v>
      </c>
      <c r="K1213" s="71">
        <v>34575</v>
      </c>
      <c r="L1213" s="71">
        <v>34136</v>
      </c>
      <c r="M1213" s="71">
        <v>33697</v>
      </c>
      <c r="N1213" s="71">
        <v>34499</v>
      </c>
      <c r="O1213" s="71">
        <v>34049</v>
      </c>
      <c r="Q1213" s="70">
        <v>34232</v>
      </c>
      <c r="R1213" s="71"/>
      <c r="T1213" s="71"/>
      <c r="U1213" s="71"/>
    </row>
    <row r="1214" spans="1:23" x14ac:dyDescent="0.2">
      <c r="A1214" s="71"/>
      <c r="C1214" s="71"/>
      <c r="D1214" s="71"/>
      <c r="E1214" s="71"/>
      <c r="F1214" s="71"/>
      <c r="G1214" s="71"/>
      <c r="H1214" s="71"/>
      <c r="I1214" s="71"/>
      <c r="J1214" s="71"/>
      <c r="K1214" s="71"/>
      <c r="L1214" s="71"/>
      <c r="M1214" s="71"/>
      <c r="N1214" s="71"/>
      <c r="O1214" s="71"/>
      <c r="R1214" s="71"/>
      <c r="T1214" s="71"/>
      <c r="U1214" s="71"/>
    </row>
    <row r="1215" spans="1:23" x14ac:dyDescent="0.2">
      <c r="A1215" s="70" t="s">
        <v>3150</v>
      </c>
      <c r="B1215" s="70" t="s">
        <v>5051</v>
      </c>
      <c r="C1215" s="70">
        <v>0</v>
      </c>
      <c r="D1215" s="70">
        <v>0</v>
      </c>
      <c r="E1215" s="70">
        <v>0</v>
      </c>
      <c r="F1215" s="70">
        <v>0</v>
      </c>
      <c r="G1215" s="70">
        <v>0</v>
      </c>
      <c r="H1215" s="70">
        <v>0</v>
      </c>
      <c r="I1215" s="70">
        <v>0</v>
      </c>
      <c r="J1215" s="70">
        <v>0</v>
      </c>
      <c r="K1215" s="70">
        <v>0</v>
      </c>
      <c r="L1215" s="70">
        <v>0</v>
      </c>
      <c r="M1215" s="70">
        <v>0</v>
      </c>
      <c r="N1215" s="70">
        <v>0</v>
      </c>
      <c r="O1215" s="70">
        <v>0</v>
      </c>
      <c r="Q1215" s="70">
        <v>0</v>
      </c>
    </row>
    <row r="1216" spans="1:23" x14ac:dyDescent="0.2">
      <c r="A1216" s="70" t="s">
        <v>3152</v>
      </c>
      <c r="B1216" s="70" t="s">
        <v>5052</v>
      </c>
      <c r="C1216" s="70">
        <v>90203</v>
      </c>
      <c r="D1216" s="70">
        <v>73902</v>
      </c>
      <c r="E1216" s="70">
        <v>69696</v>
      </c>
      <c r="F1216" s="70">
        <v>66280</v>
      </c>
      <c r="G1216" s="70">
        <v>60018</v>
      </c>
      <c r="H1216" s="70">
        <v>67259</v>
      </c>
      <c r="I1216" s="70">
        <v>61665</v>
      </c>
      <c r="J1216" s="70">
        <v>60928</v>
      </c>
      <c r="K1216" s="70">
        <v>61682</v>
      </c>
      <c r="L1216" s="70">
        <v>46436</v>
      </c>
      <c r="M1216" s="70">
        <v>31382</v>
      </c>
      <c r="N1216" s="70">
        <v>11071</v>
      </c>
      <c r="O1216" s="70">
        <v>3210</v>
      </c>
      <c r="Q1216" s="70">
        <v>3210</v>
      </c>
    </row>
    <row r="1217" spans="1:26" x14ac:dyDescent="0.2">
      <c r="A1217" s="70" t="s">
        <v>3154</v>
      </c>
      <c r="B1217" s="70" t="s">
        <v>5053</v>
      </c>
      <c r="C1217" s="70">
        <v>4407</v>
      </c>
      <c r="D1217" s="70">
        <v>18771</v>
      </c>
      <c r="E1217" s="70">
        <v>17945</v>
      </c>
      <c r="F1217" s="70">
        <v>17817</v>
      </c>
      <c r="G1217" s="70">
        <v>17205</v>
      </c>
      <c r="H1217" s="70">
        <v>15980</v>
      </c>
      <c r="I1217" s="70">
        <v>13372</v>
      </c>
      <c r="J1217" s="70">
        <v>10429</v>
      </c>
      <c r="K1217" s="70">
        <v>7525</v>
      </c>
      <c r="L1217" s="70">
        <v>4303</v>
      </c>
      <c r="M1217" s="70">
        <v>2279</v>
      </c>
      <c r="N1217" s="70">
        <v>1358</v>
      </c>
      <c r="O1217" s="70">
        <v>510</v>
      </c>
      <c r="Q1217" s="70">
        <v>510</v>
      </c>
    </row>
    <row r="1218" spans="1:26" x14ac:dyDescent="0.2">
      <c r="A1218" s="70" t="s">
        <v>3156</v>
      </c>
      <c r="B1218" s="70" t="s">
        <v>5054</v>
      </c>
      <c r="C1218" s="70">
        <v>2597</v>
      </c>
      <c r="D1218" s="70">
        <v>1849</v>
      </c>
      <c r="E1218" s="70">
        <v>1629</v>
      </c>
      <c r="F1218" s="70">
        <v>1434</v>
      </c>
      <c r="G1218" s="70">
        <v>1125</v>
      </c>
      <c r="H1218" s="70">
        <v>1369</v>
      </c>
      <c r="I1218" s="70">
        <v>1146</v>
      </c>
      <c r="J1218" s="70">
        <v>1098</v>
      </c>
      <c r="K1218" s="70">
        <v>1122</v>
      </c>
      <c r="L1218" s="70">
        <v>580</v>
      </c>
      <c r="M1218" s="70">
        <v>0</v>
      </c>
      <c r="N1218" s="70">
        <v>0</v>
      </c>
      <c r="O1218" s="70">
        <v>0</v>
      </c>
      <c r="Q1218" s="70">
        <v>0</v>
      </c>
    </row>
    <row r="1219" spans="1:26" x14ac:dyDescent="0.2">
      <c r="A1219" s="70" t="s">
        <v>678</v>
      </c>
      <c r="B1219" s="70" t="s">
        <v>5056</v>
      </c>
      <c r="C1219" s="75">
        <v>0</v>
      </c>
      <c r="D1219" s="75">
        <v>0</v>
      </c>
      <c r="E1219" s="75">
        <v>0</v>
      </c>
      <c r="F1219" s="75">
        <v>0</v>
      </c>
      <c r="G1219" s="75">
        <v>0</v>
      </c>
      <c r="H1219" s="75">
        <v>0</v>
      </c>
      <c r="I1219" s="75">
        <v>0</v>
      </c>
      <c r="J1219" s="75">
        <v>0</v>
      </c>
      <c r="K1219" s="75">
        <v>0</v>
      </c>
      <c r="L1219" s="75">
        <v>0</v>
      </c>
      <c r="M1219" s="75">
        <v>0</v>
      </c>
      <c r="N1219" s="75">
        <v>0</v>
      </c>
      <c r="O1219" s="75">
        <v>276</v>
      </c>
      <c r="Q1219" s="70">
        <v>276</v>
      </c>
      <c r="R1219" s="75"/>
      <c r="T1219" s="75"/>
      <c r="U1219" s="75"/>
    </row>
    <row r="1220" spans="1:26" ht="15.75" thickBot="1" x14ac:dyDescent="0.25">
      <c r="B1220" s="70" t="s">
        <v>5268</v>
      </c>
      <c r="C1220" s="101">
        <v>97207</v>
      </c>
      <c r="D1220" s="101">
        <v>94522</v>
      </c>
      <c r="E1220" s="101">
        <v>89270</v>
      </c>
      <c r="F1220" s="101">
        <v>85531</v>
      </c>
      <c r="G1220" s="101">
        <v>78348</v>
      </c>
      <c r="H1220" s="101">
        <v>84608</v>
      </c>
      <c r="I1220" s="101">
        <v>76183</v>
      </c>
      <c r="J1220" s="101">
        <v>72455</v>
      </c>
      <c r="K1220" s="101">
        <v>70329</v>
      </c>
      <c r="L1220" s="101">
        <v>51319</v>
      </c>
      <c r="M1220" s="101">
        <v>33661</v>
      </c>
      <c r="N1220" s="101">
        <v>12429</v>
      </c>
      <c r="O1220" s="101">
        <v>3996</v>
      </c>
      <c r="Q1220" s="70">
        <v>3996</v>
      </c>
      <c r="R1220" s="101"/>
      <c r="T1220" s="101"/>
      <c r="U1220" s="101"/>
    </row>
    <row r="1221" spans="1:26" ht="15.75" thickTop="1" x14ac:dyDescent="0.2">
      <c r="C1221" s="71"/>
      <c r="D1221" s="71"/>
      <c r="E1221" s="71"/>
      <c r="F1221" s="71"/>
      <c r="G1221" s="71"/>
      <c r="H1221" s="71"/>
      <c r="I1221" s="71"/>
      <c r="J1221" s="71"/>
      <c r="K1221" s="71"/>
      <c r="L1221" s="71"/>
      <c r="M1221" s="71"/>
      <c r="N1221" s="71"/>
      <c r="O1221" s="71"/>
      <c r="R1221" s="71"/>
      <c r="T1221" s="71"/>
      <c r="U1221" s="71"/>
    </row>
    <row r="1222" spans="1:26" x14ac:dyDescent="0.2">
      <c r="A1222" s="70" t="s">
        <v>4443</v>
      </c>
      <c r="B1222" s="70" t="s">
        <v>5067</v>
      </c>
      <c r="C1222" s="70">
        <v>2140</v>
      </c>
      <c r="D1222" s="70">
        <v>4954</v>
      </c>
      <c r="E1222" s="70">
        <v>4979</v>
      </c>
      <c r="F1222" s="70">
        <v>5016</v>
      </c>
      <c r="G1222" s="70">
        <v>5070</v>
      </c>
      <c r="H1222" s="70">
        <v>5122</v>
      </c>
      <c r="I1222" s="70">
        <v>5174</v>
      </c>
      <c r="J1222" s="70">
        <v>5236</v>
      </c>
      <c r="K1222" s="70">
        <v>5288</v>
      </c>
      <c r="L1222" s="70">
        <v>5340</v>
      </c>
      <c r="M1222" s="70">
        <v>5403</v>
      </c>
      <c r="N1222" s="70">
        <v>5454</v>
      </c>
      <c r="O1222" s="70">
        <v>5506</v>
      </c>
      <c r="Q1222" s="70">
        <v>5506</v>
      </c>
      <c r="X1222" s="71"/>
      <c r="Y1222" s="71"/>
      <c r="Z1222" s="71"/>
    </row>
    <row r="1223" spans="1:26" x14ac:dyDescent="0.2">
      <c r="B1223" s="70" t="s">
        <v>5269</v>
      </c>
      <c r="C1223" s="71">
        <v>132256</v>
      </c>
      <c r="D1223" s="71">
        <v>189716</v>
      </c>
      <c r="E1223" s="71">
        <v>184534</v>
      </c>
      <c r="F1223" s="71">
        <v>179777</v>
      </c>
      <c r="G1223" s="71">
        <v>172664</v>
      </c>
      <c r="H1223" s="71">
        <v>178996</v>
      </c>
      <c r="I1223" s="71">
        <v>169550</v>
      </c>
      <c r="J1223" s="71">
        <v>165892</v>
      </c>
      <c r="K1223" s="71">
        <v>163835</v>
      </c>
      <c r="L1223" s="71">
        <v>143803</v>
      </c>
      <c r="M1223" s="71">
        <v>126212</v>
      </c>
      <c r="N1223" s="71">
        <v>105046</v>
      </c>
      <c r="O1223" s="71">
        <v>95589</v>
      </c>
      <c r="Q1223" s="70">
        <v>95589</v>
      </c>
      <c r="R1223" s="71"/>
      <c r="T1223" s="71"/>
      <c r="U1223" s="71"/>
    </row>
    <row r="1224" spans="1:26" x14ac:dyDescent="0.2">
      <c r="B1224" s="70" t="s">
        <v>5270</v>
      </c>
      <c r="C1224" s="71">
        <v>150.23175714304671</v>
      </c>
      <c r="D1224" s="71">
        <v>-0.29626999981701374</v>
      </c>
      <c r="E1224" s="71">
        <v>-0.29626999981701374</v>
      </c>
      <c r="F1224" s="71">
        <v>-0.29626999981701374</v>
      </c>
      <c r="G1224" s="71">
        <v>-0.29626999981701374</v>
      </c>
      <c r="H1224" s="71">
        <v>-0.29626999981701374</v>
      </c>
      <c r="I1224" s="71">
        <v>-0.29626999981701374</v>
      </c>
      <c r="J1224" s="71">
        <v>-0.29626999981701374</v>
      </c>
      <c r="K1224" s="71">
        <v>-0.29626999981701374</v>
      </c>
      <c r="L1224" s="71">
        <v>-0.29626999981701374</v>
      </c>
      <c r="M1224" s="71">
        <v>-0.29626999981701374</v>
      </c>
      <c r="N1224" s="71">
        <v>0.45373000018298626</v>
      </c>
      <c r="O1224" s="71">
        <v>0.20373000018298626</v>
      </c>
      <c r="Q1224" s="70">
        <v>1.7037300001829863</v>
      </c>
      <c r="R1224" s="71"/>
      <c r="T1224" s="71"/>
      <c r="U1224" s="71"/>
    </row>
    <row r="1225" spans="1:26" x14ac:dyDescent="0.2">
      <c r="B1225" s="70" t="s">
        <v>5271</v>
      </c>
      <c r="C1225" s="75">
        <v>-97207</v>
      </c>
      <c r="D1225" s="75">
        <v>-94522</v>
      </c>
      <c r="E1225" s="75">
        <v>-89270</v>
      </c>
      <c r="F1225" s="75">
        <v>-85531</v>
      </c>
      <c r="G1225" s="75">
        <v>-78348</v>
      </c>
      <c r="H1225" s="75">
        <v>-84608</v>
      </c>
      <c r="I1225" s="75">
        <v>-76183</v>
      </c>
      <c r="J1225" s="75">
        <v>-72455</v>
      </c>
      <c r="K1225" s="75">
        <v>-70329</v>
      </c>
      <c r="L1225" s="75">
        <v>-51319</v>
      </c>
      <c r="M1225" s="75">
        <v>-33661</v>
      </c>
      <c r="N1225" s="75">
        <v>-12429</v>
      </c>
      <c r="O1225" s="75">
        <v>-3996</v>
      </c>
      <c r="Q1225" s="70">
        <v>-3996</v>
      </c>
      <c r="R1225" s="75"/>
      <c r="T1225" s="75"/>
      <c r="U1225" s="75"/>
    </row>
    <row r="1226" spans="1:26" ht="15.75" thickBot="1" x14ac:dyDescent="0.25">
      <c r="B1226" s="70" t="s">
        <v>5272</v>
      </c>
      <c r="C1226" s="101">
        <v>37339.231757143047</v>
      </c>
      <c r="D1226" s="101">
        <v>100147.70373000018</v>
      </c>
      <c r="E1226" s="101">
        <v>100242.70373000018</v>
      </c>
      <c r="F1226" s="101">
        <v>99261.703730000183</v>
      </c>
      <c r="G1226" s="101">
        <v>99385.703730000183</v>
      </c>
      <c r="H1226" s="101">
        <v>99509.703730000183</v>
      </c>
      <c r="I1226" s="101">
        <v>98540.703730000183</v>
      </c>
      <c r="J1226" s="101">
        <v>98672.703730000183</v>
      </c>
      <c r="K1226" s="101">
        <v>98793.703730000183</v>
      </c>
      <c r="L1226" s="101">
        <v>97823.703730000183</v>
      </c>
      <c r="M1226" s="101">
        <v>97953.703730000183</v>
      </c>
      <c r="N1226" s="101">
        <v>98071.453730000183</v>
      </c>
      <c r="O1226" s="101">
        <v>97099.203730000183</v>
      </c>
      <c r="Q1226" s="71">
        <v>97100.703730000183</v>
      </c>
      <c r="R1226" s="101"/>
      <c r="T1226" s="101"/>
      <c r="U1226" s="101"/>
    </row>
    <row r="1227" spans="1:26" ht="15.75" thickTop="1" x14ac:dyDescent="0.2">
      <c r="Q1227" s="71"/>
    </row>
    <row r="1228" spans="1:26" x14ac:dyDescent="0.2">
      <c r="A1228" s="71" t="s">
        <v>1590</v>
      </c>
      <c r="B1228" s="71" t="s">
        <v>5076</v>
      </c>
      <c r="C1228" s="71">
        <v>125866</v>
      </c>
      <c r="D1228" s="71">
        <v>173450</v>
      </c>
      <c r="E1228" s="71">
        <v>172746</v>
      </c>
      <c r="F1228" s="71">
        <v>171464</v>
      </c>
      <c r="G1228" s="71">
        <v>170870</v>
      </c>
      <c r="H1228" s="71">
        <v>170608</v>
      </c>
      <c r="I1228" s="71">
        <v>169926</v>
      </c>
      <c r="J1228" s="71">
        <v>169695</v>
      </c>
      <c r="K1228" s="71">
        <v>169406</v>
      </c>
      <c r="L1228" s="71">
        <v>168579</v>
      </c>
      <c r="M1228" s="71">
        <v>168244</v>
      </c>
      <c r="N1228" s="71">
        <v>168082</v>
      </c>
      <c r="O1228" s="71">
        <v>167601</v>
      </c>
      <c r="Q1228" s="71">
        <v>169399</v>
      </c>
      <c r="R1228" s="71"/>
      <c r="T1228" s="71"/>
      <c r="U1228" s="71"/>
    </row>
    <row r="1229" spans="1:26" x14ac:dyDescent="0.2">
      <c r="A1229" s="71" t="s">
        <v>1576</v>
      </c>
      <c r="B1229" s="71" t="s">
        <v>5080</v>
      </c>
      <c r="C1229" s="100">
        <v>18490</v>
      </c>
      <c r="D1229" s="100">
        <v>6054</v>
      </c>
      <c r="E1229" s="100">
        <v>5944</v>
      </c>
      <c r="F1229" s="100">
        <v>5834</v>
      </c>
      <c r="G1229" s="100">
        <v>5723</v>
      </c>
      <c r="H1229" s="100">
        <v>5613</v>
      </c>
      <c r="I1229" s="100">
        <v>5502</v>
      </c>
      <c r="J1229" s="100">
        <v>5392</v>
      </c>
      <c r="K1229" s="100">
        <v>5281</v>
      </c>
      <c r="L1229" s="100">
        <v>5171</v>
      </c>
      <c r="M1229" s="100">
        <v>5060</v>
      </c>
      <c r="N1229" s="100">
        <v>4950</v>
      </c>
      <c r="O1229" s="100">
        <v>4839</v>
      </c>
      <c r="Q1229" s="70">
        <v>4839</v>
      </c>
      <c r="R1229" s="100"/>
      <c r="T1229" s="100"/>
      <c r="U1229" s="100"/>
    </row>
    <row r="1230" spans="1:26" ht="15.75" thickBot="1" x14ac:dyDescent="0.25">
      <c r="A1230" s="71"/>
      <c r="C1230" s="103">
        <v>107376</v>
      </c>
      <c r="D1230" s="103">
        <v>167396</v>
      </c>
      <c r="E1230" s="103">
        <v>166802</v>
      </c>
      <c r="F1230" s="103">
        <v>165630</v>
      </c>
      <c r="G1230" s="103">
        <v>165147</v>
      </c>
      <c r="H1230" s="103">
        <v>164995</v>
      </c>
      <c r="I1230" s="103">
        <v>164424</v>
      </c>
      <c r="J1230" s="103">
        <v>164303</v>
      </c>
      <c r="K1230" s="103">
        <v>164125</v>
      </c>
      <c r="L1230" s="103">
        <v>163408</v>
      </c>
      <c r="M1230" s="103">
        <v>163184</v>
      </c>
      <c r="N1230" s="103">
        <v>163132</v>
      </c>
      <c r="O1230" s="103">
        <v>162762</v>
      </c>
      <c r="Q1230" s="70">
        <v>164560</v>
      </c>
      <c r="R1230" s="103"/>
      <c r="T1230" s="103"/>
      <c r="U1230" s="103"/>
    </row>
    <row r="1231" spans="1:26" ht="15.75" thickTop="1" x14ac:dyDescent="0.2"/>
    <row r="1232" spans="1:26" ht="15.75" thickBot="1" x14ac:dyDescent="0.25">
      <c r="B1232" s="70" t="s">
        <v>5273</v>
      </c>
      <c r="C1232" s="101">
        <v>3237936.231757143</v>
      </c>
      <c r="D1232" s="101">
        <v>4826866.5</v>
      </c>
      <c r="E1232" s="101">
        <v>4875037.5</v>
      </c>
      <c r="F1232" s="101">
        <v>4905820.5</v>
      </c>
      <c r="G1232" s="101">
        <v>4970792.5</v>
      </c>
      <c r="H1232" s="101">
        <v>5039416.5</v>
      </c>
      <c r="I1232" s="101">
        <v>5080691.5</v>
      </c>
      <c r="J1232" s="101">
        <v>5126342.5</v>
      </c>
      <c r="K1232" s="101">
        <v>5144911.5</v>
      </c>
      <c r="L1232" s="101">
        <v>5162311.5</v>
      </c>
      <c r="M1232" s="101">
        <v>5131898.5</v>
      </c>
      <c r="N1232" s="101">
        <v>5105734.25</v>
      </c>
      <c r="O1232" s="101">
        <v>5113055</v>
      </c>
      <c r="Q1232" s="70">
        <v>5116935.5</v>
      </c>
      <c r="R1232" s="101"/>
      <c r="T1232" s="101"/>
      <c r="U1232" s="101"/>
    </row>
    <row r="1233" spans="1:21" ht="15.75" thickTop="1" x14ac:dyDescent="0.2"/>
    <row r="1234" spans="1:21" x14ac:dyDescent="0.2">
      <c r="A1234" s="70" t="s">
        <v>5274</v>
      </c>
      <c r="C1234" s="71">
        <v>3298978</v>
      </c>
      <c r="D1234" s="71">
        <v>4909687</v>
      </c>
      <c r="E1234" s="71">
        <v>4955990</v>
      </c>
      <c r="F1234" s="71">
        <v>4984499</v>
      </c>
      <c r="G1234" s="71">
        <v>5047890</v>
      </c>
      <c r="H1234" s="71">
        <v>5115795</v>
      </c>
      <c r="I1234" s="71">
        <v>5156351</v>
      </c>
      <c r="J1234" s="71">
        <v>5201360</v>
      </c>
      <c r="K1234" s="71">
        <v>5219136</v>
      </c>
      <c r="L1234" s="71">
        <v>5235444</v>
      </c>
      <c r="M1234" s="71">
        <v>5204123</v>
      </c>
      <c r="N1234" s="71">
        <v>5177495</v>
      </c>
      <c r="O1234" s="71">
        <v>5184619</v>
      </c>
      <c r="Q1234" s="70">
        <v>5188500</v>
      </c>
      <c r="R1234" s="71"/>
      <c r="T1234" s="71"/>
      <c r="U1234" s="71"/>
    </row>
    <row r="1235" spans="1:21" x14ac:dyDescent="0.2">
      <c r="A1235" s="70" t="s">
        <v>1576</v>
      </c>
      <c r="B1235" s="70" t="s">
        <v>5080</v>
      </c>
      <c r="C1235" s="71">
        <v>-18490</v>
      </c>
      <c r="D1235" s="71">
        <v>-6054</v>
      </c>
      <c r="E1235" s="71">
        <v>-5944</v>
      </c>
      <c r="F1235" s="71">
        <v>-5834</v>
      </c>
      <c r="G1235" s="71">
        <v>-5723</v>
      </c>
      <c r="H1235" s="71">
        <v>-5613</v>
      </c>
      <c r="I1235" s="71">
        <v>-5502</v>
      </c>
      <c r="J1235" s="71">
        <v>-5392</v>
      </c>
      <c r="K1235" s="71">
        <v>-5281</v>
      </c>
      <c r="L1235" s="71">
        <v>-5171</v>
      </c>
      <c r="M1235" s="71">
        <v>-5060</v>
      </c>
      <c r="N1235" s="71">
        <v>-4950</v>
      </c>
      <c r="O1235" s="71">
        <v>-4839</v>
      </c>
      <c r="Q1235" s="70">
        <v>-4839</v>
      </c>
      <c r="R1235" s="71"/>
      <c r="T1235" s="71"/>
      <c r="U1235" s="71"/>
    </row>
    <row r="1236" spans="1:21" x14ac:dyDescent="0.2">
      <c r="A1236" s="70" t="s">
        <v>3147</v>
      </c>
      <c r="B1236" s="70" t="s">
        <v>5049</v>
      </c>
      <c r="C1236" s="71">
        <v>-41493</v>
      </c>
      <c r="D1236" s="71">
        <v>-63564</v>
      </c>
      <c r="E1236" s="71">
        <v>-63732</v>
      </c>
      <c r="F1236" s="71">
        <v>-63899</v>
      </c>
      <c r="G1236" s="71">
        <v>-64067</v>
      </c>
      <c r="H1236" s="71">
        <v>-64235</v>
      </c>
      <c r="I1236" s="71">
        <v>-64403</v>
      </c>
      <c r="J1236" s="71">
        <v>-64571</v>
      </c>
      <c r="K1236" s="71">
        <v>-64739</v>
      </c>
      <c r="L1236" s="71">
        <v>-64907</v>
      </c>
      <c r="M1236" s="71">
        <v>-65075</v>
      </c>
      <c r="N1236" s="71">
        <v>-65243</v>
      </c>
      <c r="O1236" s="71">
        <v>-65411</v>
      </c>
      <c r="Q1236" s="70">
        <v>-65411</v>
      </c>
      <c r="R1236" s="71"/>
      <c r="T1236" s="71"/>
      <c r="U1236" s="71"/>
    </row>
    <row r="1237" spans="1:21" x14ac:dyDescent="0.2">
      <c r="B1237" s="70" t="s">
        <v>5275</v>
      </c>
      <c r="C1237" s="71">
        <v>181</v>
      </c>
      <c r="D1237" s="71">
        <v>0</v>
      </c>
      <c r="E1237" s="71">
        <v>0</v>
      </c>
      <c r="F1237" s="71">
        <v>0</v>
      </c>
      <c r="G1237" s="71">
        <v>0</v>
      </c>
      <c r="H1237" s="71">
        <v>0</v>
      </c>
      <c r="I1237" s="71">
        <v>0</v>
      </c>
      <c r="J1237" s="71">
        <v>0</v>
      </c>
      <c r="K1237" s="71">
        <v>0</v>
      </c>
      <c r="L1237" s="71">
        <v>0</v>
      </c>
      <c r="M1237" s="71">
        <v>0</v>
      </c>
      <c r="N1237" s="71">
        <v>0</v>
      </c>
      <c r="O1237" s="71">
        <v>0</v>
      </c>
      <c r="Q1237" s="70">
        <v>0</v>
      </c>
      <c r="R1237" s="71"/>
      <c r="T1237" s="71"/>
      <c r="U1237" s="71"/>
    </row>
    <row r="1238" spans="1:21" x14ac:dyDescent="0.2">
      <c r="B1238" s="70" t="s">
        <v>5276</v>
      </c>
      <c r="C1238" s="71">
        <v>1</v>
      </c>
      <c r="D1238" s="71">
        <v>1</v>
      </c>
      <c r="E1238" s="71">
        <v>1</v>
      </c>
      <c r="F1238" s="71">
        <v>1</v>
      </c>
      <c r="G1238" s="71">
        <v>1</v>
      </c>
      <c r="H1238" s="71">
        <v>1</v>
      </c>
      <c r="I1238" s="71">
        <v>1</v>
      </c>
      <c r="J1238" s="71">
        <v>1</v>
      </c>
      <c r="K1238" s="71">
        <v>1</v>
      </c>
      <c r="L1238" s="71">
        <v>1</v>
      </c>
      <c r="M1238" s="71">
        <v>1</v>
      </c>
      <c r="N1238" s="71">
        <v>1</v>
      </c>
      <c r="O1238" s="71">
        <v>1</v>
      </c>
      <c r="Q1238" s="70">
        <v>1</v>
      </c>
      <c r="R1238" s="71"/>
      <c r="T1238" s="71"/>
      <c r="U1238" s="71"/>
    </row>
    <row r="1239" spans="1:21" x14ac:dyDescent="0.2">
      <c r="B1239" s="70" t="s">
        <v>1379</v>
      </c>
      <c r="C1239" s="70">
        <v>-478</v>
      </c>
      <c r="D1239" s="70">
        <v>0</v>
      </c>
      <c r="E1239" s="70">
        <v>0</v>
      </c>
      <c r="F1239" s="70">
        <v>0</v>
      </c>
      <c r="G1239" s="70">
        <v>0</v>
      </c>
      <c r="H1239" s="70">
        <v>0</v>
      </c>
      <c r="I1239" s="70">
        <v>0</v>
      </c>
      <c r="J1239" s="70">
        <v>0</v>
      </c>
      <c r="K1239" s="70">
        <v>0</v>
      </c>
      <c r="L1239" s="70">
        <v>0</v>
      </c>
      <c r="M1239" s="70">
        <v>0</v>
      </c>
      <c r="N1239" s="70">
        <v>0</v>
      </c>
      <c r="O1239" s="70">
        <v>0</v>
      </c>
      <c r="Q1239" s="70">
        <v>0</v>
      </c>
    </row>
    <row r="1240" spans="1:21" x14ac:dyDescent="0.2">
      <c r="B1240" s="70" t="s">
        <v>5277</v>
      </c>
      <c r="C1240" s="71">
        <v>319</v>
      </c>
      <c r="D1240" s="71">
        <v>0</v>
      </c>
      <c r="E1240" s="71">
        <v>0</v>
      </c>
      <c r="F1240" s="71">
        <v>0</v>
      </c>
      <c r="G1240" s="71">
        <v>0</v>
      </c>
      <c r="H1240" s="71">
        <v>0</v>
      </c>
      <c r="I1240" s="71">
        <v>0</v>
      </c>
      <c r="J1240" s="71">
        <v>0</v>
      </c>
      <c r="K1240" s="71">
        <v>0</v>
      </c>
      <c r="L1240" s="71">
        <v>0</v>
      </c>
      <c r="M1240" s="71">
        <v>0</v>
      </c>
      <c r="N1240" s="71">
        <v>0</v>
      </c>
      <c r="O1240" s="71">
        <v>0</v>
      </c>
      <c r="Q1240" s="70">
        <v>0</v>
      </c>
      <c r="R1240" s="71"/>
      <c r="T1240" s="71"/>
      <c r="U1240" s="71"/>
    </row>
    <row r="1241" spans="1:21" x14ac:dyDescent="0.2">
      <c r="B1241" s="70" t="s">
        <v>5278</v>
      </c>
      <c r="C1241" s="100">
        <v>-40</v>
      </c>
      <c r="D1241" s="100">
        <v>-274</v>
      </c>
      <c r="E1241" s="100">
        <v>-274</v>
      </c>
      <c r="F1241" s="100">
        <v>-274</v>
      </c>
      <c r="G1241" s="100">
        <v>-274</v>
      </c>
      <c r="H1241" s="100">
        <v>-274</v>
      </c>
      <c r="I1241" s="100">
        <v>-274</v>
      </c>
      <c r="J1241" s="100">
        <v>-274</v>
      </c>
      <c r="K1241" s="100">
        <v>-274</v>
      </c>
      <c r="L1241" s="100">
        <v>-274</v>
      </c>
      <c r="M1241" s="100">
        <v>-274</v>
      </c>
      <c r="N1241" s="100">
        <v>-274</v>
      </c>
      <c r="O1241" s="100">
        <v>-274</v>
      </c>
      <c r="Q1241" s="70">
        <v>-274</v>
      </c>
      <c r="R1241" s="100"/>
      <c r="T1241" s="100"/>
      <c r="U1241" s="100"/>
    </row>
    <row r="1242" spans="1:21" ht="15.75" thickBot="1" x14ac:dyDescent="0.25">
      <c r="A1242" s="70" t="s">
        <v>5279</v>
      </c>
      <c r="C1242" s="103">
        <v>3238978</v>
      </c>
      <c r="D1242" s="103">
        <v>4839796</v>
      </c>
      <c r="E1242" s="103">
        <v>4886041</v>
      </c>
      <c r="F1242" s="103">
        <v>4914493</v>
      </c>
      <c r="G1242" s="103">
        <v>4977827</v>
      </c>
      <c r="H1242" s="103">
        <v>5045674</v>
      </c>
      <c r="I1242" s="103">
        <v>5086173</v>
      </c>
      <c r="J1242" s="103">
        <v>5131124</v>
      </c>
      <c r="K1242" s="103">
        <v>5148843</v>
      </c>
      <c r="L1242" s="103">
        <v>5165093</v>
      </c>
      <c r="M1242" s="103">
        <v>5133715</v>
      </c>
      <c r="N1242" s="103">
        <v>5107029</v>
      </c>
      <c r="O1242" s="103">
        <v>5114096</v>
      </c>
      <c r="Q1242" s="70">
        <v>5117977</v>
      </c>
      <c r="R1242" s="103"/>
      <c r="T1242" s="103"/>
      <c r="U1242" s="103"/>
    </row>
    <row r="1243" spans="1:21" ht="15.75" thickTop="1" x14ac:dyDescent="0.2">
      <c r="C1243" s="71"/>
      <c r="D1243" s="71"/>
      <c r="E1243" s="71"/>
      <c r="F1243" s="71"/>
      <c r="G1243" s="71"/>
      <c r="H1243" s="71"/>
      <c r="I1243" s="71"/>
      <c r="J1243" s="71"/>
      <c r="K1243" s="71"/>
      <c r="L1243" s="71"/>
      <c r="M1243" s="71"/>
      <c r="N1243" s="71"/>
      <c r="O1243" s="71"/>
      <c r="R1243" s="71"/>
      <c r="T1243" s="71"/>
      <c r="U1243" s="71"/>
    </row>
    <row r="1244" spans="1:21" x14ac:dyDescent="0.2">
      <c r="C1244" s="71"/>
      <c r="D1244" s="71"/>
      <c r="E1244" s="71"/>
      <c r="F1244" s="71"/>
      <c r="G1244" s="71"/>
      <c r="H1244" s="71"/>
      <c r="I1244" s="71"/>
      <c r="J1244" s="71"/>
      <c r="K1244" s="71"/>
      <c r="L1244" s="71"/>
      <c r="M1244" s="71"/>
      <c r="N1244" s="71"/>
      <c r="O1244" s="71"/>
      <c r="R1244" s="71"/>
      <c r="T1244" s="71"/>
      <c r="U1244" s="71"/>
    </row>
    <row r="1245" spans="1:21" x14ac:dyDescent="0.2">
      <c r="A1245" s="70" t="s">
        <v>5280</v>
      </c>
    </row>
    <row r="1250" spans="1:21" x14ac:dyDescent="0.2">
      <c r="C1250" s="70" t="s">
        <v>424</v>
      </c>
      <c r="D1250" s="70" t="s">
        <v>424</v>
      </c>
      <c r="E1250" s="70" t="s">
        <v>424</v>
      </c>
      <c r="F1250" s="70" t="s">
        <v>424</v>
      </c>
      <c r="G1250" s="70" t="s">
        <v>424</v>
      </c>
      <c r="H1250" s="70" t="s">
        <v>424</v>
      </c>
      <c r="I1250" s="70" t="s">
        <v>424</v>
      </c>
      <c r="J1250" s="70" t="s">
        <v>424</v>
      </c>
      <c r="K1250" s="70" t="s">
        <v>424</v>
      </c>
      <c r="L1250" s="70" t="s">
        <v>424</v>
      </c>
      <c r="M1250" s="70" t="s">
        <v>424</v>
      </c>
      <c r="N1250" s="70" t="s">
        <v>424</v>
      </c>
      <c r="O1250" s="70" t="s">
        <v>424</v>
      </c>
      <c r="Q1250" s="70" t="s">
        <v>424</v>
      </c>
    </row>
    <row r="1251" spans="1:21" x14ac:dyDescent="0.2">
      <c r="C1251" s="75" t="s">
        <v>1357</v>
      </c>
      <c r="D1251" s="75" t="s">
        <v>2914</v>
      </c>
      <c r="E1251" s="75" t="s">
        <v>2915</v>
      </c>
      <c r="F1251" s="75" t="s">
        <v>2916</v>
      </c>
      <c r="G1251" s="75" t="s">
        <v>2917</v>
      </c>
      <c r="H1251" s="75" t="s">
        <v>2918</v>
      </c>
      <c r="I1251" s="75" t="s">
        <v>2919</v>
      </c>
      <c r="J1251" s="75" t="s">
        <v>2920</v>
      </c>
      <c r="K1251" s="75" t="s">
        <v>2921</v>
      </c>
      <c r="L1251" s="75" t="s">
        <v>2922</v>
      </c>
      <c r="M1251" s="75" t="s">
        <v>2923</v>
      </c>
      <c r="N1251" s="75" t="s">
        <v>2924</v>
      </c>
      <c r="O1251" s="75" t="s">
        <v>2925</v>
      </c>
      <c r="Q1251" s="70" t="s">
        <v>2925</v>
      </c>
      <c r="R1251" s="75"/>
      <c r="T1251" s="75"/>
      <c r="U1251" s="75"/>
    </row>
    <row r="1252" spans="1:21" x14ac:dyDescent="0.2">
      <c r="B1252" s="70" t="s">
        <v>5281</v>
      </c>
      <c r="C1252" s="70">
        <v>101145</v>
      </c>
      <c r="D1252" s="70">
        <v>0</v>
      </c>
      <c r="E1252" s="70">
        <v>0</v>
      </c>
      <c r="F1252" s="70">
        <v>0</v>
      </c>
      <c r="G1252" s="70">
        <v>0</v>
      </c>
      <c r="H1252" s="70">
        <v>0</v>
      </c>
      <c r="I1252" s="70">
        <v>0</v>
      </c>
      <c r="J1252" s="70">
        <v>0</v>
      </c>
      <c r="K1252" s="70">
        <v>0</v>
      </c>
      <c r="L1252" s="70">
        <v>0</v>
      </c>
      <c r="M1252" s="70">
        <v>0</v>
      </c>
      <c r="N1252" s="70">
        <v>0</v>
      </c>
      <c r="O1252" s="70">
        <v>0</v>
      </c>
      <c r="Q1252" s="70">
        <v>0</v>
      </c>
    </row>
    <row r="1254" spans="1:21" x14ac:dyDescent="0.2">
      <c r="B1254" s="70" t="s">
        <v>5282</v>
      </c>
      <c r="C1254" s="70">
        <v>165276</v>
      </c>
      <c r="D1254" s="70">
        <v>5943</v>
      </c>
      <c r="E1254" s="70">
        <v>38281</v>
      </c>
      <c r="F1254" s="70">
        <v>22452</v>
      </c>
      <c r="G1254" s="70">
        <v>39758</v>
      </c>
      <c r="H1254" s="70">
        <v>103756</v>
      </c>
      <c r="I1254" s="70">
        <v>111877</v>
      </c>
      <c r="J1254" s="70">
        <v>90355</v>
      </c>
      <c r="K1254" s="70">
        <v>91699</v>
      </c>
      <c r="L1254" s="70">
        <v>104539</v>
      </c>
      <c r="M1254" s="70">
        <v>46449</v>
      </c>
      <c r="N1254" s="70">
        <v>0</v>
      </c>
      <c r="O1254" s="70">
        <v>19800</v>
      </c>
      <c r="Q1254" s="70">
        <v>16809</v>
      </c>
    </row>
    <row r="1255" spans="1:21" x14ac:dyDescent="0.2">
      <c r="Q1255" s="71"/>
    </row>
    <row r="1256" spans="1:21" x14ac:dyDescent="0.2">
      <c r="A1256" s="70" t="s">
        <v>5283</v>
      </c>
      <c r="C1256" s="71"/>
      <c r="D1256" s="71"/>
      <c r="E1256" s="71"/>
      <c r="F1256" s="71"/>
      <c r="G1256" s="71"/>
      <c r="H1256" s="71"/>
      <c r="I1256" s="71"/>
      <c r="J1256" s="71"/>
      <c r="K1256" s="71"/>
      <c r="L1256" s="71"/>
      <c r="M1256" s="71"/>
      <c r="N1256" s="71"/>
      <c r="O1256" s="71"/>
      <c r="Q1256" s="71"/>
      <c r="R1256" s="71"/>
      <c r="T1256" s="71"/>
      <c r="U1256" s="71"/>
    </row>
    <row r="1257" spans="1:21" x14ac:dyDescent="0.2">
      <c r="A1257" s="71"/>
      <c r="B1257" s="71" t="s">
        <v>3727</v>
      </c>
      <c r="C1257" s="71">
        <v>80622</v>
      </c>
      <c r="D1257" s="71">
        <v>182044</v>
      </c>
      <c r="E1257" s="71">
        <v>172023</v>
      </c>
      <c r="F1257" s="71">
        <v>169000</v>
      </c>
      <c r="G1257" s="71">
        <v>171182</v>
      </c>
      <c r="H1257" s="71">
        <v>183373</v>
      </c>
      <c r="I1257" s="71">
        <v>166724</v>
      </c>
      <c r="J1257" s="71">
        <v>171221</v>
      </c>
      <c r="K1257" s="71">
        <v>174378</v>
      </c>
      <c r="L1257" s="71">
        <v>155844</v>
      </c>
      <c r="M1257" s="71">
        <v>142982</v>
      </c>
      <c r="N1257" s="71">
        <v>136224</v>
      </c>
      <c r="O1257" s="71">
        <v>145121</v>
      </c>
      <c r="Q1257" s="70">
        <v>150081</v>
      </c>
      <c r="R1257" s="71"/>
      <c r="T1257" s="71"/>
      <c r="U1257" s="71"/>
    </row>
    <row r="1258" spans="1:21" x14ac:dyDescent="0.2">
      <c r="A1258" s="71"/>
      <c r="B1258" s="71" t="s">
        <v>3728</v>
      </c>
      <c r="C1258" s="71">
        <v>22878</v>
      </c>
      <c r="D1258" s="71">
        <v>8000</v>
      </c>
      <c r="E1258" s="71">
        <v>8500</v>
      </c>
      <c r="F1258" s="71">
        <v>10000</v>
      </c>
      <c r="G1258" s="71">
        <v>8500</v>
      </c>
      <c r="H1258" s="71">
        <v>8500</v>
      </c>
      <c r="I1258" s="71">
        <v>10000</v>
      </c>
      <c r="J1258" s="71">
        <v>8500</v>
      </c>
      <c r="K1258" s="71">
        <v>8500</v>
      </c>
      <c r="L1258" s="71">
        <v>10000</v>
      </c>
      <c r="M1258" s="71">
        <v>10000</v>
      </c>
      <c r="N1258" s="71">
        <v>10000</v>
      </c>
      <c r="O1258" s="71">
        <v>18000</v>
      </c>
      <c r="Q1258" s="70">
        <v>18000</v>
      </c>
      <c r="R1258" s="71"/>
      <c r="T1258" s="71"/>
      <c r="U1258" s="71"/>
    </row>
    <row r="1259" spans="1:21" x14ac:dyDescent="0.2">
      <c r="B1259" s="71" t="s">
        <v>3729</v>
      </c>
      <c r="C1259" s="71">
        <v>11227</v>
      </c>
      <c r="D1259" s="71">
        <v>14392</v>
      </c>
      <c r="E1259" s="71">
        <v>14465</v>
      </c>
      <c r="F1259" s="71">
        <v>14537</v>
      </c>
      <c r="G1259" s="71">
        <v>14610</v>
      </c>
      <c r="H1259" s="71">
        <v>14683</v>
      </c>
      <c r="I1259" s="71">
        <v>14755</v>
      </c>
      <c r="J1259" s="71">
        <v>14828</v>
      </c>
      <c r="K1259" s="71">
        <v>14901</v>
      </c>
      <c r="L1259" s="71">
        <v>14974</v>
      </c>
      <c r="M1259" s="71">
        <v>15046</v>
      </c>
      <c r="N1259" s="71">
        <v>15119</v>
      </c>
      <c r="O1259" s="71">
        <v>15192</v>
      </c>
      <c r="Q1259" s="70">
        <v>15192</v>
      </c>
      <c r="R1259" s="71"/>
      <c r="T1259" s="71"/>
      <c r="U1259" s="71"/>
    </row>
    <row r="1260" spans="1:21" x14ac:dyDescent="0.2">
      <c r="B1260" s="71" t="s">
        <v>3730</v>
      </c>
      <c r="C1260" s="71">
        <v>3553</v>
      </c>
      <c r="D1260" s="71">
        <v>15855</v>
      </c>
      <c r="E1260" s="71">
        <v>14343</v>
      </c>
      <c r="F1260" s="71">
        <v>14419</v>
      </c>
      <c r="G1260" s="71">
        <v>14672</v>
      </c>
      <c r="H1260" s="71">
        <v>15143</v>
      </c>
      <c r="I1260" s="71">
        <v>15255</v>
      </c>
      <c r="J1260" s="71">
        <v>15828</v>
      </c>
      <c r="K1260" s="71">
        <v>16138</v>
      </c>
      <c r="L1260" s="71">
        <v>16414</v>
      </c>
      <c r="M1260" s="71">
        <v>15583</v>
      </c>
      <c r="N1260" s="71">
        <v>14752</v>
      </c>
      <c r="O1260" s="71">
        <v>14750</v>
      </c>
      <c r="Q1260" s="70">
        <v>14750</v>
      </c>
      <c r="R1260" s="71"/>
      <c r="T1260" s="71"/>
      <c r="U1260" s="71"/>
    </row>
    <row r="1261" spans="1:21" x14ac:dyDescent="0.2">
      <c r="B1261" s="71" t="s">
        <v>5284</v>
      </c>
      <c r="C1261" s="71">
        <v>0</v>
      </c>
      <c r="D1261" s="71">
        <v>0</v>
      </c>
      <c r="E1261" s="71">
        <v>0</v>
      </c>
      <c r="F1261" s="71">
        <v>0</v>
      </c>
      <c r="G1261" s="71">
        <v>0</v>
      </c>
      <c r="H1261" s="71">
        <v>0</v>
      </c>
      <c r="I1261" s="71">
        <v>0</v>
      </c>
      <c r="J1261" s="71">
        <v>0</v>
      </c>
      <c r="K1261" s="71">
        <v>0</v>
      </c>
      <c r="L1261" s="71">
        <v>0</v>
      </c>
      <c r="M1261" s="71">
        <v>0</v>
      </c>
      <c r="N1261" s="71">
        <v>0</v>
      </c>
      <c r="O1261" s="71">
        <v>0</v>
      </c>
      <c r="Q1261" s="70">
        <v>0</v>
      </c>
      <c r="R1261" s="71"/>
      <c r="T1261" s="71"/>
      <c r="U1261" s="71"/>
    </row>
    <row r="1262" spans="1:21" x14ac:dyDescent="0.2">
      <c r="A1262" s="70" t="s">
        <v>5285</v>
      </c>
      <c r="B1262" s="71" t="s">
        <v>29</v>
      </c>
      <c r="C1262" s="100">
        <v>-20073</v>
      </c>
      <c r="D1262" s="100">
        <v>-6988</v>
      </c>
      <c r="E1262" s="100">
        <v>-7169</v>
      </c>
      <c r="F1262" s="100">
        <v>-6940</v>
      </c>
      <c r="G1262" s="100">
        <v>-18215</v>
      </c>
      <c r="H1262" s="100">
        <v>-7510</v>
      </c>
      <c r="I1262" s="100">
        <v>-10392</v>
      </c>
      <c r="J1262" s="100">
        <v>-7900</v>
      </c>
      <c r="K1262" s="100">
        <v>-7108</v>
      </c>
      <c r="L1262" s="100">
        <v>-6517</v>
      </c>
      <c r="M1262" s="100">
        <v>-6760</v>
      </c>
      <c r="N1262" s="100">
        <v>-6375</v>
      </c>
      <c r="O1262" s="100">
        <v>-6713</v>
      </c>
      <c r="Q1262" s="70">
        <v>-11663</v>
      </c>
      <c r="R1262" s="100"/>
      <c r="T1262" s="100"/>
      <c r="U1262" s="100"/>
    </row>
    <row r="1263" spans="1:21" ht="15.75" thickBot="1" x14ac:dyDescent="0.25">
      <c r="B1263" s="70" t="s">
        <v>5283</v>
      </c>
      <c r="C1263" s="103">
        <v>98207</v>
      </c>
      <c r="D1263" s="103">
        <v>213303</v>
      </c>
      <c r="E1263" s="103">
        <v>202162</v>
      </c>
      <c r="F1263" s="103">
        <v>201016</v>
      </c>
      <c r="G1263" s="103">
        <v>190749</v>
      </c>
      <c r="H1263" s="103">
        <v>214189</v>
      </c>
      <c r="I1263" s="103">
        <v>196342</v>
      </c>
      <c r="J1263" s="103">
        <v>202477</v>
      </c>
      <c r="K1263" s="103">
        <v>206809</v>
      </c>
      <c r="L1263" s="103">
        <v>190715</v>
      </c>
      <c r="M1263" s="103">
        <v>176851</v>
      </c>
      <c r="N1263" s="103">
        <v>169720</v>
      </c>
      <c r="O1263" s="103">
        <v>186350</v>
      </c>
      <c r="Q1263" s="70">
        <v>186360</v>
      </c>
      <c r="R1263" s="103"/>
      <c r="T1263" s="103"/>
      <c r="U1263" s="103"/>
    </row>
    <row r="1264" spans="1:21" ht="15.75" thickTop="1" x14ac:dyDescent="0.2"/>
    <row r="1265" spans="1:21" x14ac:dyDescent="0.2">
      <c r="A1265" s="70" t="s">
        <v>3220</v>
      </c>
      <c r="B1265" s="70" t="s">
        <v>29</v>
      </c>
      <c r="C1265" s="70">
        <v>20073</v>
      </c>
      <c r="D1265" s="70">
        <v>6988</v>
      </c>
      <c r="E1265" s="70">
        <v>7169</v>
      </c>
      <c r="F1265" s="70">
        <v>6940</v>
      </c>
      <c r="G1265" s="70">
        <v>18215</v>
      </c>
      <c r="H1265" s="70">
        <v>7510</v>
      </c>
      <c r="I1265" s="70">
        <v>10392</v>
      </c>
      <c r="J1265" s="70">
        <v>7900</v>
      </c>
      <c r="K1265" s="70">
        <v>7108</v>
      </c>
      <c r="L1265" s="70">
        <v>6517</v>
      </c>
      <c r="M1265" s="70">
        <v>6760</v>
      </c>
      <c r="N1265" s="70">
        <v>6375</v>
      </c>
      <c r="O1265" s="70">
        <v>6713</v>
      </c>
      <c r="Q1265" s="70">
        <v>11663</v>
      </c>
    </row>
    <row r="1266" spans="1:21" ht="15.75" x14ac:dyDescent="0.25">
      <c r="B1266" s="73" t="s">
        <v>5286</v>
      </c>
      <c r="C1266" s="70">
        <v>-1</v>
      </c>
      <c r="D1266" s="70">
        <v>0</v>
      </c>
      <c r="E1266" s="70">
        <v>0</v>
      </c>
      <c r="F1266" s="70">
        <v>0</v>
      </c>
      <c r="G1266" s="70">
        <v>0</v>
      </c>
      <c r="H1266" s="70">
        <v>0</v>
      </c>
      <c r="I1266" s="70">
        <v>0</v>
      </c>
      <c r="J1266" s="70">
        <v>0</v>
      </c>
      <c r="K1266" s="70">
        <v>0</v>
      </c>
      <c r="L1266" s="70">
        <v>0</v>
      </c>
      <c r="M1266" s="70">
        <v>0</v>
      </c>
      <c r="N1266" s="70">
        <v>0</v>
      </c>
      <c r="O1266" s="70">
        <v>0</v>
      </c>
      <c r="Q1266" s="70">
        <v>0</v>
      </c>
    </row>
    <row r="1267" spans="1:21" ht="15.75" x14ac:dyDescent="0.25">
      <c r="B1267" s="73" t="s">
        <v>5287</v>
      </c>
      <c r="C1267" s="75">
        <v>-9</v>
      </c>
      <c r="D1267" s="75">
        <v>-9</v>
      </c>
      <c r="E1267" s="75">
        <v>-9</v>
      </c>
      <c r="F1267" s="75">
        <v>-9</v>
      </c>
      <c r="G1267" s="75">
        <v>-9</v>
      </c>
      <c r="H1267" s="75">
        <v>-9</v>
      </c>
      <c r="I1267" s="75">
        <v>-9</v>
      </c>
      <c r="J1267" s="75">
        <v>-9</v>
      </c>
      <c r="K1267" s="75">
        <v>-9</v>
      </c>
      <c r="L1267" s="75">
        <v>-9</v>
      </c>
      <c r="M1267" s="75">
        <v>-9</v>
      </c>
      <c r="N1267" s="75">
        <v>-9</v>
      </c>
      <c r="O1267" s="75">
        <v>-9</v>
      </c>
      <c r="Q1267" s="70">
        <v>-9</v>
      </c>
      <c r="R1267" s="75"/>
      <c r="T1267" s="75"/>
      <c r="U1267" s="75"/>
    </row>
    <row r="1268" spans="1:21" ht="15.75" thickBot="1" x14ac:dyDescent="0.25">
      <c r="B1268" s="70" t="s">
        <v>5288</v>
      </c>
      <c r="C1268" s="101">
        <v>20063</v>
      </c>
      <c r="D1268" s="101">
        <v>6979</v>
      </c>
      <c r="E1268" s="101">
        <v>7160</v>
      </c>
      <c r="F1268" s="101">
        <v>6931</v>
      </c>
      <c r="G1268" s="101">
        <v>18206</v>
      </c>
      <c r="H1268" s="101">
        <v>7501</v>
      </c>
      <c r="I1268" s="101">
        <v>10383</v>
      </c>
      <c r="J1268" s="101">
        <v>7891</v>
      </c>
      <c r="K1268" s="101">
        <v>7099</v>
      </c>
      <c r="L1268" s="101">
        <v>6508</v>
      </c>
      <c r="M1268" s="101">
        <v>6751</v>
      </c>
      <c r="N1268" s="101">
        <v>6366</v>
      </c>
      <c r="O1268" s="101">
        <v>6704</v>
      </c>
      <c r="Q1268" s="70">
        <v>11654</v>
      </c>
      <c r="R1268" s="101"/>
      <c r="T1268" s="101"/>
      <c r="U1268" s="101"/>
    </row>
    <row r="1269" spans="1:21" ht="15.75" thickTop="1" x14ac:dyDescent="0.2"/>
    <row r="1270" spans="1:21" x14ac:dyDescent="0.2">
      <c r="B1270" s="70" t="s">
        <v>5289</v>
      </c>
      <c r="C1270" s="70">
        <v>0</v>
      </c>
      <c r="D1270" s="70">
        <v>0</v>
      </c>
      <c r="E1270" s="70">
        <v>0</v>
      </c>
      <c r="F1270" s="70">
        <v>0</v>
      </c>
      <c r="G1270" s="70">
        <v>20364</v>
      </c>
      <c r="H1270" s="70">
        <v>0</v>
      </c>
      <c r="I1270" s="70">
        <v>0</v>
      </c>
      <c r="J1270" s="70">
        <v>23220</v>
      </c>
      <c r="K1270" s="70">
        <v>0</v>
      </c>
      <c r="L1270" s="70">
        <v>0</v>
      </c>
      <c r="M1270" s="70">
        <v>55892</v>
      </c>
      <c r="N1270" s="70">
        <v>0</v>
      </c>
      <c r="O1270" s="70">
        <v>0</v>
      </c>
      <c r="Q1270" s="70">
        <v>0</v>
      </c>
    </row>
    <row r="1272" spans="1:21" x14ac:dyDescent="0.2">
      <c r="B1272" s="70" t="s">
        <v>5290</v>
      </c>
      <c r="C1272" s="70">
        <v>57454</v>
      </c>
      <c r="D1272" s="70">
        <v>116375</v>
      </c>
      <c r="E1272" s="70">
        <v>117434</v>
      </c>
      <c r="F1272" s="70">
        <v>118503</v>
      </c>
      <c r="G1272" s="70">
        <v>119582</v>
      </c>
      <c r="H1272" s="70">
        <v>120670</v>
      </c>
      <c r="I1272" s="70">
        <v>121768</v>
      </c>
      <c r="J1272" s="70">
        <v>122876</v>
      </c>
      <c r="K1272" s="70">
        <v>123994</v>
      </c>
      <c r="L1272" s="70">
        <v>125123</v>
      </c>
      <c r="M1272" s="70">
        <v>126262</v>
      </c>
      <c r="N1272" s="70">
        <v>127411</v>
      </c>
      <c r="O1272" s="70">
        <v>128571</v>
      </c>
      <c r="Q1272" s="70">
        <v>128571</v>
      </c>
    </row>
    <row r="1274" spans="1:21" x14ac:dyDescent="0.2">
      <c r="B1274" s="70" t="s">
        <v>5291</v>
      </c>
      <c r="C1274" s="70">
        <v>8242</v>
      </c>
      <c r="D1274" s="70">
        <v>30304</v>
      </c>
      <c r="E1274" s="70">
        <v>28378</v>
      </c>
      <c r="F1274" s="70">
        <v>31963</v>
      </c>
      <c r="G1274" s="70">
        <v>28820</v>
      </c>
      <c r="H1274" s="70">
        <v>20333</v>
      </c>
      <c r="I1274" s="70">
        <v>21710</v>
      </c>
      <c r="J1274" s="70">
        <v>30303</v>
      </c>
      <c r="K1274" s="70">
        <v>28377</v>
      </c>
      <c r="L1274" s="70">
        <v>31961</v>
      </c>
      <c r="M1274" s="70">
        <v>28821</v>
      </c>
      <c r="N1274" s="70">
        <v>21050</v>
      </c>
      <c r="O1274" s="70">
        <v>23148</v>
      </c>
      <c r="Q1274" s="70">
        <v>22652</v>
      </c>
    </row>
    <row r="1275" spans="1:21" x14ac:dyDescent="0.2">
      <c r="B1275" s="70" t="s">
        <v>5292</v>
      </c>
      <c r="C1275" s="75">
        <v>3430</v>
      </c>
      <c r="D1275" s="75">
        <v>2120</v>
      </c>
      <c r="E1275" s="75">
        <v>2606</v>
      </c>
      <c r="F1275" s="75">
        <v>3167</v>
      </c>
      <c r="G1275" s="75">
        <v>3705</v>
      </c>
      <c r="H1275" s="75">
        <v>4397</v>
      </c>
      <c r="I1275" s="75">
        <v>5077</v>
      </c>
      <c r="J1275" s="75">
        <v>5512</v>
      </c>
      <c r="K1275" s="75">
        <v>5938</v>
      </c>
      <c r="L1275" s="75">
        <v>6433</v>
      </c>
      <c r="M1275" s="75">
        <v>6820</v>
      </c>
      <c r="N1275" s="75">
        <v>7101</v>
      </c>
      <c r="O1275" s="75">
        <v>1732</v>
      </c>
      <c r="Q1275" s="70">
        <v>1727</v>
      </c>
      <c r="R1275" s="75"/>
      <c r="T1275" s="75"/>
      <c r="U1275" s="75"/>
    </row>
    <row r="1276" spans="1:21" ht="15.75" thickBot="1" x14ac:dyDescent="0.25">
      <c r="B1276" s="70" t="s">
        <v>5293</v>
      </c>
      <c r="C1276" s="101">
        <v>11672</v>
      </c>
      <c r="D1276" s="101">
        <v>32424</v>
      </c>
      <c r="E1276" s="101">
        <v>30984</v>
      </c>
      <c r="F1276" s="101">
        <v>35130</v>
      </c>
      <c r="G1276" s="101">
        <v>32525</v>
      </c>
      <c r="H1276" s="101">
        <v>24730</v>
      </c>
      <c r="I1276" s="101">
        <v>26787</v>
      </c>
      <c r="J1276" s="101">
        <v>35815</v>
      </c>
      <c r="K1276" s="101">
        <v>34315</v>
      </c>
      <c r="L1276" s="101">
        <v>38394</v>
      </c>
      <c r="M1276" s="101">
        <v>35641</v>
      </c>
      <c r="N1276" s="101">
        <v>28151</v>
      </c>
      <c r="O1276" s="101">
        <v>24880</v>
      </c>
      <c r="Q1276" s="70">
        <v>24379</v>
      </c>
      <c r="R1276" s="101"/>
      <c r="T1276" s="101"/>
      <c r="U1276" s="101"/>
    </row>
    <row r="1277" spans="1:21" ht="15.75" thickTop="1" x14ac:dyDescent="0.2"/>
    <row r="1278" spans="1:21" x14ac:dyDescent="0.2">
      <c r="B1278" s="70" t="s">
        <v>5294</v>
      </c>
      <c r="C1278" s="70">
        <v>70168</v>
      </c>
      <c r="D1278" s="70">
        <v>18546</v>
      </c>
      <c r="E1278" s="70">
        <v>25051</v>
      </c>
      <c r="F1278" s="70">
        <v>26193</v>
      </c>
      <c r="G1278" s="70">
        <v>29137</v>
      </c>
      <c r="H1278" s="70">
        <v>33295</v>
      </c>
      <c r="I1278" s="70">
        <v>43524</v>
      </c>
      <c r="J1278" s="70">
        <v>55549</v>
      </c>
      <c r="K1278" s="70">
        <v>70372</v>
      </c>
      <c r="L1278" s="70">
        <v>67756</v>
      </c>
      <c r="M1278" s="70">
        <v>79267</v>
      </c>
      <c r="N1278" s="70">
        <v>45454</v>
      </c>
      <c r="O1278" s="70">
        <v>14836</v>
      </c>
      <c r="Q1278" s="70">
        <v>22457</v>
      </c>
    </row>
    <row r="1279" spans="1:21" ht="15.75" x14ac:dyDescent="0.25">
      <c r="B1279" s="73" t="s">
        <v>5295</v>
      </c>
      <c r="C1279" s="75">
        <v>5</v>
      </c>
      <c r="D1279" s="75">
        <v>0</v>
      </c>
      <c r="E1279" s="75">
        <v>0</v>
      </c>
      <c r="F1279" s="75">
        <v>0</v>
      </c>
      <c r="G1279" s="75">
        <v>0</v>
      </c>
      <c r="H1279" s="75">
        <v>0</v>
      </c>
      <c r="I1279" s="75">
        <v>0</v>
      </c>
      <c r="J1279" s="75">
        <v>0</v>
      </c>
      <c r="K1279" s="75">
        <v>0</v>
      </c>
      <c r="L1279" s="75">
        <v>0</v>
      </c>
      <c r="M1279" s="75">
        <v>0</v>
      </c>
      <c r="N1279" s="75">
        <v>0</v>
      </c>
      <c r="O1279" s="75">
        <v>0</v>
      </c>
      <c r="Q1279" s="70">
        <v>0</v>
      </c>
      <c r="R1279" s="75"/>
      <c r="T1279" s="75"/>
      <c r="U1279" s="75"/>
    </row>
    <row r="1280" spans="1:21" ht="15.75" thickBot="1" x14ac:dyDescent="0.25">
      <c r="B1280" s="70" t="s">
        <v>5296</v>
      </c>
      <c r="C1280" s="101">
        <v>70173</v>
      </c>
      <c r="D1280" s="101">
        <v>18546</v>
      </c>
      <c r="E1280" s="101">
        <v>25051</v>
      </c>
      <c r="F1280" s="101">
        <v>26193</v>
      </c>
      <c r="G1280" s="101">
        <v>29137</v>
      </c>
      <c r="H1280" s="101">
        <v>33295</v>
      </c>
      <c r="I1280" s="101">
        <v>43524</v>
      </c>
      <c r="J1280" s="101">
        <v>55549</v>
      </c>
      <c r="K1280" s="101">
        <v>70372</v>
      </c>
      <c r="L1280" s="101">
        <v>67756</v>
      </c>
      <c r="M1280" s="101">
        <v>79267</v>
      </c>
      <c r="N1280" s="101">
        <v>45454</v>
      </c>
      <c r="O1280" s="101">
        <v>14836</v>
      </c>
      <c r="Q1280" s="70">
        <v>22457</v>
      </c>
      <c r="R1280" s="101"/>
      <c r="T1280" s="101"/>
      <c r="U1280" s="101"/>
    </row>
    <row r="1281" spans="1:21" ht="15.75" thickTop="1" x14ac:dyDescent="0.2"/>
    <row r="1282" spans="1:21" x14ac:dyDescent="0.2">
      <c r="B1282" s="70" t="s">
        <v>5297</v>
      </c>
      <c r="C1282" s="70">
        <v>523990</v>
      </c>
      <c r="D1282" s="70">
        <v>393570</v>
      </c>
      <c r="E1282" s="70">
        <v>421072</v>
      </c>
      <c r="F1282" s="70">
        <v>410225</v>
      </c>
      <c r="G1282" s="70">
        <v>450321</v>
      </c>
      <c r="H1282" s="70">
        <v>504141</v>
      </c>
      <c r="I1282" s="70">
        <v>510681</v>
      </c>
      <c r="J1282" s="70">
        <v>538183</v>
      </c>
      <c r="K1282" s="70">
        <v>534288</v>
      </c>
      <c r="L1282" s="70">
        <v>533035</v>
      </c>
      <c r="M1282" s="70">
        <v>527113</v>
      </c>
      <c r="N1282" s="70">
        <v>377102</v>
      </c>
      <c r="O1282" s="70">
        <v>381141</v>
      </c>
      <c r="Q1282" s="70">
        <v>390230</v>
      </c>
    </row>
    <row r="1284" spans="1:21" x14ac:dyDescent="0.2">
      <c r="A1284" s="70" t="s">
        <v>5298</v>
      </c>
      <c r="C1284" s="71">
        <v>407149</v>
      </c>
      <c r="D1284" s="71">
        <v>608116</v>
      </c>
      <c r="E1284" s="71">
        <v>607203</v>
      </c>
      <c r="F1284" s="71">
        <v>606294</v>
      </c>
      <c r="G1284" s="71">
        <v>604746</v>
      </c>
      <c r="H1284" s="71">
        <v>608715</v>
      </c>
      <c r="I1284" s="71">
        <v>606600</v>
      </c>
      <c r="J1284" s="71">
        <v>606747</v>
      </c>
      <c r="K1284" s="71">
        <v>607454</v>
      </c>
      <c r="L1284" s="71">
        <v>601111</v>
      </c>
      <c r="M1284" s="71">
        <v>595782</v>
      </c>
      <c r="N1284" s="71">
        <v>589244</v>
      </c>
      <c r="O1284" s="71">
        <v>587337</v>
      </c>
      <c r="Q1284" s="70">
        <v>586545</v>
      </c>
      <c r="R1284" s="71"/>
      <c r="T1284" s="71"/>
      <c r="U1284" s="71"/>
    </row>
    <row r="1285" spans="1:21" x14ac:dyDescent="0.2">
      <c r="A1285" s="70" t="s">
        <v>1576</v>
      </c>
      <c r="B1285" s="70" t="s">
        <v>5080</v>
      </c>
      <c r="C1285" s="100">
        <v>-18490</v>
      </c>
      <c r="D1285" s="100">
        <v>-6054</v>
      </c>
      <c r="E1285" s="100">
        <v>-5944</v>
      </c>
      <c r="F1285" s="100">
        <v>-5834</v>
      </c>
      <c r="G1285" s="100">
        <v>-5723</v>
      </c>
      <c r="H1285" s="100">
        <v>-5613</v>
      </c>
      <c r="I1285" s="100">
        <v>-5502</v>
      </c>
      <c r="J1285" s="100">
        <v>-5392</v>
      </c>
      <c r="K1285" s="100">
        <v>-5281</v>
      </c>
      <c r="L1285" s="100">
        <v>-5171</v>
      </c>
      <c r="M1285" s="100">
        <v>-5060</v>
      </c>
      <c r="N1285" s="100">
        <v>-4950</v>
      </c>
      <c r="O1285" s="100">
        <v>-4839</v>
      </c>
      <c r="Q1285" s="70">
        <v>-4839</v>
      </c>
      <c r="R1285" s="100"/>
      <c r="T1285" s="100"/>
      <c r="U1285" s="100"/>
    </row>
    <row r="1286" spans="1:21" ht="15.75" thickBot="1" x14ac:dyDescent="0.25">
      <c r="A1286" s="70" t="s">
        <v>5299</v>
      </c>
      <c r="C1286" s="103">
        <v>425639</v>
      </c>
      <c r="D1286" s="103">
        <v>614170</v>
      </c>
      <c r="E1286" s="103">
        <v>613147</v>
      </c>
      <c r="F1286" s="103">
        <v>612128</v>
      </c>
      <c r="G1286" s="103">
        <v>610469</v>
      </c>
      <c r="H1286" s="103">
        <v>614328</v>
      </c>
      <c r="I1286" s="103">
        <v>612102</v>
      </c>
      <c r="J1286" s="103">
        <v>612139</v>
      </c>
      <c r="K1286" s="103">
        <v>612735</v>
      </c>
      <c r="L1286" s="103">
        <v>606282</v>
      </c>
      <c r="M1286" s="103">
        <v>600842</v>
      </c>
      <c r="N1286" s="103">
        <v>594194</v>
      </c>
      <c r="O1286" s="103">
        <v>592176</v>
      </c>
      <c r="Q1286" s="70">
        <v>591384</v>
      </c>
      <c r="R1286" s="103"/>
      <c r="T1286" s="103"/>
      <c r="U1286" s="103"/>
    </row>
    <row r="1287" spans="1:21" ht="15.75" thickTop="1" x14ac:dyDescent="0.2"/>
    <row r="1288" spans="1:21" x14ac:dyDescent="0.2">
      <c r="B1288" s="70" t="s">
        <v>5300</v>
      </c>
      <c r="C1288" s="70">
        <v>31327</v>
      </c>
      <c r="D1288" s="70">
        <v>10949</v>
      </c>
      <c r="E1288" s="70">
        <v>10918</v>
      </c>
      <c r="F1288" s="70">
        <v>10888</v>
      </c>
      <c r="G1288" s="70">
        <v>10857</v>
      </c>
      <c r="H1288" s="70">
        <v>10827</v>
      </c>
      <c r="I1288" s="70">
        <v>10796</v>
      </c>
      <c r="J1288" s="70">
        <v>10765</v>
      </c>
      <c r="K1288" s="70">
        <v>10734</v>
      </c>
      <c r="L1288" s="70">
        <v>10703</v>
      </c>
      <c r="M1288" s="70">
        <v>10673</v>
      </c>
      <c r="N1288" s="70">
        <v>10642</v>
      </c>
      <c r="O1288" s="70">
        <v>10611</v>
      </c>
      <c r="Q1288" s="70">
        <v>7337</v>
      </c>
    </row>
    <row r="1289" spans="1:21" x14ac:dyDescent="0.2">
      <c r="Q1289" s="71"/>
    </row>
    <row r="1290" spans="1:21" x14ac:dyDescent="0.2">
      <c r="A1290" s="70" t="s">
        <v>5301</v>
      </c>
      <c r="Q1290" s="71"/>
    </row>
    <row r="1291" spans="1:21" x14ac:dyDescent="0.2">
      <c r="A1291" s="71" t="s">
        <v>2623</v>
      </c>
      <c r="B1291" s="71" t="s">
        <v>5051</v>
      </c>
      <c r="C1291" s="71">
        <v>1069</v>
      </c>
      <c r="D1291" s="71">
        <v>926</v>
      </c>
      <c r="E1291" s="71">
        <v>734</v>
      </c>
      <c r="F1291" s="71">
        <v>468</v>
      </c>
      <c r="G1291" s="71">
        <v>284</v>
      </c>
      <c r="H1291" s="71">
        <v>237</v>
      </c>
      <c r="I1291" s="71">
        <v>412</v>
      </c>
      <c r="J1291" s="71">
        <v>678</v>
      </c>
      <c r="K1291" s="71">
        <v>952</v>
      </c>
      <c r="L1291" s="71">
        <v>1263</v>
      </c>
      <c r="M1291" s="71">
        <v>1366</v>
      </c>
      <c r="N1291" s="71">
        <v>1152</v>
      </c>
      <c r="O1291" s="71">
        <v>1029</v>
      </c>
      <c r="Q1291" s="71">
        <v>1029</v>
      </c>
      <c r="R1291" s="71"/>
      <c r="T1291" s="71"/>
      <c r="U1291" s="71"/>
    </row>
    <row r="1292" spans="1:21" x14ac:dyDescent="0.2">
      <c r="A1292" s="71" t="s">
        <v>2625</v>
      </c>
      <c r="B1292" s="71" t="s">
        <v>5052</v>
      </c>
      <c r="C1292" s="71">
        <v>0</v>
      </c>
      <c r="D1292" s="71">
        <v>0</v>
      </c>
      <c r="E1292" s="71">
        <v>0</v>
      </c>
      <c r="F1292" s="71">
        <v>0</v>
      </c>
      <c r="G1292" s="71">
        <v>0</v>
      </c>
      <c r="H1292" s="71">
        <v>0</v>
      </c>
      <c r="I1292" s="71">
        <v>0</v>
      </c>
      <c r="J1292" s="71">
        <v>0</v>
      </c>
      <c r="K1292" s="71">
        <v>0</v>
      </c>
      <c r="L1292" s="71">
        <v>0</v>
      </c>
      <c r="M1292" s="71">
        <v>0</v>
      </c>
      <c r="N1292" s="71">
        <v>0</v>
      </c>
      <c r="O1292" s="71">
        <v>0</v>
      </c>
      <c r="Q1292" s="71">
        <v>0</v>
      </c>
      <c r="R1292" s="71"/>
      <c r="T1292" s="71"/>
      <c r="U1292" s="71"/>
    </row>
    <row r="1293" spans="1:21" x14ac:dyDescent="0.2">
      <c r="A1293" s="71" t="s">
        <v>2627</v>
      </c>
      <c r="B1293" s="71" t="s">
        <v>5053</v>
      </c>
      <c r="C1293" s="71">
        <v>0</v>
      </c>
      <c r="D1293" s="71">
        <v>0</v>
      </c>
      <c r="E1293" s="71">
        <v>0</v>
      </c>
      <c r="F1293" s="71">
        <v>0</v>
      </c>
      <c r="G1293" s="71">
        <v>0</v>
      </c>
      <c r="H1293" s="71">
        <v>0</v>
      </c>
      <c r="I1293" s="71">
        <v>0</v>
      </c>
      <c r="J1293" s="71">
        <v>0</v>
      </c>
      <c r="K1293" s="71">
        <v>0</v>
      </c>
      <c r="L1293" s="71">
        <v>0</v>
      </c>
      <c r="M1293" s="71">
        <v>0</v>
      </c>
      <c r="N1293" s="71">
        <v>0</v>
      </c>
      <c r="O1293" s="71">
        <v>0</v>
      </c>
      <c r="Q1293" s="71">
        <v>0</v>
      </c>
      <c r="R1293" s="71"/>
      <c r="T1293" s="71"/>
      <c r="U1293" s="71"/>
    </row>
    <row r="1294" spans="1:21" x14ac:dyDescent="0.2">
      <c r="A1294" s="71" t="s">
        <v>2629</v>
      </c>
      <c r="B1294" s="71" t="s">
        <v>5054</v>
      </c>
      <c r="C1294" s="71">
        <v>0</v>
      </c>
      <c r="D1294" s="71">
        <v>0</v>
      </c>
      <c r="E1294" s="71">
        <v>0</v>
      </c>
      <c r="F1294" s="71">
        <v>0</v>
      </c>
      <c r="G1294" s="71">
        <v>0</v>
      </c>
      <c r="H1294" s="71">
        <v>0</v>
      </c>
      <c r="I1294" s="71">
        <v>0</v>
      </c>
      <c r="J1294" s="71">
        <v>0</v>
      </c>
      <c r="K1294" s="71">
        <v>0</v>
      </c>
      <c r="L1294" s="71">
        <v>0</v>
      </c>
      <c r="M1294" s="71">
        <v>36</v>
      </c>
      <c r="N1294" s="71">
        <v>826</v>
      </c>
      <c r="O1294" s="71">
        <v>1129</v>
      </c>
      <c r="Q1294" s="70">
        <v>1129</v>
      </c>
      <c r="R1294" s="71"/>
      <c r="T1294" s="71"/>
      <c r="U1294" s="71"/>
    </row>
    <row r="1295" spans="1:21" x14ac:dyDescent="0.2">
      <c r="A1295" s="71" t="s">
        <v>2631</v>
      </c>
      <c r="B1295" s="71" t="s">
        <v>5056</v>
      </c>
      <c r="C1295" s="100">
        <v>994</v>
      </c>
      <c r="D1295" s="100">
        <v>1954</v>
      </c>
      <c r="E1295" s="100">
        <v>2081</v>
      </c>
      <c r="F1295" s="100">
        <v>2307</v>
      </c>
      <c r="G1295" s="100">
        <v>2535</v>
      </c>
      <c r="H1295" s="100">
        <v>2155</v>
      </c>
      <c r="I1295" s="100">
        <v>2143</v>
      </c>
      <c r="J1295" s="100">
        <v>2299</v>
      </c>
      <c r="K1295" s="100">
        <v>2439</v>
      </c>
      <c r="L1295" s="100">
        <v>2669</v>
      </c>
      <c r="M1295" s="100">
        <v>2329</v>
      </c>
      <c r="N1295" s="100">
        <v>1150</v>
      </c>
      <c r="O1295" s="100">
        <v>0</v>
      </c>
      <c r="Q1295" s="70">
        <v>0</v>
      </c>
      <c r="R1295" s="100"/>
      <c r="T1295" s="100"/>
      <c r="U1295" s="100"/>
    </row>
    <row r="1296" spans="1:21" ht="15.75" thickBot="1" x14ac:dyDescent="0.25">
      <c r="B1296" s="70" t="s">
        <v>5302</v>
      </c>
      <c r="C1296" s="101">
        <v>2063</v>
      </c>
      <c r="D1296" s="101">
        <v>2880</v>
      </c>
      <c r="E1296" s="101">
        <v>2815</v>
      </c>
      <c r="F1296" s="101">
        <v>2775</v>
      </c>
      <c r="G1296" s="101">
        <v>2819</v>
      </c>
      <c r="H1296" s="101">
        <v>2392</v>
      </c>
      <c r="I1296" s="101">
        <v>2555</v>
      </c>
      <c r="J1296" s="101">
        <v>2977</v>
      </c>
      <c r="K1296" s="101">
        <v>3391</v>
      </c>
      <c r="L1296" s="101">
        <v>3932</v>
      </c>
      <c r="M1296" s="101">
        <v>3731</v>
      </c>
      <c r="N1296" s="101">
        <v>3128</v>
      </c>
      <c r="O1296" s="101">
        <v>2158</v>
      </c>
      <c r="Q1296" s="70">
        <v>2158</v>
      </c>
      <c r="R1296" s="101"/>
      <c r="T1296" s="101"/>
      <c r="U1296" s="101"/>
    </row>
    <row r="1297" spans="1:21" ht="15.75" thickTop="1" x14ac:dyDescent="0.2"/>
    <row r="1298" spans="1:21" x14ac:dyDescent="0.2">
      <c r="A1298" s="70" t="s">
        <v>5303</v>
      </c>
      <c r="C1298" s="71">
        <v>43059</v>
      </c>
      <c r="D1298" s="71">
        <v>17650</v>
      </c>
      <c r="E1298" s="71">
        <v>17564</v>
      </c>
      <c r="F1298" s="71">
        <v>17477</v>
      </c>
      <c r="G1298" s="71">
        <v>17391</v>
      </c>
      <c r="H1298" s="71">
        <v>17304</v>
      </c>
      <c r="I1298" s="71">
        <v>17217</v>
      </c>
      <c r="J1298" s="71">
        <v>17130</v>
      </c>
      <c r="K1298" s="71">
        <v>17043</v>
      </c>
      <c r="L1298" s="71">
        <v>16956</v>
      </c>
      <c r="M1298" s="71">
        <v>16870</v>
      </c>
      <c r="N1298" s="71">
        <v>16783</v>
      </c>
      <c r="O1298" s="71">
        <v>16697</v>
      </c>
      <c r="Q1298" s="70">
        <v>16697</v>
      </c>
      <c r="R1298" s="71"/>
      <c r="T1298" s="71"/>
      <c r="U1298" s="71"/>
    </row>
    <row r="1299" spans="1:21" x14ac:dyDescent="0.2">
      <c r="A1299" s="70" t="s">
        <v>3147</v>
      </c>
      <c r="B1299" s="70" t="s">
        <v>5049</v>
      </c>
      <c r="C1299" s="100">
        <v>41493</v>
      </c>
      <c r="D1299" s="100">
        <v>63564</v>
      </c>
      <c r="E1299" s="100">
        <v>63732</v>
      </c>
      <c r="F1299" s="100">
        <v>63899</v>
      </c>
      <c r="G1299" s="100">
        <v>64067</v>
      </c>
      <c r="H1299" s="100">
        <v>64235</v>
      </c>
      <c r="I1299" s="100">
        <v>64403</v>
      </c>
      <c r="J1299" s="100">
        <v>64571</v>
      </c>
      <c r="K1299" s="100">
        <v>64739</v>
      </c>
      <c r="L1299" s="100">
        <v>64907</v>
      </c>
      <c r="M1299" s="100">
        <v>65075</v>
      </c>
      <c r="N1299" s="100">
        <v>65243</v>
      </c>
      <c r="O1299" s="100">
        <v>65411</v>
      </c>
      <c r="Q1299" s="70">
        <v>65411</v>
      </c>
      <c r="R1299" s="100"/>
      <c r="T1299" s="100"/>
      <c r="U1299" s="100"/>
    </row>
    <row r="1300" spans="1:21" ht="15.75" thickBot="1" x14ac:dyDescent="0.25">
      <c r="A1300" s="70" t="s">
        <v>5304</v>
      </c>
      <c r="C1300" s="103">
        <v>1566</v>
      </c>
      <c r="D1300" s="103">
        <v>-45914</v>
      </c>
      <c r="E1300" s="103">
        <v>-46168</v>
      </c>
      <c r="F1300" s="103">
        <v>-46422</v>
      </c>
      <c r="G1300" s="103">
        <v>-46676</v>
      </c>
      <c r="H1300" s="103">
        <v>-46931</v>
      </c>
      <c r="I1300" s="103">
        <v>-47186</v>
      </c>
      <c r="J1300" s="103">
        <v>-47441</v>
      </c>
      <c r="K1300" s="103">
        <v>-47696</v>
      </c>
      <c r="L1300" s="103">
        <v>-47951</v>
      </c>
      <c r="M1300" s="103">
        <v>-48205</v>
      </c>
      <c r="N1300" s="103">
        <v>-48460</v>
      </c>
      <c r="O1300" s="103">
        <v>-48714</v>
      </c>
      <c r="Q1300" s="70">
        <v>-48714</v>
      </c>
      <c r="R1300" s="103"/>
      <c r="T1300" s="103"/>
      <c r="U1300" s="103"/>
    </row>
    <row r="1301" spans="1:21" ht="15.75" thickTop="1" x14ac:dyDescent="0.2"/>
    <row r="1302" spans="1:21" x14ac:dyDescent="0.2">
      <c r="B1302" s="70" t="s">
        <v>5305</v>
      </c>
      <c r="C1302" s="70">
        <v>0</v>
      </c>
      <c r="D1302" s="70">
        <v>0</v>
      </c>
      <c r="E1302" s="70">
        <v>0</v>
      </c>
      <c r="F1302" s="70">
        <v>0</v>
      </c>
      <c r="G1302" s="70">
        <v>0</v>
      </c>
      <c r="H1302" s="70">
        <v>0</v>
      </c>
      <c r="I1302" s="70">
        <v>0</v>
      </c>
      <c r="J1302" s="70">
        <v>0</v>
      </c>
      <c r="K1302" s="70">
        <v>0</v>
      </c>
      <c r="L1302" s="70">
        <v>0</v>
      </c>
      <c r="M1302" s="70">
        <v>0</v>
      </c>
      <c r="N1302" s="70">
        <v>0</v>
      </c>
      <c r="O1302" s="70">
        <v>0</v>
      </c>
      <c r="Q1302" s="70">
        <v>0</v>
      </c>
    </row>
    <row r="1304" spans="1:21" x14ac:dyDescent="0.2">
      <c r="A1304" s="70" t="s">
        <v>5306</v>
      </c>
      <c r="C1304" s="71"/>
      <c r="D1304" s="71"/>
      <c r="E1304" s="71"/>
      <c r="F1304" s="71"/>
      <c r="G1304" s="71"/>
      <c r="H1304" s="71"/>
      <c r="I1304" s="71"/>
      <c r="J1304" s="71"/>
      <c r="K1304" s="71"/>
      <c r="L1304" s="71"/>
      <c r="M1304" s="71"/>
      <c r="N1304" s="71"/>
      <c r="O1304" s="71"/>
      <c r="R1304" s="71"/>
      <c r="T1304" s="71"/>
      <c r="U1304" s="71"/>
    </row>
    <row r="1305" spans="1:21" x14ac:dyDescent="0.2">
      <c r="B1305" s="71" t="s">
        <v>3731</v>
      </c>
      <c r="C1305" s="71">
        <v>76090</v>
      </c>
      <c r="D1305" s="71">
        <v>185763</v>
      </c>
      <c r="E1305" s="71">
        <v>184158</v>
      </c>
      <c r="F1305" s="71">
        <v>179775</v>
      </c>
      <c r="G1305" s="71">
        <v>177418</v>
      </c>
      <c r="H1305" s="71">
        <v>175409</v>
      </c>
      <c r="I1305" s="71">
        <v>174443</v>
      </c>
      <c r="J1305" s="71">
        <v>174861</v>
      </c>
      <c r="K1305" s="71">
        <v>176082</v>
      </c>
      <c r="L1305" s="71">
        <v>164730</v>
      </c>
      <c r="M1305" s="71">
        <v>164281</v>
      </c>
      <c r="N1305" s="71">
        <v>164039</v>
      </c>
      <c r="O1305" s="71">
        <v>165183</v>
      </c>
      <c r="Q1305" s="70">
        <v>165166</v>
      </c>
      <c r="R1305" s="71"/>
      <c r="T1305" s="71"/>
      <c r="U1305" s="71"/>
    </row>
    <row r="1306" spans="1:21" x14ac:dyDescent="0.2">
      <c r="B1306" s="71" t="s">
        <v>3732</v>
      </c>
      <c r="C1306" s="71">
        <v>39692</v>
      </c>
      <c r="D1306" s="71">
        <v>44883</v>
      </c>
      <c r="E1306" s="71">
        <v>45296</v>
      </c>
      <c r="F1306" s="71">
        <v>45710</v>
      </c>
      <c r="G1306" s="71">
        <v>46123</v>
      </c>
      <c r="H1306" s="71">
        <v>46536</v>
      </c>
      <c r="I1306" s="71">
        <v>46950</v>
      </c>
      <c r="J1306" s="71">
        <v>47363</v>
      </c>
      <c r="K1306" s="71">
        <v>47776</v>
      </c>
      <c r="L1306" s="71">
        <v>48190</v>
      </c>
      <c r="M1306" s="71">
        <v>48603</v>
      </c>
      <c r="N1306" s="71">
        <v>49016</v>
      </c>
      <c r="O1306" s="71">
        <v>49430</v>
      </c>
      <c r="Q1306" s="70">
        <v>50333</v>
      </c>
      <c r="R1306" s="71"/>
      <c r="T1306" s="71"/>
      <c r="U1306" s="71"/>
    </row>
    <row r="1307" spans="1:21" ht="15.75" x14ac:dyDescent="0.25">
      <c r="B1307" s="86" t="s">
        <v>5307</v>
      </c>
      <c r="C1307" s="71">
        <v>0</v>
      </c>
      <c r="D1307" s="71">
        <v>0</v>
      </c>
      <c r="E1307" s="71">
        <v>0</v>
      </c>
      <c r="F1307" s="71">
        <v>0</v>
      </c>
      <c r="G1307" s="71">
        <v>0</v>
      </c>
      <c r="H1307" s="71">
        <v>0</v>
      </c>
      <c r="I1307" s="71">
        <v>0</v>
      </c>
      <c r="J1307" s="71">
        <v>0</v>
      </c>
      <c r="K1307" s="71">
        <v>0</v>
      </c>
      <c r="L1307" s="71">
        <v>0</v>
      </c>
      <c r="M1307" s="71">
        <v>0</v>
      </c>
      <c r="N1307" s="71">
        <v>0</v>
      </c>
      <c r="O1307" s="71">
        <v>0</v>
      </c>
      <c r="Q1307" s="70">
        <v>0</v>
      </c>
      <c r="R1307" s="71"/>
      <c r="T1307" s="71"/>
      <c r="U1307" s="71"/>
    </row>
    <row r="1308" spans="1:21" x14ac:dyDescent="0.2">
      <c r="B1308" s="70" t="s">
        <v>5308</v>
      </c>
      <c r="C1308" s="100">
        <v>-2063</v>
      </c>
      <c r="D1308" s="100">
        <v>-2880</v>
      </c>
      <c r="E1308" s="100">
        <v>-2815</v>
      </c>
      <c r="F1308" s="100">
        <v>-2775</v>
      </c>
      <c r="G1308" s="100">
        <v>-2819</v>
      </c>
      <c r="H1308" s="100">
        <v>-2392</v>
      </c>
      <c r="I1308" s="100">
        <v>-2555</v>
      </c>
      <c r="J1308" s="100">
        <v>-2977</v>
      </c>
      <c r="K1308" s="100">
        <v>-3391</v>
      </c>
      <c r="L1308" s="100">
        <v>-3932</v>
      </c>
      <c r="M1308" s="100">
        <v>-3731</v>
      </c>
      <c r="N1308" s="100">
        <v>-3128</v>
      </c>
      <c r="O1308" s="100">
        <v>-2158</v>
      </c>
      <c r="Q1308" s="70">
        <v>-2158</v>
      </c>
      <c r="R1308" s="100"/>
      <c r="T1308" s="100"/>
      <c r="U1308" s="100"/>
    </row>
    <row r="1309" spans="1:21" ht="15.75" thickBot="1" x14ac:dyDescent="0.25">
      <c r="B1309" s="70" t="s">
        <v>569</v>
      </c>
      <c r="C1309" s="103">
        <v>113719</v>
      </c>
      <c r="D1309" s="103">
        <v>227766</v>
      </c>
      <c r="E1309" s="103">
        <v>226639</v>
      </c>
      <c r="F1309" s="103">
        <v>222710</v>
      </c>
      <c r="G1309" s="103">
        <v>220722</v>
      </c>
      <c r="H1309" s="103">
        <v>219553</v>
      </c>
      <c r="I1309" s="103">
        <v>218838</v>
      </c>
      <c r="J1309" s="103">
        <v>219247</v>
      </c>
      <c r="K1309" s="103">
        <v>220467</v>
      </c>
      <c r="L1309" s="103">
        <v>208988</v>
      </c>
      <c r="M1309" s="103">
        <v>209153</v>
      </c>
      <c r="N1309" s="103">
        <v>209927</v>
      </c>
      <c r="O1309" s="103">
        <v>212455</v>
      </c>
      <c r="Q1309" s="70">
        <v>213341</v>
      </c>
      <c r="R1309" s="103"/>
      <c r="T1309" s="103"/>
      <c r="U1309" s="103"/>
    </row>
    <row r="1310" spans="1:21" ht="15.75" thickTop="1" x14ac:dyDescent="0.2"/>
    <row r="1311" spans="1:21" x14ac:dyDescent="0.2">
      <c r="B1311" s="70" t="s">
        <v>570</v>
      </c>
      <c r="C1311" s="70">
        <v>119697</v>
      </c>
      <c r="D1311" s="70">
        <v>119697</v>
      </c>
      <c r="E1311" s="70">
        <v>119697</v>
      </c>
      <c r="F1311" s="70">
        <v>119697</v>
      </c>
      <c r="G1311" s="70">
        <v>119697</v>
      </c>
      <c r="H1311" s="70">
        <v>119697</v>
      </c>
      <c r="I1311" s="70">
        <v>119697</v>
      </c>
      <c r="J1311" s="70">
        <v>119697</v>
      </c>
      <c r="K1311" s="70">
        <v>119697</v>
      </c>
      <c r="L1311" s="70">
        <v>119697</v>
      </c>
      <c r="M1311" s="70">
        <v>119697</v>
      </c>
      <c r="N1311" s="70">
        <v>119697</v>
      </c>
      <c r="O1311" s="70">
        <v>119697</v>
      </c>
      <c r="Q1311" s="70">
        <v>119697</v>
      </c>
    </row>
    <row r="1312" spans="1:21" x14ac:dyDescent="0.2">
      <c r="B1312" s="70" t="s">
        <v>3707</v>
      </c>
      <c r="C1312" s="70">
        <v>1069579</v>
      </c>
      <c r="D1312" s="70">
        <v>1650840</v>
      </c>
      <c r="E1312" s="70">
        <v>1705840</v>
      </c>
      <c r="F1312" s="70">
        <v>1745840</v>
      </c>
      <c r="G1312" s="70">
        <v>1785840</v>
      </c>
      <c r="H1312" s="70">
        <v>1785840</v>
      </c>
      <c r="I1312" s="70">
        <v>1805840</v>
      </c>
      <c r="J1312" s="70">
        <v>1825840</v>
      </c>
      <c r="K1312" s="70">
        <v>1825840</v>
      </c>
      <c r="L1312" s="70">
        <v>1845840</v>
      </c>
      <c r="M1312" s="70">
        <v>1870840</v>
      </c>
      <c r="N1312" s="70">
        <v>1870840</v>
      </c>
      <c r="O1312" s="70">
        <v>1870840</v>
      </c>
      <c r="Q1312" s="70">
        <v>1870840</v>
      </c>
    </row>
    <row r="1313" spans="1:21" x14ac:dyDescent="0.2">
      <c r="B1313" s="70" t="s">
        <v>3708</v>
      </c>
      <c r="C1313" s="75">
        <v>-701</v>
      </c>
      <c r="D1313" s="75">
        <v>-701</v>
      </c>
      <c r="E1313" s="75">
        <v>-701</v>
      </c>
      <c r="F1313" s="75">
        <v>-701</v>
      </c>
      <c r="G1313" s="75">
        <v>-701</v>
      </c>
      <c r="H1313" s="75">
        <v>-701</v>
      </c>
      <c r="I1313" s="75">
        <v>-701</v>
      </c>
      <c r="J1313" s="75">
        <v>-701</v>
      </c>
      <c r="K1313" s="75">
        <v>-701</v>
      </c>
      <c r="L1313" s="75">
        <v>-701</v>
      </c>
      <c r="M1313" s="75">
        <v>-701</v>
      </c>
      <c r="N1313" s="75">
        <v>-701</v>
      </c>
      <c r="O1313" s="75">
        <v>-701</v>
      </c>
      <c r="Q1313" s="70">
        <v>-701</v>
      </c>
      <c r="R1313" s="75"/>
      <c r="T1313" s="75"/>
      <c r="U1313" s="75"/>
    </row>
    <row r="1314" spans="1:21" ht="15.75" thickBot="1" x14ac:dyDescent="0.25">
      <c r="B1314" s="70" t="s">
        <v>3709</v>
      </c>
      <c r="C1314" s="101">
        <v>1188575</v>
      </c>
      <c r="D1314" s="101">
        <v>1769836</v>
      </c>
      <c r="E1314" s="101">
        <v>1824836</v>
      </c>
      <c r="F1314" s="101">
        <v>1864836</v>
      </c>
      <c r="G1314" s="101">
        <v>1904836</v>
      </c>
      <c r="H1314" s="101">
        <v>1904836</v>
      </c>
      <c r="I1314" s="101">
        <v>1924836</v>
      </c>
      <c r="J1314" s="101">
        <v>1944836</v>
      </c>
      <c r="K1314" s="101">
        <v>1944836</v>
      </c>
      <c r="L1314" s="101">
        <v>1964836</v>
      </c>
      <c r="M1314" s="101">
        <v>1989836</v>
      </c>
      <c r="N1314" s="101">
        <v>1989836</v>
      </c>
      <c r="O1314" s="101">
        <v>1989836</v>
      </c>
      <c r="Q1314" s="70">
        <v>1989836</v>
      </c>
      <c r="R1314" s="101"/>
      <c r="T1314" s="101"/>
      <c r="U1314" s="101"/>
    </row>
    <row r="1315" spans="1:21" ht="15.75" thickTop="1" x14ac:dyDescent="0.2"/>
    <row r="1316" spans="1:21" x14ac:dyDescent="0.2">
      <c r="B1316" s="70" t="s">
        <v>3710</v>
      </c>
      <c r="C1316" s="70">
        <v>192101</v>
      </c>
      <c r="D1316" s="70">
        <v>191379</v>
      </c>
      <c r="E1316" s="70">
        <v>157326</v>
      </c>
      <c r="F1316" s="70">
        <v>161602</v>
      </c>
      <c r="G1316" s="70">
        <v>148429</v>
      </c>
      <c r="H1316" s="70">
        <v>160182</v>
      </c>
      <c r="I1316" s="70">
        <v>176908</v>
      </c>
      <c r="J1316" s="70">
        <v>173478</v>
      </c>
      <c r="K1316" s="70">
        <v>192851</v>
      </c>
      <c r="L1316" s="70">
        <v>207735</v>
      </c>
      <c r="M1316" s="70">
        <v>162741</v>
      </c>
      <c r="N1316" s="70">
        <v>167533</v>
      </c>
      <c r="O1316" s="70">
        <v>171007</v>
      </c>
      <c r="Q1316" s="70">
        <v>171284</v>
      </c>
    </row>
    <row r="1318" spans="1:21" x14ac:dyDescent="0.2">
      <c r="B1318" s="70" t="s">
        <v>3711</v>
      </c>
      <c r="C1318" s="75">
        <v>790599</v>
      </c>
      <c r="D1318" s="75">
        <v>1664882</v>
      </c>
      <c r="E1318" s="75">
        <v>1664915</v>
      </c>
      <c r="F1318" s="75">
        <v>1664947</v>
      </c>
      <c r="G1318" s="75">
        <v>1664980</v>
      </c>
      <c r="H1318" s="75">
        <v>1665013</v>
      </c>
      <c r="I1318" s="75">
        <v>1665045</v>
      </c>
      <c r="J1318" s="75">
        <v>1665078</v>
      </c>
      <c r="K1318" s="75">
        <v>1665110</v>
      </c>
      <c r="L1318" s="75">
        <v>1665142</v>
      </c>
      <c r="M1318" s="75">
        <v>1665175</v>
      </c>
      <c r="N1318" s="75">
        <v>1790208</v>
      </c>
      <c r="O1318" s="75">
        <v>1790241</v>
      </c>
      <c r="Q1318" s="70">
        <v>1790243</v>
      </c>
      <c r="R1318" s="75"/>
      <c r="T1318" s="75"/>
      <c r="U1318" s="75"/>
    </row>
    <row r="1320" spans="1:21" ht="15.75" thickBot="1" x14ac:dyDescent="0.25">
      <c r="B1320" s="70" t="s">
        <v>3712</v>
      </c>
      <c r="C1320" s="101">
        <v>3269579</v>
      </c>
      <c r="D1320" s="101">
        <v>4829518</v>
      </c>
      <c r="E1320" s="101">
        <v>4875500</v>
      </c>
      <c r="F1320" s="101">
        <v>4903689</v>
      </c>
      <c r="G1320" s="101">
        <v>4966757</v>
      </c>
      <c r="H1320" s="101">
        <v>5034341</v>
      </c>
      <c r="I1320" s="101">
        <v>5074575</v>
      </c>
      <c r="J1320" s="101">
        <v>5119262</v>
      </c>
      <c r="K1320" s="101">
        <v>5136716</v>
      </c>
      <c r="L1320" s="101">
        <v>5152702</v>
      </c>
      <c r="M1320" s="101">
        <v>5121059</v>
      </c>
      <c r="N1320" s="101">
        <v>5094110</v>
      </c>
      <c r="O1320" s="101">
        <v>5100911</v>
      </c>
      <c r="Q1320" s="70">
        <v>5107099</v>
      </c>
      <c r="R1320" s="101"/>
      <c r="T1320" s="101"/>
      <c r="U1320" s="101"/>
    </row>
    <row r="1321" spans="1:21" ht="15.75" thickTop="1" x14ac:dyDescent="0.2"/>
    <row r="1322" spans="1:21" x14ac:dyDescent="0.2">
      <c r="A1322" s="70" t="s">
        <v>3713</v>
      </c>
      <c r="C1322" s="71">
        <v>3298978</v>
      </c>
      <c r="D1322" s="71">
        <v>4909687</v>
      </c>
      <c r="E1322" s="71">
        <v>4955990</v>
      </c>
      <c r="F1322" s="71">
        <v>4984499</v>
      </c>
      <c r="G1322" s="71">
        <v>5047890</v>
      </c>
      <c r="H1322" s="71">
        <v>5115795</v>
      </c>
      <c r="I1322" s="71">
        <v>5156351</v>
      </c>
      <c r="J1322" s="71">
        <v>5201360</v>
      </c>
      <c r="K1322" s="71">
        <v>5219136</v>
      </c>
      <c r="L1322" s="71">
        <v>5235444</v>
      </c>
      <c r="M1322" s="71">
        <v>5204123</v>
      </c>
      <c r="N1322" s="71">
        <v>5177495</v>
      </c>
      <c r="O1322" s="71">
        <v>5184619</v>
      </c>
      <c r="Q1322" s="70">
        <v>5188500</v>
      </c>
      <c r="R1322" s="71"/>
      <c r="T1322" s="71"/>
      <c r="U1322" s="71"/>
    </row>
    <row r="1323" spans="1:21" x14ac:dyDescent="0.2">
      <c r="A1323" s="70" t="s">
        <v>1576</v>
      </c>
      <c r="B1323" s="70" t="s">
        <v>5080</v>
      </c>
      <c r="C1323" s="71">
        <v>-18490</v>
      </c>
      <c r="D1323" s="71">
        <v>-6054</v>
      </c>
      <c r="E1323" s="71">
        <v>-5944</v>
      </c>
      <c r="F1323" s="71">
        <v>-5834</v>
      </c>
      <c r="G1323" s="71">
        <v>-5723</v>
      </c>
      <c r="H1323" s="71">
        <v>-5613</v>
      </c>
      <c r="I1323" s="71">
        <v>-5502</v>
      </c>
      <c r="J1323" s="71">
        <v>-5392</v>
      </c>
      <c r="K1323" s="71">
        <v>-5281</v>
      </c>
      <c r="L1323" s="71">
        <v>-5171</v>
      </c>
      <c r="M1323" s="71">
        <v>-5060</v>
      </c>
      <c r="N1323" s="71">
        <v>-4950</v>
      </c>
      <c r="O1323" s="71">
        <v>-4839</v>
      </c>
      <c r="Q1323" s="70">
        <v>-4839</v>
      </c>
      <c r="R1323" s="71"/>
      <c r="T1323" s="71"/>
      <c r="U1323" s="71"/>
    </row>
    <row r="1324" spans="1:21" x14ac:dyDescent="0.2">
      <c r="A1324" s="70" t="s">
        <v>3147</v>
      </c>
      <c r="B1324" s="70" t="s">
        <v>5049</v>
      </c>
      <c r="C1324" s="71">
        <v>-41493</v>
      </c>
      <c r="D1324" s="71">
        <v>-63564</v>
      </c>
      <c r="E1324" s="71">
        <v>-63732</v>
      </c>
      <c r="F1324" s="71">
        <v>-63899</v>
      </c>
      <c r="G1324" s="71">
        <v>-64067</v>
      </c>
      <c r="H1324" s="71">
        <v>-64235</v>
      </c>
      <c r="I1324" s="71">
        <v>-64403</v>
      </c>
      <c r="J1324" s="71">
        <v>-64571</v>
      </c>
      <c r="K1324" s="71">
        <v>-64739</v>
      </c>
      <c r="L1324" s="71">
        <v>-64907</v>
      </c>
      <c r="M1324" s="71">
        <v>-65075</v>
      </c>
      <c r="N1324" s="71">
        <v>-65243</v>
      </c>
      <c r="O1324" s="71">
        <v>-65411</v>
      </c>
      <c r="Q1324" s="70">
        <v>-65411</v>
      </c>
      <c r="R1324" s="71"/>
      <c r="T1324" s="71"/>
      <c r="U1324" s="71"/>
    </row>
    <row r="1325" spans="1:21" x14ac:dyDescent="0.2">
      <c r="B1325" s="70" t="s">
        <v>5286</v>
      </c>
      <c r="C1325" s="71">
        <v>-1</v>
      </c>
      <c r="D1325" s="71">
        <v>0</v>
      </c>
      <c r="E1325" s="71">
        <v>0</v>
      </c>
      <c r="F1325" s="71">
        <v>0</v>
      </c>
      <c r="G1325" s="71">
        <v>0</v>
      </c>
      <c r="H1325" s="71">
        <v>0</v>
      </c>
      <c r="I1325" s="71">
        <v>0</v>
      </c>
      <c r="J1325" s="71">
        <v>0</v>
      </c>
      <c r="K1325" s="71">
        <v>0</v>
      </c>
      <c r="L1325" s="71">
        <v>0</v>
      </c>
      <c r="M1325" s="71">
        <v>0</v>
      </c>
      <c r="N1325" s="71">
        <v>0</v>
      </c>
      <c r="O1325" s="71">
        <v>0</v>
      </c>
      <c r="Q1325" s="70">
        <v>0</v>
      </c>
      <c r="R1325" s="71"/>
      <c r="T1325" s="71"/>
      <c r="U1325" s="71"/>
    </row>
    <row r="1326" spans="1:21" x14ac:dyDescent="0.2">
      <c r="B1326" s="70" t="s">
        <v>5287</v>
      </c>
      <c r="C1326" s="71">
        <v>-9</v>
      </c>
      <c r="D1326" s="71">
        <v>-9</v>
      </c>
      <c r="E1326" s="71">
        <v>-9</v>
      </c>
      <c r="F1326" s="71">
        <v>-9</v>
      </c>
      <c r="G1326" s="71">
        <v>-9</v>
      </c>
      <c r="H1326" s="71">
        <v>-9</v>
      </c>
      <c r="I1326" s="71">
        <v>-9</v>
      </c>
      <c r="J1326" s="71">
        <v>-9</v>
      </c>
      <c r="K1326" s="71">
        <v>-9</v>
      </c>
      <c r="L1326" s="71">
        <v>-9</v>
      </c>
      <c r="M1326" s="71">
        <v>-9</v>
      </c>
      <c r="N1326" s="71">
        <v>-9</v>
      </c>
      <c r="O1326" s="71">
        <v>-9</v>
      </c>
      <c r="Q1326" s="70">
        <v>-9</v>
      </c>
      <c r="R1326" s="71"/>
      <c r="T1326" s="71"/>
      <c r="U1326" s="71"/>
    </row>
    <row r="1327" spans="1:21" x14ac:dyDescent="0.2">
      <c r="B1327" s="70" t="s">
        <v>5295</v>
      </c>
      <c r="C1327" s="71">
        <v>5</v>
      </c>
      <c r="D1327" s="71">
        <v>0</v>
      </c>
      <c r="E1327" s="71">
        <v>0</v>
      </c>
      <c r="F1327" s="71">
        <v>0</v>
      </c>
      <c r="G1327" s="71">
        <v>0</v>
      </c>
      <c r="H1327" s="71">
        <v>0</v>
      </c>
      <c r="I1327" s="71">
        <v>0</v>
      </c>
      <c r="J1327" s="71">
        <v>0</v>
      </c>
      <c r="K1327" s="71">
        <v>0</v>
      </c>
      <c r="L1327" s="71">
        <v>0</v>
      </c>
      <c r="M1327" s="71">
        <v>0</v>
      </c>
      <c r="N1327" s="71">
        <v>0</v>
      </c>
      <c r="O1327" s="71">
        <v>0</v>
      </c>
      <c r="Q1327" s="70">
        <v>0</v>
      </c>
      <c r="R1327" s="71"/>
      <c r="T1327" s="71"/>
      <c r="U1327" s="71"/>
    </row>
    <row r="1328" spans="1:21" x14ac:dyDescent="0.2">
      <c r="B1328" s="71" t="s">
        <v>5307</v>
      </c>
      <c r="C1328" s="100">
        <v>0</v>
      </c>
      <c r="D1328" s="100">
        <v>0</v>
      </c>
      <c r="E1328" s="100">
        <v>0</v>
      </c>
      <c r="F1328" s="100">
        <v>0</v>
      </c>
      <c r="G1328" s="100">
        <v>0</v>
      </c>
      <c r="H1328" s="100">
        <v>0</v>
      </c>
      <c r="I1328" s="100">
        <v>0</v>
      </c>
      <c r="J1328" s="100">
        <v>0</v>
      </c>
      <c r="K1328" s="100">
        <v>0</v>
      </c>
      <c r="L1328" s="100">
        <v>0</v>
      </c>
      <c r="M1328" s="100">
        <v>0</v>
      </c>
      <c r="N1328" s="100">
        <v>0</v>
      </c>
      <c r="O1328" s="100">
        <v>0</v>
      </c>
      <c r="Q1328" s="70">
        <v>0</v>
      </c>
      <c r="R1328" s="100"/>
      <c r="T1328" s="100"/>
      <c r="U1328" s="100"/>
    </row>
    <row r="1329" spans="1:21" ht="15.75" thickBot="1" x14ac:dyDescent="0.25">
      <c r="A1329" s="70" t="s">
        <v>3714</v>
      </c>
      <c r="C1329" s="103">
        <v>3238990</v>
      </c>
      <c r="D1329" s="103">
        <v>4840060</v>
      </c>
      <c r="E1329" s="103">
        <v>4886305</v>
      </c>
      <c r="F1329" s="103">
        <v>4914757</v>
      </c>
      <c r="G1329" s="103">
        <v>4978091</v>
      </c>
      <c r="H1329" s="103">
        <v>5045938</v>
      </c>
      <c r="I1329" s="103">
        <v>5086437</v>
      </c>
      <c r="J1329" s="103">
        <v>5131388</v>
      </c>
      <c r="K1329" s="103">
        <v>5149107</v>
      </c>
      <c r="L1329" s="103">
        <v>5165357</v>
      </c>
      <c r="M1329" s="103">
        <v>5133979</v>
      </c>
      <c r="N1329" s="103">
        <v>5107293</v>
      </c>
      <c r="O1329" s="103">
        <v>5114360</v>
      </c>
      <c r="Q1329" s="70">
        <v>5118241</v>
      </c>
      <c r="R1329" s="103"/>
      <c r="T1329" s="103"/>
      <c r="U1329" s="103"/>
    </row>
    <row r="1330" spans="1:21" ht="15.75" thickTop="1" x14ac:dyDescent="0.2">
      <c r="C1330" s="71"/>
      <c r="D1330" s="71"/>
      <c r="E1330" s="71"/>
      <c r="F1330" s="71"/>
      <c r="G1330" s="71"/>
      <c r="H1330" s="71"/>
      <c r="I1330" s="71"/>
      <c r="J1330" s="71"/>
      <c r="K1330" s="71"/>
      <c r="L1330" s="71"/>
      <c r="M1330" s="71"/>
      <c r="N1330" s="71"/>
      <c r="O1330" s="71"/>
      <c r="R1330" s="71"/>
      <c r="T1330" s="71"/>
      <c r="U1330" s="71"/>
    </row>
    <row r="1331" spans="1:21" x14ac:dyDescent="0.2">
      <c r="C1331" s="71">
        <v>12</v>
      </c>
      <c r="D1331" s="71">
        <v>264</v>
      </c>
      <c r="E1331" s="71">
        <v>264</v>
      </c>
      <c r="F1331" s="71">
        <v>264</v>
      </c>
      <c r="G1331" s="71">
        <v>264</v>
      </c>
      <c r="H1331" s="71">
        <v>264</v>
      </c>
      <c r="I1331" s="71">
        <v>264</v>
      </c>
      <c r="J1331" s="71">
        <v>264</v>
      </c>
      <c r="K1331" s="71">
        <v>264</v>
      </c>
      <c r="L1331" s="71">
        <v>-8</v>
      </c>
      <c r="M1331" s="71">
        <v>264</v>
      </c>
      <c r="N1331" s="71">
        <v>264</v>
      </c>
      <c r="O1331" s="71">
        <v>264</v>
      </c>
      <c r="Q1331" s="70">
        <v>264</v>
      </c>
      <c r="R1331" s="71"/>
      <c r="T1331" s="71"/>
      <c r="U1331" s="71"/>
    </row>
    <row r="1335" spans="1:21" x14ac:dyDescent="0.2">
      <c r="C1335" s="71"/>
      <c r="D1335" s="71"/>
      <c r="E1335" s="71"/>
      <c r="F1335" s="71"/>
      <c r="G1335" s="71"/>
      <c r="H1335" s="71"/>
      <c r="I1335" s="71"/>
      <c r="J1335" s="71"/>
      <c r="K1335" s="71"/>
      <c r="L1335" s="71"/>
      <c r="M1335" s="71"/>
      <c r="N1335" s="71"/>
      <c r="O1335" s="71"/>
      <c r="R1335" s="71"/>
      <c r="T1335" s="71"/>
      <c r="U1335" s="71"/>
    </row>
    <row r="1339" spans="1:21" x14ac:dyDescent="0.2">
      <c r="C1339" s="71"/>
      <c r="D1339" s="71"/>
      <c r="E1339" s="71"/>
      <c r="F1339" s="71"/>
      <c r="G1339" s="71"/>
      <c r="H1339" s="71"/>
      <c r="I1339" s="71"/>
      <c r="J1339" s="71"/>
      <c r="K1339" s="71"/>
      <c r="L1339" s="71"/>
      <c r="M1339" s="71"/>
      <c r="N1339" s="71"/>
      <c r="O1339" s="71"/>
      <c r="R1339" s="71"/>
      <c r="T1339" s="71"/>
      <c r="U1339" s="71"/>
    </row>
    <row r="1348" spans="1:21" x14ac:dyDescent="0.2">
      <c r="D1348" s="71"/>
      <c r="E1348" s="71"/>
      <c r="F1348" s="71"/>
      <c r="G1348" s="71"/>
      <c r="H1348" s="71"/>
      <c r="I1348" s="71"/>
      <c r="J1348" s="71"/>
      <c r="K1348" s="71"/>
      <c r="L1348" s="71"/>
      <c r="M1348" s="71"/>
      <c r="N1348" s="71"/>
      <c r="O1348" s="71"/>
      <c r="Q1348" s="71"/>
      <c r="R1348" s="71"/>
      <c r="T1348" s="71"/>
      <c r="U1348" s="71"/>
    </row>
    <row r="1349" spans="1:21" x14ac:dyDescent="0.2">
      <c r="C1349" s="71"/>
      <c r="D1349" s="71"/>
      <c r="E1349" s="71"/>
      <c r="F1349" s="71"/>
      <c r="G1349" s="71"/>
      <c r="H1349" s="71"/>
      <c r="I1349" s="71"/>
      <c r="J1349" s="71"/>
      <c r="K1349" s="71"/>
      <c r="L1349" s="71"/>
      <c r="M1349" s="71"/>
      <c r="N1349" s="71"/>
      <c r="O1349" s="71"/>
      <c r="R1349" s="71"/>
      <c r="T1349" s="71"/>
      <c r="U1349" s="71"/>
    </row>
    <row r="1350" spans="1:21" x14ac:dyDescent="0.2">
      <c r="A1350" s="71"/>
      <c r="B1350" s="71"/>
      <c r="C1350" s="71"/>
      <c r="D1350" s="71"/>
      <c r="E1350" s="71"/>
      <c r="F1350" s="71"/>
      <c r="G1350" s="71"/>
      <c r="H1350" s="71"/>
      <c r="I1350" s="71"/>
      <c r="J1350" s="71"/>
      <c r="K1350" s="71"/>
      <c r="L1350" s="71"/>
      <c r="M1350" s="71"/>
      <c r="N1350" s="71"/>
      <c r="O1350" s="71"/>
      <c r="R1350" s="71"/>
      <c r="T1350" s="71"/>
      <c r="U1350" s="71"/>
    </row>
    <row r="1355" spans="1:21" x14ac:dyDescent="0.2">
      <c r="C1355" s="71"/>
      <c r="D1355" s="71"/>
      <c r="E1355" s="71"/>
      <c r="F1355" s="71"/>
      <c r="G1355" s="71"/>
      <c r="H1355" s="71"/>
      <c r="I1355" s="71"/>
      <c r="J1355" s="71"/>
      <c r="K1355" s="71"/>
      <c r="L1355" s="71"/>
      <c r="M1355" s="71"/>
      <c r="N1355" s="71"/>
      <c r="O1355" s="71"/>
      <c r="R1355" s="71"/>
      <c r="T1355" s="71"/>
      <c r="U1355" s="71"/>
    </row>
    <row r="1356" spans="1:21" x14ac:dyDescent="0.2">
      <c r="C1356" s="71"/>
      <c r="D1356" s="71"/>
      <c r="E1356" s="71"/>
      <c r="F1356" s="71"/>
      <c r="G1356" s="71"/>
      <c r="H1356" s="71"/>
      <c r="I1356" s="71"/>
      <c r="J1356" s="71"/>
      <c r="K1356" s="71"/>
      <c r="L1356" s="71"/>
      <c r="M1356" s="71"/>
      <c r="N1356" s="71"/>
      <c r="O1356" s="71"/>
      <c r="R1356" s="71"/>
      <c r="T1356" s="71"/>
      <c r="U1356" s="71"/>
    </row>
  </sheetData>
  <phoneticPr fontId="16" type="noConversion"/>
  <printOptions horizontalCentered="1"/>
  <pageMargins left="0.5" right="0.5" top="0.5" bottom="0.5" header="0.5" footer="0.5"/>
  <pageSetup scale="39" fitToHeight="4" orientation="landscape" r:id="rId1"/>
  <headerFooter alignWithMargins="0">
    <oddFooter>&amp;C&amp;R</oddFooter>
  </headerFooter>
  <customProperties>
    <customPr name="_pios_id" r:id="rId2"/>
    <customPr name="EpmWorksheetKeyString_GUID" r:id="rId3"/>
  </customProperties>
  <legacy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CA121"/>
  <sheetViews>
    <sheetView zoomScale="80" zoomScaleNormal="80" workbookViewId="0">
      <selection activeCell="AM58" sqref="AM58"/>
    </sheetView>
  </sheetViews>
  <sheetFormatPr defaultColWidth="9.140625" defaultRowHeight="12.75" x14ac:dyDescent="0.2"/>
  <cols>
    <col min="1" max="1" width="2.7109375" customWidth="1"/>
    <col min="2" max="2" width="28.5703125" bestFit="1" customWidth="1"/>
    <col min="3" max="3" width="2.7109375" customWidth="1"/>
    <col min="4" max="4" width="15.140625" customWidth="1"/>
    <col min="5" max="5" width="2.7109375" customWidth="1"/>
    <col min="6" max="6" width="15.140625" bestFit="1" customWidth="1"/>
    <col min="7" max="7" width="2.7109375" customWidth="1"/>
    <col min="8" max="8" width="15.140625" bestFit="1" customWidth="1"/>
    <col min="9" max="9" width="2.7109375" customWidth="1"/>
    <col min="10" max="10" width="15.140625" bestFit="1" customWidth="1"/>
    <col min="11" max="11" width="2.7109375" customWidth="1"/>
    <col min="12" max="12" width="15.140625" bestFit="1" customWidth="1"/>
    <col min="13" max="13" width="2.7109375" customWidth="1"/>
    <col min="14" max="14" width="15.140625" bestFit="1" customWidth="1"/>
    <col min="15" max="15" width="2.7109375" customWidth="1"/>
    <col min="16" max="16" width="14" hidden="1" customWidth="1"/>
    <col min="17" max="18" width="2.7109375" hidden="1" customWidth="1"/>
    <col min="19" max="19" width="15.140625" bestFit="1" customWidth="1"/>
    <col min="20" max="20" width="1.7109375" hidden="1" customWidth="1"/>
    <col min="21" max="21" width="14" hidden="1" customWidth="1"/>
    <col min="22" max="22" width="2.7109375" customWidth="1"/>
    <col min="23" max="23" width="15.140625" bestFit="1" customWidth="1"/>
    <col min="24" max="24" width="2.7109375" customWidth="1"/>
    <col min="25" max="25" width="15.140625" bestFit="1" customWidth="1"/>
    <col min="26" max="26" width="2.7109375" customWidth="1"/>
    <col min="27" max="27" width="15.140625" bestFit="1" customWidth="1"/>
    <col min="28" max="28" width="2.7109375" customWidth="1"/>
    <col min="29" max="29" width="15.140625" bestFit="1" customWidth="1"/>
    <col min="30" max="30" width="2.7109375" hidden="1" customWidth="1"/>
    <col min="31" max="31" width="14" hidden="1" customWidth="1"/>
    <col min="32" max="32" width="2.7109375" customWidth="1"/>
    <col min="33" max="33" width="15.140625" bestFit="1" customWidth="1"/>
    <col min="34" max="34" width="2.7109375" customWidth="1"/>
    <col min="35" max="35" width="12.7109375" hidden="1" customWidth="1"/>
    <col min="36" max="36" width="4" hidden="1" customWidth="1"/>
    <col min="37" max="37" width="15.140625" bestFit="1" customWidth="1"/>
    <col min="38" max="38" width="2.7109375" customWidth="1"/>
    <col min="39" max="39" width="15.140625" bestFit="1" customWidth="1"/>
    <col min="40" max="40" width="2.7109375" customWidth="1"/>
    <col min="41" max="41" width="15.140625" bestFit="1" customWidth="1"/>
    <col min="42" max="42" width="2.7109375" customWidth="1"/>
    <col min="43" max="43" width="15.140625" bestFit="1" customWidth="1"/>
    <col min="44" max="44" width="2.28515625" customWidth="1"/>
    <col min="45" max="45" width="15.28515625" customWidth="1"/>
    <col min="46" max="46" width="2.42578125" customWidth="1"/>
    <col min="47" max="47" width="15.28515625" hidden="1" customWidth="1"/>
    <col min="48" max="48" width="1.85546875" hidden="1" customWidth="1"/>
    <col min="49" max="49" width="15.140625" customWidth="1"/>
    <col min="50" max="50" width="3.42578125" hidden="1" customWidth="1"/>
    <col min="51" max="51" width="14.7109375" hidden="1" customWidth="1"/>
    <col min="52" max="52" width="3.42578125" customWidth="1"/>
    <col min="53" max="53" width="15.140625" bestFit="1" customWidth="1"/>
    <col min="54" max="54" width="3.28515625" customWidth="1"/>
    <col min="55" max="55" width="15.140625" bestFit="1" customWidth="1"/>
    <col min="56" max="56" width="3" customWidth="1"/>
    <col min="57" max="57" width="15" customWidth="1"/>
    <col min="58" max="58" width="2.28515625" customWidth="1"/>
    <col min="59" max="59" width="15.140625" bestFit="1" customWidth="1"/>
    <col min="60" max="60" width="1.85546875" hidden="1" customWidth="1"/>
    <col min="61" max="61" width="14" hidden="1" customWidth="1"/>
    <col min="62" max="62" width="2.28515625" customWidth="1"/>
    <col min="63" max="63" width="15.42578125" customWidth="1"/>
    <col min="64" max="64" width="3.28515625" hidden="1" customWidth="1"/>
    <col min="65" max="65" width="12.85546875" hidden="1" customWidth="1"/>
    <col min="66" max="66" width="2.7109375" customWidth="1"/>
    <col min="67" max="67" width="15.140625" bestFit="1" customWidth="1"/>
    <col min="68" max="68" width="3.28515625" customWidth="1"/>
    <col min="69" max="69" width="15.140625" bestFit="1" customWidth="1"/>
    <col min="70" max="70" width="3.140625" customWidth="1"/>
    <col min="71" max="71" width="15.140625" bestFit="1" customWidth="1"/>
    <col min="72" max="72" width="2.7109375" customWidth="1"/>
    <col min="73" max="73" width="15.140625" bestFit="1" customWidth="1"/>
    <col min="74" max="74" width="2.85546875" customWidth="1"/>
    <col min="75" max="75" width="13.140625" hidden="1" customWidth="1"/>
    <col min="76" max="76" width="3.42578125" hidden="1" customWidth="1"/>
    <col min="77" max="77" width="14.7109375" hidden="1" customWidth="1"/>
    <col min="78" max="78" width="3.42578125" hidden="1" customWidth="1"/>
    <col min="79" max="79" width="13.5703125" hidden="1" customWidth="1"/>
    <col min="80" max="80" width="15.140625" bestFit="1" customWidth="1"/>
  </cols>
  <sheetData>
    <row r="1" spans="1:79" ht="18" x14ac:dyDescent="0.25">
      <c r="A1" s="51"/>
      <c r="B1" s="403" t="s">
        <v>4326</v>
      </c>
      <c r="C1" s="404"/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404"/>
      <c r="V1" s="404"/>
      <c r="W1" s="404"/>
      <c r="X1" s="404"/>
      <c r="Y1" s="404"/>
      <c r="Z1" s="404"/>
      <c r="AA1" s="404"/>
      <c r="AB1" s="404"/>
      <c r="AC1" s="404"/>
      <c r="AD1" s="404"/>
      <c r="AE1" s="404"/>
      <c r="AF1" s="404"/>
      <c r="AG1" s="404"/>
      <c r="AH1" s="404"/>
      <c r="AI1" s="404"/>
      <c r="AJ1" s="404"/>
      <c r="AK1" s="404"/>
      <c r="AL1" s="404"/>
      <c r="AM1" s="404"/>
    </row>
    <row r="2" spans="1:79" ht="18" x14ac:dyDescent="0.25">
      <c r="A2" s="51"/>
      <c r="B2" s="403" t="s">
        <v>2968</v>
      </c>
      <c r="C2" s="404"/>
      <c r="D2" s="404"/>
      <c r="E2" s="404"/>
      <c r="F2" s="404"/>
      <c r="G2" s="404"/>
      <c r="H2" s="404"/>
      <c r="I2" s="404"/>
      <c r="J2" s="404"/>
      <c r="K2" s="404"/>
      <c r="L2" s="404"/>
      <c r="M2" s="404"/>
      <c r="N2" s="404"/>
      <c r="O2" s="404"/>
      <c r="P2" s="404"/>
      <c r="Q2" s="404"/>
      <c r="R2" s="404"/>
      <c r="S2" s="404"/>
      <c r="T2" s="404"/>
      <c r="U2" s="404"/>
      <c r="V2" s="404"/>
      <c r="W2" s="404"/>
      <c r="X2" s="404"/>
      <c r="Y2" s="404"/>
      <c r="Z2" s="404"/>
      <c r="AA2" s="404"/>
      <c r="AB2" s="404"/>
      <c r="AC2" s="404"/>
      <c r="AD2" s="404"/>
      <c r="AE2" s="404"/>
      <c r="AF2" s="404"/>
      <c r="AG2" s="404"/>
      <c r="AH2" s="404"/>
      <c r="AI2" s="404"/>
      <c r="AJ2" s="404"/>
      <c r="AK2" s="404"/>
      <c r="AL2" s="404"/>
      <c r="AM2" s="404"/>
      <c r="AP2" s="51"/>
    </row>
    <row r="3" spans="1:79" ht="18" x14ac:dyDescent="0.25">
      <c r="A3" s="52" t="s">
        <v>251</v>
      </c>
      <c r="B3" s="403" t="s">
        <v>3506</v>
      </c>
      <c r="C3" s="404"/>
      <c r="D3" s="404"/>
      <c r="E3" s="404"/>
      <c r="F3" s="404"/>
      <c r="G3" s="404"/>
      <c r="H3" s="404"/>
      <c r="I3" s="404"/>
      <c r="J3" s="404"/>
      <c r="K3" s="404"/>
      <c r="L3" s="404"/>
      <c r="M3" s="404"/>
      <c r="N3" s="404"/>
      <c r="O3" s="404"/>
      <c r="P3" s="404"/>
      <c r="Q3" s="404"/>
      <c r="R3" s="404"/>
      <c r="S3" s="404"/>
      <c r="T3" s="404"/>
      <c r="U3" s="404"/>
      <c r="V3" s="404"/>
      <c r="W3" s="404"/>
      <c r="X3" s="404"/>
      <c r="Y3" s="404"/>
      <c r="Z3" s="404"/>
      <c r="AA3" s="404"/>
      <c r="AB3" s="404"/>
      <c r="AC3" s="404"/>
      <c r="AD3" s="404"/>
      <c r="AE3" s="404"/>
      <c r="AF3" s="404"/>
      <c r="AG3" s="404"/>
      <c r="AH3" s="404"/>
      <c r="AI3" s="404"/>
      <c r="AJ3" s="404"/>
      <c r="AK3" s="404"/>
      <c r="AL3" s="404"/>
      <c r="AM3" s="404"/>
    </row>
    <row r="4" spans="1:79" ht="18" x14ac:dyDescent="0.25">
      <c r="A4" s="52" t="s">
        <v>251</v>
      </c>
      <c r="B4" s="403" t="s">
        <v>5257</v>
      </c>
      <c r="C4" s="404"/>
      <c r="D4" s="404"/>
      <c r="E4" s="404"/>
      <c r="F4" s="404"/>
      <c r="G4" s="404"/>
      <c r="H4" s="404"/>
      <c r="I4" s="404"/>
      <c r="J4" s="404"/>
      <c r="K4" s="404"/>
      <c r="L4" s="404"/>
      <c r="M4" s="404"/>
      <c r="N4" s="404"/>
      <c r="O4" s="404"/>
      <c r="P4" s="404"/>
      <c r="Q4" s="404"/>
      <c r="R4" s="404"/>
      <c r="S4" s="404"/>
      <c r="T4" s="404"/>
      <c r="U4" s="404"/>
      <c r="V4" s="404"/>
      <c r="W4" s="404"/>
      <c r="X4" s="404"/>
      <c r="Y4" s="404"/>
      <c r="Z4" s="404"/>
      <c r="AA4" s="404"/>
      <c r="AB4" s="404"/>
      <c r="AC4" s="404"/>
      <c r="AD4" s="404"/>
      <c r="AE4" s="404"/>
      <c r="AF4" s="404"/>
      <c r="AG4" s="404"/>
      <c r="AH4" s="404"/>
      <c r="AI4" s="404"/>
      <c r="AJ4" s="404"/>
      <c r="AK4" s="404"/>
      <c r="AL4" s="404"/>
      <c r="AM4" s="404"/>
    </row>
    <row r="5" spans="1:79" ht="18" x14ac:dyDescent="0.25">
      <c r="A5" s="52"/>
      <c r="B5" s="52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  <c r="AK5" s="27"/>
      <c r="AL5" s="27"/>
      <c r="AM5" s="27"/>
    </row>
    <row r="7" spans="1:79" x14ac:dyDescent="0.2">
      <c r="L7" s="27"/>
      <c r="P7" s="27" t="s">
        <v>252</v>
      </c>
      <c r="U7" s="54">
        <v>39329</v>
      </c>
      <c r="AE7" s="27" t="s">
        <v>254</v>
      </c>
      <c r="AI7" s="53" t="s">
        <v>255</v>
      </c>
      <c r="AU7" s="27" t="s">
        <v>5258</v>
      </c>
      <c r="AV7" s="27"/>
      <c r="AY7" s="53" t="s">
        <v>256</v>
      </c>
      <c r="BI7" s="27" t="s">
        <v>5259</v>
      </c>
      <c r="BM7" s="53" t="s">
        <v>257</v>
      </c>
      <c r="BW7" s="27" t="s">
        <v>229</v>
      </c>
      <c r="CA7" s="53" t="s">
        <v>258</v>
      </c>
    </row>
    <row r="8" spans="1:79" x14ac:dyDescent="0.2">
      <c r="D8" s="31" t="s">
        <v>230</v>
      </c>
      <c r="F8" s="31" t="s">
        <v>259</v>
      </c>
      <c r="H8" s="31" t="s">
        <v>2942</v>
      </c>
      <c r="J8" s="31" t="s">
        <v>2943</v>
      </c>
      <c r="L8" s="31" t="s">
        <v>2944</v>
      </c>
      <c r="N8" s="31" t="s">
        <v>233</v>
      </c>
      <c r="P8" s="31" t="s">
        <v>232</v>
      </c>
      <c r="S8" s="31" t="s">
        <v>253</v>
      </c>
      <c r="T8" s="46"/>
      <c r="U8" s="31" t="s">
        <v>232</v>
      </c>
      <c r="W8" s="31" t="s">
        <v>2945</v>
      </c>
      <c r="Y8" s="31" t="s">
        <v>2946</v>
      </c>
      <c r="AA8" s="31" t="s">
        <v>2947</v>
      </c>
      <c r="AC8" s="31" t="s">
        <v>2948</v>
      </c>
      <c r="AE8" s="31" t="s">
        <v>232</v>
      </c>
      <c r="AG8" s="31" t="s">
        <v>235</v>
      </c>
      <c r="AH8" s="46"/>
      <c r="AI8" s="31" t="s">
        <v>232</v>
      </c>
      <c r="AK8" s="31" t="s">
        <v>2949</v>
      </c>
      <c r="AM8" s="31" t="s">
        <v>2950</v>
      </c>
      <c r="AU8" s="31" t="s">
        <v>232</v>
      </c>
      <c r="AV8" s="27"/>
      <c r="AY8" s="31" t="s">
        <v>232</v>
      </c>
      <c r="BI8" s="31" t="s">
        <v>232</v>
      </c>
      <c r="BJ8" s="27"/>
      <c r="BM8" s="31" t="s">
        <v>232</v>
      </c>
      <c r="BW8" s="31" t="s">
        <v>232</v>
      </c>
      <c r="BX8" s="27"/>
      <c r="BY8" s="31" t="s">
        <v>258</v>
      </c>
      <c r="CA8" s="31" t="s">
        <v>232</v>
      </c>
    </row>
    <row r="10" spans="1:79" x14ac:dyDescent="0.2">
      <c r="B10" s="32" t="s">
        <v>3625</v>
      </c>
      <c r="D10" s="35">
        <v>85950000</v>
      </c>
      <c r="E10" s="35"/>
      <c r="F10" s="35">
        <v>85950000</v>
      </c>
      <c r="G10" s="35"/>
      <c r="H10" s="35">
        <v>85950000</v>
      </c>
      <c r="I10" s="35"/>
      <c r="J10" s="35">
        <v>85950000</v>
      </c>
      <c r="K10" s="35"/>
      <c r="L10" s="35">
        <v>85950000</v>
      </c>
      <c r="M10" s="35"/>
      <c r="N10" s="35">
        <v>85950000</v>
      </c>
      <c r="O10" s="35"/>
      <c r="P10" s="35"/>
      <c r="Q10" s="35"/>
      <c r="R10" s="35"/>
      <c r="S10" s="35">
        <v>85950000</v>
      </c>
      <c r="T10" s="35"/>
      <c r="U10" s="35"/>
      <c r="V10" s="35"/>
      <c r="W10" s="35">
        <v>85950000</v>
      </c>
      <c r="X10" s="35"/>
      <c r="Y10" s="35">
        <v>85950000</v>
      </c>
      <c r="Z10" s="35"/>
      <c r="AA10" s="35">
        <v>85950000</v>
      </c>
      <c r="AB10" s="35"/>
      <c r="AC10" s="35">
        <v>85950000</v>
      </c>
      <c r="AD10" s="35"/>
      <c r="AE10" s="35"/>
      <c r="AF10" s="35"/>
      <c r="AG10" s="35">
        <v>85950000</v>
      </c>
      <c r="AH10" s="35"/>
      <c r="AI10" s="35"/>
      <c r="AJ10" s="35"/>
      <c r="AK10" s="35">
        <v>85950000</v>
      </c>
      <c r="AL10" s="35"/>
      <c r="AM10" s="35">
        <v>85950000</v>
      </c>
      <c r="AN10" s="35"/>
      <c r="AP10" s="35"/>
      <c r="AR10" s="35"/>
      <c r="AT10" s="35"/>
      <c r="AU10" s="35"/>
      <c r="AV10" s="35"/>
      <c r="AX10" s="35"/>
      <c r="AY10" s="35"/>
      <c r="BB10" s="35"/>
      <c r="BD10" s="35"/>
      <c r="BF10" s="35"/>
      <c r="BI10" s="35"/>
      <c r="BJ10" s="35"/>
      <c r="BL10" s="35"/>
      <c r="BM10" s="35"/>
      <c r="BP10" s="35"/>
      <c r="BR10" s="35"/>
      <c r="BT10" s="35"/>
      <c r="BW10" s="35"/>
      <c r="BX10" s="35"/>
      <c r="BY10" s="35">
        <v>85950000</v>
      </c>
      <c r="BZ10" s="35"/>
      <c r="CA10" s="35"/>
    </row>
    <row r="11" spans="1:79" x14ac:dyDescent="0.2">
      <c r="B11" s="32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U11" s="35"/>
      <c r="V11" s="35"/>
      <c r="X11" s="35"/>
      <c r="Z11" s="35"/>
      <c r="AB11" s="35"/>
      <c r="AD11" s="35"/>
      <c r="AE11" s="35"/>
      <c r="AF11" s="35"/>
      <c r="AI11" s="35"/>
      <c r="AJ11" s="35"/>
      <c r="AL11" s="35"/>
      <c r="AN11" s="35"/>
      <c r="AP11" s="35"/>
      <c r="AR11" s="35"/>
      <c r="AT11" s="35"/>
      <c r="AU11" s="35"/>
      <c r="AV11" s="35"/>
      <c r="AX11" s="35"/>
      <c r="AY11" s="35"/>
      <c r="BB11" s="35"/>
      <c r="BD11" s="35"/>
      <c r="BF11" s="35"/>
      <c r="BI11" s="35"/>
      <c r="BJ11" s="35"/>
      <c r="BL11" s="35"/>
      <c r="BM11" s="35"/>
      <c r="BP11" s="35"/>
      <c r="BR11" s="35"/>
      <c r="BT11" s="35"/>
      <c r="BW11" s="35"/>
      <c r="BX11" s="35"/>
      <c r="BZ11" s="35"/>
      <c r="CA11" s="35"/>
    </row>
    <row r="12" spans="1:79" x14ac:dyDescent="0.2">
      <c r="B12" s="32" t="s">
        <v>242</v>
      </c>
      <c r="D12">
        <v>3.5499999999999997E-2</v>
      </c>
      <c r="F12">
        <v>3.5499999999999997E-2</v>
      </c>
      <c r="H12">
        <v>3.4500000000000003E-2</v>
      </c>
      <c r="J12">
        <v>3.6999999999999998E-2</v>
      </c>
      <c r="L12">
        <v>3.6999999999999998E-2</v>
      </c>
      <c r="N12">
        <v>3.7999999999999999E-2</v>
      </c>
      <c r="S12">
        <v>3.7999999999999999E-2</v>
      </c>
      <c r="W12">
        <v>3.9E-2</v>
      </c>
      <c r="Y12">
        <v>3.85E-2</v>
      </c>
      <c r="AA12">
        <v>3.85E-2</v>
      </c>
      <c r="AC12">
        <v>3.85E-2</v>
      </c>
      <c r="AG12">
        <v>3.85E-2</v>
      </c>
      <c r="AK12">
        <v>3.6999999999999998E-2</v>
      </c>
      <c r="AM12">
        <v>3.6499999999999998E-2</v>
      </c>
      <c r="AT12" s="35"/>
      <c r="BH12" s="35"/>
      <c r="BV12" s="35"/>
      <c r="BY12">
        <v>4.2500000000000003E-2</v>
      </c>
    </row>
    <row r="13" spans="1:79" x14ac:dyDescent="0.2">
      <c r="B13" s="32"/>
      <c r="BH13" s="35"/>
      <c r="BV13" s="35"/>
    </row>
    <row r="14" spans="1:79" x14ac:dyDescent="0.2">
      <c r="B14" s="32" t="s">
        <v>243</v>
      </c>
      <c r="D14" s="59">
        <f>D10*D12</f>
        <v>3051224.9999999995</v>
      </c>
      <c r="E14" s="59"/>
      <c r="F14" s="59">
        <f>(F10*F12)</f>
        <v>3051224.9999999995</v>
      </c>
      <c r="G14" s="59"/>
      <c r="H14" s="59">
        <f>(H10*H12)</f>
        <v>2965275.0000000005</v>
      </c>
      <c r="I14" s="59"/>
      <c r="J14" s="59">
        <f>(J10*J12)</f>
        <v>3180150</v>
      </c>
      <c r="K14" s="59"/>
      <c r="L14" s="59">
        <f>(L10*L12)</f>
        <v>3180150</v>
      </c>
      <c r="M14" s="59"/>
      <c r="N14" s="59">
        <f>(N10*N12)</f>
        <v>3266100</v>
      </c>
      <c r="O14" s="59"/>
      <c r="P14" s="59"/>
      <c r="Q14" s="59"/>
      <c r="R14" s="59"/>
      <c r="S14" s="59">
        <f>S10*S12</f>
        <v>3266100</v>
      </c>
      <c r="T14" s="59"/>
      <c r="U14" s="59"/>
      <c r="V14" s="59"/>
      <c r="W14" s="59">
        <f>W10*W12</f>
        <v>3352050</v>
      </c>
      <c r="X14" s="59"/>
      <c r="Y14" s="59">
        <f>Y10*Y12</f>
        <v>3309075</v>
      </c>
      <c r="Z14" s="59"/>
      <c r="AA14" s="59">
        <f>AA10*AA12</f>
        <v>3309075</v>
      </c>
      <c r="AB14" s="59"/>
      <c r="AC14" s="59">
        <f>AC10*AC12</f>
        <v>3309075</v>
      </c>
      <c r="AD14" s="59"/>
      <c r="AE14" s="59"/>
      <c r="AF14" s="59"/>
      <c r="AG14" s="59">
        <f>AG10*AG12</f>
        <v>3309075</v>
      </c>
      <c r="AH14" s="59"/>
      <c r="AI14" s="59"/>
      <c r="AJ14" s="59"/>
      <c r="AK14" s="59">
        <f>AK10*AK12</f>
        <v>3180150</v>
      </c>
      <c r="AL14" s="59"/>
      <c r="AM14" s="59">
        <f>AM10*AM12</f>
        <v>3137175</v>
      </c>
      <c r="AN14" s="45"/>
      <c r="AP14" s="45"/>
      <c r="AR14" s="45"/>
      <c r="AU14" s="45"/>
      <c r="AV14" s="45"/>
      <c r="AX14" s="45"/>
      <c r="AY14" s="45"/>
      <c r="BB14" s="45"/>
      <c r="BD14" s="45"/>
      <c r="BF14" s="45"/>
      <c r="BI14" s="45"/>
      <c r="BJ14" s="45"/>
      <c r="BL14" s="45"/>
      <c r="BM14" s="45"/>
      <c r="BP14" s="45"/>
      <c r="BR14" s="45"/>
      <c r="BT14" s="45"/>
      <c r="BW14" s="45"/>
      <c r="BX14" s="45"/>
      <c r="BY14" s="45">
        <f>BY10*BY12</f>
        <v>3652875.0000000005</v>
      </c>
      <c r="BZ14" s="45"/>
      <c r="CA14" s="45"/>
    </row>
    <row r="15" spans="1:79" x14ac:dyDescent="0.2">
      <c r="B15" s="32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U15" s="45"/>
      <c r="V15" s="45"/>
      <c r="X15" s="45"/>
      <c r="Z15" s="45"/>
      <c r="AB15" s="45"/>
      <c r="AD15" s="45"/>
      <c r="AE15" s="45"/>
      <c r="AF15" s="45"/>
      <c r="AI15" s="45"/>
      <c r="AJ15" s="45"/>
      <c r="AL15" s="45"/>
      <c r="AN15" s="45"/>
      <c r="AP15" s="45"/>
      <c r="AR15" s="45"/>
      <c r="AT15" s="45"/>
      <c r="AU15" s="45"/>
      <c r="AV15" s="45"/>
      <c r="AX15" s="45"/>
      <c r="AY15" s="45"/>
      <c r="BB15" s="45"/>
      <c r="BD15" s="45"/>
      <c r="BF15" s="45"/>
      <c r="BI15" s="45"/>
      <c r="BJ15" s="45"/>
      <c r="BL15" s="45"/>
      <c r="BM15" s="45"/>
      <c r="BP15" s="45"/>
      <c r="BR15" s="45"/>
      <c r="BT15" s="45"/>
      <c r="BW15" s="45"/>
      <c r="BX15" s="45"/>
      <c r="BZ15" s="45"/>
      <c r="CA15" s="45"/>
    </row>
    <row r="16" spans="1:79" x14ac:dyDescent="0.2">
      <c r="B16" s="32" t="s">
        <v>244</v>
      </c>
      <c r="D16" s="46">
        <f>D14/360</f>
        <v>8475.6249999999982</v>
      </c>
      <c r="E16" s="46"/>
      <c r="F16" s="46">
        <f>(F14/360)</f>
        <v>8475.6249999999982</v>
      </c>
      <c r="G16" s="46"/>
      <c r="H16" s="46">
        <f>(H14/360)</f>
        <v>8236.8750000000018</v>
      </c>
      <c r="I16" s="46"/>
      <c r="J16" s="46">
        <f>(J14/360)</f>
        <v>8833.75</v>
      </c>
      <c r="K16" s="46"/>
      <c r="L16" s="46">
        <f>(L14/360)</f>
        <v>8833.75</v>
      </c>
      <c r="M16" s="46"/>
      <c r="N16" s="46">
        <f>(N14/360)</f>
        <v>9072.5</v>
      </c>
      <c r="O16" s="46"/>
      <c r="P16" s="46"/>
      <c r="Q16" s="46"/>
      <c r="R16" s="46"/>
      <c r="S16" s="46">
        <f>S14/360</f>
        <v>9072.5</v>
      </c>
      <c r="T16" s="46"/>
      <c r="U16" s="46"/>
      <c r="V16" s="46"/>
      <c r="W16" s="46">
        <f>W14/360</f>
        <v>9311.25</v>
      </c>
      <c r="X16" s="46"/>
      <c r="Y16" s="46">
        <f>Y14/360</f>
        <v>9191.875</v>
      </c>
      <c r="Z16" s="46"/>
      <c r="AA16" s="46">
        <f>AA14/360</f>
        <v>9191.875</v>
      </c>
      <c r="AB16" s="46"/>
      <c r="AC16" s="46">
        <f>AC14/360</f>
        <v>9191.875</v>
      </c>
      <c r="AD16" s="46"/>
      <c r="AE16" s="46"/>
      <c r="AF16" s="46"/>
      <c r="AG16" s="46">
        <f>AG14/360</f>
        <v>9191.875</v>
      </c>
      <c r="AH16" s="46"/>
      <c r="AI16" s="46"/>
      <c r="AJ16" s="46"/>
      <c r="AK16" s="46">
        <f>(AK14/360)</f>
        <v>8833.75</v>
      </c>
      <c r="AL16" s="46"/>
      <c r="AM16" s="46">
        <f>(AM14/360)</f>
        <v>8714.375</v>
      </c>
      <c r="AN16" s="46"/>
      <c r="AP16" s="46"/>
      <c r="AR16" s="46"/>
      <c r="AT16" s="45"/>
      <c r="AU16" s="46"/>
      <c r="AV16" s="46"/>
      <c r="AX16" s="46"/>
      <c r="AY16" s="46"/>
      <c r="BB16" s="46"/>
      <c r="BD16" s="46"/>
      <c r="BF16" s="46"/>
      <c r="BH16" s="45"/>
      <c r="BI16" s="46"/>
      <c r="BJ16" s="46"/>
      <c r="BL16" s="46"/>
      <c r="BM16" s="46"/>
      <c r="BP16" s="46"/>
      <c r="BR16" s="46"/>
      <c r="BT16" s="46"/>
      <c r="BV16" s="45"/>
      <c r="BW16" s="46"/>
      <c r="BX16" s="46"/>
      <c r="BY16" s="46">
        <f>(BY14/360)</f>
        <v>10146.875000000002</v>
      </c>
      <c r="BZ16" s="46"/>
      <c r="CA16" s="46"/>
    </row>
    <row r="17" spans="2:79" x14ac:dyDescent="0.2">
      <c r="B17" s="32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U17" s="46"/>
      <c r="V17" s="46"/>
      <c r="X17" s="46"/>
      <c r="Z17" s="46"/>
      <c r="AB17" s="46"/>
      <c r="AD17" s="46"/>
      <c r="AE17" s="46"/>
      <c r="AF17" s="46"/>
      <c r="AI17" s="46"/>
      <c r="AJ17" s="46"/>
      <c r="AL17" s="46"/>
      <c r="AN17" s="46"/>
      <c r="AP17" s="46"/>
      <c r="AR17" s="46"/>
      <c r="AT17" s="46"/>
      <c r="AU17" s="46"/>
      <c r="AV17" s="46"/>
      <c r="AX17" s="46"/>
      <c r="AY17" s="46"/>
      <c r="BB17" s="46"/>
      <c r="BD17" s="46"/>
      <c r="BF17" s="46"/>
      <c r="BH17" s="45"/>
      <c r="BI17" s="46"/>
      <c r="BJ17" s="46"/>
      <c r="BL17" s="46"/>
      <c r="BM17" s="46"/>
      <c r="BP17" s="46"/>
      <c r="BR17" s="46"/>
      <c r="BT17" s="46"/>
      <c r="BV17" s="45"/>
      <c r="BW17" s="46"/>
      <c r="BX17" s="46"/>
      <c r="BZ17" s="46"/>
      <c r="CA17" s="46"/>
    </row>
    <row r="18" spans="2:79" x14ac:dyDescent="0.2">
      <c r="B18" s="32" t="s">
        <v>245</v>
      </c>
      <c r="D18" s="30">
        <v>7</v>
      </c>
      <c r="E18" s="30"/>
      <c r="F18" s="30">
        <v>7</v>
      </c>
      <c r="G18" s="30"/>
      <c r="H18" s="30">
        <v>7</v>
      </c>
      <c r="I18" s="30"/>
      <c r="J18" s="30">
        <v>7</v>
      </c>
      <c r="K18" s="30"/>
      <c r="L18" s="30">
        <v>7</v>
      </c>
      <c r="M18" s="30"/>
      <c r="N18" s="30">
        <v>3</v>
      </c>
      <c r="O18" s="30"/>
      <c r="P18" s="30"/>
      <c r="Q18" s="30"/>
      <c r="R18" s="30"/>
      <c r="S18">
        <v>4</v>
      </c>
      <c r="U18" s="30"/>
      <c r="V18" s="30"/>
      <c r="W18">
        <v>7</v>
      </c>
      <c r="X18" s="30"/>
      <c r="Y18">
        <v>7</v>
      </c>
      <c r="Z18" s="30"/>
      <c r="AA18">
        <v>7</v>
      </c>
      <c r="AB18" s="30"/>
      <c r="AC18">
        <v>5</v>
      </c>
      <c r="AD18" s="30"/>
      <c r="AE18" s="30"/>
      <c r="AF18" s="30"/>
      <c r="AG18">
        <v>2</v>
      </c>
      <c r="AI18" s="30"/>
      <c r="AJ18" s="30"/>
      <c r="AK18">
        <v>7</v>
      </c>
      <c r="AL18" s="30"/>
      <c r="AM18">
        <v>7</v>
      </c>
      <c r="AN18" s="30"/>
      <c r="AP18" s="30"/>
      <c r="AR18" s="30"/>
      <c r="AT18" s="46"/>
      <c r="AU18" s="30"/>
      <c r="AV18" s="30"/>
      <c r="AX18" s="30"/>
      <c r="AY18" s="30"/>
      <c r="BB18" s="30"/>
      <c r="BD18" s="30"/>
      <c r="BF18" s="30"/>
      <c r="BH18" s="46"/>
      <c r="BI18" s="30"/>
      <c r="BJ18" s="30"/>
      <c r="BL18" s="30"/>
      <c r="BM18" s="30"/>
      <c r="BP18" s="30"/>
      <c r="BR18" s="30"/>
      <c r="BT18" s="30"/>
      <c r="BV18" s="46"/>
      <c r="BW18" s="30"/>
      <c r="BX18" s="30"/>
      <c r="BY18">
        <v>1</v>
      </c>
      <c r="BZ18" s="30"/>
      <c r="CA18" s="30"/>
    </row>
    <row r="19" spans="2:79" x14ac:dyDescent="0.2">
      <c r="B19" s="32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T19" s="45"/>
      <c r="U19" s="30"/>
      <c r="V19" s="30"/>
      <c r="X19" s="30"/>
      <c r="Z19" s="30"/>
      <c r="AB19" s="30"/>
      <c r="AD19" s="30"/>
      <c r="AE19" s="30"/>
      <c r="AF19" s="30"/>
      <c r="AH19" s="45"/>
      <c r="AI19" s="30"/>
      <c r="AJ19" s="30"/>
      <c r="AL19" s="30"/>
      <c r="AN19" s="30"/>
      <c r="AP19" s="30"/>
      <c r="AR19" s="30"/>
      <c r="AT19" s="30"/>
      <c r="AU19" s="30"/>
      <c r="AV19" s="30"/>
      <c r="AX19" s="30"/>
      <c r="AY19" s="30"/>
      <c r="BB19" s="30"/>
      <c r="BD19" s="30"/>
      <c r="BF19" s="30"/>
      <c r="BH19" s="46"/>
      <c r="BI19" s="30"/>
      <c r="BJ19" s="30"/>
      <c r="BL19" s="30"/>
      <c r="BM19" s="30"/>
      <c r="BP19" s="30"/>
      <c r="BR19" s="30"/>
      <c r="BT19" s="30"/>
      <c r="BV19" s="46"/>
      <c r="BW19" s="30"/>
      <c r="BX19" s="30"/>
      <c r="BZ19" s="30"/>
      <c r="CA19" s="30"/>
    </row>
    <row r="20" spans="2:79" ht="13.5" thickBot="1" x14ac:dyDescent="0.25">
      <c r="B20" s="32" t="s">
        <v>246</v>
      </c>
      <c r="D20" s="47">
        <f>D16*D18</f>
        <v>59329.374999999985</v>
      </c>
      <c r="E20" s="36"/>
      <c r="F20" s="40">
        <f>ROUND(F16*F18,2)</f>
        <v>59329.38</v>
      </c>
      <c r="G20" s="36"/>
      <c r="H20" s="40">
        <f>ROUND(H16*H18,2)</f>
        <v>57658.13</v>
      </c>
      <c r="I20" s="36"/>
      <c r="J20" s="40">
        <f>ROUND(J16*J18,2)</f>
        <v>61836.25</v>
      </c>
      <c r="K20" s="36"/>
      <c r="L20" s="40">
        <f>ROUND(L16*L18,2)</f>
        <v>61836.25</v>
      </c>
      <c r="M20" s="36"/>
      <c r="N20" s="40">
        <f>ROUND(N16*N18,2)</f>
        <v>27217.5</v>
      </c>
      <c r="O20" s="36"/>
      <c r="P20" s="40">
        <f>F20+H20+J20+L20+N20</f>
        <v>267877.51</v>
      </c>
      <c r="Q20" s="36"/>
      <c r="R20" s="36"/>
      <c r="S20" s="40">
        <f>ROUND(S16*S18,2)</f>
        <v>36290</v>
      </c>
      <c r="T20" s="46"/>
      <c r="U20" s="40">
        <f>S20+N20</f>
        <v>63507.5</v>
      </c>
      <c r="V20" s="36"/>
      <c r="W20" s="40">
        <f>ROUND(W16*W18,2)</f>
        <v>65178.75</v>
      </c>
      <c r="X20" s="36"/>
      <c r="Y20" s="40">
        <f>ROUND(Y16*Y18,2)</f>
        <v>64343.13</v>
      </c>
      <c r="Z20" s="36"/>
      <c r="AA20" s="40">
        <f>ROUND(AA16*AA18,2)</f>
        <v>64343.13</v>
      </c>
      <c r="AB20" s="36"/>
      <c r="AC20" s="40">
        <f>ROUND(AC16*AC18,2)</f>
        <v>45959.38</v>
      </c>
      <c r="AD20" s="36"/>
      <c r="AE20" s="40">
        <f>S20+W20+Y20+AA20+AC20</f>
        <v>276114.39</v>
      </c>
      <c r="AF20" s="36"/>
      <c r="AG20" s="40">
        <f>AG16*AG18</f>
        <v>18383.75</v>
      </c>
      <c r="AH20" s="46"/>
      <c r="AI20" s="40">
        <f>AG20+AC20</f>
        <v>64343.13</v>
      </c>
      <c r="AJ20" s="36"/>
      <c r="AK20" s="40">
        <f>ROUND(AK16*AK18,2)</f>
        <v>61836.25</v>
      </c>
      <c r="AL20" s="36"/>
      <c r="AM20" s="40">
        <f>ROUND(AM16*AM18,2)</f>
        <v>61000.63</v>
      </c>
      <c r="AN20" s="36"/>
      <c r="AP20" s="36"/>
      <c r="AR20" s="36"/>
      <c r="AT20" s="30"/>
      <c r="AU20" s="40">
        <f>H47+F47+D47+AM20+AK20+AG20</f>
        <v>267161.26</v>
      </c>
      <c r="AV20" s="37"/>
      <c r="AX20" s="36"/>
      <c r="AY20" s="40">
        <f>J47+H47</f>
        <v>56822.5</v>
      </c>
      <c r="BB20" s="36"/>
      <c r="BD20" s="36"/>
      <c r="BF20" s="36"/>
      <c r="BH20" s="30"/>
      <c r="BI20" s="40">
        <f>W47+S47+N47+L47+AX21+J47</f>
        <v>256178.76</v>
      </c>
      <c r="BJ20" s="37"/>
      <c r="BL20" s="36"/>
      <c r="BM20" s="40">
        <f>Y47+W47</f>
        <v>66850</v>
      </c>
      <c r="BP20" s="36"/>
      <c r="BR20" s="36"/>
      <c r="BT20" s="36"/>
      <c r="BV20" s="30"/>
      <c r="BW20" s="40">
        <f>AK47+AG47+AC47+AA47+BL21+Y47</f>
        <v>310494.38</v>
      </c>
      <c r="BX20" s="37"/>
      <c r="BY20" s="40">
        <f>ROUND(BY16*BY18,2)</f>
        <v>10146.879999999999</v>
      </c>
      <c r="BZ20" s="36"/>
      <c r="CA20" s="40">
        <f>BY20+AK47</f>
        <v>71028.13</v>
      </c>
    </row>
    <row r="21" spans="2:79" ht="13.5" thickTop="1" x14ac:dyDescent="0.2"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T21" s="46"/>
      <c r="U21" s="36"/>
      <c r="V21" s="36"/>
      <c r="X21" s="36"/>
      <c r="Z21" s="36"/>
      <c r="AB21" s="36"/>
      <c r="AD21" s="36"/>
      <c r="AE21" s="36"/>
      <c r="AF21" s="36"/>
      <c r="AH21" s="46"/>
      <c r="AI21" s="36"/>
      <c r="AJ21" s="36"/>
      <c r="AL21" s="36"/>
      <c r="AN21" s="36"/>
      <c r="AP21" s="36"/>
      <c r="AR21" s="36"/>
      <c r="AT21" s="36"/>
      <c r="AU21" s="36"/>
      <c r="AV21" s="36"/>
      <c r="AX21" s="36"/>
      <c r="AY21" s="36"/>
      <c r="BB21" s="36"/>
      <c r="BD21" s="36"/>
      <c r="BF21" s="36"/>
      <c r="BH21" s="30"/>
      <c r="BI21" s="36"/>
      <c r="BJ21" s="36"/>
      <c r="BL21" s="36"/>
      <c r="BM21" s="36"/>
      <c r="BP21" s="36"/>
      <c r="BR21" s="36"/>
      <c r="BT21" s="36"/>
      <c r="BV21" s="30"/>
      <c r="BW21" s="36"/>
      <c r="BX21" s="36"/>
      <c r="BZ21" s="36"/>
      <c r="CA21" s="36"/>
    </row>
    <row r="22" spans="2:79" x14ac:dyDescent="0.2">
      <c r="B22" s="32" t="s">
        <v>2967</v>
      </c>
      <c r="D22" s="35">
        <f>85950000*0.0025</f>
        <v>214875</v>
      </c>
      <c r="E22" s="36"/>
      <c r="F22" s="35">
        <f>85950000*0.0025</f>
        <v>214875</v>
      </c>
      <c r="G22" s="36"/>
      <c r="H22" s="35">
        <f>85950000*0.0025</f>
        <v>214875</v>
      </c>
      <c r="I22" s="36"/>
      <c r="J22" s="35">
        <f>85950000*0.0025</f>
        <v>214875</v>
      </c>
      <c r="K22" s="36"/>
      <c r="L22" s="35">
        <f>85950000*0.0025</f>
        <v>214875</v>
      </c>
      <c r="M22" s="36"/>
      <c r="N22" s="35">
        <f>85950000*0.0025</f>
        <v>214875</v>
      </c>
      <c r="O22" s="36"/>
      <c r="P22" s="35"/>
      <c r="Q22" s="36"/>
      <c r="R22" s="36"/>
      <c r="S22" s="35">
        <f>85950000*0.0025</f>
        <v>214875</v>
      </c>
      <c r="T22" s="30"/>
      <c r="U22" s="35"/>
      <c r="V22" s="36"/>
      <c r="W22" s="35">
        <f>85950000*0.0025</f>
        <v>214875</v>
      </c>
      <c r="X22" s="36"/>
      <c r="Y22" s="35">
        <f>85950000*0.0025</f>
        <v>214875</v>
      </c>
      <c r="Z22" s="36"/>
      <c r="AA22" s="35">
        <f>85950000*0.0025</f>
        <v>214875</v>
      </c>
      <c r="AB22" s="36"/>
      <c r="AC22" s="35">
        <f>85950000*0.0025</f>
        <v>214875</v>
      </c>
      <c r="AD22" s="36"/>
      <c r="AE22" s="35"/>
      <c r="AF22" s="36"/>
      <c r="AG22" s="35">
        <f>85950000*0.0025</f>
        <v>214875</v>
      </c>
      <c r="AH22" s="30"/>
      <c r="AI22" s="35"/>
      <c r="AJ22" s="36"/>
      <c r="AK22" s="35">
        <f>85950000*0.0025</f>
        <v>214875</v>
      </c>
      <c r="AL22" s="36"/>
      <c r="AM22" s="35">
        <f>85950000*0.0025</f>
        <v>214875</v>
      </c>
      <c r="AN22" s="36"/>
      <c r="AP22" s="36"/>
      <c r="AR22" s="36"/>
      <c r="AT22" s="36"/>
      <c r="AU22" s="35"/>
      <c r="AV22" s="35"/>
      <c r="AX22" s="36"/>
      <c r="AY22" s="35"/>
      <c r="BB22" s="36"/>
      <c r="BD22" s="36"/>
      <c r="BF22" s="36"/>
      <c r="BH22" s="36"/>
      <c r="BI22" s="35"/>
      <c r="BJ22" s="35"/>
      <c r="BL22" s="36"/>
      <c r="BM22" s="35"/>
      <c r="BP22" s="36"/>
      <c r="BR22" s="36"/>
      <c r="BT22" s="36"/>
      <c r="BV22" s="36"/>
      <c r="BW22" s="35"/>
      <c r="BX22" s="35"/>
      <c r="BY22" s="35">
        <f>85950000*0.0025</f>
        <v>214875</v>
      </c>
      <c r="BZ22" s="36"/>
      <c r="CA22" s="35"/>
    </row>
    <row r="23" spans="2:79" x14ac:dyDescent="0.2">
      <c r="D23" s="35"/>
      <c r="E23" s="36"/>
      <c r="F23" s="35"/>
      <c r="G23" s="36"/>
      <c r="H23" s="36"/>
      <c r="I23" s="36"/>
      <c r="J23" s="35"/>
      <c r="K23" s="36"/>
      <c r="L23" s="35"/>
      <c r="M23" s="36"/>
      <c r="N23" s="35"/>
      <c r="O23" s="36"/>
      <c r="P23" s="35"/>
      <c r="Q23" s="36"/>
      <c r="R23" s="36"/>
      <c r="T23" s="30"/>
      <c r="U23" s="35"/>
      <c r="V23" s="36"/>
      <c r="X23" s="36"/>
      <c r="Z23" s="36"/>
      <c r="AB23" s="36"/>
      <c r="AD23" s="36"/>
      <c r="AE23" s="35"/>
      <c r="AF23" s="36"/>
      <c r="AH23" s="30"/>
      <c r="AI23" s="35"/>
      <c r="AJ23" s="36"/>
      <c r="AK23" s="35"/>
      <c r="AL23" s="36"/>
      <c r="AM23" s="35"/>
      <c r="AN23" s="36"/>
      <c r="AP23" s="36"/>
      <c r="AR23" s="36"/>
      <c r="AT23" s="36"/>
      <c r="AU23" s="35"/>
      <c r="AV23" s="35"/>
      <c r="AX23" s="36"/>
      <c r="AY23" s="35"/>
      <c r="BB23" s="36"/>
      <c r="BD23" s="36"/>
      <c r="BF23" s="36"/>
      <c r="BH23" s="36"/>
      <c r="BI23" s="35"/>
      <c r="BJ23" s="35"/>
      <c r="BL23" s="36"/>
      <c r="BM23" s="35"/>
      <c r="BP23" s="36"/>
      <c r="BR23" s="36"/>
      <c r="BT23" s="36"/>
      <c r="BV23" s="36"/>
      <c r="BW23" s="35"/>
      <c r="BX23" s="35"/>
      <c r="BY23" s="35"/>
      <c r="BZ23" s="36"/>
      <c r="CA23" s="35"/>
    </row>
    <row r="24" spans="2:79" x14ac:dyDescent="0.2">
      <c r="B24" s="32" t="s">
        <v>248</v>
      </c>
      <c r="D24" s="46">
        <f>D22/360</f>
        <v>596.875</v>
      </c>
      <c r="E24" s="36"/>
      <c r="F24" s="46">
        <f>(F22/360)</f>
        <v>596.875</v>
      </c>
      <c r="G24" s="36"/>
      <c r="H24" s="46">
        <f>H22/360</f>
        <v>596.875</v>
      </c>
      <c r="I24" s="36"/>
      <c r="J24" s="46">
        <f>J22/360</f>
        <v>596.875</v>
      </c>
      <c r="K24" s="36"/>
      <c r="L24" s="46">
        <f>L22/360</f>
        <v>596.875</v>
      </c>
      <c r="M24" s="36"/>
      <c r="N24" s="46">
        <f>(N22/360)</f>
        <v>596.875</v>
      </c>
      <c r="O24" s="36"/>
      <c r="P24" s="46"/>
      <c r="Q24" s="36"/>
      <c r="R24" s="36"/>
      <c r="S24" s="46">
        <f>S22/360</f>
        <v>596.875</v>
      </c>
      <c r="T24" s="36"/>
      <c r="U24" s="46"/>
      <c r="V24" s="36"/>
      <c r="W24" s="46">
        <f>W22/360</f>
        <v>596.875</v>
      </c>
      <c r="X24" s="36"/>
      <c r="Y24" s="46">
        <f>Y22/360</f>
        <v>596.875</v>
      </c>
      <c r="Z24" s="36"/>
      <c r="AA24" s="46">
        <f>AA22/360</f>
        <v>596.875</v>
      </c>
      <c r="AB24" s="36"/>
      <c r="AC24" s="46">
        <f>AC22/360</f>
        <v>596.875</v>
      </c>
      <c r="AD24" s="36"/>
      <c r="AE24" s="46"/>
      <c r="AF24" s="36"/>
      <c r="AG24" s="46">
        <f>AG22/360</f>
        <v>596.875</v>
      </c>
      <c r="AH24" s="36"/>
      <c r="AI24" s="46"/>
      <c r="AJ24" s="36"/>
      <c r="AK24" s="46">
        <f>AK22/360</f>
        <v>596.875</v>
      </c>
      <c r="AL24" s="36"/>
      <c r="AM24" s="46">
        <f>AM22/360</f>
        <v>596.875</v>
      </c>
      <c r="AN24" s="36"/>
      <c r="AP24" s="36"/>
      <c r="AR24" s="36"/>
      <c r="AT24" s="36"/>
      <c r="AU24" s="46"/>
      <c r="AV24" s="46"/>
      <c r="AX24" s="36"/>
      <c r="AY24" s="46"/>
      <c r="BB24" s="36"/>
      <c r="BD24" s="36"/>
      <c r="BF24" s="36"/>
      <c r="BH24" s="36"/>
      <c r="BI24" s="46"/>
      <c r="BJ24" s="46"/>
      <c r="BL24" s="36"/>
      <c r="BM24" s="46"/>
      <c r="BP24" s="36"/>
      <c r="BR24" s="36"/>
      <c r="BT24" s="36"/>
      <c r="BV24" s="36"/>
      <c r="BW24" s="46"/>
      <c r="BX24" s="46"/>
      <c r="BY24" s="46">
        <f>BY22/360</f>
        <v>596.875</v>
      </c>
      <c r="BZ24" s="36"/>
      <c r="CA24" s="46"/>
    </row>
    <row r="25" spans="2:79" x14ac:dyDescent="0.2">
      <c r="B25" s="32"/>
      <c r="D25" s="46"/>
      <c r="E25" s="36"/>
      <c r="F25" s="46"/>
      <c r="G25" s="36"/>
      <c r="H25" s="36"/>
      <c r="I25" s="36"/>
      <c r="J25" s="46"/>
      <c r="K25" s="36"/>
      <c r="L25" s="46"/>
      <c r="M25" s="36"/>
      <c r="N25" s="46"/>
      <c r="O25" s="36"/>
      <c r="P25" s="46"/>
      <c r="Q25" s="36"/>
      <c r="R25" s="36"/>
      <c r="T25" s="36"/>
      <c r="U25" s="46"/>
      <c r="V25" s="36"/>
      <c r="X25" s="36"/>
      <c r="Z25" s="36"/>
      <c r="AB25" s="36"/>
      <c r="AD25" s="36"/>
      <c r="AE25" s="46"/>
      <c r="AF25" s="36"/>
      <c r="AH25" s="36"/>
      <c r="AI25" s="46"/>
      <c r="AJ25" s="36"/>
      <c r="AK25" s="46"/>
      <c r="AL25" s="36"/>
      <c r="AM25" s="46"/>
      <c r="AN25" s="36"/>
      <c r="AP25" s="36"/>
      <c r="AR25" s="36"/>
      <c r="AT25" s="36"/>
      <c r="AU25" s="46"/>
      <c r="AV25" s="46"/>
      <c r="AX25" s="36"/>
      <c r="AY25" s="46"/>
      <c r="BB25" s="36"/>
      <c r="BD25" s="36"/>
      <c r="BF25" s="36"/>
      <c r="BH25" s="36"/>
      <c r="BI25" s="46"/>
      <c r="BJ25" s="46"/>
      <c r="BL25" s="36"/>
      <c r="BM25" s="46"/>
      <c r="BP25" s="36"/>
      <c r="BR25" s="36"/>
      <c r="BT25" s="36"/>
      <c r="BV25" s="36"/>
      <c r="BW25" s="46"/>
      <c r="BX25" s="46"/>
      <c r="BY25" s="46"/>
      <c r="BZ25" s="36"/>
      <c r="CA25" s="46"/>
    </row>
    <row r="26" spans="2:79" x14ac:dyDescent="0.2">
      <c r="B26" s="32" t="s">
        <v>245</v>
      </c>
      <c r="D26">
        <v>7</v>
      </c>
      <c r="E26" s="36"/>
      <c r="F26">
        <v>7</v>
      </c>
      <c r="G26" s="36"/>
      <c r="H26">
        <v>7</v>
      </c>
      <c r="I26" s="36"/>
      <c r="J26" s="30">
        <v>7</v>
      </c>
      <c r="K26" s="36"/>
      <c r="L26" s="30">
        <v>7</v>
      </c>
      <c r="M26" s="36"/>
      <c r="N26">
        <v>3</v>
      </c>
      <c r="O26" s="36"/>
      <c r="Q26" s="36"/>
      <c r="R26" s="36"/>
      <c r="S26">
        <v>4</v>
      </c>
      <c r="T26" s="36"/>
      <c r="V26" s="36"/>
      <c r="W26">
        <v>7</v>
      </c>
      <c r="X26" s="36"/>
      <c r="Y26">
        <v>7</v>
      </c>
      <c r="Z26" s="36"/>
      <c r="AA26">
        <v>7</v>
      </c>
      <c r="AB26" s="36"/>
      <c r="AC26">
        <v>5</v>
      </c>
      <c r="AD26" s="36"/>
      <c r="AF26" s="36"/>
      <c r="AG26">
        <v>2</v>
      </c>
      <c r="AH26" s="36"/>
      <c r="AJ26" s="36"/>
      <c r="AK26" s="30">
        <v>7</v>
      </c>
      <c r="AL26" s="36"/>
      <c r="AM26" s="30">
        <v>7</v>
      </c>
      <c r="AN26" s="36"/>
      <c r="AP26" s="36"/>
      <c r="AR26" s="36"/>
      <c r="AT26" s="36"/>
      <c r="AX26" s="36"/>
      <c r="BB26" s="36"/>
      <c r="BD26" s="36"/>
      <c r="BF26" s="36"/>
      <c r="BH26" s="36"/>
      <c r="BL26" s="36"/>
      <c r="BP26" s="36"/>
      <c r="BR26" s="36"/>
      <c r="BT26" s="36"/>
      <c r="BV26" s="36"/>
      <c r="BY26" s="30">
        <v>1</v>
      </c>
      <c r="BZ26" s="36"/>
    </row>
    <row r="27" spans="2:79" x14ac:dyDescent="0.2">
      <c r="B27" s="32"/>
      <c r="E27" s="36"/>
      <c r="G27" s="36"/>
      <c r="H27" s="36"/>
      <c r="I27" s="36"/>
      <c r="K27" s="36"/>
      <c r="M27" s="36"/>
      <c r="O27" s="36"/>
      <c r="P27" s="36"/>
      <c r="Q27" s="36"/>
      <c r="R27" s="36"/>
      <c r="T27" s="36"/>
      <c r="U27" s="36"/>
      <c r="V27" s="36"/>
      <c r="X27" s="36"/>
      <c r="Z27" s="36"/>
      <c r="AB27" s="36"/>
      <c r="AD27" s="36"/>
      <c r="AE27" s="36"/>
      <c r="AF27" s="36"/>
      <c r="AH27" s="36"/>
      <c r="AI27" s="36"/>
      <c r="AJ27" s="36"/>
      <c r="AL27" s="36"/>
      <c r="AN27" s="36"/>
      <c r="AP27" s="36"/>
      <c r="AR27" s="36"/>
      <c r="AT27" s="36"/>
      <c r="AU27" s="36"/>
      <c r="AV27" s="36"/>
      <c r="AX27" s="36"/>
      <c r="AY27" s="36"/>
      <c r="BB27" s="36"/>
      <c r="BD27" s="36"/>
      <c r="BF27" s="36"/>
      <c r="BH27" s="36"/>
      <c r="BI27" s="36"/>
      <c r="BJ27" s="36"/>
      <c r="BL27" s="36"/>
      <c r="BM27" s="36"/>
      <c r="BP27" s="36"/>
      <c r="BR27" s="36"/>
      <c r="BT27" s="36"/>
      <c r="BV27" s="36"/>
      <c r="BW27" s="36"/>
      <c r="BX27" s="36"/>
      <c r="BZ27" s="36"/>
      <c r="CA27" s="36"/>
    </row>
    <row r="28" spans="2:79" ht="13.5" thickBot="1" x14ac:dyDescent="0.25">
      <c r="B28" s="32" t="s">
        <v>249</v>
      </c>
      <c r="D28" s="47">
        <f>D24*D26</f>
        <v>4178.125</v>
      </c>
      <c r="E28" s="36"/>
      <c r="F28" s="47">
        <f>ROUND(F24*F26,2)</f>
        <v>4178.13</v>
      </c>
      <c r="G28" s="36"/>
      <c r="H28" s="47">
        <f>ROUND(H24*H26,2)</f>
        <v>4178.13</v>
      </c>
      <c r="I28" s="36"/>
      <c r="J28" s="47">
        <f>ROUND(J24*J26,2)</f>
        <v>4178.13</v>
      </c>
      <c r="K28" s="36"/>
      <c r="L28" s="47">
        <f>ROUND(L24*L26,2)</f>
        <v>4178.13</v>
      </c>
      <c r="M28" s="36"/>
      <c r="N28" s="47">
        <f>ROUND(N24*N26,2)</f>
        <v>1790.63</v>
      </c>
      <c r="O28" s="36"/>
      <c r="P28" s="40">
        <f>F28+H28+J28+L28+N28</f>
        <v>18503.150000000001</v>
      </c>
      <c r="Q28" s="36"/>
      <c r="R28" s="36"/>
      <c r="S28" s="47">
        <f>ROUND(S24*S26,2)</f>
        <v>2387.5</v>
      </c>
      <c r="T28" s="36"/>
      <c r="U28" s="40">
        <f>S28+N28</f>
        <v>4178.13</v>
      </c>
      <c r="V28" s="36"/>
      <c r="W28" s="47">
        <f>ROUND(W24*W26,2)</f>
        <v>4178.13</v>
      </c>
      <c r="X28" s="36"/>
      <c r="Y28" s="47">
        <f>ROUND(Y24*Y26,2)</f>
        <v>4178.13</v>
      </c>
      <c r="Z28" s="36"/>
      <c r="AA28" s="47">
        <f>ROUND(AA24*AA26,2)</f>
        <v>4178.13</v>
      </c>
      <c r="AB28" s="36"/>
      <c r="AC28" s="47">
        <f>ROUND(AC24*AC26,2)</f>
        <v>2984.38</v>
      </c>
      <c r="AD28" s="36"/>
      <c r="AE28" s="40">
        <f>S28+W28+Y28+AA28+AC28</f>
        <v>17906.27</v>
      </c>
      <c r="AF28" s="36"/>
      <c r="AG28" s="47">
        <f>ROUND(AG24*AG26,2)</f>
        <v>1193.75</v>
      </c>
      <c r="AH28" s="36"/>
      <c r="AI28" s="40">
        <f>AG28+AC28</f>
        <v>4178.13</v>
      </c>
      <c r="AJ28" s="36"/>
      <c r="AK28" s="40">
        <f>ROUND(AK24*AK26,2)</f>
        <v>4178.13</v>
      </c>
      <c r="AL28" s="36"/>
      <c r="AM28" s="40">
        <f>ROUND(AM24*AM26,2)</f>
        <v>4178.13</v>
      </c>
      <c r="AN28" s="36"/>
      <c r="AP28" s="36"/>
      <c r="AR28" s="36"/>
      <c r="AT28" s="36"/>
      <c r="AU28" s="40">
        <f>H55+F55+D55+AM28+AK28+AG28</f>
        <v>18503.150000000001</v>
      </c>
      <c r="AV28" s="37"/>
      <c r="AX28" s="36"/>
      <c r="AY28" s="40">
        <f>J55+H55</f>
        <v>4178.13</v>
      </c>
      <c r="BB28" s="36"/>
      <c r="BD28" s="36"/>
      <c r="BF28" s="36"/>
      <c r="BH28" s="36"/>
      <c r="BI28" s="40">
        <f>W55+S55+N55+L55+AX29+J55</f>
        <v>17906.27</v>
      </c>
      <c r="BJ28" s="37"/>
      <c r="BL28" s="36"/>
      <c r="BM28" s="40">
        <f>Y55+W55</f>
        <v>4178.13</v>
      </c>
      <c r="BP28" s="36"/>
      <c r="BR28" s="36"/>
      <c r="BT28" s="36"/>
      <c r="BV28" s="36"/>
      <c r="BW28" s="40">
        <f>AK55+AG55+AC55+AA55+BL29+Y55</f>
        <v>18503.14</v>
      </c>
      <c r="BX28" s="37"/>
      <c r="BY28" s="40">
        <f>ROUND(BY24*BY26,2)</f>
        <v>596.88</v>
      </c>
      <c r="BZ28" s="36"/>
      <c r="CA28" s="40">
        <f>BY28+AK55</f>
        <v>4178.13</v>
      </c>
    </row>
    <row r="29" spans="2:79" ht="13.5" thickTop="1" x14ac:dyDescent="0.2"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T29" s="36"/>
      <c r="U29" s="36"/>
      <c r="V29" s="36"/>
      <c r="X29" s="36"/>
      <c r="Z29" s="36"/>
      <c r="AB29" s="36"/>
      <c r="AD29" s="36"/>
      <c r="AE29" s="36"/>
      <c r="AF29" s="36"/>
      <c r="AH29" s="36"/>
      <c r="AI29" s="36"/>
      <c r="AJ29" s="36"/>
      <c r="AK29" s="36"/>
      <c r="AL29" s="36"/>
      <c r="AM29" s="36"/>
      <c r="AN29" s="36"/>
      <c r="AP29" s="36"/>
      <c r="AR29" s="36"/>
      <c r="AT29" s="36"/>
      <c r="AU29" s="36"/>
      <c r="AV29" s="36"/>
      <c r="AX29" s="36"/>
      <c r="AY29" s="36"/>
      <c r="BB29" s="36"/>
      <c r="BD29" s="36"/>
      <c r="BF29" s="36"/>
      <c r="BH29" s="36"/>
      <c r="BI29" s="36"/>
      <c r="BJ29" s="36"/>
      <c r="BL29" s="36"/>
      <c r="BM29" s="36"/>
      <c r="BP29" s="36"/>
      <c r="BR29" s="36"/>
      <c r="BT29" s="36"/>
      <c r="BV29" s="36"/>
      <c r="BW29" s="36"/>
      <c r="BX29" s="36"/>
      <c r="BY29" s="36"/>
      <c r="BZ29" s="36"/>
      <c r="CA29" s="36"/>
    </row>
    <row r="30" spans="2:79" x14ac:dyDescent="0.2"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T30" s="36"/>
      <c r="U30" s="36"/>
      <c r="V30" s="36"/>
      <c r="X30" s="36"/>
      <c r="Z30" s="36"/>
      <c r="AB30" s="36"/>
      <c r="AD30" s="36"/>
      <c r="AE30" s="36"/>
      <c r="AF30" s="36"/>
      <c r="AH30" s="36"/>
      <c r="AI30" s="36"/>
      <c r="AJ30" s="36"/>
      <c r="AK30" s="36"/>
      <c r="AL30" s="36"/>
      <c r="AM30" s="36"/>
      <c r="AN30" s="36"/>
      <c r="AP30" s="36"/>
      <c r="AR30" s="36"/>
      <c r="AT30" s="36"/>
      <c r="AU30" s="36"/>
      <c r="AV30" s="36"/>
      <c r="AX30" s="36"/>
      <c r="AY30" s="36"/>
      <c r="BB30" s="36"/>
      <c r="BD30" s="36"/>
      <c r="BF30" s="36"/>
      <c r="BH30" s="36"/>
      <c r="BI30" s="36"/>
      <c r="BJ30" s="36"/>
      <c r="BL30" s="36"/>
      <c r="BM30" s="36"/>
      <c r="BP30" s="36"/>
      <c r="BR30" s="36"/>
      <c r="BT30" s="36"/>
      <c r="BV30" s="36"/>
      <c r="BW30" s="36"/>
      <c r="BX30" s="36"/>
      <c r="BY30" s="36"/>
      <c r="BZ30" s="36"/>
      <c r="CA30" s="36"/>
    </row>
    <row r="31" spans="2:79" ht="13.5" thickBot="1" x14ac:dyDescent="0.25">
      <c r="B31" s="38" t="s">
        <v>250</v>
      </c>
      <c r="D31" s="39">
        <f>D20+D28</f>
        <v>63507.499999999985</v>
      </c>
      <c r="E31" s="36"/>
      <c r="F31" s="39">
        <f>F28+F20+0.01</f>
        <v>63507.519999999997</v>
      </c>
      <c r="G31" s="36"/>
      <c r="H31" s="39">
        <f>H20+H28</f>
        <v>61836.259999999995</v>
      </c>
      <c r="I31" s="36"/>
      <c r="J31" s="39">
        <f>J20+J28</f>
        <v>66014.38</v>
      </c>
      <c r="K31" s="36"/>
      <c r="L31" s="39">
        <f>L20+L28</f>
        <v>66014.38</v>
      </c>
      <c r="M31" s="36"/>
      <c r="N31" s="39">
        <f>N20+N28</f>
        <v>29008.13</v>
      </c>
      <c r="O31" s="36"/>
      <c r="P31" s="40">
        <f>P20+P28</f>
        <v>286380.66000000003</v>
      </c>
      <c r="Q31" s="36"/>
      <c r="R31" s="36"/>
      <c r="S31" s="39">
        <f>S20+S28</f>
        <v>38677.5</v>
      </c>
      <c r="T31" s="36"/>
      <c r="U31" s="40">
        <f>U20+U28</f>
        <v>67685.63</v>
      </c>
      <c r="V31" s="36"/>
      <c r="W31" s="39">
        <f>W20+W28</f>
        <v>69356.88</v>
      </c>
      <c r="X31" s="36"/>
      <c r="Y31" s="39">
        <f>Y20+Y28</f>
        <v>68521.259999999995</v>
      </c>
      <c r="Z31" s="36"/>
      <c r="AA31" s="39">
        <f>AA20+AA28</f>
        <v>68521.259999999995</v>
      </c>
      <c r="AB31" s="36"/>
      <c r="AC31" s="39">
        <f>AC20+AC28</f>
        <v>48943.759999999995</v>
      </c>
      <c r="AD31" s="36"/>
      <c r="AE31" s="40">
        <f>AE20+AE28</f>
        <v>294020.66000000003</v>
      </c>
      <c r="AF31" s="36"/>
      <c r="AG31" s="39">
        <f>AG20+AG28</f>
        <v>19577.5</v>
      </c>
      <c r="AH31" s="36"/>
      <c r="AI31" s="40">
        <f>AI20+AI28</f>
        <v>68521.259999999995</v>
      </c>
      <c r="AJ31" s="36"/>
      <c r="AK31" s="39">
        <f>AK20+AK28</f>
        <v>66014.38</v>
      </c>
      <c r="AL31" s="36"/>
      <c r="AM31" s="39">
        <f>AM20+AM28</f>
        <v>65178.759999999995</v>
      </c>
      <c r="AN31" s="36"/>
      <c r="AP31" s="36"/>
      <c r="AR31" s="36"/>
      <c r="AT31" s="36"/>
      <c r="AU31" s="40">
        <f>AU20+AU28</f>
        <v>285664.41000000003</v>
      </c>
      <c r="AV31" s="37"/>
      <c r="AX31" s="36"/>
      <c r="AY31" s="40">
        <f>AY20+AY28</f>
        <v>61000.63</v>
      </c>
      <c r="BB31" s="36"/>
      <c r="BD31" s="36"/>
      <c r="BF31" s="36"/>
      <c r="BH31" s="36"/>
      <c r="BI31" s="40">
        <f>BI20+BI28</f>
        <v>274085.03000000003</v>
      </c>
      <c r="BJ31" s="37"/>
      <c r="BL31" s="36"/>
      <c r="BM31" s="40">
        <f>BM20+BM28</f>
        <v>71028.13</v>
      </c>
      <c r="BP31" s="36"/>
      <c r="BR31" s="36"/>
      <c r="BT31" s="36"/>
      <c r="BV31" s="36"/>
      <c r="BW31" s="40">
        <f>BW20+BW28</f>
        <v>328997.52</v>
      </c>
      <c r="BX31" s="37"/>
      <c r="BY31" s="39">
        <f>BY20+BY28</f>
        <v>10743.759999999998</v>
      </c>
      <c r="BZ31" s="36"/>
      <c r="CA31" s="40">
        <f>CA20+CA28</f>
        <v>75206.260000000009</v>
      </c>
    </row>
    <row r="32" spans="2:79" ht="13.5" thickTop="1" x14ac:dyDescent="0.2">
      <c r="B32" s="32"/>
      <c r="D32" s="41"/>
      <c r="E32" s="36"/>
      <c r="F32" s="41"/>
      <c r="G32" s="36"/>
      <c r="H32" s="41"/>
      <c r="I32" s="36"/>
      <c r="J32" s="36"/>
      <c r="K32" s="36"/>
      <c r="L32" s="36"/>
      <c r="M32" s="36"/>
      <c r="N32" s="36"/>
      <c r="O32" s="36"/>
      <c r="P32" s="41"/>
      <c r="Q32" s="36"/>
      <c r="R32" s="36"/>
      <c r="T32" s="36"/>
      <c r="U32" s="41"/>
      <c r="V32" s="36"/>
      <c r="X32" s="36"/>
      <c r="Z32" s="36"/>
      <c r="AB32" s="36"/>
      <c r="AD32" s="36"/>
      <c r="AE32" s="41"/>
      <c r="AF32" s="36"/>
    </row>
    <row r="33" spans="2:39" x14ac:dyDescent="0.2">
      <c r="B33" s="42"/>
      <c r="D33" s="43"/>
      <c r="E33" s="36"/>
      <c r="F33" s="43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T33" s="36"/>
      <c r="U33" s="36"/>
      <c r="V33" s="36"/>
      <c r="X33" s="36"/>
      <c r="Z33" s="36"/>
      <c r="AB33" s="36"/>
      <c r="AD33" s="36"/>
      <c r="AE33" s="36"/>
      <c r="AF33" s="36"/>
    </row>
    <row r="34" spans="2:39" x14ac:dyDescent="0.2">
      <c r="D34" s="36"/>
      <c r="E34" s="36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T34" s="36"/>
      <c r="U34" s="36"/>
      <c r="V34" s="36"/>
      <c r="X34" s="36"/>
      <c r="Z34" s="36"/>
      <c r="AB34" s="36"/>
      <c r="AD34" s="36"/>
      <c r="AE34" s="36"/>
      <c r="AF34" s="36"/>
    </row>
    <row r="35" spans="2:39" x14ac:dyDescent="0.2">
      <c r="D35" s="31" t="s">
        <v>2951</v>
      </c>
      <c r="E35" s="36"/>
      <c r="F35" s="31" t="s">
        <v>2952</v>
      </c>
      <c r="G35" s="36"/>
      <c r="H35" s="55" t="s">
        <v>2966</v>
      </c>
      <c r="I35" s="36"/>
      <c r="J35" s="31" t="s">
        <v>237</v>
      </c>
      <c r="K35" s="36"/>
      <c r="L35" s="31" t="s">
        <v>2953</v>
      </c>
      <c r="M35" s="36"/>
      <c r="N35" s="31" t="s">
        <v>2954</v>
      </c>
      <c r="O35" s="36"/>
      <c r="P35" s="36"/>
      <c r="Q35" s="36"/>
      <c r="R35" s="36"/>
      <c r="S35" s="31" t="s">
        <v>2955</v>
      </c>
      <c r="U35" s="36"/>
      <c r="V35" s="36"/>
      <c r="W35" s="31" t="s">
        <v>2956</v>
      </c>
      <c r="X35" s="36"/>
      <c r="Y35" s="31" t="s">
        <v>2957</v>
      </c>
      <c r="Z35" s="36"/>
      <c r="AA35" s="31" t="s">
        <v>2958</v>
      </c>
      <c r="AB35" s="36"/>
      <c r="AC35" s="31" t="s">
        <v>2959</v>
      </c>
      <c r="AD35" s="36"/>
      <c r="AE35" s="36"/>
      <c r="AF35" s="36"/>
      <c r="AG35" s="31" t="s">
        <v>2960</v>
      </c>
      <c r="AK35" s="31" t="s">
        <v>2961</v>
      </c>
      <c r="AM35" s="56" t="s">
        <v>3622</v>
      </c>
    </row>
    <row r="36" spans="2:39" x14ac:dyDescent="0.2">
      <c r="B36" s="32"/>
      <c r="E36" s="36"/>
      <c r="G36" s="36"/>
      <c r="I36" s="36"/>
      <c r="K36" s="36"/>
      <c r="M36" s="36"/>
      <c r="O36" s="36"/>
      <c r="P36" s="36"/>
      <c r="Q36" s="36"/>
      <c r="R36" s="36"/>
      <c r="U36" s="36"/>
      <c r="V36" s="36"/>
      <c r="X36" s="36"/>
      <c r="Z36" s="36"/>
      <c r="AB36" s="36"/>
      <c r="AD36" s="36"/>
      <c r="AE36" s="36"/>
      <c r="AF36" s="36"/>
      <c r="AM36" s="26"/>
    </row>
    <row r="37" spans="2:39" x14ac:dyDescent="0.2">
      <c r="B37" s="32" t="s">
        <v>3625</v>
      </c>
      <c r="D37" s="35">
        <v>85950000</v>
      </c>
      <c r="E37" s="36"/>
      <c r="F37" s="35">
        <v>85950000</v>
      </c>
      <c r="G37" s="36"/>
      <c r="H37" s="35">
        <v>85950000</v>
      </c>
      <c r="I37" s="36"/>
      <c r="J37" s="35">
        <v>85950000</v>
      </c>
      <c r="K37" s="36"/>
      <c r="L37" s="35">
        <v>85950000</v>
      </c>
      <c r="M37" s="36"/>
      <c r="N37" s="35">
        <v>85950000</v>
      </c>
      <c r="O37" s="36"/>
      <c r="P37" s="36"/>
      <c r="Q37" s="36"/>
      <c r="R37" s="36"/>
      <c r="S37" s="35">
        <v>85950000</v>
      </c>
      <c r="U37" s="36"/>
      <c r="V37" s="36"/>
      <c r="W37" s="35">
        <v>85950000</v>
      </c>
      <c r="X37" s="36"/>
      <c r="Y37" s="35">
        <v>85950000</v>
      </c>
      <c r="Z37" s="36"/>
      <c r="AA37" s="35">
        <v>85950000</v>
      </c>
      <c r="AB37" s="36"/>
      <c r="AC37" s="35">
        <v>85950000</v>
      </c>
      <c r="AD37" s="36"/>
      <c r="AE37" s="36"/>
      <c r="AF37" s="36"/>
      <c r="AG37" s="35">
        <v>85950000</v>
      </c>
      <c r="AK37" s="35">
        <v>85950000</v>
      </c>
      <c r="AM37" s="45">
        <v>85950000</v>
      </c>
    </row>
    <row r="38" spans="2:39" x14ac:dyDescent="0.2">
      <c r="B38" s="32"/>
      <c r="AM38" s="26"/>
    </row>
    <row r="39" spans="2:39" x14ac:dyDescent="0.2">
      <c r="B39" s="32" t="s">
        <v>242</v>
      </c>
      <c r="D39">
        <v>3.5499999999999997E-2</v>
      </c>
      <c r="F39">
        <v>3.5000000000000003E-2</v>
      </c>
      <c r="H39">
        <v>3.4000000000000002E-2</v>
      </c>
      <c r="J39">
        <v>3.4000000000000002E-2</v>
      </c>
      <c r="L39">
        <v>3.4000000000000002E-2</v>
      </c>
      <c r="N39">
        <v>3.5499999999999997E-2</v>
      </c>
      <c r="S39">
        <v>3.7499999999999999E-2</v>
      </c>
      <c r="W39">
        <v>0.04</v>
      </c>
      <c r="Y39">
        <v>0.04</v>
      </c>
      <c r="AA39">
        <v>4.2500000000000003E-2</v>
      </c>
      <c r="AC39">
        <v>4.2000000000000003E-2</v>
      </c>
      <c r="AG39">
        <v>4.2000000000000003E-2</v>
      </c>
      <c r="AK39">
        <v>4.2500000000000003E-2</v>
      </c>
      <c r="AM39" s="61">
        <f>((AM61/360)*360)/AM37</f>
        <v>3.9746948574752757E-2</v>
      </c>
    </row>
    <row r="40" spans="2:39" x14ac:dyDescent="0.2">
      <c r="B40" s="32"/>
      <c r="AM40" s="26"/>
    </row>
    <row r="41" spans="2:39" x14ac:dyDescent="0.2">
      <c r="B41" s="32" t="s">
        <v>243</v>
      </c>
      <c r="D41" s="59">
        <f>D37*D39</f>
        <v>3051224.9999999995</v>
      </c>
      <c r="E41" s="60"/>
      <c r="F41" s="59">
        <f>F37*F39</f>
        <v>3008250.0000000005</v>
      </c>
      <c r="H41" s="59">
        <f>H37*H39</f>
        <v>2922300</v>
      </c>
      <c r="I41" s="60"/>
      <c r="J41" s="59">
        <f>J37*J39</f>
        <v>2922300</v>
      </c>
      <c r="K41" s="60"/>
      <c r="L41" s="59">
        <f>L37*L39</f>
        <v>2922300</v>
      </c>
      <c r="M41" s="60"/>
      <c r="N41" s="59">
        <f>N37*N39</f>
        <v>3051224.9999999995</v>
      </c>
      <c r="O41" s="60"/>
      <c r="P41" s="60"/>
      <c r="Q41" s="60"/>
      <c r="R41" s="60"/>
      <c r="S41" s="59">
        <f>S37*S39</f>
        <v>3223125</v>
      </c>
      <c r="T41" s="60"/>
      <c r="U41" s="60"/>
      <c r="V41" s="60"/>
      <c r="W41" s="59">
        <f>W37*W39</f>
        <v>3438000</v>
      </c>
      <c r="X41" s="60"/>
      <c r="Y41" s="59">
        <f>Y37*Y39</f>
        <v>3438000</v>
      </c>
      <c r="Z41" s="60"/>
      <c r="AA41" s="59">
        <f>AA37*AA39</f>
        <v>3652875.0000000005</v>
      </c>
      <c r="AB41" s="60"/>
      <c r="AC41" s="59">
        <f>AC37*AC39</f>
        <v>3609900</v>
      </c>
      <c r="AD41" s="60"/>
      <c r="AE41" s="60"/>
      <c r="AF41" s="60"/>
      <c r="AG41" s="59">
        <f>AG37*AG39</f>
        <v>3609900</v>
      </c>
      <c r="AH41" s="60"/>
      <c r="AI41" s="60"/>
      <c r="AJ41" s="60"/>
      <c r="AK41" s="59">
        <f>AK37*AK39</f>
        <v>3652875.0000000005</v>
      </c>
      <c r="AM41" s="26"/>
    </row>
    <row r="42" spans="2:39" x14ac:dyDescent="0.2">
      <c r="B42" s="32"/>
      <c r="AM42" s="26"/>
    </row>
    <row r="43" spans="2:39" x14ac:dyDescent="0.2">
      <c r="B43" s="32" t="s">
        <v>244</v>
      </c>
      <c r="D43" s="46">
        <f>(D41/360)</f>
        <v>8475.6249999999982</v>
      </c>
      <c r="F43" s="46">
        <f>(F41/360)</f>
        <v>8356.2500000000018</v>
      </c>
      <c r="H43" s="46">
        <f>(H41/360)</f>
        <v>8117.5</v>
      </c>
      <c r="J43" s="46">
        <f>(J41/360)</f>
        <v>8117.5</v>
      </c>
      <c r="L43" s="46">
        <f>(L41/360)</f>
        <v>8117.5</v>
      </c>
      <c r="N43" s="46">
        <f>(N41/360)</f>
        <v>8475.6249999999982</v>
      </c>
      <c r="S43" s="46">
        <f>(S41/360)</f>
        <v>8953.125</v>
      </c>
      <c r="W43" s="46">
        <f>(W41/360)</f>
        <v>9550</v>
      </c>
      <c r="Y43" s="46">
        <f>(Y41/360)</f>
        <v>9550</v>
      </c>
      <c r="AA43" s="46">
        <f>(AA41/360)</f>
        <v>10146.875000000002</v>
      </c>
      <c r="AC43" s="46">
        <f>(AC41/360)</f>
        <v>10027.5</v>
      </c>
      <c r="AG43" s="46">
        <f>(AG41/360)</f>
        <v>10027.5</v>
      </c>
      <c r="AK43" s="46">
        <f>(AK41/360)</f>
        <v>10146.875000000002</v>
      </c>
      <c r="AM43" s="26"/>
    </row>
    <row r="44" spans="2:39" x14ac:dyDescent="0.2">
      <c r="B44" s="32"/>
      <c r="AM44" s="26"/>
    </row>
    <row r="45" spans="2:39" x14ac:dyDescent="0.2">
      <c r="B45" s="32" t="s">
        <v>245</v>
      </c>
      <c r="D45">
        <v>7</v>
      </c>
      <c r="F45">
        <v>7</v>
      </c>
      <c r="H45">
        <v>1</v>
      </c>
      <c r="J45">
        <v>6</v>
      </c>
      <c r="L45">
        <v>7</v>
      </c>
      <c r="N45">
        <v>7</v>
      </c>
      <c r="S45">
        <v>7</v>
      </c>
      <c r="W45">
        <v>3</v>
      </c>
      <c r="Y45">
        <v>4</v>
      </c>
      <c r="AA45">
        <v>7</v>
      </c>
      <c r="AC45">
        <v>7</v>
      </c>
      <c r="AG45">
        <v>7</v>
      </c>
      <c r="AK45">
        <v>6</v>
      </c>
      <c r="AM45" s="57">
        <f>D18+F18+H18+J18+L18+N18+S18+W18+Y18+AA18+AC18+AG18+AK18+AM18+D45+F45+H45+J45+L45+N45+S45+W45+Y45+AA45+AC45+AG45+AK45</f>
        <v>160</v>
      </c>
    </row>
    <row r="46" spans="2:39" x14ac:dyDescent="0.2">
      <c r="B46" s="32"/>
      <c r="AM46" s="26"/>
    </row>
    <row r="47" spans="2:39" ht="13.5" thickBot="1" x14ac:dyDescent="0.25">
      <c r="B47" s="32" t="s">
        <v>246</v>
      </c>
      <c r="D47" s="40">
        <f>ROUND(D43*D45,2)</f>
        <v>59329.38</v>
      </c>
      <c r="F47" s="40">
        <f>ROUND(F43*F45,2)</f>
        <v>58493.75</v>
      </c>
      <c r="H47" s="40">
        <f>ROUND(H43*H45,2)</f>
        <v>8117.5</v>
      </c>
      <c r="J47" s="40">
        <f>ROUND(J43*J45,2)</f>
        <v>48705</v>
      </c>
      <c r="L47" s="40">
        <f>ROUND(L43*L45,2)</f>
        <v>56822.5</v>
      </c>
      <c r="N47" s="40">
        <f>ROUND(N43*N45,2)</f>
        <v>59329.38</v>
      </c>
      <c r="S47" s="40">
        <f>ROUND(S43*S45,2)</f>
        <v>62671.88</v>
      </c>
      <c r="W47" s="40">
        <f>ROUND(W43*W45,2)</f>
        <v>28650</v>
      </c>
      <c r="Y47" s="40">
        <f>ROUND(Y43*Y45,2)</f>
        <v>38200</v>
      </c>
      <c r="AA47" s="40">
        <f>ROUND(AA43*AA45,2)</f>
        <v>71028.13</v>
      </c>
      <c r="AC47" s="40">
        <f>ROUND(AC43*AC45,2)</f>
        <v>70192.5</v>
      </c>
      <c r="AG47" s="40">
        <f>ROUND(AG43*AG45,2)</f>
        <v>70192.5</v>
      </c>
      <c r="AK47" s="40">
        <f>ROUND(AK43*AK45,2)</f>
        <v>60881.25</v>
      </c>
      <c r="AM47" s="26"/>
    </row>
    <row r="48" spans="2:39" ht="13.5" thickTop="1" x14ac:dyDescent="0.2">
      <c r="AM48" s="26"/>
    </row>
    <row r="49" spans="2:39" x14ac:dyDescent="0.2">
      <c r="B49" s="32" t="s">
        <v>2967</v>
      </c>
      <c r="D49" s="35">
        <f>85950000*0.0025</f>
        <v>214875</v>
      </c>
      <c r="F49" s="35">
        <f>85950000*0.0025</f>
        <v>214875</v>
      </c>
      <c r="H49" s="35">
        <f>85950000*0.0025</f>
        <v>214875</v>
      </c>
      <c r="J49" s="35">
        <f>85950000*0.0025</f>
        <v>214875</v>
      </c>
      <c r="L49" s="35">
        <f>85950000*0.0025</f>
        <v>214875</v>
      </c>
      <c r="N49" s="35">
        <f>85950000*0.0025</f>
        <v>214875</v>
      </c>
      <c r="S49" s="35">
        <f>85950000*0.0025</f>
        <v>214875</v>
      </c>
      <c r="W49" s="35">
        <f>85950000*0.0025</f>
        <v>214875</v>
      </c>
      <c r="Y49" s="35">
        <f>85950000*0.0025</f>
        <v>214875</v>
      </c>
      <c r="AA49" s="35">
        <f>85950000*0.0025</f>
        <v>214875</v>
      </c>
      <c r="AC49" s="35">
        <f>85950000*0.0025</f>
        <v>214875</v>
      </c>
      <c r="AG49" s="35">
        <f>85950000*0.0025</f>
        <v>214875</v>
      </c>
      <c r="AK49" s="35">
        <f>85950000*0.0025</f>
        <v>214875</v>
      </c>
      <c r="AM49" s="26"/>
    </row>
    <row r="50" spans="2:39" x14ac:dyDescent="0.2">
      <c r="D50" s="35"/>
      <c r="F50" s="35"/>
      <c r="H50" s="35"/>
      <c r="J50" s="35"/>
      <c r="L50" s="35"/>
      <c r="N50" s="35"/>
      <c r="S50" s="35"/>
      <c r="W50" s="35"/>
      <c r="Y50" s="35"/>
      <c r="AA50" s="35"/>
      <c r="AC50" s="35"/>
      <c r="AG50" s="35"/>
      <c r="AK50" s="35"/>
      <c r="AM50" s="26"/>
    </row>
    <row r="51" spans="2:39" x14ac:dyDescent="0.2">
      <c r="B51" s="32" t="s">
        <v>248</v>
      </c>
      <c r="D51" s="46">
        <f>D49/360</f>
        <v>596.875</v>
      </c>
      <c r="F51" s="46">
        <f>F49/360</f>
        <v>596.875</v>
      </c>
      <c r="H51" s="46">
        <f>H49/360</f>
        <v>596.875</v>
      </c>
      <c r="J51" s="46">
        <f>J49/360</f>
        <v>596.875</v>
      </c>
      <c r="L51" s="46">
        <f>L49/360</f>
        <v>596.875</v>
      </c>
      <c r="N51" s="46">
        <f>N49/360</f>
        <v>596.875</v>
      </c>
      <c r="S51" s="46">
        <f>S49/360</f>
        <v>596.875</v>
      </c>
      <c r="W51" s="46">
        <f>W49/360</f>
        <v>596.875</v>
      </c>
      <c r="Y51" s="46">
        <f>Y49/360</f>
        <v>596.875</v>
      </c>
      <c r="AA51" s="46">
        <f>AA49/360</f>
        <v>596.875</v>
      </c>
      <c r="AC51" s="46">
        <f>AC49/360</f>
        <v>596.875</v>
      </c>
      <c r="AG51" s="46">
        <f>AG49/360</f>
        <v>596.875</v>
      </c>
      <c r="AK51" s="46">
        <f>AK49/360</f>
        <v>596.875</v>
      </c>
      <c r="AM51" s="26"/>
    </row>
    <row r="52" spans="2:39" x14ac:dyDescent="0.2">
      <c r="B52" s="32"/>
      <c r="D52" s="46"/>
      <c r="F52" s="46"/>
      <c r="H52" s="46"/>
      <c r="J52" s="46"/>
      <c r="L52" s="46"/>
      <c r="N52" s="46"/>
      <c r="S52" s="46"/>
      <c r="W52" s="46"/>
      <c r="Y52" s="46"/>
      <c r="AA52" s="46"/>
      <c r="AC52" s="46"/>
      <c r="AG52" s="46"/>
      <c r="AK52" s="46"/>
      <c r="AM52" s="26"/>
    </row>
    <row r="53" spans="2:39" x14ac:dyDescent="0.2">
      <c r="B53" s="32" t="s">
        <v>245</v>
      </c>
      <c r="D53" s="30">
        <v>7</v>
      </c>
      <c r="F53" s="30">
        <v>7</v>
      </c>
      <c r="H53" s="30">
        <v>1</v>
      </c>
      <c r="J53" s="30">
        <v>6</v>
      </c>
      <c r="L53" s="30">
        <v>7</v>
      </c>
      <c r="N53" s="30">
        <v>7</v>
      </c>
      <c r="S53" s="30">
        <v>7</v>
      </c>
      <c r="W53" s="30">
        <v>3</v>
      </c>
      <c r="Y53" s="30">
        <v>4</v>
      </c>
      <c r="AA53" s="30">
        <v>7</v>
      </c>
      <c r="AC53" s="30">
        <v>7</v>
      </c>
      <c r="AG53" s="30">
        <v>7</v>
      </c>
      <c r="AK53" s="30">
        <v>6</v>
      </c>
      <c r="AM53" s="57">
        <f>D26+F26+H26+J26+L26+N26+S26+W26+Y26+AA26+AC26+AG26+AK26+AM26+D53+F53+H53+J53+L53+N53+S53+W53+Y53+AA53+AC53+AG53+AK53</f>
        <v>160</v>
      </c>
    </row>
    <row r="54" spans="2:39" x14ac:dyDescent="0.2">
      <c r="B54" s="32"/>
      <c r="AM54" s="26"/>
    </row>
    <row r="55" spans="2:39" ht="13.5" thickBot="1" x14ac:dyDescent="0.25">
      <c r="B55" s="32" t="s">
        <v>249</v>
      </c>
      <c r="D55" s="40">
        <f>ROUND(D51*D53,2)</f>
        <v>4178.13</v>
      </c>
      <c r="F55" s="39">
        <f>ROUND(F51*F53,2)</f>
        <v>4178.13</v>
      </c>
      <c r="H55" s="39">
        <f>ROUND(H51*H53,2)</f>
        <v>596.88</v>
      </c>
      <c r="J55" s="40">
        <f>ROUND(J51*J53,2)</f>
        <v>3581.25</v>
      </c>
      <c r="L55" s="40">
        <f>ROUND(L51*L53,2)</f>
        <v>4178.13</v>
      </c>
      <c r="N55" s="40">
        <f>ROUND(N51*N53,2)</f>
        <v>4178.13</v>
      </c>
      <c r="S55" s="40">
        <f>ROUND(S51*S53,2)</f>
        <v>4178.13</v>
      </c>
      <c r="W55" s="39">
        <f>ROUND(W51*W53,2)</f>
        <v>1790.63</v>
      </c>
      <c r="Y55" s="40">
        <f>ROUND(Y51*Y53,2)</f>
        <v>2387.5</v>
      </c>
      <c r="AA55" s="40">
        <f>ROUND(AA51*AA53,2)</f>
        <v>4178.13</v>
      </c>
      <c r="AC55" s="40">
        <f>ROUND(AC51*AC53,2)</f>
        <v>4178.13</v>
      </c>
      <c r="AG55" s="40">
        <f>ROUND(AG51*AG53,2)</f>
        <v>4178.13</v>
      </c>
      <c r="AK55" s="39">
        <f>ROUND(AK51*AK53,2)</f>
        <v>3581.25</v>
      </c>
      <c r="AM55" s="26"/>
    </row>
    <row r="56" spans="2:39" ht="13.5" thickTop="1" x14ac:dyDescent="0.2">
      <c r="D56" s="36"/>
      <c r="F56" s="36"/>
      <c r="H56" s="36"/>
      <c r="J56" s="36"/>
      <c r="L56" s="36"/>
      <c r="N56" s="36"/>
      <c r="S56" s="36"/>
      <c r="W56" s="36"/>
      <c r="Y56" s="36"/>
      <c r="AA56" s="36"/>
      <c r="AC56" s="36"/>
      <c r="AG56" s="36"/>
      <c r="AK56" s="36"/>
      <c r="AM56" s="26"/>
    </row>
    <row r="57" spans="2:39" x14ac:dyDescent="0.2">
      <c r="D57" s="36"/>
      <c r="F57" s="36"/>
      <c r="H57" s="36"/>
      <c r="J57" s="36"/>
      <c r="L57" s="36"/>
      <c r="N57" s="36"/>
      <c r="S57" s="36"/>
      <c r="W57" s="36"/>
      <c r="Y57" s="36"/>
      <c r="AA57" s="36"/>
      <c r="AC57" s="36"/>
      <c r="AG57" s="36"/>
      <c r="AK57" s="36"/>
      <c r="AM57" s="26"/>
    </row>
    <row r="58" spans="2:39" ht="13.5" thickBot="1" x14ac:dyDescent="0.25">
      <c r="B58" s="38" t="s">
        <v>250</v>
      </c>
      <c r="D58" s="39">
        <f>D47+D55</f>
        <v>63507.509999999995</v>
      </c>
      <c r="F58" s="39">
        <f>F47+F55</f>
        <v>62671.88</v>
      </c>
      <c r="H58" s="39">
        <f>H47+H55</f>
        <v>8714.3799999999992</v>
      </c>
      <c r="J58" s="39">
        <f>J47+J55</f>
        <v>52286.25</v>
      </c>
      <c r="L58" s="39">
        <f>L47+L55</f>
        <v>61000.63</v>
      </c>
      <c r="N58" s="39">
        <f>N47+N55</f>
        <v>63507.509999999995</v>
      </c>
      <c r="S58" s="39">
        <f>S47+S55</f>
        <v>66850.009999999995</v>
      </c>
      <c r="W58" s="39">
        <f>W47+W55</f>
        <v>30440.63</v>
      </c>
      <c r="Y58" s="39">
        <f>Y47+Y55</f>
        <v>40587.5</v>
      </c>
      <c r="AA58" s="39">
        <f>AA47+AA55</f>
        <v>75206.260000000009</v>
      </c>
      <c r="AC58" s="39">
        <f>AC47+AC55</f>
        <v>74370.63</v>
      </c>
      <c r="AG58" s="39">
        <f>AG47+AG55</f>
        <v>74370.63</v>
      </c>
      <c r="AK58" s="39">
        <f>AK47+AK55</f>
        <v>64462.5</v>
      </c>
      <c r="AM58" s="58">
        <f>D31+F31+H31+J31+L31+N31+S31+W31+Y31+AA31+AC31+AG31+AK31+AM31+D58+F58+H58+J58+L58+N58+S58+W58+Y58+AA58+AC58+AG58+AK58</f>
        <v>1532655.7899999996</v>
      </c>
    </row>
    <row r="59" spans="2:39" ht="13.5" thickTop="1" x14ac:dyDescent="0.2"/>
    <row r="61" spans="2:39" ht="13.5" thickBot="1" x14ac:dyDescent="0.25">
      <c r="AM61" s="63">
        <f>AM58+D121+D86+2387.49</f>
        <v>3416250.2299999995</v>
      </c>
    </row>
    <row r="62" spans="2:39" ht="13.5" thickTop="1" x14ac:dyDescent="0.2"/>
    <row r="63" spans="2:39" x14ac:dyDescent="0.2">
      <c r="D63" s="31" t="s">
        <v>2980</v>
      </c>
      <c r="AM63" s="46">
        <f>3416250.23-AM61</f>
        <v>0</v>
      </c>
    </row>
    <row r="65" spans="2:6" x14ac:dyDescent="0.2">
      <c r="B65" s="32" t="s">
        <v>3625</v>
      </c>
      <c r="D65" s="35">
        <v>85950000</v>
      </c>
      <c r="F65" s="36"/>
    </row>
    <row r="66" spans="2:6" x14ac:dyDescent="0.2">
      <c r="B66" s="32"/>
    </row>
    <row r="67" spans="2:6" x14ac:dyDescent="0.2">
      <c r="B67" s="32" t="s">
        <v>242</v>
      </c>
      <c r="D67">
        <v>3.85E-2</v>
      </c>
    </row>
    <row r="68" spans="2:6" x14ac:dyDescent="0.2">
      <c r="B68" s="32"/>
    </row>
    <row r="69" spans="2:6" x14ac:dyDescent="0.2">
      <c r="B69" s="32" t="s">
        <v>243</v>
      </c>
      <c r="D69" s="59">
        <f>D65*D67</f>
        <v>3309075</v>
      </c>
      <c r="F69" s="62"/>
    </row>
    <row r="70" spans="2:6" x14ac:dyDescent="0.2">
      <c r="B70" s="32"/>
    </row>
    <row r="71" spans="2:6" x14ac:dyDescent="0.2">
      <c r="B71" s="32" t="s">
        <v>244</v>
      </c>
      <c r="D71" s="46">
        <f>(D69/360)</f>
        <v>9191.875</v>
      </c>
      <c r="F71" s="46"/>
    </row>
    <row r="72" spans="2:6" x14ac:dyDescent="0.2">
      <c r="B72" s="32"/>
    </row>
    <row r="73" spans="2:6" x14ac:dyDescent="0.2">
      <c r="B73" s="32" t="s">
        <v>245</v>
      </c>
      <c r="D73">
        <v>3</v>
      </c>
    </row>
    <row r="74" spans="2:6" x14ac:dyDescent="0.2">
      <c r="B74" s="32"/>
    </row>
    <row r="75" spans="2:6" ht="13.5" thickBot="1" x14ac:dyDescent="0.25">
      <c r="B75" s="32" t="s">
        <v>246</v>
      </c>
      <c r="D75" s="40">
        <f>ROUND(D71*D73,2)</f>
        <v>27575.63</v>
      </c>
      <c r="F75" s="37"/>
    </row>
    <row r="76" spans="2:6" ht="13.5" thickTop="1" x14ac:dyDescent="0.2"/>
    <row r="77" spans="2:6" x14ac:dyDescent="0.2">
      <c r="B77" s="32" t="s">
        <v>2967</v>
      </c>
      <c r="D77" s="35">
        <f>85950000*0.0025</f>
        <v>214875</v>
      </c>
      <c r="F77" s="35">
        <f>85950000*0.0025</f>
        <v>214875</v>
      </c>
    </row>
    <row r="79" spans="2:6" x14ac:dyDescent="0.2">
      <c r="B79" s="32" t="s">
        <v>248</v>
      </c>
      <c r="D79" s="46">
        <f>D77/360</f>
        <v>596.875</v>
      </c>
      <c r="F79" s="46">
        <f>F77/360</f>
        <v>596.875</v>
      </c>
    </row>
    <row r="80" spans="2:6" x14ac:dyDescent="0.2">
      <c r="B80" s="32"/>
    </row>
    <row r="81" spans="2:6" x14ac:dyDescent="0.2">
      <c r="B81" s="32" t="s">
        <v>245</v>
      </c>
      <c r="D81">
        <v>3</v>
      </c>
      <c r="F81">
        <v>4</v>
      </c>
    </row>
    <row r="82" spans="2:6" x14ac:dyDescent="0.2">
      <c r="B82" s="32"/>
    </row>
    <row r="83" spans="2:6" ht="13.5" thickBot="1" x14ac:dyDescent="0.25">
      <c r="B83" s="32" t="s">
        <v>249</v>
      </c>
      <c r="D83" s="40">
        <f>ROUND(D79*D81,2)</f>
        <v>1790.63</v>
      </c>
      <c r="F83" s="40">
        <f>ROUND(F79*F81,2)</f>
        <v>2387.5</v>
      </c>
    </row>
    <row r="84" spans="2:6" ht="13.5" thickTop="1" x14ac:dyDescent="0.2"/>
    <row r="86" spans="2:6" ht="13.5" thickBot="1" x14ac:dyDescent="0.25">
      <c r="B86" s="38" t="s">
        <v>250</v>
      </c>
      <c r="D86" s="39">
        <f>D75+D83</f>
        <v>29366.260000000002</v>
      </c>
      <c r="F86" s="39">
        <f>F75+F83</f>
        <v>2387.5</v>
      </c>
    </row>
    <row r="87" spans="2:6" ht="13.5" thickTop="1" x14ac:dyDescent="0.2"/>
    <row r="92" spans="2:6" x14ac:dyDescent="0.2">
      <c r="D92">
        <v>55748.13</v>
      </c>
    </row>
    <row r="93" spans="2:6" x14ac:dyDescent="0.2">
      <c r="D93">
        <v>61836.26</v>
      </c>
    </row>
    <row r="94" spans="2:6" x14ac:dyDescent="0.2">
      <c r="D94">
        <v>62671.88</v>
      </c>
    </row>
    <row r="95" spans="2:6" x14ac:dyDescent="0.2">
      <c r="D95">
        <v>62337.63</v>
      </c>
    </row>
    <row r="96" spans="2:6" x14ac:dyDescent="0.2">
      <c r="D96">
        <v>62671.88</v>
      </c>
    </row>
    <row r="97" spans="4:4" x14ac:dyDescent="0.2">
      <c r="D97">
        <v>61836.26</v>
      </c>
    </row>
    <row r="98" spans="4:4" x14ac:dyDescent="0.2">
      <c r="D98">
        <v>61836.26</v>
      </c>
    </row>
    <row r="99" spans="4:4" x14ac:dyDescent="0.2">
      <c r="D99">
        <v>62671.88</v>
      </c>
    </row>
    <row r="100" spans="4:4" x14ac:dyDescent="0.2">
      <c r="D100">
        <v>62671.88</v>
      </c>
    </row>
    <row r="101" spans="4:4" x14ac:dyDescent="0.2">
      <c r="D101">
        <v>62671.88</v>
      </c>
    </row>
    <row r="102" spans="4:4" x14ac:dyDescent="0.2">
      <c r="D102">
        <v>61836.26</v>
      </c>
    </row>
    <row r="103" spans="4:4" x14ac:dyDescent="0.2">
      <c r="D103">
        <v>62671.88</v>
      </c>
    </row>
    <row r="104" spans="4:4" x14ac:dyDescent="0.2">
      <c r="D104">
        <v>63507.51</v>
      </c>
    </row>
    <row r="105" spans="4:4" x14ac:dyDescent="0.2">
      <c r="D105">
        <v>63340.38</v>
      </c>
    </row>
    <row r="106" spans="4:4" x14ac:dyDescent="0.2">
      <c r="D106">
        <v>64343.13</v>
      </c>
    </row>
    <row r="107" spans="4:4" x14ac:dyDescent="0.2">
      <c r="D107">
        <v>65178.76</v>
      </c>
    </row>
    <row r="108" spans="4:4" x14ac:dyDescent="0.2">
      <c r="D108">
        <v>65178.76</v>
      </c>
    </row>
    <row r="109" spans="4:4" x14ac:dyDescent="0.2">
      <c r="D109">
        <v>66014.38</v>
      </c>
    </row>
    <row r="110" spans="4:4" x14ac:dyDescent="0.2">
      <c r="D110">
        <v>66014.38</v>
      </c>
    </row>
    <row r="111" spans="4:4" x14ac:dyDescent="0.2">
      <c r="D111">
        <v>66014.37</v>
      </c>
    </row>
    <row r="112" spans="4:4" x14ac:dyDescent="0.2">
      <c r="D112">
        <v>66014.38</v>
      </c>
    </row>
    <row r="113" spans="4:4" x14ac:dyDescent="0.2">
      <c r="D113">
        <v>66850.009999999995</v>
      </c>
    </row>
    <row r="114" spans="4:4" x14ac:dyDescent="0.2">
      <c r="D114">
        <v>66014.38</v>
      </c>
    </row>
    <row r="115" spans="4:4" x14ac:dyDescent="0.2">
      <c r="D115">
        <v>65178.76</v>
      </c>
    </row>
    <row r="116" spans="4:4" x14ac:dyDescent="0.2">
      <c r="D116">
        <v>66014.38</v>
      </c>
    </row>
    <row r="117" spans="4:4" x14ac:dyDescent="0.2">
      <c r="D117">
        <v>66850.009999999995</v>
      </c>
    </row>
    <row r="118" spans="4:4" x14ac:dyDescent="0.2">
      <c r="D118">
        <v>65178.76</v>
      </c>
    </row>
    <row r="119" spans="4:4" x14ac:dyDescent="0.2">
      <c r="D119">
        <v>64343.13</v>
      </c>
    </row>
    <row r="120" spans="4:4" x14ac:dyDescent="0.2">
      <c r="D120">
        <v>64343.13</v>
      </c>
    </row>
    <row r="121" spans="4:4" x14ac:dyDescent="0.2">
      <c r="D121" s="35">
        <f>SUM(D92:D120)</f>
        <v>1851840.69</v>
      </c>
    </row>
  </sheetData>
  <mergeCells count="4">
    <mergeCell ref="B4:AM4"/>
    <mergeCell ref="B1:AM1"/>
    <mergeCell ref="B2:AM2"/>
    <mergeCell ref="B3:AM3"/>
  </mergeCells>
  <phoneticPr fontId="5" type="noConversion"/>
  <pageMargins left="0.75" right="0.75" top="1" bottom="1" header="0.5" footer="0.5"/>
  <pageSetup scale="42" orientation="landscape" r:id="rId1"/>
  <headerFooter alignWithMargins="0"/>
  <customProperties>
    <customPr name="_pios_id" r:id="rId2"/>
    <customPr name="EpmWorksheetKeyString_GUID" r:id="rId3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B1:BF57"/>
  <sheetViews>
    <sheetView zoomScale="80" zoomScaleNormal="80" workbookViewId="0">
      <selection activeCell="AM58" sqref="AM58"/>
    </sheetView>
  </sheetViews>
  <sheetFormatPr defaultColWidth="9.140625" defaultRowHeight="12.75" x14ac:dyDescent="0.2"/>
  <cols>
    <col min="1" max="1" width="2.7109375" customWidth="1"/>
    <col min="2" max="2" width="28.5703125" bestFit="1" customWidth="1"/>
    <col min="3" max="3" width="2.7109375" customWidth="1"/>
    <col min="4" max="4" width="15.140625" bestFit="1" customWidth="1"/>
    <col min="5" max="5" width="2.7109375" customWidth="1"/>
    <col min="6" max="6" width="15.140625" bestFit="1" customWidth="1"/>
    <col min="7" max="7" width="2.7109375" customWidth="1"/>
    <col min="8" max="8" width="15.140625" bestFit="1" customWidth="1"/>
    <col min="9" max="9" width="2.7109375" customWidth="1"/>
    <col min="10" max="10" width="15.140625" customWidth="1"/>
    <col min="11" max="11" width="2.7109375" hidden="1" customWidth="1"/>
    <col min="12" max="12" width="8.85546875" hidden="1" customWidth="1"/>
    <col min="13" max="13" width="2.7109375" customWidth="1"/>
    <col min="14" max="14" width="15.140625" customWidth="1"/>
    <col min="15" max="15" width="2.7109375" hidden="1" customWidth="1"/>
    <col min="16" max="16" width="12.28515625" hidden="1" customWidth="1"/>
    <col min="17" max="17" width="2.7109375" customWidth="1"/>
    <col min="18" max="18" width="15.7109375" customWidth="1"/>
    <col min="19" max="19" width="2.7109375" hidden="1" customWidth="1"/>
    <col min="20" max="20" width="15.140625" hidden="1" customWidth="1"/>
    <col min="21" max="21" width="2.7109375" customWidth="1"/>
    <col min="22" max="22" width="15.140625" bestFit="1" customWidth="1"/>
    <col min="23" max="23" width="2.7109375" hidden="1" customWidth="1"/>
    <col min="24" max="24" width="17.140625" hidden="1" customWidth="1"/>
    <col min="25" max="25" width="2.7109375" customWidth="1"/>
    <col min="26" max="26" width="15.140625" bestFit="1" customWidth="1"/>
    <col min="27" max="27" width="2.7109375" hidden="1" customWidth="1"/>
    <col min="28" max="28" width="13" hidden="1" customWidth="1"/>
    <col min="29" max="29" width="2.7109375" customWidth="1"/>
    <col min="30" max="30" width="15.140625" bestFit="1" customWidth="1"/>
    <col min="31" max="31" width="1.85546875" hidden="1" customWidth="1"/>
    <col min="32" max="32" width="14" hidden="1" customWidth="1"/>
    <col min="33" max="33" width="2.7109375" customWidth="1"/>
    <col min="34" max="34" width="15.140625" bestFit="1" customWidth="1"/>
    <col min="35" max="35" width="2.7109375" hidden="1" customWidth="1"/>
    <col min="36" max="36" width="14" hidden="1" customWidth="1"/>
    <col min="37" max="37" width="2.7109375" customWidth="1"/>
    <col min="38" max="38" width="15.140625" bestFit="1" customWidth="1"/>
    <col min="39" max="39" width="2.7109375" hidden="1" customWidth="1"/>
    <col min="40" max="40" width="15.140625" hidden="1" customWidth="1"/>
    <col min="41" max="41" width="2.7109375" customWidth="1"/>
    <col min="42" max="42" width="14.5703125" customWidth="1"/>
    <col min="43" max="43" width="3" hidden="1" customWidth="1"/>
    <col min="44" max="44" width="15" hidden="1" customWidth="1"/>
    <col min="45" max="45" width="2.28515625" customWidth="1"/>
    <col min="46" max="46" width="14.7109375" customWidth="1"/>
    <col min="47" max="47" width="4" hidden="1" customWidth="1"/>
    <col min="48" max="48" width="15.5703125" hidden="1" customWidth="1"/>
    <col min="49" max="49" width="2.28515625" customWidth="1"/>
    <col min="50" max="50" width="16.42578125" customWidth="1"/>
    <col min="51" max="51" width="3.7109375" hidden="1" customWidth="1"/>
    <col min="52" max="52" width="18.42578125" hidden="1" customWidth="1"/>
    <col min="53" max="53" width="5" hidden="1" customWidth="1"/>
    <col min="54" max="54" width="15.7109375" hidden="1" customWidth="1"/>
    <col min="55" max="55" width="4.7109375" hidden="1" customWidth="1"/>
    <col min="56" max="56" width="19.5703125" hidden="1" customWidth="1"/>
    <col min="57" max="57" width="2.7109375" customWidth="1"/>
    <col min="58" max="58" width="15.140625" bestFit="1" customWidth="1"/>
  </cols>
  <sheetData>
    <row r="1" spans="2:58" ht="18" x14ac:dyDescent="0.25">
      <c r="B1" s="403" t="s">
        <v>4326</v>
      </c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  <c r="Q1" s="403"/>
      <c r="R1" s="403"/>
      <c r="S1" s="403"/>
      <c r="T1" s="403"/>
      <c r="U1" s="403"/>
      <c r="V1" s="403"/>
      <c r="W1" s="403"/>
      <c r="X1" s="403"/>
      <c r="Y1" s="403"/>
      <c r="Z1" s="403"/>
      <c r="AA1" s="403"/>
      <c r="AB1" s="403"/>
      <c r="AC1" s="403"/>
      <c r="AD1" s="403"/>
      <c r="AE1" s="403"/>
      <c r="AF1" s="403"/>
      <c r="AG1" s="403"/>
      <c r="AH1" s="403"/>
      <c r="AI1" s="403"/>
      <c r="AJ1" s="403"/>
      <c r="AK1" s="403"/>
      <c r="AL1" s="403"/>
      <c r="AM1" s="403"/>
      <c r="AN1" s="403"/>
      <c r="AO1" s="403"/>
      <c r="AP1" s="403"/>
      <c r="AQ1" s="403"/>
      <c r="AR1" s="403"/>
      <c r="AS1" s="403"/>
      <c r="AT1" s="403"/>
      <c r="AU1" s="403"/>
      <c r="AV1" s="403"/>
      <c r="AW1" s="403"/>
      <c r="AX1" s="403"/>
      <c r="AY1" s="403"/>
      <c r="AZ1" s="403"/>
      <c r="BA1" s="403"/>
      <c r="BB1" s="403"/>
      <c r="BC1" s="403"/>
      <c r="BD1" s="403"/>
      <c r="BE1" s="403"/>
      <c r="BF1" s="403"/>
    </row>
    <row r="2" spans="2:58" ht="18" x14ac:dyDescent="0.25">
      <c r="B2" s="403" t="s">
        <v>2979</v>
      </c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403"/>
      <c r="R2" s="403"/>
      <c r="S2" s="403"/>
      <c r="T2" s="403"/>
      <c r="U2" s="403"/>
      <c r="V2" s="403"/>
      <c r="W2" s="403"/>
      <c r="X2" s="403"/>
      <c r="Y2" s="403"/>
      <c r="Z2" s="403"/>
      <c r="AA2" s="403"/>
      <c r="AB2" s="403"/>
      <c r="AC2" s="403"/>
      <c r="AD2" s="403"/>
      <c r="AE2" s="403"/>
      <c r="AF2" s="403"/>
      <c r="AG2" s="403"/>
      <c r="AH2" s="403"/>
      <c r="AI2" s="403"/>
      <c r="AJ2" s="403"/>
      <c r="AK2" s="403"/>
      <c r="AL2" s="403"/>
      <c r="AM2" s="403"/>
      <c r="AN2" s="403"/>
      <c r="AO2" s="403"/>
      <c r="AP2" s="403"/>
      <c r="AQ2" s="403"/>
      <c r="AR2" s="403"/>
      <c r="AS2" s="403"/>
      <c r="AT2" s="403"/>
      <c r="AU2" s="403"/>
      <c r="AV2" s="403"/>
      <c r="AW2" s="403"/>
      <c r="AX2" s="403"/>
      <c r="AY2" s="403"/>
      <c r="AZ2" s="403"/>
      <c r="BA2" s="403"/>
      <c r="BB2" s="403"/>
      <c r="BC2" s="403"/>
      <c r="BD2" s="403"/>
      <c r="BE2" s="403"/>
      <c r="BF2" s="403"/>
    </row>
    <row r="3" spans="2:58" ht="18" x14ac:dyDescent="0.25">
      <c r="B3" s="403" t="s">
        <v>3506</v>
      </c>
      <c r="C3" s="403"/>
      <c r="D3" s="403"/>
      <c r="E3" s="403"/>
      <c r="F3" s="403"/>
      <c r="G3" s="403"/>
      <c r="H3" s="403"/>
      <c r="I3" s="403"/>
      <c r="J3" s="403"/>
      <c r="K3" s="403"/>
      <c r="L3" s="403"/>
      <c r="M3" s="403"/>
      <c r="N3" s="403"/>
      <c r="O3" s="403"/>
      <c r="P3" s="403"/>
      <c r="Q3" s="403"/>
      <c r="R3" s="403"/>
      <c r="S3" s="403"/>
      <c r="T3" s="403"/>
      <c r="U3" s="403"/>
      <c r="V3" s="403"/>
      <c r="W3" s="403"/>
      <c r="X3" s="403"/>
      <c r="Y3" s="403"/>
      <c r="Z3" s="403"/>
      <c r="AA3" s="403"/>
      <c r="AB3" s="403"/>
      <c r="AC3" s="403"/>
      <c r="AD3" s="403"/>
      <c r="AE3" s="403"/>
      <c r="AF3" s="403"/>
      <c r="AG3" s="403"/>
      <c r="AH3" s="403"/>
      <c r="AI3" s="403"/>
      <c r="AJ3" s="403"/>
      <c r="AK3" s="403"/>
      <c r="AL3" s="403"/>
      <c r="AM3" s="403"/>
      <c r="AN3" s="403"/>
      <c r="AO3" s="403"/>
      <c r="AP3" s="403"/>
      <c r="AQ3" s="403"/>
      <c r="AR3" s="403"/>
      <c r="AS3" s="403"/>
      <c r="AT3" s="403"/>
      <c r="AU3" s="403"/>
      <c r="AV3" s="403"/>
      <c r="AW3" s="403"/>
      <c r="AX3" s="403"/>
      <c r="AY3" s="403"/>
      <c r="AZ3" s="403"/>
      <c r="BA3" s="403"/>
      <c r="BB3" s="403"/>
      <c r="BC3" s="403"/>
      <c r="BD3" s="403"/>
      <c r="BE3" s="403"/>
      <c r="BF3" s="403"/>
    </row>
    <row r="4" spans="2:58" ht="18" x14ac:dyDescent="0.25">
      <c r="B4" s="403" t="s">
        <v>5257</v>
      </c>
      <c r="C4" s="403"/>
      <c r="D4" s="403"/>
      <c r="E4" s="403"/>
      <c r="F4" s="403"/>
      <c r="G4" s="403"/>
      <c r="H4" s="403"/>
      <c r="I4" s="403"/>
      <c r="J4" s="403"/>
      <c r="K4" s="403"/>
      <c r="L4" s="403"/>
      <c r="M4" s="403"/>
      <c r="N4" s="403"/>
      <c r="O4" s="403"/>
      <c r="P4" s="403"/>
      <c r="Q4" s="403"/>
      <c r="R4" s="403"/>
      <c r="S4" s="403"/>
      <c r="T4" s="403"/>
      <c r="U4" s="403"/>
      <c r="V4" s="403"/>
      <c r="W4" s="403"/>
      <c r="X4" s="403"/>
      <c r="Y4" s="403"/>
      <c r="Z4" s="403"/>
      <c r="AA4" s="403"/>
      <c r="AB4" s="403"/>
      <c r="AC4" s="403"/>
      <c r="AD4" s="403"/>
      <c r="AE4" s="403"/>
      <c r="AF4" s="403"/>
      <c r="AG4" s="403"/>
      <c r="AH4" s="403"/>
      <c r="AI4" s="403"/>
      <c r="AJ4" s="403"/>
      <c r="AK4" s="403"/>
      <c r="AL4" s="403"/>
      <c r="AM4" s="403"/>
      <c r="AN4" s="403"/>
      <c r="AO4" s="403"/>
      <c r="AP4" s="403"/>
      <c r="AQ4" s="403"/>
      <c r="AR4" s="403"/>
      <c r="AS4" s="403"/>
      <c r="AT4" s="403"/>
      <c r="AU4" s="403"/>
      <c r="AV4" s="403"/>
      <c r="AW4" s="403"/>
      <c r="AX4" s="403"/>
      <c r="AY4" s="403"/>
      <c r="AZ4" s="403"/>
      <c r="BA4" s="403"/>
      <c r="BB4" s="403"/>
      <c r="BC4" s="403"/>
      <c r="BD4" s="403"/>
      <c r="BE4" s="403"/>
      <c r="BF4" s="403"/>
    </row>
    <row r="5" spans="2:58" ht="18" x14ac:dyDescent="0.25"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</row>
    <row r="6" spans="2:58" x14ac:dyDescent="0.2">
      <c r="AD6" s="27"/>
      <c r="AF6" s="27"/>
      <c r="AN6" s="27"/>
      <c r="AR6" s="27" t="s">
        <v>5259</v>
      </c>
      <c r="AZ6" s="27" t="s">
        <v>2969</v>
      </c>
    </row>
    <row r="7" spans="2:58" x14ac:dyDescent="0.2">
      <c r="AD7" s="27"/>
      <c r="AF7" s="27"/>
      <c r="AN7" s="27"/>
      <c r="AR7" s="27"/>
      <c r="AZ7" s="27"/>
    </row>
    <row r="8" spans="2:58" x14ac:dyDescent="0.2">
      <c r="D8" s="31" t="s">
        <v>2976</v>
      </c>
      <c r="F8" s="31" t="s">
        <v>2978</v>
      </c>
      <c r="H8" s="31" t="s">
        <v>2977</v>
      </c>
      <c r="J8" s="31" t="s">
        <v>2970</v>
      </c>
      <c r="L8" s="31" t="s">
        <v>232</v>
      </c>
      <c r="N8" s="31" t="s">
        <v>230</v>
      </c>
      <c r="P8" s="31" t="s">
        <v>2971</v>
      </c>
      <c r="R8" s="31" t="s">
        <v>231</v>
      </c>
      <c r="T8" s="31" t="s">
        <v>232</v>
      </c>
      <c r="V8" s="31" t="s">
        <v>233</v>
      </c>
      <c r="X8" s="31" t="s">
        <v>2972</v>
      </c>
      <c r="Z8" s="31" t="s">
        <v>234</v>
      </c>
      <c r="AB8" s="31" t="s">
        <v>2973</v>
      </c>
      <c r="AD8" s="31" t="s">
        <v>235</v>
      </c>
      <c r="AF8" s="31" t="s">
        <v>232</v>
      </c>
      <c r="AH8" s="31" t="s">
        <v>236</v>
      </c>
      <c r="AJ8" s="31" t="s">
        <v>2974</v>
      </c>
      <c r="AL8" s="31" t="s">
        <v>237</v>
      </c>
      <c r="AN8" s="31" t="s">
        <v>232</v>
      </c>
      <c r="AP8" s="31" t="s">
        <v>238</v>
      </c>
      <c r="AR8" s="31" t="s">
        <v>232</v>
      </c>
      <c r="AT8" s="31" t="s">
        <v>239</v>
      </c>
      <c r="AV8" s="31" t="s">
        <v>232</v>
      </c>
      <c r="AX8" s="31" t="s">
        <v>240</v>
      </c>
      <c r="AZ8" s="31" t="s">
        <v>232</v>
      </c>
      <c r="BB8" s="31" t="s">
        <v>241</v>
      </c>
      <c r="BD8" s="31" t="s">
        <v>232</v>
      </c>
      <c r="BF8" s="31" t="s">
        <v>3622</v>
      </c>
    </row>
    <row r="10" spans="2:58" x14ac:dyDescent="0.2">
      <c r="B10" s="32" t="s">
        <v>3625</v>
      </c>
      <c r="C10" s="32"/>
      <c r="D10" s="35">
        <v>75000000</v>
      </c>
      <c r="E10" s="32"/>
      <c r="F10" s="35">
        <v>75000000</v>
      </c>
      <c r="G10" s="32"/>
      <c r="H10" s="35">
        <v>75000000</v>
      </c>
      <c r="J10" s="35">
        <v>75000000</v>
      </c>
      <c r="L10" s="35"/>
      <c r="N10" s="35">
        <v>75000000</v>
      </c>
      <c r="O10" s="35"/>
      <c r="P10" s="35"/>
      <c r="Q10" s="35"/>
      <c r="R10" s="35">
        <v>75000000</v>
      </c>
      <c r="S10" s="35"/>
      <c r="T10" s="35"/>
      <c r="U10" s="35"/>
      <c r="V10" s="35">
        <v>75000000</v>
      </c>
      <c r="W10" s="35"/>
      <c r="X10" s="35"/>
      <c r="Y10" s="35"/>
      <c r="Z10" s="35">
        <v>75000000</v>
      </c>
      <c r="AA10" s="35"/>
      <c r="AB10" s="35"/>
      <c r="AC10" s="35"/>
      <c r="AD10" s="35">
        <v>75000000</v>
      </c>
      <c r="AE10" s="35"/>
      <c r="AF10" s="35"/>
      <c r="AG10" s="35"/>
      <c r="AH10" s="35">
        <v>75000000</v>
      </c>
      <c r="AI10" s="35"/>
      <c r="AJ10" s="35"/>
      <c r="AK10" s="35"/>
      <c r="AL10" s="35">
        <v>75000000</v>
      </c>
      <c r="AN10" s="35"/>
      <c r="AP10" s="35">
        <v>75000000</v>
      </c>
      <c r="AQ10" s="35"/>
      <c r="AR10" s="35"/>
      <c r="AS10" s="35"/>
      <c r="AT10" s="35">
        <v>75000000</v>
      </c>
      <c r="AU10" s="35"/>
      <c r="AV10" s="35"/>
      <c r="AW10" s="35"/>
      <c r="AX10" s="35">
        <v>75000000</v>
      </c>
      <c r="AZ10" s="35"/>
      <c r="BB10" s="35">
        <v>75000000</v>
      </c>
      <c r="BD10" s="35"/>
      <c r="BF10" s="35">
        <v>75000000</v>
      </c>
    </row>
    <row r="11" spans="2:58" x14ac:dyDescent="0.2">
      <c r="B11" s="32"/>
      <c r="C11" s="32"/>
      <c r="D11" s="32"/>
      <c r="E11" s="32"/>
      <c r="F11" s="32"/>
      <c r="G11" s="32"/>
      <c r="H11" s="32"/>
      <c r="J11" s="35"/>
      <c r="L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Z11" s="35"/>
      <c r="BB11" s="35"/>
      <c r="BD11" s="35"/>
    </row>
    <row r="12" spans="2:58" x14ac:dyDescent="0.2">
      <c r="B12" s="32" t="s">
        <v>242</v>
      </c>
      <c r="C12" s="32"/>
      <c r="D12" s="32">
        <v>3.7999999999999999E-2</v>
      </c>
      <c r="E12" s="32"/>
      <c r="F12" s="32">
        <v>3.7999999999999999E-2</v>
      </c>
      <c r="G12" s="32"/>
      <c r="H12" s="32">
        <v>3.7999999999999999E-2</v>
      </c>
      <c r="J12">
        <v>3.85E-2</v>
      </c>
      <c r="L12" s="44"/>
      <c r="N12">
        <v>3.78E-2</v>
      </c>
      <c r="P12" s="44"/>
      <c r="R12">
        <v>3.78E-2</v>
      </c>
      <c r="T12" s="44"/>
      <c r="V12">
        <v>4.1000000000000002E-2</v>
      </c>
      <c r="X12" s="44"/>
      <c r="Z12">
        <v>4.1000000000000002E-2</v>
      </c>
      <c r="AB12" s="44"/>
      <c r="AD12">
        <v>4.1000000000000002E-2</v>
      </c>
      <c r="AH12">
        <v>4.0500000000000001E-2</v>
      </c>
      <c r="AJ12" s="44"/>
      <c r="AL12">
        <v>4.0500000000000001E-2</v>
      </c>
      <c r="AM12" s="35"/>
      <c r="AO12" s="35"/>
      <c r="AP12">
        <v>3.7499999999999999E-2</v>
      </c>
      <c r="AT12">
        <v>3.7499999999999999E-2</v>
      </c>
      <c r="AX12">
        <v>5.5E-2</v>
      </c>
      <c r="BB12">
        <v>5.5E-2</v>
      </c>
      <c r="BF12" s="61">
        <f>((BF31/BF18)*360)/BF10</f>
        <v>4.2741379655172412E-2</v>
      </c>
    </row>
    <row r="13" spans="2:58" x14ac:dyDescent="0.2">
      <c r="B13" s="32"/>
      <c r="C13" s="32"/>
      <c r="D13" s="32"/>
      <c r="E13" s="32"/>
      <c r="F13" s="32"/>
      <c r="G13" s="32"/>
      <c r="H13" s="32"/>
    </row>
    <row r="14" spans="2:58" x14ac:dyDescent="0.2">
      <c r="B14" s="32" t="s">
        <v>243</v>
      </c>
      <c r="C14" s="32"/>
      <c r="D14" s="45">
        <f>D10*D12</f>
        <v>2850000</v>
      </c>
      <c r="E14" s="32"/>
      <c r="F14" s="45">
        <f>F10*F12</f>
        <v>2850000</v>
      </c>
      <c r="G14" s="32"/>
      <c r="H14" s="45">
        <f>H10*H12</f>
        <v>2850000</v>
      </c>
      <c r="J14" s="45">
        <f>J10*J12</f>
        <v>2887500</v>
      </c>
      <c r="L14" s="45"/>
      <c r="N14" s="45">
        <f>N10*N12</f>
        <v>2835000</v>
      </c>
      <c r="O14" s="45"/>
      <c r="P14" s="45"/>
      <c r="Q14" s="45"/>
      <c r="R14" s="45">
        <f>R10*R12</f>
        <v>2835000</v>
      </c>
      <c r="S14" s="45"/>
      <c r="T14" s="45"/>
      <c r="U14" s="45"/>
      <c r="V14" s="45">
        <f>V10*V12</f>
        <v>3075000</v>
      </c>
      <c r="W14" s="45"/>
      <c r="X14" s="45"/>
      <c r="Y14" s="45"/>
      <c r="Z14" s="45">
        <f>Z10*Z12</f>
        <v>3075000</v>
      </c>
      <c r="AA14" s="45"/>
      <c r="AB14" s="45"/>
      <c r="AC14" s="45"/>
      <c r="AD14" s="45">
        <f>AD10*AD12</f>
        <v>3075000</v>
      </c>
      <c r="AE14" s="45"/>
      <c r="AF14" s="45"/>
      <c r="AG14" s="45"/>
      <c r="AH14" s="45">
        <f>AH10*AH12</f>
        <v>3037500</v>
      </c>
      <c r="AI14" s="45"/>
      <c r="AJ14" s="45"/>
      <c r="AK14" s="45"/>
      <c r="AL14" s="45">
        <f>AL10*AL12</f>
        <v>3037500</v>
      </c>
      <c r="AN14" s="45"/>
      <c r="AP14" s="45">
        <f>AP10*AP12</f>
        <v>2812500</v>
      </c>
      <c r="AQ14" s="45"/>
      <c r="AR14" s="45"/>
      <c r="AS14" s="45"/>
      <c r="AT14" s="45">
        <f>AT10*AT12</f>
        <v>2812500</v>
      </c>
      <c r="AU14" s="45"/>
      <c r="AV14" s="45"/>
      <c r="AW14" s="45"/>
      <c r="AX14" s="45">
        <f>AX10*AX12</f>
        <v>4125000</v>
      </c>
      <c r="AZ14" s="45"/>
      <c r="BB14" s="45">
        <f>BB10*BB12</f>
        <v>4125000</v>
      </c>
      <c r="BD14" s="45"/>
    </row>
    <row r="15" spans="2:58" x14ac:dyDescent="0.2">
      <c r="B15" s="32"/>
      <c r="C15" s="32"/>
      <c r="D15" s="32"/>
      <c r="E15" s="32"/>
      <c r="F15" s="32"/>
      <c r="G15" s="32"/>
      <c r="H15" s="32"/>
      <c r="J15" s="45"/>
      <c r="L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5"/>
      <c r="AU15" s="45"/>
      <c r="AV15" s="45"/>
      <c r="AW15" s="45"/>
      <c r="AX15" s="45"/>
      <c r="AZ15" s="45"/>
      <c r="BB15" s="45"/>
      <c r="BD15" s="45"/>
    </row>
    <row r="16" spans="2:58" x14ac:dyDescent="0.2">
      <c r="B16" s="32" t="s">
        <v>244</v>
      </c>
      <c r="C16" s="32"/>
      <c r="D16" s="46">
        <f>D14/360</f>
        <v>7916.666666666667</v>
      </c>
      <c r="E16" s="32"/>
      <c r="F16" s="46">
        <f>F14/360</f>
        <v>7916.666666666667</v>
      </c>
      <c r="G16" s="32"/>
      <c r="H16" s="46">
        <f>H14/360</f>
        <v>7916.666666666667</v>
      </c>
      <c r="J16" s="46">
        <f>J14/360</f>
        <v>8020.833333333333</v>
      </c>
      <c r="L16" s="46"/>
      <c r="N16" s="46">
        <f>N14/360</f>
        <v>7875</v>
      </c>
      <c r="O16" s="46"/>
      <c r="P16" s="46"/>
      <c r="Q16" s="46"/>
      <c r="R16" s="46">
        <f>R14/360</f>
        <v>7875</v>
      </c>
      <c r="S16" s="46"/>
      <c r="T16" s="46"/>
      <c r="U16" s="46"/>
      <c r="V16" s="46">
        <f>V14/360</f>
        <v>8541.6666666666661</v>
      </c>
      <c r="W16" s="46"/>
      <c r="X16" s="46"/>
      <c r="Y16" s="46"/>
      <c r="Z16" s="46">
        <f>Z14/360</f>
        <v>8541.6666666666661</v>
      </c>
      <c r="AA16" s="46"/>
      <c r="AB16" s="46"/>
      <c r="AC16" s="46"/>
      <c r="AD16" s="46">
        <f>AD14/360</f>
        <v>8541.6666666666661</v>
      </c>
      <c r="AE16" s="46"/>
      <c r="AF16" s="46"/>
      <c r="AG16" s="46"/>
      <c r="AH16" s="46">
        <f>AH14/360</f>
        <v>8437.5</v>
      </c>
      <c r="AI16" s="46"/>
      <c r="AJ16" s="46"/>
      <c r="AK16" s="46"/>
      <c r="AL16" s="46">
        <f>AL14/360</f>
        <v>8437.5</v>
      </c>
      <c r="AM16" s="45"/>
      <c r="AN16" s="46"/>
      <c r="AO16" s="45"/>
      <c r="AP16" s="46">
        <f>AP14/360</f>
        <v>7812.5</v>
      </c>
      <c r="AQ16" s="46"/>
      <c r="AR16" s="46"/>
      <c r="AS16" s="46"/>
      <c r="AT16" s="46">
        <f>AT14/360</f>
        <v>7812.5</v>
      </c>
      <c r="AU16" s="46"/>
      <c r="AV16" s="46"/>
      <c r="AW16" s="46"/>
      <c r="AX16" s="46">
        <f>AX14/360</f>
        <v>11458.333333333334</v>
      </c>
      <c r="AZ16" s="46"/>
      <c r="BB16" s="46">
        <f>BB14/360</f>
        <v>11458.333333333334</v>
      </c>
      <c r="BD16" s="46"/>
    </row>
    <row r="17" spans="2:58" x14ac:dyDescent="0.2">
      <c r="B17" s="32"/>
      <c r="C17" s="32"/>
      <c r="D17" s="32"/>
      <c r="E17" s="32"/>
      <c r="F17" s="32"/>
      <c r="G17" s="32"/>
      <c r="H17" s="32"/>
      <c r="J17" s="46"/>
      <c r="L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Z17" s="46"/>
      <c r="BB17" s="46"/>
      <c r="BD17" s="46"/>
    </row>
    <row r="18" spans="2:58" x14ac:dyDescent="0.2">
      <c r="B18" s="32" t="s">
        <v>245</v>
      </c>
      <c r="C18" s="32"/>
      <c r="D18" s="32">
        <v>18</v>
      </c>
      <c r="E18" s="32"/>
      <c r="F18" s="32">
        <v>20</v>
      </c>
      <c r="G18" s="32"/>
      <c r="H18" s="32">
        <v>10</v>
      </c>
      <c r="J18" s="30">
        <v>24</v>
      </c>
      <c r="L18" s="30"/>
      <c r="N18" s="30">
        <v>7</v>
      </c>
      <c r="O18" s="30"/>
      <c r="P18" s="30"/>
      <c r="Q18" s="30"/>
      <c r="R18" s="30">
        <v>28</v>
      </c>
      <c r="S18" s="30"/>
      <c r="T18" s="30"/>
      <c r="U18" s="30"/>
      <c r="V18" s="30">
        <v>3</v>
      </c>
      <c r="W18" s="30"/>
      <c r="X18" s="30"/>
      <c r="Y18" s="30"/>
      <c r="Z18" s="30">
        <v>30</v>
      </c>
      <c r="AA18" s="30"/>
      <c r="AB18" s="30"/>
      <c r="AC18" s="30"/>
      <c r="AD18" s="30">
        <v>2</v>
      </c>
      <c r="AE18" s="30"/>
      <c r="AF18" s="30"/>
      <c r="AG18" s="30"/>
      <c r="AH18" s="30">
        <v>29</v>
      </c>
      <c r="AI18" s="30"/>
      <c r="AJ18" s="30"/>
      <c r="AK18" s="30"/>
      <c r="AL18" s="30">
        <v>6</v>
      </c>
      <c r="AM18" s="46"/>
      <c r="AN18" s="30"/>
      <c r="AO18" s="46"/>
      <c r="AP18" s="30">
        <v>24</v>
      </c>
      <c r="AQ18" s="30"/>
      <c r="AR18" s="30"/>
      <c r="AS18" s="30"/>
      <c r="AT18" s="30">
        <v>11</v>
      </c>
      <c r="AU18" s="30"/>
      <c r="AV18" s="30"/>
      <c r="AW18" s="30"/>
      <c r="AX18" s="30">
        <v>20</v>
      </c>
      <c r="AZ18" s="30"/>
      <c r="BB18" s="30">
        <v>15</v>
      </c>
      <c r="BD18" s="30"/>
      <c r="BF18" s="30">
        <f>D18+F18+H18+J18+N18+R18+V18+Z18+AD18+AH18+AL18+AP18+AT18+AX18</f>
        <v>232</v>
      </c>
    </row>
    <row r="19" spans="2:58" x14ac:dyDescent="0.2">
      <c r="B19" s="32"/>
      <c r="C19" s="32"/>
      <c r="D19" s="32"/>
      <c r="E19" s="32"/>
      <c r="F19" s="32"/>
      <c r="G19" s="32"/>
      <c r="H19" s="32"/>
      <c r="J19" s="30"/>
      <c r="L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Z19" s="30"/>
      <c r="BB19" s="30"/>
      <c r="BD19" s="30"/>
    </row>
    <row r="20" spans="2:58" ht="13.5" thickBot="1" x14ac:dyDescent="0.25">
      <c r="B20" s="32" t="s">
        <v>246</v>
      </c>
      <c r="C20" s="32"/>
      <c r="D20" s="40">
        <f>ROUND(D16*D18,2)</f>
        <v>142500</v>
      </c>
      <c r="E20" s="32"/>
      <c r="F20" s="40">
        <f>ROUND(F16*F18,2)</f>
        <v>158333.32999999999</v>
      </c>
      <c r="G20" s="32"/>
      <c r="H20" s="40">
        <f>ROUND(H16*H18,2)</f>
        <v>79166.67</v>
      </c>
      <c r="J20" s="40">
        <f>ROUND(J16*J18,2)</f>
        <v>192500</v>
      </c>
      <c r="L20" s="37"/>
      <c r="N20" s="40">
        <f>ROUND(N16*N18,2)</f>
        <v>55125</v>
      </c>
      <c r="O20" s="36"/>
      <c r="P20" s="37">
        <f>J20+N20</f>
        <v>247625</v>
      </c>
      <c r="Q20" s="36"/>
      <c r="R20" s="40">
        <f>ROUND(R16*R18,2)</f>
        <v>220500</v>
      </c>
      <c r="S20" s="36"/>
      <c r="T20" s="37">
        <f>N20+R20</f>
        <v>275625</v>
      </c>
      <c r="U20" s="36"/>
      <c r="V20" s="40">
        <f>ROUND(V16*V18,2)</f>
        <v>25625</v>
      </c>
      <c r="W20" s="36"/>
      <c r="X20" s="37">
        <f>R20+V20</f>
        <v>246125</v>
      </c>
      <c r="Y20" s="36"/>
      <c r="Z20" s="40">
        <f>ROUND(Z16*Z18,2)</f>
        <v>256250</v>
      </c>
      <c r="AA20" s="36"/>
      <c r="AB20" s="37">
        <f>Z20</f>
        <v>256250</v>
      </c>
      <c r="AC20" s="36"/>
      <c r="AD20" s="40">
        <f>ROUND(AD16*AD18,2)</f>
        <v>17083.330000000002</v>
      </c>
      <c r="AE20" s="36"/>
      <c r="AF20" s="40">
        <f>AD20+Z20+V20</f>
        <v>298958.33</v>
      </c>
      <c r="AG20" s="36"/>
      <c r="AH20" s="40">
        <f>ROUND(AH16*AH18,2)</f>
        <v>244687.5</v>
      </c>
      <c r="AI20" s="36"/>
      <c r="AJ20" s="37">
        <f>AH20+AD20</f>
        <v>261770.83000000002</v>
      </c>
      <c r="AK20" s="36"/>
      <c r="AL20" s="40">
        <f>ROUND(AL16*AL18,2)</f>
        <v>50625</v>
      </c>
      <c r="AM20" s="30"/>
      <c r="AN20" s="40">
        <f>AL20+AH20</f>
        <v>295312.5</v>
      </c>
      <c r="AO20" s="30"/>
      <c r="AP20" s="40">
        <f>AP16*AP18</f>
        <v>187500</v>
      </c>
      <c r="AQ20" s="36"/>
      <c r="AR20" s="40">
        <f>AP20+AL20</f>
        <v>238125</v>
      </c>
      <c r="AS20" s="36"/>
      <c r="AT20" s="40">
        <f>AT16*AT18</f>
        <v>85937.5</v>
      </c>
      <c r="AU20" s="36"/>
      <c r="AV20" s="40">
        <f>AT20+AP20</f>
        <v>273437.5</v>
      </c>
      <c r="AW20" s="36"/>
      <c r="AX20" s="40">
        <f>AX16*AX18</f>
        <v>229166.66666666669</v>
      </c>
      <c r="AZ20" s="40">
        <f>AX20+AT20</f>
        <v>315104.16666666669</v>
      </c>
      <c r="BB20" s="40">
        <f>BB16*BB18</f>
        <v>171875</v>
      </c>
      <c r="BD20" s="40">
        <f>BB20+AX20</f>
        <v>401041.66666666669</v>
      </c>
    </row>
    <row r="21" spans="2:58" ht="13.5" thickTop="1" x14ac:dyDescent="0.2">
      <c r="J21" s="36"/>
      <c r="L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Z21" s="36"/>
      <c r="BB21" s="36"/>
      <c r="BD21" s="36"/>
    </row>
    <row r="22" spans="2:58" x14ac:dyDescent="0.2">
      <c r="B22" s="32" t="s">
        <v>2975</v>
      </c>
      <c r="C22" s="32"/>
      <c r="D22" s="35">
        <f>75000000*0.0025</f>
        <v>187500</v>
      </c>
      <c r="E22" s="32"/>
      <c r="F22" s="35">
        <f>75000000*0.0025</f>
        <v>187500</v>
      </c>
      <c r="G22" s="32"/>
      <c r="H22" s="35">
        <f>75000000*0.0025</f>
        <v>187500</v>
      </c>
      <c r="J22" s="35">
        <f>75000000*0.0025</f>
        <v>187500</v>
      </c>
      <c r="L22" s="35"/>
      <c r="N22" s="35">
        <f>75000000*0.0025</f>
        <v>187500</v>
      </c>
      <c r="O22" s="36"/>
      <c r="P22" s="35"/>
      <c r="Q22" s="36"/>
      <c r="R22" s="35">
        <f>75000000*0.0025</f>
        <v>187500</v>
      </c>
      <c r="S22" s="36"/>
      <c r="T22" s="35"/>
      <c r="U22" s="36"/>
      <c r="V22" s="35">
        <f>75000000*0.0025</f>
        <v>187500</v>
      </c>
      <c r="W22" s="36"/>
      <c r="X22" s="35"/>
      <c r="Y22" s="36"/>
      <c r="Z22" s="35">
        <f>75000000*0.0025</f>
        <v>187500</v>
      </c>
      <c r="AA22" s="36"/>
      <c r="AB22" s="35"/>
      <c r="AC22" s="36"/>
      <c r="AD22" s="35">
        <f>75000000*0.0025</f>
        <v>187500</v>
      </c>
      <c r="AE22" s="36"/>
      <c r="AF22" s="35"/>
      <c r="AG22" s="36"/>
      <c r="AH22" s="35">
        <f>75000000*0.0025</f>
        <v>187500</v>
      </c>
      <c r="AI22" s="36"/>
      <c r="AJ22" s="35"/>
      <c r="AK22" s="36"/>
      <c r="AL22" s="35">
        <f>75000000*0.0025</f>
        <v>187500</v>
      </c>
      <c r="AM22" s="36"/>
      <c r="AN22" s="35"/>
      <c r="AO22" s="36"/>
      <c r="AP22" s="35">
        <f>75000000*0.0025</f>
        <v>187500</v>
      </c>
      <c r="AQ22" s="36"/>
      <c r="AR22" s="35"/>
      <c r="AS22" s="36"/>
      <c r="AT22" s="35">
        <f>75000000*0.0025</f>
        <v>187500</v>
      </c>
      <c r="AU22" s="36"/>
      <c r="AV22" s="35"/>
      <c r="AW22" s="36"/>
      <c r="AX22" s="35">
        <f>75000000*0.0025</f>
        <v>187500</v>
      </c>
      <c r="AZ22" s="35"/>
      <c r="BB22" s="35">
        <f>75000000*0.0025</f>
        <v>187500</v>
      </c>
      <c r="BD22" s="35"/>
    </row>
    <row r="23" spans="2:58" x14ac:dyDescent="0.2">
      <c r="J23" s="35"/>
      <c r="L23" s="35"/>
      <c r="N23" s="35"/>
      <c r="O23" s="36"/>
      <c r="P23" s="35"/>
      <c r="Q23" s="36"/>
      <c r="R23" s="35"/>
      <c r="S23" s="36"/>
      <c r="T23" s="35"/>
      <c r="U23" s="36"/>
      <c r="V23" s="36"/>
      <c r="W23" s="36"/>
      <c r="X23" s="35"/>
      <c r="Y23" s="36"/>
      <c r="Z23" s="35"/>
      <c r="AA23" s="36"/>
      <c r="AB23" s="35"/>
      <c r="AC23" s="36"/>
      <c r="AD23" s="35"/>
      <c r="AE23" s="36"/>
      <c r="AF23" s="35"/>
      <c r="AG23" s="36"/>
      <c r="AH23" s="35"/>
      <c r="AI23" s="36"/>
      <c r="AJ23" s="35"/>
      <c r="AK23" s="36"/>
      <c r="AL23" s="35"/>
      <c r="AM23" s="36"/>
      <c r="AN23" s="35"/>
      <c r="AO23" s="36"/>
      <c r="AP23" s="35"/>
      <c r="AQ23" s="36"/>
      <c r="AR23" s="35"/>
      <c r="AS23" s="36"/>
      <c r="AT23" s="35"/>
      <c r="AU23" s="36"/>
      <c r="AV23" s="35"/>
      <c r="AW23" s="36"/>
      <c r="AX23" s="35"/>
      <c r="AZ23" s="35"/>
      <c r="BB23" s="35"/>
      <c r="BD23" s="35"/>
    </row>
    <row r="24" spans="2:58" x14ac:dyDescent="0.2">
      <c r="B24" s="32" t="s">
        <v>248</v>
      </c>
      <c r="C24" s="32"/>
      <c r="D24" s="46">
        <f>D22/360</f>
        <v>520.83333333333337</v>
      </c>
      <c r="E24" s="32"/>
      <c r="F24" s="46">
        <f>F22/360</f>
        <v>520.83333333333337</v>
      </c>
      <c r="G24" s="32"/>
      <c r="H24" s="46">
        <f>H22/360</f>
        <v>520.83333333333337</v>
      </c>
      <c r="J24" s="46">
        <f>J22/360</f>
        <v>520.83333333333337</v>
      </c>
      <c r="L24" s="46"/>
      <c r="N24" s="46">
        <f>N22/360</f>
        <v>520.83333333333337</v>
      </c>
      <c r="O24" s="36"/>
      <c r="P24" s="46"/>
      <c r="Q24" s="36"/>
      <c r="R24" s="46">
        <f>R22/360</f>
        <v>520.83333333333337</v>
      </c>
      <c r="S24" s="36"/>
      <c r="T24" s="46"/>
      <c r="U24" s="36"/>
      <c r="V24" s="46">
        <f>V22/360</f>
        <v>520.83333333333337</v>
      </c>
      <c r="W24" s="36"/>
      <c r="X24" s="46"/>
      <c r="Y24" s="36"/>
      <c r="Z24" s="46">
        <f>Z22/360</f>
        <v>520.83333333333337</v>
      </c>
      <c r="AA24" s="36"/>
      <c r="AB24" s="46"/>
      <c r="AC24" s="36"/>
      <c r="AD24" s="46">
        <f>AD22/360</f>
        <v>520.83333333333337</v>
      </c>
      <c r="AE24" s="36"/>
      <c r="AF24" s="46"/>
      <c r="AG24" s="36"/>
      <c r="AH24" s="46">
        <f>AH22/360</f>
        <v>520.83333333333337</v>
      </c>
      <c r="AI24" s="36"/>
      <c r="AJ24" s="46"/>
      <c r="AK24" s="36"/>
      <c r="AL24" s="46">
        <f>AL22/360</f>
        <v>520.83333333333337</v>
      </c>
      <c r="AM24" s="36"/>
      <c r="AN24" s="46"/>
      <c r="AO24" s="36"/>
      <c r="AP24" s="46">
        <f>AP22/360</f>
        <v>520.83333333333337</v>
      </c>
      <c r="AQ24" s="36"/>
      <c r="AR24" s="46"/>
      <c r="AS24" s="36"/>
      <c r="AT24" s="46">
        <f>AT22/360</f>
        <v>520.83333333333337</v>
      </c>
      <c r="AU24" s="36"/>
      <c r="AV24" s="46"/>
      <c r="AW24" s="36"/>
      <c r="AX24" s="46">
        <f>AX22/360</f>
        <v>520.83333333333337</v>
      </c>
      <c r="AZ24" s="46"/>
      <c r="BB24" s="46">
        <f>BB22/360</f>
        <v>520.83333333333337</v>
      </c>
      <c r="BD24" s="46"/>
    </row>
    <row r="25" spans="2:58" x14ac:dyDescent="0.2">
      <c r="B25" s="32"/>
      <c r="C25" s="32"/>
      <c r="D25" s="32"/>
      <c r="E25" s="32"/>
      <c r="F25" s="32"/>
      <c r="G25" s="32"/>
      <c r="H25" s="32"/>
      <c r="J25" s="46"/>
      <c r="L25" s="46"/>
      <c r="N25" s="46"/>
      <c r="O25" s="36"/>
      <c r="P25" s="46"/>
      <c r="Q25" s="36"/>
      <c r="R25" s="46"/>
      <c r="S25" s="36"/>
      <c r="T25" s="46"/>
      <c r="U25" s="36"/>
      <c r="V25" s="36"/>
      <c r="W25" s="36"/>
      <c r="X25" s="46"/>
      <c r="Y25" s="36"/>
      <c r="Z25" s="46"/>
      <c r="AA25" s="36"/>
      <c r="AB25" s="46"/>
      <c r="AC25" s="36"/>
      <c r="AD25" s="46"/>
      <c r="AE25" s="36"/>
      <c r="AF25" s="46"/>
      <c r="AG25" s="36"/>
      <c r="AH25" s="46"/>
      <c r="AI25" s="36"/>
      <c r="AJ25" s="46"/>
      <c r="AK25" s="36"/>
      <c r="AL25" s="46"/>
      <c r="AM25" s="36"/>
      <c r="AN25" s="46"/>
      <c r="AO25" s="36"/>
      <c r="AP25" s="46"/>
      <c r="AQ25" s="36"/>
      <c r="AR25" s="46"/>
      <c r="AS25" s="36"/>
      <c r="AT25" s="46"/>
      <c r="AU25" s="36"/>
      <c r="AV25" s="46"/>
      <c r="AW25" s="36"/>
      <c r="AX25" s="46"/>
      <c r="AZ25" s="46"/>
      <c r="BB25" s="46"/>
      <c r="BD25" s="46"/>
    </row>
    <row r="26" spans="2:58" x14ac:dyDescent="0.2">
      <c r="B26" s="32" t="s">
        <v>245</v>
      </c>
      <c r="C26" s="32"/>
      <c r="D26" s="32">
        <v>18</v>
      </c>
      <c r="E26" s="32"/>
      <c r="F26" s="32">
        <v>20</v>
      </c>
      <c r="G26" s="32"/>
      <c r="H26" s="32">
        <v>10</v>
      </c>
      <c r="J26">
        <v>24</v>
      </c>
      <c r="N26">
        <v>7</v>
      </c>
      <c r="O26" s="36"/>
      <c r="Q26" s="36"/>
      <c r="R26">
        <v>28</v>
      </c>
      <c r="S26" s="36"/>
      <c r="U26" s="36"/>
      <c r="V26">
        <v>3</v>
      </c>
      <c r="W26" s="36"/>
      <c r="Y26" s="36"/>
      <c r="Z26" s="30">
        <v>30</v>
      </c>
      <c r="AA26" s="36"/>
      <c r="AC26" s="36"/>
      <c r="AD26" s="30">
        <v>2</v>
      </c>
      <c r="AE26" s="36"/>
      <c r="AG26" s="36"/>
      <c r="AH26" s="30">
        <v>29</v>
      </c>
      <c r="AI26" s="36"/>
      <c r="AK26" s="36"/>
      <c r="AL26" s="30">
        <v>6</v>
      </c>
      <c r="AM26" s="36"/>
      <c r="AO26" s="36"/>
      <c r="AP26" s="30">
        <v>24</v>
      </c>
      <c r="AQ26" s="36"/>
      <c r="AS26" s="36"/>
      <c r="AT26" s="30">
        <v>11</v>
      </c>
      <c r="AU26" s="36"/>
      <c r="AW26" s="36"/>
      <c r="AX26" s="30">
        <v>20</v>
      </c>
      <c r="BB26" s="30">
        <v>15</v>
      </c>
      <c r="BF26" s="30">
        <f>D26+F26+H26+J26+N26+R26+V26+Z26+AD26+AH26+AL26+AP26+AT26+AX26</f>
        <v>232</v>
      </c>
    </row>
    <row r="27" spans="2:58" x14ac:dyDescent="0.2">
      <c r="B27" s="32"/>
      <c r="C27" s="32"/>
      <c r="D27" s="32"/>
      <c r="E27" s="32"/>
      <c r="F27" s="32"/>
      <c r="G27" s="32"/>
      <c r="H27" s="32"/>
      <c r="O27" s="36"/>
      <c r="Q27" s="36"/>
      <c r="S27" s="36"/>
      <c r="U27" s="36"/>
      <c r="V27" s="36"/>
      <c r="W27" s="36"/>
      <c r="Y27" s="36"/>
      <c r="AA27" s="36"/>
      <c r="AC27" s="36"/>
      <c r="AE27" s="36"/>
      <c r="AF27" s="36"/>
      <c r="AG27" s="36"/>
      <c r="AI27" s="36"/>
      <c r="AK27" s="36"/>
      <c r="AM27" s="36"/>
      <c r="AN27" s="36"/>
      <c r="AO27" s="36"/>
      <c r="AQ27" s="36"/>
      <c r="AR27" s="36"/>
      <c r="AS27" s="36"/>
      <c r="AU27" s="36"/>
      <c r="AV27" s="36"/>
      <c r="AW27" s="36"/>
      <c r="AZ27" s="36"/>
      <c r="BD27" s="36"/>
    </row>
    <row r="28" spans="2:58" ht="13.5" thickBot="1" x14ac:dyDescent="0.25">
      <c r="B28" s="32" t="s">
        <v>249</v>
      </c>
      <c r="C28" s="32"/>
      <c r="D28" s="40">
        <f>ROUND(D24*D26,2)</f>
        <v>9375</v>
      </c>
      <c r="E28" s="32"/>
      <c r="F28" s="40">
        <f>ROUND(F24*F26,2)</f>
        <v>10416.67</v>
      </c>
      <c r="G28" s="32"/>
      <c r="H28" s="40">
        <f>ROUND(H24*H26,2)</f>
        <v>5208.33</v>
      </c>
      <c r="J28" s="40">
        <f>ROUND(J24*J26,2)</f>
        <v>12500</v>
      </c>
      <c r="L28" s="37"/>
      <c r="N28" s="40">
        <f>ROUND(N24*N26,2)</f>
        <v>3645.83</v>
      </c>
      <c r="O28" s="36"/>
      <c r="P28" s="37">
        <f>J28+N28</f>
        <v>16145.83</v>
      </c>
      <c r="Q28" s="36"/>
      <c r="R28" s="40">
        <f>ROUND(R24*R26,2)+0.01</f>
        <v>14583.34</v>
      </c>
      <c r="S28" s="36"/>
      <c r="T28" s="37">
        <f>N28+R28</f>
        <v>18229.169999999998</v>
      </c>
      <c r="U28" s="36"/>
      <c r="V28" s="40">
        <f>ROUND(V24*V26,2)</f>
        <v>1562.5</v>
      </c>
      <c r="W28" s="36"/>
      <c r="X28" s="37">
        <f>R28+V28</f>
        <v>16145.84</v>
      </c>
      <c r="Y28" s="36"/>
      <c r="Z28" s="40">
        <f>ROUND(Z24*Z26,2)</f>
        <v>15625</v>
      </c>
      <c r="AA28" s="36"/>
      <c r="AB28" s="37">
        <f>Z28</f>
        <v>15625</v>
      </c>
      <c r="AC28" s="36"/>
      <c r="AD28" s="40">
        <f>ROUND(AD24*AD26,2)</f>
        <v>1041.67</v>
      </c>
      <c r="AE28" s="36"/>
      <c r="AF28" s="40">
        <f>AD28+Z28+V28</f>
        <v>18229.169999999998</v>
      </c>
      <c r="AG28" s="36"/>
      <c r="AH28" s="47">
        <f>ROUND(AH24*AH26,2)</f>
        <v>15104.17</v>
      </c>
      <c r="AI28" s="36"/>
      <c r="AJ28" s="37">
        <f>AH28+AD28</f>
        <v>16145.84</v>
      </c>
      <c r="AK28" s="36"/>
      <c r="AL28" s="47">
        <f>ROUND(AL24*AL26,2)</f>
        <v>3125</v>
      </c>
      <c r="AM28" s="36"/>
      <c r="AN28" s="40">
        <f>AL28+AH28</f>
        <v>18229.169999999998</v>
      </c>
      <c r="AO28" s="36"/>
      <c r="AP28" s="47">
        <f>AP24*AP26</f>
        <v>12500</v>
      </c>
      <c r="AQ28" s="36"/>
      <c r="AR28" s="40">
        <f>AP28+AL28</f>
        <v>15625</v>
      </c>
      <c r="AS28" s="36"/>
      <c r="AT28" s="47">
        <f>AT24*AT26</f>
        <v>5729.166666666667</v>
      </c>
      <c r="AU28" s="36"/>
      <c r="AV28" s="40">
        <f>AM28+AP28+AT28</f>
        <v>18229.166666666668</v>
      </c>
      <c r="AW28" s="36"/>
      <c r="AX28" s="47">
        <f>AX24*AX26+0.01</f>
        <v>10416.676666666668</v>
      </c>
      <c r="AZ28" s="40">
        <f>AX28+AT28</f>
        <v>16145.843333333334</v>
      </c>
      <c r="BB28" s="47">
        <f>BB24*BB26</f>
        <v>7812.5000000000009</v>
      </c>
      <c r="BD28" s="40">
        <f>BB28+AX28</f>
        <v>18229.17666666667</v>
      </c>
    </row>
    <row r="29" spans="2:58" ht="13.5" thickTop="1" x14ac:dyDescent="0.2">
      <c r="J29" s="36"/>
      <c r="L29" s="36"/>
      <c r="N29" s="36"/>
      <c r="O29" s="36"/>
      <c r="P29" s="36"/>
      <c r="Q29" s="36"/>
      <c r="R29" s="37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  <c r="AU29" s="36"/>
      <c r="AV29" s="36"/>
      <c r="AW29" s="36"/>
      <c r="AX29" s="36"/>
      <c r="AZ29" s="36"/>
      <c r="BB29" s="36"/>
      <c r="BD29" s="36"/>
    </row>
    <row r="30" spans="2:58" x14ac:dyDescent="0.2">
      <c r="J30" s="36"/>
      <c r="L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  <c r="AU30" s="36"/>
      <c r="AV30" s="36"/>
      <c r="AW30" s="36"/>
      <c r="AX30" s="36"/>
      <c r="AZ30" s="36"/>
      <c r="BB30" s="36"/>
      <c r="BD30" s="36"/>
    </row>
    <row r="31" spans="2:58" ht="13.5" thickBot="1" x14ac:dyDescent="0.25">
      <c r="B31" s="38" t="s">
        <v>250</v>
      </c>
      <c r="C31" s="38"/>
      <c r="D31" s="39">
        <f>D20+D28</f>
        <v>151875</v>
      </c>
      <c r="E31" s="38"/>
      <c r="F31" s="39">
        <f>F20+F28</f>
        <v>168750</v>
      </c>
      <c r="G31" s="38"/>
      <c r="H31" s="39">
        <f>H20+H28</f>
        <v>84375</v>
      </c>
      <c r="J31" s="39">
        <f>J20+J28</f>
        <v>205000</v>
      </c>
      <c r="L31" s="39">
        <f>L20+L28</f>
        <v>0</v>
      </c>
      <c r="N31" s="39">
        <f>N20+N28</f>
        <v>58770.83</v>
      </c>
      <c r="O31" s="36"/>
      <c r="P31" s="39">
        <f>P20+P28</f>
        <v>263770.83</v>
      </c>
      <c r="Q31" s="36"/>
      <c r="R31" s="39">
        <f>R20+R28</f>
        <v>235083.34</v>
      </c>
      <c r="S31" s="36"/>
      <c r="T31" s="39">
        <f>T20+T28</f>
        <v>293854.17</v>
      </c>
      <c r="U31" s="36"/>
      <c r="V31" s="39">
        <f>V20+V28</f>
        <v>27187.5</v>
      </c>
      <c r="W31" s="36"/>
      <c r="X31" s="39">
        <f>X20+X28</f>
        <v>262270.84000000003</v>
      </c>
      <c r="Y31" s="36"/>
      <c r="Z31" s="39">
        <f>Z20+Z28</f>
        <v>271875</v>
      </c>
      <c r="AA31" s="36"/>
      <c r="AB31" s="39">
        <f>AB20+AB28</f>
        <v>271875</v>
      </c>
      <c r="AC31" s="36"/>
      <c r="AD31" s="39">
        <f>AD20+AD28</f>
        <v>18125</v>
      </c>
      <c r="AE31" s="36"/>
      <c r="AF31" s="39">
        <f>AF20+AF28</f>
        <v>317187.5</v>
      </c>
      <c r="AG31" s="36"/>
      <c r="AH31" s="39">
        <f>AH20+AH28</f>
        <v>259791.67</v>
      </c>
      <c r="AI31" s="36"/>
      <c r="AJ31" s="39">
        <f>AJ20+AJ28</f>
        <v>277916.67000000004</v>
      </c>
      <c r="AK31" s="36"/>
      <c r="AL31" s="39">
        <f>AL20+AL28</f>
        <v>53750</v>
      </c>
      <c r="AM31" s="36"/>
      <c r="AN31" s="39">
        <f>AN20+AN28</f>
        <v>313541.67</v>
      </c>
      <c r="AO31" s="36"/>
      <c r="AP31" s="39">
        <f>AP20+AP28</f>
        <v>200000</v>
      </c>
      <c r="AQ31" s="36"/>
      <c r="AR31" s="40">
        <f>AR20+AR28</f>
        <v>253750</v>
      </c>
      <c r="AS31" s="36"/>
      <c r="AT31" s="39">
        <f>AT20+AT28</f>
        <v>91666.666666666672</v>
      </c>
      <c r="AU31" s="36"/>
      <c r="AV31" s="40">
        <f>AV20+AV28</f>
        <v>291666.66666666669</v>
      </c>
      <c r="AW31" s="36"/>
      <c r="AX31" s="39">
        <f>AX20+AX28</f>
        <v>239583.34333333335</v>
      </c>
      <c r="AZ31" s="40">
        <f>AZ20+AZ28</f>
        <v>331250.01</v>
      </c>
      <c r="BB31" s="39">
        <f>BB20+BB28</f>
        <v>179687.5</v>
      </c>
      <c r="BD31" s="40">
        <f>BD20+BD28</f>
        <v>419270.84333333338</v>
      </c>
      <c r="BF31" s="39">
        <f>D31+F31+H31+J31+N31+R31+V31+Z31+AD31+AH31+AL31+AP31+AT31+AX31</f>
        <v>2065833.3499999999</v>
      </c>
    </row>
    <row r="32" spans="2:58" ht="13.5" thickTop="1" x14ac:dyDescent="0.2">
      <c r="B32" s="32"/>
      <c r="C32" s="32"/>
      <c r="D32" s="32"/>
      <c r="E32" s="32"/>
      <c r="F32" s="32"/>
      <c r="G32" s="32"/>
      <c r="H32" s="32"/>
      <c r="L32" s="41"/>
      <c r="N32" s="41"/>
      <c r="O32" s="36"/>
      <c r="P32" s="41"/>
      <c r="Q32" s="36"/>
      <c r="R32" s="41"/>
      <c r="S32" s="36"/>
      <c r="T32" s="41"/>
      <c r="U32" s="36"/>
      <c r="V32" s="41"/>
      <c r="W32" s="36"/>
      <c r="X32" s="36"/>
      <c r="Y32" s="36"/>
      <c r="Z32" s="36"/>
      <c r="AA32" s="36"/>
      <c r="AB32" s="36"/>
      <c r="AC32" s="36"/>
      <c r="AD32" s="36"/>
      <c r="AE32" s="36"/>
      <c r="AF32" s="41"/>
      <c r="AG32" s="36"/>
      <c r="AI32" s="36"/>
      <c r="AJ32" s="36"/>
      <c r="AK32" s="36"/>
      <c r="AM32" s="36"/>
      <c r="AO32" s="36"/>
      <c r="AQ32" s="36"/>
    </row>
    <row r="33" spans="2:58" x14ac:dyDescent="0.2">
      <c r="B33" s="42"/>
      <c r="C33" s="42"/>
      <c r="D33" s="42"/>
      <c r="E33" s="42"/>
      <c r="F33" s="42"/>
      <c r="G33" s="42"/>
      <c r="H33" s="42"/>
      <c r="L33" s="43"/>
      <c r="N33" s="43"/>
      <c r="O33" s="36"/>
      <c r="P33" s="43"/>
      <c r="Q33" s="36"/>
      <c r="R33" s="43"/>
      <c r="S33" s="36"/>
      <c r="T33" s="43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I33" s="36"/>
      <c r="AJ33" s="36"/>
      <c r="AK33" s="36"/>
      <c r="AM33" s="36"/>
      <c r="AN33" s="41"/>
      <c r="AO33" s="36"/>
      <c r="AQ33" s="36"/>
      <c r="BF33" s="46"/>
    </row>
    <row r="34" spans="2:58" x14ac:dyDescent="0.2"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I34" s="36"/>
      <c r="AJ34" s="36"/>
      <c r="AK34" s="36"/>
      <c r="AM34" s="36"/>
      <c r="AN34" s="36"/>
      <c r="AO34" s="36"/>
      <c r="AQ34" s="36"/>
    </row>
    <row r="35" spans="2:58" x14ac:dyDescent="0.2"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I35" s="36"/>
      <c r="AJ35" s="36"/>
      <c r="AK35" s="36"/>
      <c r="AM35" s="36"/>
      <c r="AO35" s="36"/>
      <c r="AP35" s="36"/>
    </row>
    <row r="36" spans="2:58" x14ac:dyDescent="0.2">
      <c r="B36" s="32"/>
      <c r="C36" s="32"/>
      <c r="D36" s="32"/>
      <c r="E36" s="32"/>
      <c r="F36" s="32"/>
      <c r="G36" s="32"/>
      <c r="H36" s="32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I36" s="36"/>
      <c r="AJ36" s="36"/>
      <c r="AK36" s="36"/>
      <c r="AM36" s="36"/>
      <c r="AO36" s="36"/>
      <c r="AP36" s="36"/>
    </row>
    <row r="37" spans="2:58" x14ac:dyDescent="0.2">
      <c r="B37" s="32"/>
      <c r="C37" s="32"/>
      <c r="D37" s="32"/>
      <c r="E37" s="32"/>
      <c r="F37" s="32"/>
      <c r="G37" s="32"/>
      <c r="H37" s="32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I37" s="36"/>
      <c r="AJ37" s="36"/>
      <c r="AK37" s="36"/>
      <c r="AM37" s="36"/>
      <c r="AO37" s="36"/>
      <c r="AP37" s="36"/>
    </row>
    <row r="38" spans="2:58" x14ac:dyDescent="0.2">
      <c r="B38" s="32"/>
      <c r="C38" s="32"/>
      <c r="D38" s="32"/>
      <c r="E38" s="32"/>
      <c r="F38" s="32"/>
      <c r="G38" s="32"/>
      <c r="H38" s="32"/>
    </row>
    <row r="39" spans="2:58" x14ac:dyDescent="0.2">
      <c r="B39" s="32"/>
      <c r="C39" s="32"/>
      <c r="D39" s="32"/>
      <c r="E39" s="32"/>
      <c r="F39" s="32"/>
      <c r="G39" s="32"/>
      <c r="H39" s="32"/>
    </row>
    <row r="40" spans="2:58" x14ac:dyDescent="0.2">
      <c r="B40" s="32"/>
      <c r="C40" s="32"/>
      <c r="D40" s="32"/>
      <c r="E40" s="32"/>
      <c r="F40" s="32"/>
      <c r="G40" s="32"/>
      <c r="H40" s="32"/>
      <c r="V40" s="46"/>
      <c r="X40" s="46"/>
    </row>
    <row r="41" spans="2:58" x14ac:dyDescent="0.2">
      <c r="B41" s="32"/>
      <c r="C41" s="32"/>
      <c r="D41" s="32"/>
      <c r="E41" s="32"/>
      <c r="F41" s="32"/>
      <c r="G41" s="32"/>
      <c r="H41" s="32"/>
    </row>
    <row r="42" spans="2:58" x14ac:dyDescent="0.2">
      <c r="B42" s="32"/>
      <c r="C42" s="32"/>
      <c r="D42" s="32"/>
      <c r="E42" s="32"/>
      <c r="F42" s="32"/>
      <c r="G42" s="32"/>
      <c r="H42" s="32"/>
    </row>
    <row r="43" spans="2:58" x14ac:dyDescent="0.2">
      <c r="B43" s="32"/>
      <c r="C43" s="32"/>
      <c r="D43" s="32"/>
      <c r="E43" s="32"/>
      <c r="F43" s="32"/>
      <c r="G43" s="32"/>
      <c r="H43" s="32"/>
    </row>
    <row r="44" spans="2:58" x14ac:dyDescent="0.2">
      <c r="B44" s="32"/>
      <c r="C44" s="32"/>
      <c r="D44" s="32"/>
      <c r="E44" s="32"/>
      <c r="F44" s="32"/>
      <c r="G44" s="32"/>
      <c r="H44" s="32"/>
    </row>
    <row r="45" spans="2:58" x14ac:dyDescent="0.2">
      <c r="B45" s="32"/>
      <c r="C45" s="32"/>
      <c r="D45" s="32"/>
      <c r="E45" s="32"/>
      <c r="F45" s="32"/>
      <c r="G45" s="32"/>
      <c r="H45" s="32"/>
    </row>
    <row r="46" spans="2:58" x14ac:dyDescent="0.2">
      <c r="B46" s="32"/>
      <c r="C46" s="32"/>
      <c r="D46" s="32"/>
      <c r="E46" s="32"/>
      <c r="F46" s="32"/>
      <c r="G46" s="32"/>
      <c r="H46" s="32"/>
    </row>
    <row r="48" spans="2:58" x14ac:dyDescent="0.2">
      <c r="B48" s="32"/>
      <c r="C48" s="32"/>
      <c r="D48" s="32"/>
      <c r="E48" s="32"/>
      <c r="F48" s="32"/>
      <c r="G48" s="32"/>
      <c r="H48" s="32"/>
    </row>
    <row r="50" spans="2:8" x14ac:dyDescent="0.2">
      <c r="B50" s="32"/>
      <c r="C50" s="32"/>
      <c r="D50" s="32"/>
      <c r="E50" s="32"/>
      <c r="F50" s="32"/>
      <c r="G50" s="32"/>
      <c r="H50" s="32"/>
    </row>
    <row r="51" spans="2:8" x14ac:dyDescent="0.2">
      <c r="B51" s="32"/>
      <c r="C51" s="32"/>
      <c r="D51" s="32"/>
      <c r="E51" s="32"/>
      <c r="F51" s="32"/>
      <c r="G51" s="32"/>
      <c r="H51" s="32"/>
    </row>
    <row r="52" spans="2:8" x14ac:dyDescent="0.2">
      <c r="B52" s="32"/>
      <c r="C52" s="32"/>
      <c r="D52" s="32"/>
      <c r="E52" s="32"/>
      <c r="F52" s="32"/>
      <c r="G52" s="32"/>
      <c r="H52" s="32"/>
    </row>
    <row r="53" spans="2:8" x14ac:dyDescent="0.2">
      <c r="B53" s="32"/>
      <c r="C53" s="32"/>
      <c r="D53" s="32"/>
      <c r="E53" s="32"/>
      <c r="F53" s="32"/>
      <c r="G53" s="32"/>
      <c r="H53" s="32"/>
    </row>
    <row r="54" spans="2:8" x14ac:dyDescent="0.2">
      <c r="B54" s="32"/>
      <c r="C54" s="32"/>
      <c r="D54" s="32"/>
      <c r="E54" s="32"/>
      <c r="F54" s="32"/>
      <c r="G54" s="32"/>
      <c r="H54" s="32"/>
    </row>
    <row r="57" spans="2:8" x14ac:dyDescent="0.2">
      <c r="B57" s="32"/>
      <c r="C57" s="32"/>
      <c r="D57" s="32"/>
      <c r="E57" s="32"/>
      <c r="F57" s="32"/>
      <c r="G57" s="32"/>
      <c r="H57" s="32"/>
    </row>
  </sheetData>
  <mergeCells count="4">
    <mergeCell ref="B1:BF1"/>
    <mergeCell ref="B3:BF3"/>
    <mergeCell ref="B4:BF4"/>
    <mergeCell ref="B2:BF2"/>
  </mergeCells>
  <phoneticPr fontId="5" type="noConversion"/>
  <pageMargins left="0.75" right="0.75" top="1" bottom="1" header="0.5" footer="0.5"/>
  <pageSetup scale="41" orientation="landscape" r:id="rId1"/>
  <headerFooter alignWithMargins="0"/>
  <customProperties>
    <customPr name="_pios_id" r:id="rId2"/>
    <customPr name="EpmWorksheetKeyString_GUID" r:id="rId3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CA59"/>
  <sheetViews>
    <sheetView zoomScale="80" zoomScaleNormal="80" workbookViewId="0">
      <selection activeCell="AM58" sqref="AM58"/>
    </sheetView>
  </sheetViews>
  <sheetFormatPr defaultColWidth="9.140625" defaultRowHeight="12.75" x14ac:dyDescent="0.2"/>
  <cols>
    <col min="1" max="1" width="2.7109375" customWidth="1"/>
    <col min="2" max="2" width="28.5703125" bestFit="1" customWidth="1"/>
    <col min="3" max="3" width="2.7109375" customWidth="1"/>
    <col min="4" max="4" width="15.140625" customWidth="1"/>
    <col min="5" max="5" width="2.7109375" customWidth="1"/>
    <col min="6" max="6" width="15.140625" bestFit="1" customWidth="1"/>
    <col min="7" max="7" width="2.7109375" customWidth="1"/>
    <col min="8" max="8" width="15.140625" bestFit="1" customWidth="1"/>
    <col min="9" max="9" width="2.7109375" customWidth="1"/>
    <col min="10" max="10" width="15.140625" bestFit="1" customWidth="1"/>
    <col min="11" max="11" width="2.7109375" customWidth="1"/>
    <col min="12" max="12" width="15.140625" bestFit="1" customWidth="1"/>
    <col min="13" max="13" width="2.7109375" customWidth="1"/>
    <col min="14" max="14" width="15.140625" bestFit="1" customWidth="1"/>
    <col min="15" max="15" width="2.7109375" hidden="1" customWidth="1"/>
    <col min="16" max="16" width="14" hidden="1" customWidth="1"/>
    <col min="17" max="17" width="2.7109375" customWidth="1"/>
    <col min="18" max="18" width="15.140625" bestFit="1" customWidth="1"/>
    <col min="19" max="19" width="2.7109375" hidden="1" customWidth="1"/>
    <col min="20" max="20" width="14" hidden="1" customWidth="1"/>
    <col min="21" max="21" width="2.7109375" customWidth="1"/>
    <col min="22" max="22" width="15.140625" bestFit="1" customWidth="1"/>
    <col min="23" max="23" width="2.7109375" customWidth="1"/>
    <col min="24" max="24" width="15.140625" bestFit="1" customWidth="1"/>
    <col min="25" max="25" width="2.7109375" customWidth="1"/>
    <col min="26" max="26" width="15.140625" bestFit="1" customWidth="1"/>
    <col min="27" max="27" width="2.7109375" customWidth="1"/>
    <col min="28" max="28" width="15.140625" bestFit="1" customWidth="1"/>
    <col min="29" max="29" width="2.7109375" hidden="1" customWidth="1"/>
    <col min="30" max="30" width="14" hidden="1" customWidth="1"/>
    <col min="31" max="31" width="2.7109375" customWidth="1"/>
    <col min="32" max="32" width="15.140625" bestFit="1" customWidth="1"/>
    <col min="33" max="33" width="2.7109375" hidden="1" customWidth="1"/>
    <col min="34" max="34" width="12" hidden="1" customWidth="1"/>
    <col min="35" max="35" width="2" customWidth="1"/>
    <col min="36" max="36" width="14.5703125" customWidth="1"/>
    <col min="37" max="37" width="2.140625" customWidth="1"/>
    <col min="38" max="38" width="15" customWidth="1"/>
    <col min="39" max="39" width="2.28515625" customWidth="1"/>
    <col min="40" max="40" width="15.5703125" hidden="1" customWidth="1"/>
    <col min="41" max="41" width="2.28515625" hidden="1" customWidth="1"/>
    <col min="42" max="42" width="14.7109375" hidden="1" customWidth="1"/>
    <col min="43" max="43" width="2.7109375" hidden="1" customWidth="1"/>
    <col min="44" max="44" width="14.7109375" hidden="1" customWidth="1"/>
    <col min="45" max="45" width="2.85546875" hidden="1" customWidth="1"/>
    <col min="46" max="46" width="13.7109375" hidden="1" customWidth="1"/>
    <col min="47" max="47" width="2.28515625" hidden="1" customWidth="1"/>
    <col min="48" max="48" width="15.140625" hidden="1" customWidth="1"/>
    <col min="49" max="49" width="2.28515625" hidden="1" customWidth="1"/>
    <col min="50" max="50" width="13.42578125" hidden="1" customWidth="1"/>
    <col min="51" max="51" width="2.140625" hidden="1" customWidth="1"/>
    <col min="52" max="52" width="15.140625" hidden="1" customWidth="1"/>
    <col min="53" max="53" width="2.7109375" hidden="1" customWidth="1"/>
    <col min="54" max="54" width="15.140625" hidden="1" customWidth="1"/>
    <col min="55" max="55" width="2.7109375" hidden="1" customWidth="1"/>
    <col min="56" max="56" width="15.140625" hidden="1" customWidth="1"/>
    <col min="57" max="57" width="3" hidden="1" customWidth="1"/>
    <col min="58" max="58" width="15.140625" hidden="1" customWidth="1"/>
    <col min="59" max="59" width="2.28515625" hidden="1" customWidth="1"/>
    <col min="60" max="60" width="14.42578125" hidden="1" customWidth="1"/>
    <col min="61" max="61" width="3" hidden="1" customWidth="1"/>
    <col min="62" max="62" width="15.140625" hidden="1" customWidth="1"/>
    <col min="63" max="63" width="2.5703125" hidden="1" customWidth="1"/>
    <col min="64" max="64" width="14.85546875" hidden="1" customWidth="1"/>
    <col min="65" max="65" width="2.42578125" hidden="1" customWidth="1"/>
    <col min="66" max="66" width="15.140625" hidden="1" customWidth="1"/>
    <col min="67" max="67" width="3.28515625" hidden="1" customWidth="1"/>
    <col min="68" max="68" width="15.140625" hidden="1" customWidth="1"/>
    <col min="69" max="69" width="2.5703125" hidden="1" customWidth="1"/>
    <col min="70" max="70" width="15.140625" hidden="1" customWidth="1"/>
    <col min="71" max="71" width="2.28515625" hidden="1" customWidth="1"/>
    <col min="72" max="72" width="15.140625" hidden="1" customWidth="1"/>
    <col min="73" max="73" width="3" hidden="1" customWidth="1"/>
    <col min="74" max="74" width="14" hidden="1" customWidth="1"/>
    <col min="75" max="75" width="2.5703125" hidden="1" customWidth="1"/>
    <col min="76" max="76" width="16" hidden="1" customWidth="1"/>
    <col min="77" max="77" width="2.140625" hidden="1" customWidth="1"/>
    <col min="78" max="78" width="14.7109375" hidden="1" customWidth="1"/>
    <col min="79" max="79" width="15.140625" hidden="1" customWidth="1"/>
  </cols>
  <sheetData>
    <row r="1" spans="1:79" ht="18" x14ac:dyDescent="0.25">
      <c r="A1" s="51"/>
      <c r="B1" s="403" t="s">
        <v>4326</v>
      </c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  <c r="Q1" s="403"/>
      <c r="R1" s="403"/>
      <c r="S1" s="403"/>
      <c r="T1" s="403"/>
      <c r="U1" s="403"/>
      <c r="V1" s="403"/>
      <c r="W1" s="403"/>
      <c r="X1" s="403"/>
      <c r="Y1" s="403"/>
      <c r="Z1" s="403"/>
      <c r="AA1" s="403"/>
      <c r="AB1" s="403"/>
      <c r="AC1" s="403"/>
      <c r="AD1" s="403"/>
      <c r="AE1" s="403"/>
      <c r="AF1" s="403"/>
      <c r="AG1" s="403"/>
      <c r="AH1" s="403"/>
      <c r="AI1" s="403"/>
      <c r="AJ1" s="403"/>
      <c r="AK1" s="403"/>
      <c r="AL1" s="403"/>
      <c r="AM1" s="403"/>
      <c r="AN1" s="403"/>
      <c r="AO1" s="403"/>
      <c r="AP1" s="403"/>
      <c r="AQ1" s="403"/>
      <c r="AR1" s="403"/>
      <c r="AS1" s="403"/>
      <c r="AT1" s="403"/>
      <c r="AU1" s="403"/>
      <c r="AV1" s="403"/>
      <c r="AW1" s="403"/>
      <c r="AX1" s="403"/>
      <c r="AY1" s="403"/>
      <c r="AZ1" s="403"/>
      <c r="BA1" s="403"/>
      <c r="BB1" s="403"/>
      <c r="BC1" s="403"/>
      <c r="BD1" s="403"/>
      <c r="BE1" s="403"/>
      <c r="BF1" s="403"/>
      <c r="BG1" s="403"/>
      <c r="BH1" s="403"/>
      <c r="BI1" s="403"/>
      <c r="BJ1" s="403"/>
      <c r="BK1" s="403"/>
      <c r="BL1" s="403"/>
      <c r="BM1" s="403"/>
      <c r="BN1" s="403"/>
      <c r="BO1" s="403"/>
      <c r="BP1" s="403"/>
      <c r="BQ1" s="403"/>
      <c r="BR1" s="403"/>
      <c r="BS1" s="403"/>
      <c r="BT1" s="403"/>
      <c r="BU1" s="403"/>
      <c r="BV1" s="403"/>
      <c r="BW1" s="403"/>
      <c r="BX1" s="403"/>
      <c r="BY1" s="403"/>
      <c r="BZ1" s="403"/>
      <c r="CA1" s="403"/>
    </row>
    <row r="2" spans="1:79" ht="18" x14ac:dyDescent="0.25">
      <c r="A2" s="51"/>
      <c r="B2" s="403" t="s">
        <v>2965</v>
      </c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403"/>
      <c r="R2" s="403"/>
      <c r="S2" s="403"/>
      <c r="T2" s="403"/>
      <c r="U2" s="403"/>
      <c r="V2" s="403"/>
      <c r="W2" s="403"/>
      <c r="X2" s="403"/>
      <c r="Y2" s="403"/>
      <c r="Z2" s="403"/>
      <c r="AA2" s="403"/>
      <c r="AB2" s="403"/>
      <c r="AC2" s="403"/>
      <c r="AD2" s="403"/>
      <c r="AE2" s="403"/>
      <c r="AF2" s="403"/>
      <c r="AG2" s="403"/>
      <c r="AH2" s="403"/>
      <c r="AI2" s="403"/>
      <c r="AJ2" s="403"/>
      <c r="AK2" s="403"/>
      <c r="AL2" s="403"/>
      <c r="AM2" s="403"/>
      <c r="AN2" s="403"/>
      <c r="AO2" s="403"/>
      <c r="AP2" s="403"/>
      <c r="AQ2" s="403"/>
      <c r="AR2" s="403"/>
      <c r="AS2" s="403"/>
      <c r="AT2" s="403"/>
      <c r="AU2" s="403"/>
      <c r="AV2" s="403"/>
      <c r="AW2" s="403"/>
      <c r="AX2" s="403"/>
      <c r="AY2" s="403"/>
      <c r="AZ2" s="403"/>
      <c r="BA2" s="403"/>
      <c r="BB2" s="403"/>
      <c r="BC2" s="403"/>
      <c r="BD2" s="403"/>
      <c r="BE2" s="403"/>
      <c r="BF2" s="403"/>
      <c r="BG2" s="403"/>
      <c r="BH2" s="403"/>
      <c r="BI2" s="403"/>
      <c r="BJ2" s="403"/>
      <c r="BK2" s="403"/>
      <c r="BL2" s="403"/>
      <c r="BM2" s="403"/>
      <c r="BN2" s="403"/>
      <c r="BO2" s="403"/>
      <c r="BP2" s="403"/>
      <c r="BQ2" s="403"/>
      <c r="BR2" s="403"/>
      <c r="BS2" s="403"/>
      <c r="BT2" s="403"/>
      <c r="BU2" s="403"/>
      <c r="BV2" s="403"/>
      <c r="BW2" s="403"/>
      <c r="BX2" s="403"/>
      <c r="BY2" s="403"/>
      <c r="BZ2" s="403"/>
      <c r="CA2" s="403"/>
    </row>
    <row r="3" spans="1:79" ht="18" x14ac:dyDescent="0.25">
      <c r="A3" s="52"/>
      <c r="B3" s="403" t="s">
        <v>3506</v>
      </c>
      <c r="C3" s="403"/>
      <c r="D3" s="403"/>
      <c r="E3" s="403"/>
      <c r="F3" s="403"/>
      <c r="G3" s="403"/>
      <c r="H3" s="403"/>
      <c r="I3" s="403"/>
      <c r="J3" s="403"/>
      <c r="K3" s="403"/>
      <c r="L3" s="403"/>
      <c r="M3" s="403"/>
      <c r="N3" s="403"/>
      <c r="O3" s="403"/>
      <c r="P3" s="403"/>
      <c r="Q3" s="403"/>
      <c r="R3" s="403"/>
      <c r="S3" s="403"/>
      <c r="T3" s="403"/>
      <c r="U3" s="403"/>
      <c r="V3" s="403"/>
      <c r="W3" s="403"/>
      <c r="X3" s="403"/>
      <c r="Y3" s="403"/>
      <c r="Z3" s="403"/>
      <c r="AA3" s="403"/>
      <c r="AB3" s="403"/>
      <c r="AC3" s="403"/>
      <c r="AD3" s="403"/>
      <c r="AE3" s="403"/>
      <c r="AF3" s="403"/>
      <c r="AG3" s="403"/>
      <c r="AH3" s="403"/>
      <c r="AI3" s="403"/>
      <c r="AJ3" s="403"/>
      <c r="AK3" s="403"/>
      <c r="AL3" s="403"/>
      <c r="AM3" s="403"/>
      <c r="AN3" s="403"/>
      <c r="AO3" s="403"/>
      <c r="AP3" s="403"/>
      <c r="AQ3" s="403"/>
      <c r="AR3" s="403"/>
      <c r="AS3" s="403"/>
      <c r="AT3" s="403"/>
      <c r="AU3" s="403"/>
      <c r="AV3" s="403"/>
      <c r="AW3" s="403"/>
      <c r="AX3" s="403"/>
      <c r="AY3" s="403"/>
      <c r="AZ3" s="403"/>
      <c r="BA3" s="403"/>
      <c r="BB3" s="403"/>
      <c r="BC3" s="403"/>
      <c r="BD3" s="403"/>
      <c r="BE3" s="403"/>
      <c r="BF3" s="403"/>
      <c r="BG3" s="403"/>
      <c r="BH3" s="403"/>
      <c r="BI3" s="403"/>
      <c r="BJ3" s="403"/>
      <c r="BK3" s="403"/>
      <c r="BL3" s="403"/>
      <c r="BM3" s="403"/>
      <c r="BN3" s="403"/>
      <c r="BO3" s="403"/>
      <c r="BP3" s="403"/>
      <c r="BQ3" s="403"/>
      <c r="BR3" s="403"/>
      <c r="BS3" s="403"/>
      <c r="BT3" s="403"/>
      <c r="BU3" s="403"/>
      <c r="BV3" s="403"/>
      <c r="BW3" s="403"/>
      <c r="BX3" s="403"/>
      <c r="BY3" s="403"/>
      <c r="BZ3" s="403"/>
      <c r="CA3" s="403"/>
    </row>
    <row r="4" spans="1:79" ht="18" x14ac:dyDescent="0.25">
      <c r="B4" s="403" t="s">
        <v>5257</v>
      </c>
      <c r="C4" s="403"/>
      <c r="D4" s="403"/>
      <c r="E4" s="403"/>
      <c r="F4" s="403"/>
      <c r="G4" s="403"/>
      <c r="H4" s="403"/>
      <c r="I4" s="403"/>
      <c r="J4" s="403"/>
      <c r="K4" s="403"/>
      <c r="L4" s="403"/>
      <c r="M4" s="403"/>
      <c r="N4" s="403"/>
      <c r="O4" s="403"/>
      <c r="P4" s="403"/>
      <c r="Q4" s="403"/>
      <c r="R4" s="403"/>
      <c r="S4" s="403"/>
      <c r="T4" s="403"/>
      <c r="U4" s="403"/>
      <c r="V4" s="403"/>
      <c r="W4" s="403"/>
      <c r="X4" s="403"/>
      <c r="Y4" s="403"/>
      <c r="Z4" s="403"/>
      <c r="AA4" s="403"/>
      <c r="AB4" s="403"/>
      <c r="AC4" s="403"/>
      <c r="AD4" s="403"/>
      <c r="AE4" s="403"/>
      <c r="AF4" s="403"/>
      <c r="AG4" s="403"/>
      <c r="AH4" s="403"/>
      <c r="AI4" s="403"/>
      <c r="AJ4" s="403"/>
      <c r="AK4" s="403"/>
      <c r="AL4" s="403"/>
      <c r="AM4" s="403"/>
      <c r="AN4" s="403"/>
      <c r="AO4" s="403"/>
      <c r="AP4" s="403"/>
      <c r="AQ4" s="403"/>
      <c r="AR4" s="403"/>
      <c r="AS4" s="403"/>
      <c r="AT4" s="403"/>
      <c r="AU4" s="403"/>
      <c r="AV4" s="403"/>
      <c r="AW4" s="403"/>
      <c r="AX4" s="403"/>
      <c r="AY4" s="403"/>
      <c r="AZ4" s="403"/>
      <c r="BA4" s="403"/>
      <c r="BB4" s="403"/>
      <c r="BC4" s="403"/>
      <c r="BD4" s="403"/>
      <c r="BE4" s="403"/>
      <c r="BF4" s="403"/>
      <c r="BG4" s="403"/>
      <c r="BH4" s="403"/>
      <c r="BI4" s="403"/>
      <c r="BJ4" s="403"/>
      <c r="BK4" s="403"/>
      <c r="BL4" s="403"/>
      <c r="BM4" s="403"/>
      <c r="BN4" s="403"/>
      <c r="BO4" s="403"/>
      <c r="BP4" s="403"/>
      <c r="BQ4" s="403"/>
      <c r="BR4" s="403"/>
      <c r="BS4" s="403"/>
      <c r="BT4" s="403"/>
      <c r="BU4" s="403"/>
      <c r="BV4" s="403"/>
      <c r="BW4" s="403"/>
      <c r="BX4" s="403"/>
      <c r="BY4" s="403"/>
      <c r="BZ4" s="403"/>
      <c r="CA4" s="403"/>
    </row>
    <row r="5" spans="1:79" ht="18" x14ac:dyDescent="0.25"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BW5" s="52"/>
      <c r="BX5" s="52"/>
      <c r="BY5" s="52"/>
      <c r="BZ5" s="52"/>
      <c r="CA5" s="52"/>
    </row>
    <row r="6" spans="1:79" ht="15" x14ac:dyDescent="0.2"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CA6" s="34"/>
    </row>
    <row r="7" spans="1:79" x14ac:dyDescent="0.2">
      <c r="L7" s="27"/>
      <c r="P7" s="27" t="s">
        <v>252</v>
      </c>
      <c r="T7" s="54">
        <v>39329</v>
      </c>
      <c r="AD7" s="27" t="s">
        <v>254</v>
      </c>
      <c r="AH7" s="53" t="s">
        <v>255</v>
      </c>
      <c r="AT7" s="27" t="s">
        <v>5258</v>
      </c>
      <c r="AU7" s="27"/>
      <c r="AX7" s="53" t="s">
        <v>256</v>
      </c>
      <c r="BH7" s="27" t="s">
        <v>5259</v>
      </c>
      <c r="BL7" s="53" t="s">
        <v>257</v>
      </c>
      <c r="BV7" s="27" t="s">
        <v>229</v>
      </c>
      <c r="BZ7" s="53" t="s">
        <v>258</v>
      </c>
    </row>
    <row r="8" spans="1:79" x14ac:dyDescent="0.2">
      <c r="D8" s="31" t="s">
        <v>230</v>
      </c>
      <c r="F8" s="31" t="s">
        <v>259</v>
      </c>
      <c r="H8" s="31" t="s">
        <v>2942</v>
      </c>
      <c r="J8" s="31" t="s">
        <v>2943</v>
      </c>
      <c r="L8" s="31" t="s">
        <v>2944</v>
      </c>
      <c r="N8" s="31" t="s">
        <v>233</v>
      </c>
      <c r="P8" s="31" t="s">
        <v>232</v>
      </c>
      <c r="R8" s="31" t="s">
        <v>253</v>
      </c>
      <c r="T8" s="31" t="s">
        <v>232</v>
      </c>
      <c r="V8" s="31" t="s">
        <v>2945</v>
      </c>
      <c r="X8" s="31" t="s">
        <v>2946</v>
      </c>
      <c r="Z8" s="31" t="s">
        <v>2947</v>
      </c>
      <c r="AB8" s="31" t="s">
        <v>2948</v>
      </c>
      <c r="AD8" s="31" t="s">
        <v>232</v>
      </c>
      <c r="AF8" s="31" t="s">
        <v>235</v>
      </c>
      <c r="AH8" s="31" t="s">
        <v>232</v>
      </c>
      <c r="AJ8" s="31" t="s">
        <v>2949</v>
      </c>
      <c r="AL8" s="31" t="s">
        <v>2950</v>
      </c>
      <c r="AT8" s="31" t="s">
        <v>232</v>
      </c>
      <c r="AU8" s="27"/>
      <c r="AX8" s="31" t="s">
        <v>232</v>
      </c>
      <c r="BH8" s="31" t="s">
        <v>232</v>
      </c>
      <c r="BI8" s="27"/>
      <c r="BL8" s="31" t="s">
        <v>232</v>
      </c>
      <c r="BV8" s="31" t="s">
        <v>232</v>
      </c>
      <c r="BW8" s="27"/>
      <c r="BX8" s="31" t="s">
        <v>258</v>
      </c>
      <c r="BZ8" s="31" t="s">
        <v>232</v>
      </c>
    </row>
    <row r="10" spans="1:79" x14ac:dyDescent="0.2">
      <c r="B10" s="32" t="s">
        <v>3625</v>
      </c>
      <c r="D10" s="35">
        <v>54200000</v>
      </c>
      <c r="E10" s="35"/>
      <c r="F10" s="35">
        <v>54200000</v>
      </c>
      <c r="G10" s="35"/>
      <c r="H10" s="35">
        <v>54200000</v>
      </c>
      <c r="I10" s="35"/>
      <c r="J10" s="35">
        <v>54200000</v>
      </c>
      <c r="K10" s="35"/>
      <c r="L10" s="35">
        <v>54200000</v>
      </c>
      <c r="M10" s="35"/>
      <c r="N10" s="35">
        <v>54200000</v>
      </c>
      <c r="O10" s="35"/>
      <c r="P10" s="35"/>
      <c r="Q10" s="35"/>
      <c r="R10" s="35">
        <v>54200000</v>
      </c>
      <c r="S10" s="35"/>
      <c r="T10" s="35"/>
      <c r="U10" s="35"/>
      <c r="V10" s="35">
        <v>54200000</v>
      </c>
      <c r="W10" s="35"/>
      <c r="X10" s="35">
        <v>54200000</v>
      </c>
      <c r="Y10" s="35"/>
      <c r="Z10" s="35">
        <v>54200000</v>
      </c>
      <c r="AA10" s="35"/>
      <c r="AB10" s="35">
        <v>54200000</v>
      </c>
      <c r="AC10" s="35"/>
      <c r="AD10" s="35"/>
      <c r="AE10" s="35"/>
      <c r="AF10" s="35">
        <v>54200000</v>
      </c>
      <c r="AG10" s="35"/>
      <c r="AH10" s="35"/>
      <c r="AI10" s="35"/>
      <c r="AJ10" s="35">
        <v>54200000</v>
      </c>
      <c r="AK10" s="35"/>
      <c r="AL10" s="35">
        <v>54200000</v>
      </c>
      <c r="AM10" s="35"/>
      <c r="AO10" s="35"/>
      <c r="AQ10" s="35"/>
      <c r="AT10" s="35"/>
      <c r="AU10" s="35"/>
      <c r="AW10" s="35"/>
      <c r="AX10" s="35"/>
      <c r="AY10" s="35"/>
      <c r="BA10" s="35"/>
      <c r="BC10" s="35"/>
      <c r="BE10" s="35"/>
      <c r="BH10" s="35"/>
      <c r="BI10" s="35"/>
      <c r="BK10" s="35"/>
      <c r="BL10" s="35"/>
      <c r="BO10" s="35"/>
      <c r="BQ10" s="35"/>
      <c r="BS10" s="35"/>
      <c r="BV10" s="35"/>
      <c r="BW10" s="35"/>
      <c r="BX10" s="35">
        <v>54200000</v>
      </c>
      <c r="BY10" s="35"/>
      <c r="BZ10" s="35"/>
    </row>
    <row r="11" spans="1:79" x14ac:dyDescent="0.2">
      <c r="B11" s="32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S11" s="35"/>
      <c r="T11" s="35"/>
      <c r="U11" s="35"/>
      <c r="W11" s="35"/>
      <c r="Y11" s="35"/>
      <c r="AA11" s="35"/>
      <c r="AC11" s="35"/>
      <c r="AD11" s="35"/>
      <c r="AE11" s="35"/>
      <c r="AG11" s="35"/>
      <c r="AH11" s="35"/>
      <c r="AI11" s="35"/>
      <c r="AK11" s="35"/>
      <c r="AM11" s="35"/>
      <c r="AO11" s="35"/>
      <c r="AQ11" s="35"/>
      <c r="AS11" s="35"/>
      <c r="AT11" s="35"/>
      <c r="AU11" s="35"/>
      <c r="AW11" s="35"/>
      <c r="AX11" s="35"/>
      <c r="AY11" s="35"/>
      <c r="BA11" s="35"/>
      <c r="BC11" s="35"/>
      <c r="BE11" s="35"/>
      <c r="BH11" s="35"/>
      <c r="BI11" s="35"/>
      <c r="BK11" s="35"/>
      <c r="BL11" s="35"/>
      <c r="BO11" s="35"/>
      <c r="BQ11" s="35"/>
      <c r="BS11" s="35"/>
      <c r="BV11" s="35"/>
      <c r="BW11" s="35"/>
      <c r="BY11" s="35"/>
      <c r="BZ11" s="35"/>
    </row>
    <row r="12" spans="1:79" x14ac:dyDescent="0.2">
      <c r="B12" s="32" t="s">
        <v>242</v>
      </c>
      <c r="D12">
        <v>3.4500000000000003E-2</v>
      </c>
      <c r="F12">
        <v>3.5499999999999997E-2</v>
      </c>
      <c r="H12">
        <v>3.5499999999999997E-2</v>
      </c>
      <c r="J12">
        <v>3.6999999999999998E-2</v>
      </c>
      <c r="L12">
        <v>3.9E-2</v>
      </c>
      <c r="N12">
        <v>3.8989999999999997E-2</v>
      </c>
      <c r="R12">
        <v>3.8989999999999997E-2</v>
      </c>
      <c r="V12">
        <v>3.85E-2</v>
      </c>
      <c r="X12">
        <v>3.95E-2</v>
      </c>
      <c r="Z12">
        <v>0.04</v>
      </c>
      <c r="AB12">
        <v>0.04</v>
      </c>
      <c r="AF12">
        <v>0.04</v>
      </c>
      <c r="AJ12">
        <v>3.7999999999999999E-2</v>
      </c>
      <c r="AL12">
        <v>3.7999999999999999E-2</v>
      </c>
      <c r="AS12" s="35"/>
      <c r="BG12" s="35"/>
      <c r="BU12" s="35"/>
      <c r="BX12">
        <v>3.9E-2</v>
      </c>
    </row>
    <row r="13" spans="1:79" x14ac:dyDescent="0.2">
      <c r="B13" s="32"/>
      <c r="BG13" s="35"/>
      <c r="BU13" s="35"/>
    </row>
    <row r="14" spans="1:79" x14ac:dyDescent="0.2">
      <c r="B14" s="32" t="s">
        <v>243</v>
      </c>
      <c r="D14" s="59">
        <f>D10*D12</f>
        <v>1869900.0000000002</v>
      </c>
      <c r="E14" s="59"/>
      <c r="F14" s="59">
        <f>F10*F12</f>
        <v>1924099.9999999998</v>
      </c>
      <c r="G14" s="59"/>
      <c r="H14" s="59">
        <f>H10*H12</f>
        <v>1924099.9999999998</v>
      </c>
      <c r="I14" s="59"/>
      <c r="J14" s="59">
        <f>J10*J12</f>
        <v>2005400</v>
      </c>
      <c r="K14" s="59"/>
      <c r="L14" s="59">
        <f>L10*L12</f>
        <v>2113800</v>
      </c>
      <c r="M14" s="59"/>
      <c r="N14" s="59">
        <f>N10*N12</f>
        <v>2113258</v>
      </c>
      <c r="O14" s="59"/>
      <c r="P14" s="59"/>
      <c r="Q14" s="59"/>
      <c r="R14" s="59">
        <f>R10*R12</f>
        <v>2113258</v>
      </c>
      <c r="S14" s="59"/>
      <c r="T14" s="59"/>
      <c r="U14" s="59"/>
      <c r="V14" s="59">
        <f>V10*V12</f>
        <v>2086700</v>
      </c>
      <c r="W14" s="59"/>
      <c r="X14" s="59">
        <f>X10*X12</f>
        <v>2140900</v>
      </c>
      <c r="Y14" s="59"/>
      <c r="Z14" s="59">
        <f>Z10*Z12</f>
        <v>2168000</v>
      </c>
      <c r="AA14" s="59"/>
      <c r="AB14" s="59">
        <f>AB10*AB12</f>
        <v>2168000</v>
      </c>
      <c r="AC14" s="59"/>
      <c r="AD14" s="59"/>
      <c r="AE14" s="59"/>
      <c r="AF14" s="59">
        <f>AF10*AF12</f>
        <v>2168000</v>
      </c>
      <c r="AG14" s="59"/>
      <c r="AH14" s="59"/>
      <c r="AI14" s="59"/>
      <c r="AJ14" s="59">
        <f>AJ10*AJ12</f>
        <v>2059600</v>
      </c>
      <c r="AK14" s="59"/>
      <c r="AL14" s="59">
        <f>AL10*AL12</f>
        <v>2059600</v>
      </c>
      <c r="AM14" s="45"/>
      <c r="AO14" s="45"/>
      <c r="AQ14" s="45"/>
      <c r="AT14" s="45"/>
      <c r="AU14" s="45"/>
      <c r="AW14" s="45"/>
      <c r="AX14" s="45"/>
      <c r="AY14" s="45"/>
      <c r="BA14" s="45"/>
      <c r="BC14" s="45"/>
      <c r="BE14" s="45"/>
      <c r="BH14" s="45"/>
      <c r="BI14" s="45"/>
      <c r="BK14" s="45"/>
      <c r="BL14" s="45"/>
      <c r="BO14" s="45"/>
      <c r="BQ14" s="45"/>
      <c r="BS14" s="45"/>
      <c r="BV14" s="45"/>
      <c r="BW14" s="45"/>
      <c r="BX14" s="45">
        <f>BX10*BX12</f>
        <v>2113800</v>
      </c>
      <c r="BY14" s="45"/>
      <c r="BZ14" s="45"/>
    </row>
    <row r="15" spans="1:79" x14ac:dyDescent="0.2">
      <c r="B15" s="32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S15" s="45"/>
      <c r="T15" s="45"/>
      <c r="U15" s="45"/>
      <c r="W15" s="45"/>
      <c r="Y15" s="45"/>
      <c r="AA15" s="45"/>
      <c r="AC15" s="45"/>
      <c r="AD15" s="45"/>
      <c r="AE15" s="45"/>
      <c r="AG15" s="45"/>
      <c r="AH15" s="45"/>
      <c r="AI15" s="45"/>
      <c r="AK15" s="45"/>
      <c r="AM15" s="45"/>
      <c r="AO15" s="45"/>
      <c r="AQ15" s="45"/>
      <c r="AS15" s="45"/>
      <c r="AT15" s="45"/>
      <c r="AU15" s="45"/>
      <c r="AW15" s="45"/>
      <c r="AX15" s="45"/>
      <c r="AY15" s="45"/>
      <c r="BA15" s="45"/>
      <c r="BC15" s="45"/>
      <c r="BE15" s="45"/>
      <c r="BH15" s="45"/>
      <c r="BI15" s="45"/>
      <c r="BK15" s="45"/>
      <c r="BL15" s="45"/>
      <c r="BO15" s="45"/>
      <c r="BQ15" s="45"/>
      <c r="BS15" s="45"/>
      <c r="BV15" s="45"/>
      <c r="BW15" s="45"/>
      <c r="BY15" s="45"/>
      <c r="BZ15" s="45"/>
    </row>
    <row r="16" spans="1:79" x14ac:dyDescent="0.2">
      <c r="B16" s="32" t="s">
        <v>244</v>
      </c>
      <c r="D16" s="46">
        <f>D14/360</f>
        <v>5194.166666666667</v>
      </c>
      <c r="E16" s="46"/>
      <c r="F16" s="46">
        <f>(F14/360)</f>
        <v>5344.7222222222217</v>
      </c>
      <c r="G16" s="46"/>
      <c r="H16" s="46">
        <f>(H14/360)</f>
        <v>5344.7222222222217</v>
      </c>
      <c r="I16" s="46"/>
      <c r="J16" s="46">
        <f>(J14/360)</f>
        <v>5570.5555555555557</v>
      </c>
      <c r="K16" s="46"/>
      <c r="L16" s="46">
        <f>(L14/360)</f>
        <v>5871.666666666667</v>
      </c>
      <c r="M16" s="46"/>
      <c r="N16" s="46">
        <f>(N14/360)</f>
        <v>5870.1611111111115</v>
      </c>
      <c r="O16" s="46"/>
      <c r="P16" s="46"/>
      <c r="Q16" s="46"/>
      <c r="R16" s="46">
        <f>(R14/360)</f>
        <v>5870.1611111111115</v>
      </c>
      <c r="S16" s="46"/>
      <c r="T16" s="46"/>
      <c r="U16" s="46"/>
      <c r="V16" s="46">
        <f>(V14/360)</f>
        <v>5796.3888888888887</v>
      </c>
      <c r="W16" s="46"/>
      <c r="X16" s="46">
        <f>(X14/360)</f>
        <v>5946.9444444444443</v>
      </c>
      <c r="Y16" s="46"/>
      <c r="Z16" s="46">
        <f>(Z14/360)</f>
        <v>6022.2222222222226</v>
      </c>
      <c r="AA16" s="46"/>
      <c r="AB16" s="46">
        <f>(AB14/360)</f>
        <v>6022.2222222222226</v>
      </c>
      <c r="AC16" s="46"/>
      <c r="AD16" s="46"/>
      <c r="AE16" s="46"/>
      <c r="AF16" s="46">
        <f>(AF14/360)</f>
        <v>6022.2222222222226</v>
      </c>
      <c r="AG16" s="46"/>
      <c r="AH16" s="46"/>
      <c r="AI16" s="46"/>
      <c r="AJ16" s="46">
        <f>(AJ14/360)</f>
        <v>5721.1111111111113</v>
      </c>
      <c r="AK16" s="46"/>
      <c r="AL16" s="46">
        <f>(AL14/360)</f>
        <v>5721.1111111111113</v>
      </c>
      <c r="AM16" s="46"/>
      <c r="AO16" s="46"/>
      <c r="AQ16" s="46"/>
      <c r="AS16" s="45"/>
      <c r="AT16" s="46"/>
      <c r="AU16" s="46"/>
      <c r="AW16" s="46"/>
      <c r="AX16" s="46"/>
      <c r="AY16" s="46"/>
      <c r="BA16" s="46"/>
      <c r="BC16" s="46"/>
      <c r="BE16" s="46"/>
      <c r="BG16" s="45"/>
      <c r="BH16" s="46"/>
      <c r="BI16" s="46"/>
      <c r="BK16" s="46"/>
      <c r="BL16" s="46"/>
      <c r="BO16" s="46"/>
      <c r="BQ16" s="46"/>
      <c r="BS16" s="46"/>
      <c r="BU16" s="45"/>
      <c r="BV16" s="46"/>
      <c r="BW16" s="46"/>
      <c r="BX16" s="46">
        <f>(BX14/360)</f>
        <v>5871.666666666667</v>
      </c>
      <c r="BY16" s="46"/>
      <c r="BZ16" s="46"/>
    </row>
    <row r="17" spans="2:78" x14ac:dyDescent="0.2">
      <c r="B17" s="32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S17" s="46"/>
      <c r="T17" s="46"/>
      <c r="U17" s="46"/>
      <c r="W17" s="46"/>
      <c r="Y17" s="46"/>
      <c r="AA17" s="46"/>
      <c r="AC17" s="46"/>
      <c r="AD17" s="46"/>
      <c r="AE17" s="46"/>
      <c r="AG17" s="46"/>
      <c r="AH17" s="46"/>
      <c r="AI17" s="46"/>
      <c r="AK17" s="46"/>
      <c r="AM17" s="46"/>
      <c r="AO17" s="46"/>
      <c r="AQ17" s="46"/>
      <c r="AS17" s="46"/>
      <c r="AT17" s="46"/>
      <c r="AU17" s="46"/>
      <c r="AW17" s="46"/>
      <c r="AX17" s="46"/>
      <c r="AY17" s="46"/>
      <c r="BA17" s="46"/>
      <c r="BC17" s="46"/>
      <c r="BE17" s="46"/>
      <c r="BG17" s="45"/>
      <c r="BH17" s="46"/>
      <c r="BI17" s="46"/>
      <c r="BK17" s="46"/>
      <c r="BL17" s="46"/>
      <c r="BO17" s="46"/>
      <c r="BQ17" s="46"/>
      <c r="BS17" s="46"/>
      <c r="BU17" s="45"/>
      <c r="BV17" s="46"/>
      <c r="BW17" s="46"/>
      <c r="BY17" s="46"/>
      <c r="BZ17" s="46"/>
    </row>
    <row r="18" spans="2:78" x14ac:dyDescent="0.2">
      <c r="B18" s="32" t="s">
        <v>245</v>
      </c>
      <c r="D18" s="30">
        <v>7</v>
      </c>
      <c r="E18" s="30"/>
      <c r="F18" s="30">
        <v>7</v>
      </c>
      <c r="G18" s="30"/>
      <c r="H18" s="30">
        <v>7</v>
      </c>
      <c r="I18" s="30"/>
      <c r="J18" s="30">
        <v>7</v>
      </c>
      <c r="K18" s="30"/>
      <c r="L18" s="30">
        <v>7</v>
      </c>
      <c r="M18" s="30"/>
      <c r="N18" s="30">
        <v>3</v>
      </c>
      <c r="O18" s="30"/>
      <c r="P18" s="30"/>
      <c r="Q18" s="30"/>
      <c r="R18">
        <v>4</v>
      </c>
      <c r="S18" s="30"/>
      <c r="T18" s="30"/>
      <c r="U18" s="30"/>
      <c r="V18">
        <v>7</v>
      </c>
      <c r="W18" s="30"/>
      <c r="X18">
        <v>7</v>
      </c>
      <c r="Y18" s="30"/>
      <c r="Z18">
        <v>7</v>
      </c>
      <c r="AA18" s="30"/>
      <c r="AB18">
        <v>5</v>
      </c>
      <c r="AC18" s="30"/>
      <c r="AD18" s="30"/>
      <c r="AE18" s="30"/>
      <c r="AF18">
        <v>2</v>
      </c>
      <c r="AG18" s="30"/>
      <c r="AH18" s="30"/>
      <c r="AI18" s="30"/>
      <c r="AJ18">
        <v>7</v>
      </c>
      <c r="AK18" s="30"/>
      <c r="AL18">
        <v>7</v>
      </c>
      <c r="AM18" s="30"/>
      <c r="AO18" s="30"/>
      <c r="AQ18" s="30"/>
      <c r="AS18" s="46"/>
      <c r="AT18" s="30"/>
      <c r="AU18" s="30"/>
      <c r="AW18" s="30"/>
      <c r="AX18" s="30"/>
      <c r="AY18" s="30"/>
      <c r="BA18" s="30"/>
      <c r="BC18" s="30"/>
      <c r="BE18" s="30"/>
      <c r="BG18" s="46"/>
      <c r="BH18" s="30"/>
      <c r="BI18" s="30"/>
      <c r="BK18" s="30"/>
      <c r="BL18" s="30"/>
      <c r="BO18" s="30"/>
      <c r="BQ18" s="30"/>
      <c r="BS18" s="30"/>
      <c r="BU18" s="46"/>
      <c r="BV18" s="30"/>
      <c r="BW18" s="30"/>
      <c r="BX18">
        <v>1</v>
      </c>
      <c r="BY18" s="30"/>
      <c r="BZ18" s="30"/>
    </row>
    <row r="19" spans="2:78" x14ac:dyDescent="0.2">
      <c r="B19" s="32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S19" s="30"/>
      <c r="T19" s="30"/>
      <c r="U19" s="30"/>
      <c r="W19" s="30"/>
      <c r="Y19" s="30"/>
      <c r="AA19" s="30"/>
      <c r="AC19" s="30"/>
      <c r="AD19" s="30"/>
      <c r="AE19" s="30"/>
      <c r="AG19" s="30"/>
      <c r="AH19" s="30"/>
      <c r="AI19" s="30"/>
      <c r="AK19" s="30"/>
      <c r="AM19" s="30"/>
      <c r="AO19" s="30"/>
      <c r="AQ19" s="30"/>
      <c r="AS19" s="30"/>
      <c r="AT19" s="30"/>
      <c r="AU19" s="30"/>
      <c r="AW19" s="30"/>
      <c r="AX19" s="30"/>
      <c r="AY19" s="30"/>
      <c r="BA19" s="30"/>
      <c r="BC19" s="30"/>
      <c r="BE19" s="30"/>
      <c r="BG19" s="46"/>
      <c r="BH19" s="30"/>
      <c r="BI19" s="30"/>
      <c r="BK19" s="30"/>
      <c r="BL19" s="30"/>
      <c r="BO19" s="30"/>
      <c r="BQ19" s="30"/>
      <c r="BS19" s="30"/>
      <c r="BU19" s="46"/>
      <c r="BV19" s="30"/>
      <c r="BW19" s="30"/>
      <c r="BY19" s="30"/>
      <c r="BZ19" s="30"/>
    </row>
    <row r="20" spans="2:78" ht="13.5" thickBot="1" x14ac:dyDescent="0.25">
      <c r="B20" s="32" t="s">
        <v>246</v>
      </c>
      <c r="D20" s="47">
        <f>D16*D18</f>
        <v>36359.166666666672</v>
      </c>
      <c r="E20" s="36"/>
      <c r="F20" s="40">
        <f>F16*F18</f>
        <v>37413.055555555555</v>
      </c>
      <c r="G20" s="36"/>
      <c r="H20" s="40">
        <f>H16*H18</f>
        <v>37413.055555555555</v>
      </c>
      <c r="I20" s="36"/>
      <c r="J20" s="40">
        <f>J16*J18</f>
        <v>38993.888888888891</v>
      </c>
      <c r="K20" s="36"/>
      <c r="L20" s="40">
        <f>L16*L18</f>
        <v>41101.666666666672</v>
      </c>
      <c r="M20" s="36"/>
      <c r="N20" s="40">
        <f>N16*N18</f>
        <v>17610.483333333334</v>
      </c>
      <c r="O20" s="36"/>
      <c r="P20" s="40">
        <f>F20+H20+J20+L20+N20</f>
        <v>172532.15000000002</v>
      </c>
      <c r="Q20" s="36"/>
      <c r="R20" s="40">
        <f>ROUND(R16*R18,2)</f>
        <v>23480.639999999999</v>
      </c>
      <c r="S20" s="36"/>
      <c r="T20" s="40">
        <f>R20+N20</f>
        <v>41091.123333333337</v>
      </c>
      <c r="U20" s="36"/>
      <c r="V20" s="40">
        <f>ROUND(V16*V18,2)</f>
        <v>40574.720000000001</v>
      </c>
      <c r="W20" s="36"/>
      <c r="X20" s="40">
        <f>ROUND(X16*X18,2)</f>
        <v>41628.61</v>
      </c>
      <c r="Y20" s="36"/>
      <c r="Z20" s="40">
        <f>ROUND(Z16*Z18,2)</f>
        <v>42155.56</v>
      </c>
      <c r="AA20" s="36"/>
      <c r="AB20" s="40">
        <f>ROUND(AB16*AB18,2)</f>
        <v>30111.11</v>
      </c>
      <c r="AC20" s="36"/>
      <c r="AD20" s="40">
        <f>R20+V20+X20+Z20+AB20</f>
        <v>177950.64</v>
      </c>
      <c r="AE20" s="36"/>
      <c r="AF20" s="40">
        <f>ROUND(AF16*AF18,2)</f>
        <v>12044.44</v>
      </c>
      <c r="AG20" s="36"/>
      <c r="AH20" s="40">
        <f>AF20+AB20</f>
        <v>42155.55</v>
      </c>
      <c r="AI20" s="36"/>
      <c r="AJ20" s="40">
        <f>ROUND(AJ16*AJ18,2)</f>
        <v>40047.78</v>
      </c>
      <c r="AK20" s="36"/>
      <c r="AL20" s="40">
        <f>ROUND(AL16*AL18,2)</f>
        <v>40047.78</v>
      </c>
      <c r="AM20" s="36"/>
      <c r="AO20" s="36"/>
      <c r="AQ20" s="36"/>
      <c r="AS20" s="30"/>
      <c r="AT20" s="40">
        <f>AF20+AJ20+AL20+D47+F47+H47</f>
        <v>173289.44</v>
      </c>
      <c r="AU20" s="37"/>
      <c r="AW20" s="36"/>
      <c r="AX20" s="40">
        <f>J47+H47</f>
        <v>36886.11</v>
      </c>
      <c r="AY20" s="36"/>
      <c r="BA20" s="36"/>
      <c r="BC20" s="36"/>
      <c r="BE20" s="36"/>
      <c r="BG20" s="30"/>
      <c r="BH20" s="40">
        <f>V47+R47+N47+L47+J47</f>
        <v>160718.04999999999</v>
      </c>
      <c r="BI20" s="37"/>
      <c r="BK20" s="36"/>
      <c r="BL20" s="40">
        <f>X47+V47</f>
        <v>40574.720000000001</v>
      </c>
      <c r="BO20" s="36"/>
      <c r="BQ20" s="36"/>
      <c r="BS20" s="36"/>
      <c r="BU20" s="30"/>
      <c r="BV20" s="40">
        <f>AJ47+AF47+AB47+Z47+X47</f>
        <v>186990</v>
      </c>
      <c r="BW20" s="37"/>
      <c r="BX20" s="40">
        <f>ROUND(BX16*BX18,2)</f>
        <v>5871.67</v>
      </c>
      <c r="BY20" s="36"/>
      <c r="BZ20" s="40">
        <f>BX20+AJ47</f>
        <v>41101.67</v>
      </c>
    </row>
    <row r="21" spans="2:78" ht="13.5" thickTop="1" x14ac:dyDescent="0.2"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S21" s="36"/>
      <c r="T21" s="36"/>
      <c r="U21" s="36"/>
      <c r="W21" s="36"/>
      <c r="Y21" s="36"/>
      <c r="AA21" s="36"/>
      <c r="AC21" s="36"/>
      <c r="AD21" s="36"/>
      <c r="AE21" s="36"/>
      <c r="AG21" s="36"/>
      <c r="AH21" s="36"/>
      <c r="AI21" s="36"/>
      <c r="AK21" s="36"/>
      <c r="AM21" s="36"/>
      <c r="AO21" s="36"/>
      <c r="AQ21" s="36"/>
      <c r="AS21" s="36"/>
      <c r="AT21" s="36"/>
      <c r="AU21" s="36"/>
      <c r="AW21" s="36"/>
      <c r="AX21" s="36"/>
      <c r="AY21" s="36"/>
      <c r="BA21" s="36"/>
      <c r="BC21" s="36"/>
      <c r="BE21" s="36"/>
      <c r="BG21" s="30"/>
      <c r="BH21" s="36"/>
      <c r="BI21" s="36"/>
      <c r="BK21" s="36"/>
      <c r="BL21" s="36"/>
      <c r="BO21" s="36"/>
      <c r="BQ21" s="36"/>
      <c r="BS21" s="36"/>
      <c r="BU21" s="30"/>
      <c r="BV21" s="36"/>
      <c r="BW21" s="36"/>
      <c r="BY21" s="36"/>
      <c r="BZ21" s="36"/>
    </row>
    <row r="22" spans="2:78" x14ac:dyDescent="0.2">
      <c r="B22" s="32" t="s">
        <v>2964</v>
      </c>
      <c r="D22" s="35">
        <f>54200000*0.0025</f>
        <v>135500</v>
      </c>
      <c r="E22" s="36"/>
      <c r="F22" s="35">
        <f>54200000*0.0025</f>
        <v>135500</v>
      </c>
      <c r="G22" s="36"/>
      <c r="H22" s="35">
        <f>54200000*0.0025</f>
        <v>135500</v>
      </c>
      <c r="I22" s="36"/>
      <c r="J22" s="35">
        <f>54200000*0.0025</f>
        <v>135500</v>
      </c>
      <c r="K22" s="36"/>
      <c r="L22" s="35">
        <f>54200000*0.0025</f>
        <v>135500</v>
      </c>
      <c r="M22" s="36"/>
      <c r="N22" s="35">
        <f>54200000*0.0025</f>
        <v>135500</v>
      </c>
      <c r="O22" s="36"/>
      <c r="P22" s="35"/>
      <c r="Q22" s="36"/>
      <c r="R22" s="35">
        <f>54200000*0.0025</f>
        <v>135500</v>
      </c>
      <c r="S22" s="36"/>
      <c r="T22" s="35"/>
      <c r="U22" s="36"/>
      <c r="V22" s="35">
        <f>54200000*0.0025</f>
        <v>135500</v>
      </c>
      <c r="W22" s="36"/>
      <c r="X22" s="35">
        <f>54200000*0.0025</f>
        <v>135500</v>
      </c>
      <c r="Y22" s="36"/>
      <c r="Z22" s="35">
        <f>54200000*0.0025</f>
        <v>135500</v>
      </c>
      <c r="AA22" s="36"/>
      <c r="AB22" s="35">
        <f>54200000*0.0025</f>
        <v>135500</v>
      </c>
      <c r="AC22" s="36"/>
      <c r="AD22" s="35"/>
      <c r="AE22" s="36"/>
      <c r="AF22" s="35">
        <f>54200000*0.0025</f>
        <v>135500</v>
      </c>
      <c r="AG22" s="36"/>
      <c r="AH22" s="35"/>
      <c r="AI22" s="36"/>
      <c r="AJ22" s="35">
        <f>54200000*0.0025</f>
        <v>135500</v>
      </c>
      <c r="AK22" s="36"/>
      <c r="AL22" s="35">
        <f>54200000*0.0025</f>
        <v>135500</v>
      </c>
      <c r="AM22" s="36"/>
      <c r="AO22" s="36"/>
      <c r="AQ22" s="36"/>
      <c r="AS22" s="36"/>
      <c r="AT22" s="35"/>
      <c r="AU22" s="35"/>
      <c r="AW22" s="36"/>
      <c r="AX22" s="35"/>
      <c r="AY22" s="36"/>
      <c r="BA22" s="36"/>
      <c r="BC22" s="36"/>
      <c r="BE22" s="36"/>
      <c r="BG22" s="36"/>
      <c r="BH22" s="35"/>
      <c r="BI22" s="35"/>
      <c r="BK22" s="36"/>
      <c r="BL22" s="35"/>
      <c r="BO22" s="36"/>
      <c r="BQ22" s="36"/>
      <c r="BS22" s="36"/>
      <c r="BU22" s="36"/>
      <c r="BV22" s="35"/>
      <c r="BW22" s="35"/>
      <c r="BX22" s="35">
        <f>54200000*0.0025</f>
        <v>135500</v>
      </c>
      <c r="BY22" s="36"/>
      <c r="BZ22" s="35"/>
    </row>
    <row r="23" spans="2:78" x14ac:dyDescent="0.2">
      <c r="D23" s="35"/>
      <c r="E23" s="36"/>
      <c r="F23" s="35"/>
      <c r="G23" s="36"/>
      <c r="H23" s="36"/>
      <c r="I23" s="36"/>
      <c r="J23" s="35"/>
      <c r="K23" s="36"/>
      <c r="L23" s="35"/>
      <c r="M23" s="36"/>
      <c r="N23" s="35"/>
      <c r="O23" s="36"/>
      <c r="P23" s="35"/>
      <c r="Q23" s="36"/>
      <c r="R23" s="35"/>
      <c r="S23" s="36"/>
      <c r="T23" s="35"/>
      <c r="U23" s="36"/>
      <c r="V23" s="35"/>
      <c r="W23" s="36"/>
      <c r="X23" s="35"/>
      <c r="Y23" s="36"/>
      <c r="Z23" s="35"/>
      <c r="AA23" s="36"/>
      <c r="AB23" s="35"/>
      <c r="AC23" s="36"/>
      <c r="AD23" s="35"/>
      <c r="AE23" s="36"/>
      <c r="AF23" s="35"/>
      <c r="AG23" s="36"/>
      <c r="AH23" s="35"/>
      <c r="AI23" s="36"/>
      <c r="AJ23" s="35"/>
      <c r="AK23" s="36"/>
      <c r="AL23" s="35"/>
      <c r="AM23" s="36"/>
      <c r="AO23" s="36"/>
      <c r="AQ23" s="36"/>
      <c r="AS23" s="36"/>
      <c r="AT23" s="35"/>
      <c r="AU23" s="35"/>
      <c r="AW23" s="36"/>
      <c r="AX23" s="35"/>
      <c r="AY23" s="36"/>
      <c r="BA23" s="36"/>
      <c r="BC23" s="36"/>
      <c r="BE23" s="36"/>
      <c r="BG23" s="36"/>
      <c r="BH23" s="35"/>
      <c r="BI23" s="35"/>
      <c r="BK23" s="36"/>
      <c r="BL23" s="35"/>
      <c r="BO23" s="36"/>
      <c r="BQ23" s="36"/>
      <c r="BS23" s="36"/>
      <c r="BU23" s="36"/>
      <c r="BV23" s="35"/>
      <c r="BW23" s="35"/>
      <c r="BX23" s="35"/>
      <c r="BY23" s="36"/>
      <c r="BZ23" s="35"/>
    </row>
    <row r="24" spans="2:78" x14ac:dyDescent="0.2">
      <c r="B24" s="32" t="s">
        <v>248</v>
      </c>
      <c r="D24" s="46">
        <f>D22/360</f>
        <v>376.38888888888891</v>
      </c>
      <c r="E24" s="36"/>
      <c r="F24" s="46">
        <f>F22/360</f>
        <v>376.38888888888891</v>
      </c>
      <c r="G24" s="36"/>
      <c r="H24" s="46">
        <f>H22/360</f>
        <v>376.38888888888891</v>
      </c>
      <c r="I24" s="36"/>
      <c r="J24" s="46">
        <f>J22/360</f>
        <v>376.38888888888891</v>
      </c>
      <c r="K24" s="36"/>
      <c r="L24" s="46">
        <f>L22/360</f>
        <v>376.38888888888891</v>
      </c>
      <c r="M24" s="36"/>
      <c r="N24" s="46">
        <f>N22/360</f>
        <v>376.38888888888891</v>
      </c>
      <c r="O24" s="36"/>
      <c r="P24" s="46"/>
      <c r="Q24" s="36"/>
      <c r="R24" s="46">
        <f>R22/360</f>
        <v>376.38888888888891</v>
      </c>
      <c r="S24" s="36"/>
      <c r="T24" s="46"/>
      <c r="U24" s="36"/>
      <c r="V24" s="46">
        <f>V22/360</f>
        <v>376.38888888888891</v>
      </c>
      <c r="W24" s="36"/>
      <c r="X24" s="46">
        <f>X22/360</f>
        <v>376.38888888888891</v>
      </c>
      <c r="Y24" s="36"/>
      <c r="Z24" s="46">
        <f>Z22/360</f>
        <v>376.38888888888891</v>
      </c>
      <c r="AA24" s="36"/>
      <c r="AB24" s="46">
        <f>AB22/360</f>
        <v>376.38888888888891</v>
      </c>
      <c r="AC24" s="36"/>
      <c r="AD24" s="46"/>
      <c r="AE24" s="36"/>
      <c r="AF24" s="46">
        <f>AF22/360</f>
        <v>376.38888888888891</v>
      </c>
      <c r="AG24" s="36"/>
      <c r="AH24" s="46"/>
      <c r="AI24" s="36"/>
      <c r="AJ24" s="46">
        <f>AJ22/360</f>
        <v>376.38888888888891</v>
      </c>
      <c r="AK24" s="36"/>
      <c r="AL24" s="46">
        <f>AL22/360</f>
        <v>376.38888888888891</v>
      </c>
      <c r="AM24" s="36"/>
      <c r="AO24" s="36"/>
      <c r="AQ24" s="36"/>
      <c r="AS24" s="36"/>
      <c r="AT24" s="46"/>
      <c r="AU24" s="46"/>
      <c r="AW24" s="36"/>
      <c r="AX24" s="46"/>
      <c r="AY24" s="36"/>
      <c r="BA24" s="36"/>
      <c r="BC24" s="36"/>
      <c r="BE24" s="36"/>
      <c r="BG24" s="36"/>
      <c r="BH24" s="46"/>
      <c r="BI24" s="46"/>
      <c r="BK24" s="36"/>
      <c r="BL24" s="46"/>
      <c r="BO24" s="36"/>
      <c r="BQ24" s="36"/>
      <c r="BS24" s="36"/>
      <c r="BU24" s="36"/>
      <c r="BV24" s="46"/>
      <c r="BW24" s="46"/>
      <c r="BX24" s="46">
        <f>BX22/360</f>
        <v>376.38888888888891</v>
      </c>
      <c r="BY24" s="36"/>
      <c r="BZ24" s="46"/>
    </row>
    <row r="25" spans="2:78" x14ac:dyDescent="0.2">
      <c r="B25" s="32"/>
      <c r="D25" s="46"/>
      <c r="E25" s="36"/>
      <c r="F25" s="46"/>
      <c r="G25" s="36"/>
      <c r="H25" s="36"/>
      <c r="I25" s="36"/>
      <c r="J25" s="46"/>
      <c r="K25" s="36"/>
      <c r="L25" s="46"/>
      <c r="M25" s="36"/>
      <c r="N25" s="46"/>
      <c r="O25" s="36"/>
      <c r="P25" s="46"/>
      <c r="Q25" s="36"/>
      <c r="R25" s="46"/>
      <c r="S25" s="36"/>
      <c r="T25" s="46"/>
      <c r="U25" s="36"/>
      <c r="V25" s="46"/>
      <c r="W25" s="36"/>
      <c r="X25" s="46"/>
      <c r="Y25" s="36"/>
      <c r="Z25" s="46"/>
      <c r="AA25" s="36"/>
      <c r="AB25" s="46"/>
      <c r="AC25" s="36"/>
      <c r="AD25" s="46"/>
      <c r="AE25" s="36"/>
      <c r="AF25" s="46"/>
      <c r="AG25" s="36"/>
      <c r="AH25" s="46"/>
      <c r="AI25" s="36"/>
      <c r="AJ25" s="46"/>
      <c r="AK25" s="36"/>
      <c r="AL25" s="46"/>
      <c r="AM25" s="36"/>
      <c r="AO25" s="36"/>
      <c r="AQ25" s="36"/>
      <c r="AS25" s="36"/>
      <c r="AT25" s="46"/>
      <c r="AU25" s="46"/>
      <c r="AW25" s="36"/>
      <c r="AX25" s="46"/>
      <c r="AY25" s="36"/>
      <c r="BA25" s="36"/>
      <c r="BC25" s="36"/>
      <c r="BE25" s="36"/>
      <c r="BG25" s="36"/>
      <c r="BH25" s="46"/>
      <c r="BI25" s="46"/>
      <c r="BK25" s="36"/>
      <c r="BL25" s="46"/>
      <c r="BO25" s="36"/>
      <c r="BQ25" s="36"/>
      <c r="BS25" s="36"/>
      <c r="BU25" s="36"/>
      <c r="BV25" s="46"/>
      <c r="BW25" s="46"/>
      <c r="BX25" s="46"/>
      <c r="BY25" s="36"/>
      <c r="BZ25" s="46"/>
    </row>
    <row r="26" spans="2:78" x14ac:dyDescent="0.2">
      <c r="B26" s="32" t="s">
        <v>245</v>
      </c>
      <c r="D26">
        <v>7</v>
      </c>
      <c r="E26" s="36"/>
      <c r="F26">
        <v>7</v>
      </c>
      <c r="G26" s="36"/>
      <c r="H26">
        <v>7</v>
      </c>
      <c r="I26" s="36"/>
      <c r="J26" s="30">
        <v>7</v>
      </c>
      <c r="K26" s="36"/>
      <c r="L26" s="30">
        <v>7</v>
      </c>
      <c r="M26" s="36"/>
      <c r="N26">
        <v>3</v>
      </c>
      <c r="O26" s="36"/>
      <c r="Q26" s="36"/>
      <c r="R26" s="30">
        <v>4</v>
      </c>
      <c r="S26" s="36"/>
      <c r="U26" s="36"/>
      <c r="V26" s="30">
        <v>7</v>
      </c>
      <c r="W26" s="36"/>
      <c r="X26" s="30">
        <v>7</v>
      </c>
      <c r="Y26" s="36"/>
      <c r="Z26" s="30">
        <v>7</v>
      </c>
      <c r="AA26" s="36"/>
      <c r="AB26" s="30">
        <v>5</v>
      </c>
      <c r="AC26" s="36"/>
      <c r="AE26" s="36"/>
      <c r="AF26" s="30">
        <v>2</v>
      </c>
      <c r="AG26" s="36"/>
      <c r="AI26" s="36"/>
      <c r="AJ26" s="30">
        <v>7</v>
      </c>
      <c r="AK26" s="36"/>
      <c r="AL26" s="30">
        <v>7</v>
      </c>
      <c r="AM26" s="36"/>
      <c r="AO26" s="36"/>
      <c r="AQ26" s="36"/>
      <c r="AS26" s="36"/>
      <c r="AW26" s="36"/>
      <c r="AY26" s="36"/>
      <c r="BA26" s="36"/>
      <c r="BC26" s="36"/>
      <c r="BE26" s="36"/>
      <c r="BG26" s="36"/>
      <c r="BK26" s="36"/>
      <c r="BO26" s="36"/>
      <c r="BQ26" s="36"/>
      <c r="BS26" s="36"/>
      <c r="BU26" s="36"/>
      <c r="BX26" s="30">
        <v>1</v>
      </c>
      <c r="BY26" s="36"/>
    </row>
    <row r="27" spans="2:78" x14ac:dyDescent="0.2">
      <c r="B27" s="32"/>
      <c r="E27" s="36"/>
      <c r="G27" s="36"/>
      <c r="H27" s="36"/>
      <c r="I27" s="36"/>
      <c r="K27" s="36"/>
      <c r="M27" s="36"/>
      <c r="O27" s="36"/>
      <c r="P27" s="36"/>
      <c r="Q27" s="36"/>
      <c r="S27" s="36"/>
      <c r="T27" s="36"/>
      <c r="U27" s="36"/>
      <c r="W27" s="36"/>
      <c r="Y27" s="36"/>
      <c r="AA27" s="36"/>
      <c r="AC27" s="36"/>
      <c r="AD27" s="36"/>
      <c r="AE27" s="36"/>
      <c r="AG27" s="36"/>
      <c r="AH27" s="36"/>
      <c r="AI27" s="36"/>
      <c r="AK27" s="36"/>
      <c r="AM27" s="36"/>
      <c r="AO27" s="36"/>
      <c r="AQ27" s="36"/>
      <c r="AS27" s="36"/>
      <c r="AT27" s="36"/>
      <c r="AU27" s="36"/>
      <c r="AW27" s="36"/>
      <c r="AX27" s="36"/>
      <c r="AY27" s="36"/>
      <c r="BA27" s="36"/>
      <c r="BC27" s="36"/>
      <c r="BE27" s="36"/>
      <c r="BG27" s="36"/>
      <c r="BH27" s="36"/>
      <c r="BI27" s="36"/>
      <c r="BK27" s="36"/>
      <c r="BL27" s="36"/>
      <c r="BO27" s="36"/>
      <c r="BQ27" s="36"/>
      <c r="BS27" s="36"/>
      <c r="BU27" s="36"/>
      <c r="BV27" s="36"/>
      <c r="BW27" s="36"/>
      <c r="BY27" s="36"/>
      <c r="BZ27" s="36"/>
    </row>
    <row r="28" spans="2:78" ht="13.5" thickBot="1" x14ac:dyDescent="0.25">
      <c r="B28" s="32" t="s">
        <v>249</v>
      </c>
      <c r="D28" s="47">
        <f>D24*D26</f>
        <v>2634.7222222222226</v>
      </c>
      <c r="E28" s="36"/>
      <c r="F28" s="47">
        <f>F24*F26</f>
        <v>2634.7222222222226</v>
      </c>
      <c r="G28" s="36"/>
      <c r="H28" s="47">
        <f>H24*H26</f>
        <v>2634.7222222222226</v>
      </c>
      <c r="I28" s="36"/>
      <c r="J28" s="47">
        <f>J24*J26</f>
        <v>2634.7222222222226</v>
      </c>
      <c r="K28" s="36"/>
      <c r="L28" s="47">
        <f>L24*L26</f>
        <v>2634.7222222222226</v>
      </c>
      <c r="M28" s="36"/>
      <c r="N28" s="47">
        <f>N24*N26</f>
        <v>1129.1666666666667</v>
      </c>
      <c r="O28" s="36"/>
      <c r="P28" s="40">
        <f>F28+H28+J28+L28+N28</f>
        <v>11668.055555555557</v>
      </c>
      <c r="Q28" s="36"/>
      <c r="R28" s="47">
        <f>ROUND(R24*R26,2)</f>
        <v>1505.56</v>
      </c>
      <c r="S28" s="36"/>
      <c r="T28" s="40">
        <f>R28+N28</f>
        <v>2634.7266666666665</v>
      </c>
      <c r="U28" s="36"/>
      <c r="V28" s="40">
        <f>ROUND(V24*V26,2)</f>
        <v>2634.72</v>
      </c>
      <c r="W28" s="36"/>
      <c r="X28" s="40">
        <f>ROUND(X24*X26,2)</f>
        <v>2634.72</v>
      </c>
      <c r="Y28" s="36"/>
      <c r="Z28" s="40">
        <f>ROUND(Z24*Z26,2)</f>
        <v>2634.72</v>
      </c>
      <c r="AA28" s="36"/>
      <c r="AB28" s="39">
        <f>ROUND(AB24*AB26,2)+0.01</f>
        <v>1881.95</v>
      </c>
      <c r="AC28" s="36"/>
      <c r="AD28" s="40">
        <f>R28+V28+X28+Z28+AB28</f>
        <v>11291.67</v>
      </c>
      <c r="AE28" s="36"/>
      <c r="AF28" s="40">
        <f>ROUND(AF24*AF26,2)</f>
        <v>752.78</v>
      </c>
      <c r="AG28" s="36"/>
      <c r="AH28" s="40">
        <f>AF28+AB28</f>
        <v>2634.73</v>
      </c>
      <c r="AI28" s="36"/>
      <c r="AJ28" s="40">
        <f>ROUND(AJ24*AJ26,2)</f>
        <v>2634.72</v>
      </c>
      <c r="AK28" s="36"/>
      <c r="AL28" s="40">
        <f>ROUND(AL24*AL26,2)</f>
        <v>2634.72</v>
      </c>
      <c r="AM28" s="36"/>
      <c r="AO28" s="36"/>
      <c r="AQ28" s="36"/>
      <c r="AS28" s="36"/>
      <c r="AT28" s="40">
        <f>AF28+AJ28+AL28+D55+F55+H55</f>
        <v>11668.049999999997</v>
      </c>
      <c r="AU28" s="37"/>
      <c r="AW28" s="36"/>
      <c r="AX28" s="40">
        <f>J55+H55</f>
        <v>2634.72</v>
      </c>
      <c r="AY28" s="36"/>
      <c r="BA28" s="36"/>
      <c r="BC28" s="36"/>
      <c r="BE28" s="36"/>
      <c r="BG28" s="36"/>
      <c r="BH28" s="40">
        <f>V55+R55+N55+L55+J55</f>
        <v>11291.65</v>
      </c>
      <c r="BI28" s="37"/>
      <c r="BK28" s="36"/>
      <c r="BL28" s="40">
        <f>X55+V55</f>
        <v>2634.7200000000003</v>
      </c>
      <c r="BO28" s="36"/>
      <c r="BQ28" s="36"/>
      <c r="BS28" s="36"/>
      <c r="BU28" s="36"/>
      <c r="BV28" s="40">
        <f>AJ55+AF55+AB55+Z55+X55</f>
        <v>11668.049999999997</v>
      </c>
      <c r="BW28" s="37"/>
      <c r="BX28" s="40">
        <f>ROUND(BX24*BX26,2)</f>
        <v>376.39</v>
      </c>
      <c r="BY28" s="36"/>
      <c r="BZ28" s="40">
        <f>BX28+AJ55</f>
        <v>2634.72</v>
      </c>
    </row>
    <row r="29" spans="2:78" ht="13.5" thickTop="1" x14ac:dyDescent="0.2"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O29" s="36"/>
      <c r="AQ29" s="36"/>
      <c r="AS29" s="36"/>
      <c r="AT29" s="36"/>
      <c r="AU29" s="36"/>
      <c r="AW29" s="36"/>
      <c r="AX29" s="36"/>
      <c r="AY29" s="36"/>
      <c r="BA29" s="36"/>
      <c r="BC29" s="36"/>
      <c r="BE29" s="36"/>
      <c r="BG29" s="36"/>
      <c r="BH29" s="36"/>
      <c r="BI29" s="36"/>
      <c r="BK29" s="36"/>
      <c r="BL29" s="36"/>
      <c r="BO29" s="36"/>
      <c r="BQ29" s="36"/>
      <c r="BS29" s="36"/>
      <c r="BU29" s="36"/>
      <c r="BV29" s="36"/>
      <c r="BW29" s="36"/>
      <c r="BX29" s="36"/>
      <c r="BY29" s="36"/>
      <c r="BZ29" s="36"/>
    </row>
    <row r="30" spans="2:78" x14ac:dyDescent="0.2"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O30" s="36"/>
      <c r="AQ30" s="36"/>
      <c r="AS30" s="36"/>
      <c r="AT30" s="36"/>
      <c r="AU30" s="36"/>
      <c r="AW30" s="36"/>
      <c r="AX30" s="36"/>
      <c r="AY30" s="36"/>
      <c r="BA30" s="36"/>
      <c r="BC30" s="36"/>
      <c r="BE30" s="36"/>
      <c r="BG30" s="36"/>
      <c r="BH30" s="36"/>
      <c r="BI30" s="36"/>
      <c r="BK30" s="36"/>
      <c r="BL30" s="36"/>
      <c r="BO30" s="36"/>
      <c r="BQ30" s="36"/>
      <c r="BS30" s="36"/>
      <c r="BU30" s="36"/>
      <c r="BV30" s="36"/>
      <c r="BW30" s="36"/>
      <c r="BX30" s="36"/>
      <c r="BY30" s="36"/>
      <c r="BZ30" s="36"/>
    </row>
    <row r="31" spans="2:78" ht="13.5" thickBot="1" x14ac:dyDescent="0.25">
      <c r="B31" s="38" t="s">
        <v>250</v>
      </c>
      <c r="D31" s="39">
        <f>D20+D28</f>
        <v>38993.888888888891</v>
      </c>
      <c r="E31" s="36"/>
      <c r="F31" s="39">
        <f>F20+F28</f>
        <v>40047.777777777781</v>
      </c>
      <c r="G31" s="36"/>
      <c r="H31" s="39">
        <f>H20+H28</f>
        <v>40047.777777777781</v>
      </c>
      <c r="I31" s="36"/>
      <c r="J31" s="39">
        <f>J20+J28</f>
        <v>41628.611111111109</v>
      </c>
      <c r="K31" s="36"/>
      <c r="L31" s="39">
        <f>L20+L28</f>
        <v>43736.388888888891</v>
      </c>
      <c r="M31" s="36"/>
      <c r="N31" s="39">
        <f>N20+N28</f>
        <v>18739.650000000001</v>
      </c>
      <c r="O31" s="36"/>
      <c r="P31" s="40">
        <f>P20+P28</f>
        <v>184200.20555555559</v>
      </c>
      <c r="Q31" s="36"/>
      <c r="R31" s="39">
        <f>R20+R28</f>
        <v>24986.2</v>
      </c>
      <c r="S31" s="36"/>
      <c r="T31" s="40">
        <f>T20+T28</f>
        <v>43725.850000000006</v>
      </c>
      <c r="U31" s="36"/>
      <c r="V31" s="39">
        <f>V20+V28</f>
        <v>43209.440000000002</v>
      </c>
      <c r="W31" s="36"/>
      <c r="X31" s="39">
        <f>X20+X28</f>
        <v>44263.33</v>
      </c>
      <c r="Y31" s="36"/>
      <c r="Z31" s="39">
        <f>Z20+Z28</f>
        <v>44790.28</v>
      </c>
      <c r="AA31" s="36"/>
      <c r="AB31" s="39">
        <f>AB20+AB28</f>
        <v>31993.06</v>
      </c>
      <c r="AC31" s="36"/>
      <c r="AD31" s="40">
        <f>AD20+AD28</f>
        <v>189242.31000000003</v>
      </c>
      <c r="AE31" s="36"/>
      <c r="AF31" s="39">
        <f>AF20+AF28</f>
        <v>12797.220000000001</v>
      </c>
      <c r="AG31" s="36"/>
      <c r="AH31" s="40">
        <f>AH20+AH28</f>
        <v>44790.280000000006</v>
      </c>
      <c r="AI31" s="36"/>
      <c r="AJ31" s="39">
        <f>AJ20+AJ28</f>
        <v>42682.5</v>
      </c>
      <c r="AK31" s="36"/>
      <c r="AL31" s="39">
        <f>AL20+AL28</f>
        <v>42682.5</v>
      </c>
      <c r="AM31" s="36"/>
      <c r="AO31" s="36"/>
      <c r="AQ31" s="36"/>
      <c r="AS31" s="36"/>
      <c r="AT31" s="40">
        <f>AT20+AT28</f>
        <v>184957.49</v>
      </c>
      <c r="AU31" s="37"/>
      <c r="AW31" s="36"/>
      <c r="AX31" s="40">
        <f>AX20+AX28</f>
        <v>39520.83</v>
      </c>
      <c r="AY31" s="36"/>
      <c r="BA31" s="36"/>
      <c r="BC31" s="36"/>
      <c r="BE31" s="36"/>
      <c r="BG31" s="36"/>
      <c r="BH31" s="40">
        <f>BH20+BH28</f>
        <v>172009.69999999998</v>
      </c>
      <c r="BI31" s="37"/>
      <c r="BK31" s="36"/>
      <c r="BL31" s="40">
        <f>BL20+BL28</f>
        <v>43209.440000000002</v>
      </c>
      <c r="BO31" s="36"/>
      <c r="BQ31" s="36"/>
      <c r="BS31" s="36"/>
      <c r="BU31" s="36"/>
      <c r="BV31" s="40">
        <f>BV20+BV28</f>
        <v>198658.05</v>
      </c>
      <c r="BW31" s="37"/>
      <c r="BX31" s="39">
        <f>BX20+BX28</f>
        <v>6248.06</v>
      </c>
      <c r="BY31" s="36"/>
      <c r="BZ31" s="40">
        <f>BZ20+BZ28</f>
        <v>43736.39</v>
      </c>
    </row>
    <row r="32" spans="2:78" ht="13.5" thickTop="1" x14ac:dyDescent="0.2">
      <c r="B32" s="32"/>
      <c r="D32" s="41"/>
      <c r="E32" s="36"/>
      <c r="F32" s="41"/>
      <c r="G32" s="36"/>
      <c r="H32" s="41"/>
      <c r="I32" s="36"/>
      <c r="J32" s="36"/>
      <c r="K32" s="36"/>
      <c r="L32" s="36"/>
      <c r="M32" s="36"/>
      <c r="N32" s="36"/>
      <c r="O32" s="36"/>
      <c r="P32" s="41"/>
      <c r="Q32" s="36"/>
      <c r="S32" s="36"/>
      <c r="T32" s="41"/>
      <c r="U32" s="36"/>
      <c r="W32" s="36"/>
      <c r="Y32" s="36"/>
      <c r="AA32" s="36"/>
      <c r="AC32" s="36"/>
      <c r="AD32" s="41"/>
      <c r="AE32" s="36"/>
      <c r="AG32" s="36"/>
      <c r="AS32" s="36"/>
      <c r="AV32" s="36"/>
      <c r="BH32" s="37"/>
    </row>
    <row r="33" spans="2:38" x14ac:dyDescent="0.2">
      <c r="B33" s="42"/>
      <c r="D33" s="43"/>
      <c r="E33" s="36"/>
      <c r="F33" s="43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S33" s="36"/>
      <c r="T33" s="36"/>
      <c r="U33" s="36"/>
      <c r="W33" s="36"/>
      <c r="Y33" s="36"/>
      <c r="AA33" s="36"/>
      <c r="AC33" s="36"/>
      <c r="AD33" s="36"/>
      <c r="AE33" s="36"/>
      <c r="AG33" s="36"/>
    </row>
    <row r="35" spans="2:38" x14ac:dyDescent="0.2">
      <c r="D35" s="31" t="s">
        <v>2951</v>
      </c>
      <c r="E35" s="36"/>
      <c r="F35" s="31" t="s">
        <v>2952</v>
      </c>
      <c r="G35" s="36"/>
      <c r="H35" s="55" t="s">
        <v>2966</v>
      </c>
      <c r="I35" s="36"/>
      <c r="J35" s="31" t="s">
        <v>237</v>
      </c>
      <c r="K35" s="36"/>
      <c r="L35" s="31" t="s">
        <v>2953</v>
      </c>
      <c r="M35" s="36"/>
      <c r="N35" s="31" t="s">
        <v>2954</v>
      </c>
      <c r="O35" s="36"/>
      <c r="P35" s="36"/>
      <c r="Q35" s="36"/>
      <c r="R35" s="31" t="s">
        <v>2955</v>
      </c>
      <c r="S35" s="36"/>
      <c r="T35" s="36"/>
      <c r="U35" s="36"/>
      <c r="V35" s="31" t="s">
        <v>2956</v>
      </c>
      <c r="W35" s="36"/>
      <c r="X35" s="31" t="s">
        <v>2957</v>
      </c>
      <c r="Y35" s="36"/>
      <c r="Z35" s="31" t="s">
        <v>2958</v>
      </c>
      <c r="AA35" s="36"/>
      <c r="AB35" s="31" t="s">
        <v>2959</v>
      </c>
      <c r="AC35" s="36"/>
      <c r="AD35" s="36"/>
      <c r="AE35" s="36"/>
      <c r="AF35" s="31" t="s">
        <v>2960</v>
      </c>
      <c r="AG35" s="36"/>
      <c r="AJ35" s="31" t="s">
        <v>2961</v>
      </c>
      <c r="AL35" s="56" t="s">
        <v>3622</v>
      </c>
    </row>
    <row r="36" spans="2:38" x14ac:dyDescent="0.2">
      <c r="E36" s="36"/>
      <c r="G36" s="36"/>
      <c r="I36" s="36"/>
      <c r="K36" s="36"/>
      <c r="M36" s="36"/>
      <c r="O36" s="36"/>
      <c r="P36" s="36"/>
      <c r="Q36" s="36"/>
      <c r="S36" s="36"/>
      <c r="T36" s="36"/>
      <c r="U36" s="36"/>
      <c r="W36" s="36"/>
      <c r="Y36" s="36"/>
      <c r="AA36" s="36"/>
      <c r="AC36" s="36"/>
      <c r="AD36" s="36"/>
      <c r="AE36" s="36"/>
      <c r="AG36" s="36"/>
      <c r="AL36" s="26"/>
    </row>
    <row r="37" spans="2:38" x14ac:dyDescent="0.2">
      <c r="B37" s="32" t="s">
        <v>3625</v>
      </c>
      <c r="D37" s="35">
        <v>54200000</v>
      </c>
      <c r="E37" s="36"/>
      <c r="F37" s="35">
        <v>54200000</v>
      </c>
      <c r="G37" s="36"/>
      <c r="H37" s="35">
        <v>54200000</v>
      </c>
      <c r="I37" s="36"/>
      <c r="J37" s="35">
        <v>54200000</v>
      </c>
      <c r="K37" s="36"/>
      <c r="L37" s="35">
        <v>54200000</v>
      </c>
      <c r="M37" s="36"/>
      <c r="N37" s="35">
        <v>54200000</v>
      </c>
      <c r="O37" s="36"/>
      <c r="P37" s="36"/>
      <c r="Q37" s="36"/>
      <c r="R37" s="35">
        <v>54200000</v>
      </c>
      <c r="S37" s="36"/>
      <c r="T37" s="36"/>
      <c r="U37" s="36"/>
      <c r="V37" s="35">
        <v>54200000</v>
      </c>
      <c r="W37" s="36"/>
      <c r="X37" s="35">
        <v>54200000</v>
      </c>
      <c r="Y37" s="36"/>
      <c r="Z37" s="35">
        <v>54200000</v>
      </c>
      <c r="AA37" s="36"/>
      <c r="AB37" s="35">
        <v>54200000</v>
      </c>
      <c r="AC37" s="36"/>
      <c r="AD37" s="36"/>
      <c r="AE37" s="36"/>
      <c r="AF37" s="35">
        <v>54200000</v>
      </c>
      <c r="AG37" s="36"/>
      <c r="AJ37" s="35">
        <v>54200000</v>
      </c>
      <c r="AL37" s="45">
        <v>54200000</v>
      </c>
    </row>
    <row r="38" spans="2:38" x14ac:dyDescent="0.2">
      <c r="B38" s="32"/>
      <c r="E38" s="36"/>
      <c r="G38" s="36"/>
      <c r="I38" s="36"/>
      <c r="K38" s="36"/>
      <c r="M38" s="36"/>
      <c r="O38" s="36"/>
      <c r="P38" s="36"/>
      <c r="Q38" s="36"/>
      <c r="S38" s="36"/>
      <c r="T38" s="36"/>
      <c r="U38" s="36"/>
      <c r="W38" s="36"/>
      <c r="Y38" s="36"/>
      <c r="AA38" s="36"/>
      <c r="AC38" s="36"/>
      <c r="AD38" s="36"/>
      <c r="AE38" s="36"/>
      <c r="AG38" s="36"/>
      <c r="AL38" s="26"/>
    </row>
    <row r="39" spans="2:38" x14ac:dyDescent="0.2">
      <c r="B39" s="32" t="s">
        <v>242</v>
      </c>
      <c r="D39">
        <v>3.6999999999999998E-2</v>
      </c>
      <c r="F39">
        <v>3.5000000000000003E-2</v>
      </c>
      <c r="H39">
        <v>3.5000000000000003E-2</v>
      </c>
      <c r="J39">
        <v>3.5000000000000003E-2</v>
      </c>
      <c r="L39">
        <v>3.4000000000000002E-2</v>
      </c>
      <c r="N39">
        <v>3.4500000000000003E-2</v>
      </c>
      <c r="R39">
        <v>3.7499999999999999E-2</v>
      </c>
      <c r="V39">
        <v>3.85E-2</v>
      </c>
      <c r="X39">
        <v>3.85E-2</v>
      </c>
      <c r="Z39">
        <v>0.04</v>
      </c>
      <c r="AB39">
        <v>4.1000000000000002E-2</v>
      </c>
      <c r="AF39">
        <v>4.1000000000000002E-2</v>
      </c>
      <c r="AJ39">
        <v>3.9E-2</v>
      </c>
      <c r="AL39" s="61">
        <f>((AL58/AL45)*360)/AL37</f>
        <v>4.0187060885608854E-2</v>
      </c>
    </row>
    <row r="40" spans="2:38" x14ac:dyDescent="0.2">
      <c r="B40" s="32"/>
      <c r="AL40" s="26"/>
    </row>
    <row r="41" spans="2:38" x14ac:dyDescent="0.2">
      <c r="B41" s="32" t="s">
        <v>243</v>
      </c>
      <c r="D41" s="59">
        <f>D37*D39</f>
        <v>2005400</v>
      </c>
      <c r="E41" s="60"/>
      <c r="F41" s="59">
        <f>F37*F39</f>
        <v>1897000.0000000002</v>
      </c>
      <c r="G41" s="60"/>
      <c r="H41" s="59">
        <f>H37*H39</f>
        <v>1897000.0000000002</v>
      </c>
      <c r="I41" s="60"/>
      <c r="J41" s="59">
        <f>J37*J39</f>
        <v>1897000.0000000002</v>
      </c>
      <c r="K41" s="60"/>
      <c r="L41" s="59">
        <f>L37*L39</f>
        <v>1842800.0000000002</v>
      </c>
      <c r="M41" s="60"/>
      <c r="N41" s="59">
        <f>N37*N39</f>
        <v>1869900.0000000002</v>
      </c>
      <c r="O41" s="60"/>
      <c r="P41" s="60"/>
      <c r="Q41" s="60"/>
      <c r="R41" s="59">
        <f>R37*R39</f>
        <v>2032500</v>
      </c>
      <c r="S41" s="60"/>
      <c r="T41" s="60"/>
      <c r="U41" s="60"/>
      <c r="V41" s="59">
        <f>V37*V39</f>
        <v>2086700</v>
      </c>
      <c r="W41" s="60"/>
      <c r="X41" s="59">
        <f>X37*X39</f>
        <v>2086700</v>
      </c>
      <c r="Y41" s="60"/>
      <c r="Z41" s="59">
        <f>Z37*Z39</f>
        <v>2168000</v>
      </c>
      <c r="AA41" s="60"/>
      <c r="AB41" s="59">
        <f>AB37*AB39</f>
        <v>2222200</v>
      </c>
      <c r="AC41" s="60"/>
      <c r="AD41" s="60"/>
      <c r="AE41" s="60"/>
      <c r="AF41" s="59">
        <f>AF37*AF39</f>
        <v>2222200</v>
      </c>
      <c r="AG41" s="60"/>
      <c r="AH41" s="60"/>
      <c r="AI41" s="60"/>
      <c r="AJ41" s="59">
        <f>AJ37*AJ39</f>
        <v>2113800</v>
      </c>
      <c r="AL41" s="26"/>
    </row>
    <row r="42" spans="2:38" x14ac:dyDescent="0.2">
      <c r="B42" s="32"/>
      <c r="AL42" s="26"/>
    </row>
    <row r="43" spans="2:38" x14ac:dyDescent="0.2">
      <c r="B43" s="32" t="s">
        <v>244</v>
      </c>
      <c r="D43" s="46">
        <f>(D41/360)</f>
        <v>5570.5555555555557</v>
      </c>
      <c r="F43" s="46">
        <f>(F41/360)</f>
        <v>5269.4444444444453</v>
      </c>
      <c r="H43" s="46">
        <f>(H41/360)</f>
        <v>5269.4444444444453</v>
      </c>
      <c r="J43" s="46">
        <f>(J41/360)</f>
        <v>5269.4444444444453</v>
      </c>
      <c r="L43" s="46">
        <f>(L41/360)</f>
        <v>5118.8888888888896</v>
      </c>
      <c r="N43" s="46">
        <f>(N41/360)</f>
        <v>5194.166666666667</v>
      </c>
      <c r="R43" s="46">
        <f>(R41/360)</f>
        <v>5645.833333333333</v>
      </c>
      <c r="V43" s="46">
        <f>(V41/360)</f>
        <v>5796.3888888888887</v>
      </c>
      <c r="X43" s="46">
        <f>(X41/360)</f>
        <v>5796.3888888888887</v>
      </c>
      <c r="Z43" s="46">
        <f>(Z41/360)</f>
        <v>6022.2222222222226</v>
      </c>
      <c r="AB43" s="46">
        <f>(AB41/360)</f>
        <v>6172.7777777777774</v>
      </c>
      <c r="AF43" s="46">
        <f>(AF41/360)</f>
        <v>6172.7777777777774</v>
      </c>
      <c r="AJ43" s="46">
        <f>(AJ41/360)</f>
        <v>5871.666666666667</v>
      </c>
      <c r="AL43" s="26"/>
    </row>
    <row r="44" spans="2:38" x14ac:dyDescent="0.2">
      <c r="B44" s="32"/>
      <c r="AL44" s="26"/>
    </row>
    <row r="45" spans="2:38" x14ac:dyDescent="0.2">
      <c r="B45" s="32" t="s">
        <v>245</v>
      </c>
      <c r="D45">
        <v>7</v>
      </c>
      <c r="F45">
        <v>7</v>
      </c>
      <c r="H45">
        <v>1</v>
      </c>
      <c r="J45">
        <v>6</v>
      </c>
      <c r="L45">
        <v>7</v>
      </c>
      <c r="N45">
        <v>7</v>
      </c>
      <c r="R45">
        <v>7</v>
      </c>
      <c r="V45">
        <v>3</v>
      </c>
      <c r="X45">
        <v>4</v>
      </c>
      <c r="Z45">
        <v>7</v>
      </c>
      <c r="AB45">
        <v>7</v>
      </c>
      <c r="AF45">
        <v>7</v>
      </c>
      <c r="AJ45">
        <v>6</v>
      </c>
      <c r="AL45" s="57">
        <f>D18+F18+H18+J18+L18+N18+R18+V18+X18+Z18+AB18+AF18+AJ18+AL18+D45+F45+H45+J45+L45+N45+R45+V45+X45+Z45+AB45+AF45+AJ45</f>
        <v>160</v>
      </c>
    </row>
    <row r="46" spans="2:38" x14ac:dyDescent="0.2">
      <c r="B46" s="32"/>
      <c r="AL46" s="26"/>
    </row>
    <row r="47" spans="2:38" ht="13.5" thickBot="1" x14ac:dyDescent="0.25">
      <c r="B47" s="32" t="s">
        <v>246</v>
      </c>
      <c r="D47" s="40">
        <f>ROUND(D43*D45,2)</f>
        <v>38993.89</v>
      </c>
      <c r="F47" s="40">
        <f>ROUND(F43*F45,2)</f>
        <v>36886.11</v>
      </c>
      <c r="H47" s="40">
        <f>ROUND(H43*H45,2)</f>
        <v>5269.44</v>
      </c>
      <c r="J47" s="40">
        <f>ROUND(J43*J45,2)</f>
        <v>31616.67</v>
      </c>
      <c r="L47" s="40">
        <f>ROUND(L43*L45,2)</f>
        <v>35832.22</v>
      </c>
      <c r="N47" s="40">
        <f>ROUND(N43*N45,2)</f>
        <v>36359.17</v>
      </c>
      <c r="R47" s="40">
        <f>ROUND(R43*R45,2)</f>
        <v>39520.83</v>
      </c>
      <c r="V47" s="40">
        <f>ROUND(V43*V45,2)-0.01</f>
        <v>17389.16</v>
      </c>
      <c r="X47" s="40">
        <f>ROUND(X43*X45,2)</f>
        <v>23185.56</v>
      </c>
      <c r="Z47" s="40">
        <f>ROUND(Z43*Z45,2)</f>
        <v>42155.56</v>
      </c>
      <c r="AB47" s="40">
        <f>ROUND(AB43*AB45,2)</f>
        <v>43209.440000000002</v>
      </c>
      <c r="AF47" s="40">
        <f>ROUND(AF43*AF45,2)</f>
        <v>43209.440000000002</v>
      </c>
      <c r="AJ47" s="40">
        <f>ROUND(AJ43*AJ45,2)</f>
        <v>35230</v>
      </c>
      <c r="AL47" s="26"/>
    </row>
    <row r="48" spans="2:38" ht="13.5" thickTop="1" x14ac:dyDescent="0.2">
      <c r="AL48" s="26"/>
    </row>
    <row r="49" spans="2:38" x14ac:dyDescent="0.2">
      <c r="B49" s="32" t="s">
        <v>2964</v>
      </c>
      <c r="D49" s="35">
        <f>54200000*0.0025</f>
        <v>135500</v>
      </c>
      <c r="F49" s="35">
        <f>54200000*0.0025</f>
        <v>135500</v>
      </c>
      <c r="H49" s="35">
        <f>54200000*0.0025</f>
        <v>135500</v>
      </c>
      <c r="J49" s="35">
        <f>54200000*0.0025</f>
        <v>135500</v>
      </c>
      <c r="L49" s="35">
        <f>54200000*0.0025</f>
        <v>135500</v>
      </c>
      <c r="N49" s="35">
        <f>54200000*0.0025</f>
        <v>135500</v>
      </c>
      <c r="R49" s="35">
        <f>54200000*0.0025</f>
        <v>135500</v>
      </c>
      <c r="V49" s="35">
        <f>54200000*0.0025</f>
        <v>135500</v>
      </c>
      <c r="X49" s="35">
        <f>54200000*0.0025</f>
        <v>135500</v>
      </c>
      <c r="Z49" s="35">
        <f>54200000*0.0025</f>
        <v>135500</v>
      </c>
      <c r="AB49" s="35">
        <f>54200000*0.0025</f>
        <v>135500</v>
      </c>
      <c r="AF49" s="35">
        <f>54200000*0.0025</f>
        <v>135500</v>
      </c>
      <c r="AJ49" s="35">
        <f>54200000*0.0025</f>
        <v>135500</v>
      </c>
      <c r="AL49" s="26"/>
    </row>
    <row r="50" spans="2:38" x14ac:dyDescent="0.2">
      <c r="D50" s="35"/>
      <c r="F50" s="35"/>
      <c r="H50" s="35"/>
      <c r="J50" s="35"/>
      <c r="L50" s="35"/>
      <c r="N50" s="35"/>
      <c r="R50" s="35"/>
      <c r="V50" s="35"/>
      <c r="X50" s="35"/>
      <c r="Z50" s="35"/>
      <c r="AB50" s="35"/>
      <c r="AF50" s="35"/>
      <c r="AJ50" s="35"/>
      <c r="AL50" s="26"/>
    </row>
    <row r="51" spans="2:38" x14ac:dyDescent="0.2">
      <c r="B51" s="32" t="s">
        <v>248</v>
      </c>
      <c r="D51" s="46">
        <f>D49/360</f>
        <v>376.38888888888891</v>
      </c>
      <c r="F51" s="46">
        <f>F49/360</f>
        <v>376.38888888888891</v>
      </c>
      <c r="H51" s="46">
        <f>H49/360</f>
        <v>376.38888888888891</v>
      </c>
      <c r="J51" s="46">
        <f>J49/360</f>
        <v>376.38888888888891</v>
      </c>
      <c r="L51" s="46">
        <f>L49/360</f>
        <v>376.38888888888891</v>
      </c>
      <c r="N51" s="46">
        <f>N49/360</f>
        <v>376.38888888888891</v>
      </c>
      <c r="R51" s="46">
        <f>R49/360</f>
        <v>376.38888888888891</v>
      </c>
      <c r="V51" s="46">
        <f>V49/360</f>
        <v>376.38888888888891</v>
      </c>
      <c r="X51" s="46">
        <f>X49/360</f>
        <v>376.38888888888891</v>
      </c>
      <c r="Z51" s="46">
        <f>Z49/360</f>
        <v>376.38888888888891</v>
      </c>
      <c r="AB51" s="46">
        <f>AB49/360</f>
        <v>376.38888888888891</v>
      </c>
      <c r="AF51" s="46">
        <f>AF49/360</f>
        <v>376.38888888888891</v>
      </c>
      <c r="AJ51" s="46">
        <f>AJ49/360</f>
        <v>376.38888888888891</v>
      </c>
      <c r="AL51" s="26"/>
    </row>
    <row r="52" spans="2:38" x14ac:dyDescent="0.2">
      <c r="B52" s="32"/>
      <c r="D52" s="46"/>
      <c r="F52" s="46"/>
      <c r="H52" s="46"/>
      <c r="J52" s="46"/>
      <c r="L52" s="46"/>
      <c r="N52" s="46"/>
      <c r="R52" s="46"/>
      <c r="V52" s="46"/>
      <c r="X52" s="46"/>
      <c r="Z52" s="46"/>
      <c r="AB52" s="46"/>
      <c r="AF52" s="46"/>
      <c r="AJ52" s="46"/>
      <c r="AL52" s="26"/>
    </row>
    <row r="53" spans="2:38" x14ac:dyDescent="0.2">
      <c r="B53" s="32" t="s">
        <v>245</v>
      </c>
      <c r="D53" s="30">
        <v>7</v>
      </c>
      <c r="F53" s="30">
        <v>7</v>
      </c>
      <c r="H53" s="30">
        <v>1</v>
      </c>
      <c r="J53" s="30">
        <v>6</v>
      </c>
      <c r="L53" s="30">
        <v>7</v>
      </c>
      <c r="N53" s="30">
        <v>7</v>
      </c>
      <c r="R53" s="30">
        <v>7</v>
      </c>
      <c r="V53" s="30">
        <v>3</v>
      </c>
      <c r="X53" s="30">
        <v>4</v>
      </c>
      <c r="Z53" s="30">
        <v>7</v>
      </c>
      <c r="AB53" s="30">
        <v>7</v>
      </c>
      <c r="AF53" s="30">
        <v>7</v>
      </c>
      <c r="AJ53" s="30">
        <v>6</v>
      </c>
      <c r="AL53" s="57">
        <f>D26+F26+H26+J26+L26+N26+R26+V26+X26+Z26+AB26+AF26+AJ26+AL26+D53+F53+H53+J53+L53+N53+R53+V53+X53+Z53+AB53+AF53+AJ53</f>
        <v>160</v>
      </c>
    </row>
    <row r="54" spans="2:38" x14ac:dyDescent="0.2">
      <c r="B54" s="32"/>
      <c r="AL54" s="26"/>
    </row>
    <row r="55" spans="2:38" ht="13.5" thickBot="1" x14ac:dyDescent="0.25">
      <c r="B55" s="32" t="s">
        <v>249</v>
      </c>
      <c r="D55" s="40">
        <f>ROUND(D51*D53,2)</f>
        <v>2634.72</v>
      </c>
      <c r="F55" s="39">
        <f>ROUND(F51*F53,2)</f>
        <v>2634.72</v>
      </c>
      <c r="H55" s="39">
        <f>ROUND(H51*H53,2)</f>
        <v>376.39</v>
      </c>
      <c r="J55" s="40">
        <f>ROUND(J51*J53,2)</f>
        <v>2258.33</v>
      </c>
      <c r="L55" s="40">
        <f>ROUND(L51*L53,2)</f>
        <v>2634.72</v>
      </c>
      <c r="N55" s="40">
        <f>ROUND(N51*N53,2)</f>
        <v>2634.72</v>
      </c>
      <c r="R55" s="40">
        <f>ROUND(R51*R53,2)</f>
        <v>2634.72</v>
      </c>
      <c r="V55" s="39">
        <f>ROUND(V51*V53,2)-0.01</f>
        <v>1129.1600000000001</v>
      </c>
      <c r="X55" s="40">
        <f>ROUND(X51*X53,2)</f>
        <v>1505.56</v>
      </c>
      <c r="Z55" s="40">
        <f>ROUND(Z51*Z53,2)</f>
        <v>2634.72</v>
      </c>
      <c r="AB55" s="40">
        <f>ROUND(AB51*AB53,2)</f>
        <v>2634.72</v>
      </c>
      <c r="AF55" s="40">
        <f>ROUND(AF51*AF53,2)</f>
        <v>2634.72</v>
      </c>
      <c r="AJ55" s="39">
        <f>ROUND(AJ51*AJ53,2)</f>
        <v>2258.33</v>
      </c>
      <c r="AL55" s="26"/>
    </row>
    <row r="56" spans="2:38" ht="13.5" thickTop="1" x14ac:dyDescent="0.2">
      <c r="D56" s="36"/>
      <c r="F56" s="36"/>
      <c r="H56" s="36"/>
      <c r="J56" s="36"/>
      <c r="L56" s="36"/>
      <c r="N56" s="36"/>
      <c r="R56" s="36"/>
      <c r="V56" s="36"/>
      <c r="X56" s="36"/>
      <c r="Z56" s="36"/>
      <c r="AB56" s="36"/>
      <c r="AF56" s="36"/>
      <c r="AJ56" s="36"/>
      <c r="AL56" s="26"/>
    </row>
    <row r="57" spans="2:38" x14ac:dyDescent="0.2">
      <c r="D57" s="36"/>
      <c r="F57" s="36"/>
      <c r="H57" s="36"/>
      <c r="J57" s="36"/>
      <c r="L57" s="36"/>
      <c r="N57" s="36"/>
      <c r="R57" s="36"/>
      <c r="V57" s="36"/>
      <c r="X57" s="36"/>
      <c r="Z57" s="36"/>
      <c r="AB57" s="36"/>
      <c r="AF57" s="36"/>
      <c r="AJ57" s="36"/>
      <c r="AL57" s="26"/>
    </row>
    <row r="58" spans="2:38" ht="13.5" thickBot="1" x14ac:dyDescent="0.25">
      <c r="B58" s="38" t="s">
        <v>250</v>
      </c>
      <c r="D58" s="39">
        <f>D47+D55</f>
        <v>41628.61</v>
      </c>
      <c r="F58" s="39">
        <f>F47+F55</f>
        <v>39520.83</v>
      </c>
      <c r="H58" s="39">
        <f>H47+H55</f>
        <v>5645.83</v>
      </c>
      <c r="J58" s="39">
        <f>J47+J55</f>
        <v>33875</v>
      </c>
      <c r="L58" s="39">
        <f>L47+L55</f>
        <v>38466.94</v>
      </c>
      <c r="N58" s="39">
        <f>N47+N55</f>
        <v>38993.89</v>
      </c>
      <c r="R58" s="39">
        <f>R47+R55</f>
        <v>42155.55</v>
      </c>
      <c r="V58" s="39">
        <f>V47+V55</f>
        <v>18518.32</v>
      </c>
      <c r="X58" s="39">
        <f>X47+X55</f>
        <v>24691.120000000003</v>
      </c>
      <c r="Z58" s="39">
        <f>Z47+Z55</f>
        <v>44790.28</v>
      </c>
      <c r="AB58" s="39">
        <f>AB47+AB55</f>
        <v>45844.160000000003</v>
      </c>
      <c r="AF58" s="39">
        <f>AF47+AF55</f>
        <v>45844.160000000003</v>
      </c>
      <c r="AJ58" s="39">
        <f>AJ47+AJ55</f>
        <v>37488.33</v>
      </c>
      <c r="AL58" s="58">
        <f>D31+F31+H31+J31+L31+N31+R31+V31+X31+Z31+AB31+AF31+AJ31+AL31+D58+F58+H58+J58+L58+N58+R58+V58+X58+Z58+AB58+AF58+AJ58</f>
        <v>968061.64444444445</v>
      </c>
    </row>
    <row r="59" spans="2:38" ht="13.5" thickTop="1" x14ac:dyDescent="0.2">
      <c r="V59" s="36"/>
    </row>
  </sheetData>
  <mergeCells count="4">
    <mergeCell ref="B4:CA4"/>
    <mergeCell ref="B1:CA1"/>
    <mergeCell ref="B2:CA2"/>
    <mergeCell ref="B3:CA3"/>
  </mergeCells>
  <phoneticPr fontId="5" type="noConversion"/>
  <pageMargins left="0.75" right="0.75" top="1" bottom="1" header="0.5" footer="0.5"/>
  <pageSetup scale="44" orientation="landscape" r:id="rId1"/>
  <headerFooter alignWithMargins="0"/>
  <customProperties>
    <customPr name="_pios_id" r:id="rId2"/>
    <customPr name="EpmWorksheetKeyString_GUID" r:id="rId3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B1:AP57"/>
  <sheetViews>
    <sheetView zoomScale="80" zoomScaleNormal="80" workbookViewId="0">
      <selection activeCell="AM58" sqref="AM58"/>
    </sheetView>
  </sheetViews>
  <sheetFormatPr defaultColWidth="9.140625" defaultRowHeight="12.75" x14ac:dyDescent="0.2"/>
  <cols>
    <col min="1" max="1" width="2.7109375" customWidth="1"/>
    <col min="2" max="2" width="28.5703125" bestFit="1" customWidth="1"/>
    <col min="3" max="3" width="2.7109375" customWidth="1"/>
    <col min="4" max="4" width="17" customWidth="1"/>
    <col min="5" max="5" width="2.7109375" customWidth="1"/>
    <col min="6" max="6" width="17" customWidth="1"/>
    <col min="7" max="7" width="15.140625" hidden="1" customWidth="1"/>
    <col min="8" max="8" width="2.7109375" customWidth="1"/>
    <col min="9" max="9" width="17.140625" customWidth="1"/>
    <col min="10" max="10" width="2.7109375" hidden="1" customWidth="1"/>
    <col min="11" max="11" width="17.140625" hidden="1" customWidth="1"/>
    <col min="12" max="12" width="2.5703125" customWidth="1"/>
    <col min="13" max="13" width="17" customWidth="1"/>
    <col min="14" max="14" width="2.7109375" customWidth="1"/>
    <col min="15" max="15" width="17.140625" customWidth="1"/>
    <col min="16" max="16" width="2.7109375" hidden="1" customWidth="1"/>
    <col min="17" max="17" width="14" hidden="1" customWidth="1"/>
    <col min="18" max="18" width="2.7109375" customWidth="1"/>
    <col min="19" max="19" width="17" customWidth="1"/>
    <col min="20" max="20" width="2.7109375" hidden="1" customWidth="1"/>
    <col min="21" max="21" width="11.7109375" hidden="1" customWidth="1"/>
    <col min="22" max="22" width="2.28515625" customWidth="1"/>
    <col min="23" max="23" width="15.85546875" customWidth="1"/>
    <col min="24" max="24" width="2.42578125" hidden="1" customWidth="1"/>
    <col min="25" max="25" width="12" hidden="1" customWidth="1"/>
    <col min="26" max="26" width="2.28515625" customWidth="1"/>
    <col min="27" max="27" width="16.85546875" customWidth="1"/>
    <col min="28" max="28" width="3.28515625" hidden="1" customWidth="1"/>
    <col min="29" max="29" width="16.85546875" hidden="1" customWidth="1"/>
    <col min="30" max="30" width="2.7109375" customWidth="1"/>
    <col min="31" max="31" width="18.5703125" customWidth="1"/>
    <col min="32" max="32" width="2.85546875" customWidth="1"/>
    <col min="33" max="33" width="14.42578125" hidden="1" customWidth="1"/>
    <col min="34" max="34" width="2.7109375" hidden="1" customWidth="1"/>
    <col min="35" max="35" width="19.42578125" customWidth="1"/>
    <col min="36" max="36" width="2.5703125" customWidth="1"/>
    <col min="37" max="37" width="16.85546875" hidden="1" customWidth="1"/>
    <col min="38" max="38" width="2.85546875" hidden="1" customWidth="1"/>
    <col min="39" max="39" width="21.7109375" hidden="1" customWidth="1"/>
    <col min="40" max="40" width="3.7109375" hidden="1" customWidth="1"/>
    <col min="41" max="41" width="16.7109375" hidden="1" customWidth="1"/>
    <col min="42" max="42" width="15.140625" bestFit="1" customWidth="1"/>
  </cols>
  <sheetData>
    <row r="1" spans="2:42" ht="18" x14ac:dyDescent="0.25">
      <c r="B1" s="403" t="s">
        <v>4326</v>
      </c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  <c r="Q1" s="403"/>
      <c r="R1" s="403"/>
      <c r="S1" s="403"/>
      <c r="T1" s="403"/>
      <c r="U1" s="403"/>
      <c r="V1" s="403"/>
      <c r="W1" s="403"/>
      <c r="X1" s="403"/>
      <c r="Y1" s="403"/>
      <c r="Z1" s="403"/>
      <c r="AA1" s="403"/>
      <c r="AB1" s="403"/>
      <c r="AC1" s="403"/>
      <c r="AD1" s="403"/>
      <c r="AE1" s="403"/>
      <c r="AF1" s="403"/>
      <c r="AG1" s="403"/>
      <c r="AH1" s="403"/>
      <c r="AI1" s="403"/>
      <c r="AJ1" s="405"/>
      <c r="AK1" s="405"/>
      <c r="AL1" s="405"/>
      <c r="AM1" s="405"/>
      <c r="AN1" s="405"/>
      <c r="AO1" s="405"/>
      <c r="AP1" s="405"/>
    </row>
    <row r="2" spans="2:42" ht="18" x14ac:dyDescent="0.25">
      <c r="B2" s="403" t="s">
        <v>3505</v>
      </c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403"/>
      <c r="R2" s="403"/>
      <c r="S2" s="403"/>
      <c r="T2" s="403"/>
      <c r="U2" s="403"/>
      <c r="V2" s="403"/>
      <c r="W2" s="403"/>
      <c r="X2" s="403"/>
      <c r="Y2" s="403"/>
      <c r="Z2" s="403"/>
      <c r="AA2" s="403"/>
      <c r="AB2" s="403"/>
      <c r="AC2" s="403"/>
      <c r="AD2" s="403"/>
      <c r="AE2" s="403"/>
      <c r="AF2" s="403"/>
      <c r="AG2" s="403"/>
      <c r="AH2" s="403"/>
      <c r="AI2" s="403"/>
      <c r="AJ2" s="405"/>
      <c r="AK2" s="405"/>
      <c r="AL2" s="405"/>
      <c r="AM2" s="405"/>
      <c r="AN2" s="405"/>
      <c r="AO2" s="405"/>
      <c r="AP2" s="405"/>
    </row>
    <row r="3" spans="2:42" ht="18" x14ac:dyDescent="0.25">
      <c r="B3" s="403" t="s">
        <v>3506</v>
      </c>
      <c r="C3" s="403"/>
      <c r="D3" s="403"/>
      <c r="E3" s="403"/>
      <c r="F3" s="403"/>
      <c r="G3" s="403"/>
      <c r="H3" s="403"/>
      <c r="I3" s="403"/>
      <c r="J3" s="403"/>
      <c r="K3" s="403"/>
      <c r="L3" s="403"/>
      <c r="M3" s="403"/>
      <c r="N3" s="403"/>
      <c r="O3" s="403"/>
      <c r="P3" s="403"/>
      <c r="Q3" s="403"/>
      <c r="R3" s="403"/>
      <c r="S3" s="403"/>
      <c r="T3" s="403"/>
      <c r="U3" s="403"/>
      <c r="V3" s="403"/>
      <c r="W3" s="403"/>
      <c r="X3" s="403"/>
      <c r="Y3" s="403"/>
      <c r="Z3" s="403"/>
      <c r="AA3" s="403"/>
      <c r="AB3" s="403"/>
      <c r="AC3" s="403"/>
      <c r="AD3" s="403"/>
      <c r="AE3" s="403"/>
      <c r="AF3" s="403"/>
      <c r="AG3" s="403"/>
      <c r="AH3" s="403"/>
      <c r="AI3" s="403"/>
      <c r="AJ3" s="405"/>
      <c r="AK3" s="405"/>
      <c r="AL3" s="405"/>
      <c r="AM3" s="405"/>
      <c r="AN3" s="405"/>
      <c r="AO3" s="405"/>
      <c r="AP3" s="405"/>
    </row>
    <row r="4" spans="2:42" ht="18" x14ac:dyDescent="0.25">
      <c r="B4" s="403" t="s">
        <v>5257</v>
      </c>
      <c r="C4" s="403"/>
      <c r="D4" s="403"/>
      <c r="E4" s="403"/>
      <c r="F4" s="403"/>
      <c r="G4" s="403"/>
      <c r="H4" s="403"/>
      <c r="I4" s="403"/>
      <c r="J4" s="403"/>
      <c r="K4" s="403"/>
      <c r="L4" s="403"/>
      <c r="M4" s="403"/>
      <c r="N4" s="403"/>
      <c r="O4" s="403"/>
      <c r="P4" s="403"/>
      <c r="Q4" s="403"/>
      <c r="R4" s="403"/>
      <c r="S4" s="403"/>
      <c r="T4" s="403"/>
      <c r="U4" s="403"/>
      <c r="V4" s="403"/>
      <c r="W4" s="403"/>
      <c r="X4" s="403"/>
      <c r="Y4" s="403"/>
      <c r="Z4" s="403"/>
      <c r="AA4" s="403"/>
      <c r="AB4" s="403"/>
      <c r="AC4" s="403"/>
      <c r="AD4" s="403"/>
      <c r="AE4" s="403"/>
      <c r="AF4" s="403"/>
      <c r="AG4" s="403"/>
      <c r="AH4" s="403"/>
      <c r="AI4" s="403"/>
      <c r="AJ4" s="405"/>
      <c r="AK4" s="405"/>
      <c r="AL4" s="405"/>
      <c r="AM4" s="405"/>
      <c r="AN4" s="405"/>
      <c r="AO4" s="405"/>
      <c r="AP4" s="405"/>
    </row>
    <row r="5" spans="2:42" ht="18" x14ac:dyDescent="0.25"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1"/>
      <c r="AK5" s="51"/>
      <c r="AL5" s="51"/>
      <c r="AM5" s="51"/>
      <c r="AN5" s="51"/>
      <c r="AO5" s="51"/>
      <c r="AP5" s="51"/>
    </row>
    <row r="7" spans="2:42" x14ac:dyDescent="0.2">
      <c r="O7" s="27"/>
      <c r="Q7" s="27"/>
      <c r="U7" s="27" t="s">
        <v>5258</v>
      </c>
      <c r="AC7" s="27" t="s">
        <v>5259</v>
      </c>
      <c r="AK7" s="27" t="s">
        <v>229</v>
      </c>
    </row>
    <row r="8" spans="2:42" x14ac:dyDescent="0.2">
      <c r="D8" s="31" t="s">
        <v>230</v>
      </c>
      <c r="F8" s="31" t="s">
        <v>231</v>
      </c>
      <c r="G8" s="31" t="s">
        <v>232</v>
      </c>
      <c r="I8" s="31" t="s">
        <v>233</v>
      </c>
      <c r="K8" s="31" t="s">
        <v>232</v>
      </c>
      <c r="M8" s="31" t="s">
        <v>234</v>
      </c>
      <c r="O8" s="31" t="s">
        <v>235</v>
      </c>
      <c r="Q8" s="31" t="s">
        <v>232</v>
      </c>
      <c r="S8" s="31" t="s">
        <v>236</v>
      </c>
      <c r="U8" s="31" t="s">
        <v>232</v>
      </c>
      <c r="W8" s="31" t="s">
        <v>237</v>
      </c>
      <c r="Y8" s="31" t="s">
        <v>232</v>
      </c>
      <c r="AA8" s="31" t="s">
        <v>238</v>
      </c>
      <c r="AC8" s="31" t="s">
        <v>232</v>
      </c>
      <c r="AE8" s="31" t="s">
        <v>239</v>
      </c>
      <c r="AG8" s="31" t="s">
        <v>232</v>
      </c>
      <c r="AI8" s="31" t="s">
        <v>240</v>
      </c>
      <c r="AK8" s="31" t="s">
        <v>232</v>
      </c>
      <c r="AM8" s="31" t="s">
        <v>241</v>
      </c>
      <c r="AO8" s="31" t="s">
        <v>232</v>
      </c>
      <c r="AP8" s="56" t="s">
        <v>3622</v>
      </c>
    </row>
    <row r="9" spans="2:42" x14ac:dyDescent="0.2">
      <c r="AP9" s="26"/>
    </row>
    <row r="10" spans="2:42" x14ac:dyDescent="0.2">
      <c r="B10" s="32" t="s">
        <v>3625</v>
      </c>
      <c r="D10" s="35">
        <v>20000000</v>
      </c>
      <c r="E10" s="35"/>
      <c r="F10" s="35">
        <v>20000000</v>
      </c>
      <c r="G10" s="35"/>
      <c r="H10" s="35"/>
      <c r="I10" s="35">
        <v>20000000</v>
      </c>
      <c r="J10" s="35"/>
      <c r="K10" s="35"/>
      <c r="L10" s="35"/>
      <c r="M10" s="35">
        <v>20000000</v>
      </c>
      <c r="N10" s="35"/>
      <c r="O10" s="35">
        <v>20000000</v>
      </c>
      <c r="P10" s="35"/>
      <c r="Q10" s="35"/>
      <c r="R10" s="35"/>
      <c r="S10" s="35">
        <v>20000000</v>
      </c>
      <c r="T10" s="35"/>
      <c r="U10" s="35"/>
      <c r="V10" s="35"/>
      <c r="W10" s="35">
        <v>20000000</v>
      </c>
      <c r="X10" s="35"/>
      <c r="Y10" s="35"/>
      <c r="Z10" s="35"/>
      <c r="AA10" s="35">
        <v>20000000</v>
      </c>
      <c r="AC10" s="35"/>
      <c r="AD10" s="35"/>
      <c r="AE10" s="35">
        <v>20000000</v>
      </c>
      <c r="AF10" s="35"/>
      <c r="AG10" s="35"/>
      <c r="AH10" s="35"/>
      <c r="AI10" s="35">
        <v>20000000</v>
      </c>
      <c r="AK10" s="35"/>
      <c r="AM10" s="35">
        <v>20000000</v>
      </c>
      <c r="AO10" s="35"/>
      <c r="AP10" s="45">
        <v>20000000</v>
      </c>
    </row>
    <row r="11" spans="2:42" x14ac:dyDescent="0.2">
      <c r="B11" s="32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K11" s="35"/>
      <c r="AM11" s="35"/>
      <c r="AO11" s="35"/>
      <c r="AP11" s="26"/>
    </row>
    <row r="12" spans="2:42" x14ac:dyDescent="0.2">
      <c r="B12" s="32" t="s">
        <v>242</v>
      </c>
      <c r="D12">
        <v>3.6499999999999998E-2</v>
      </c>
      <c r="F12" s="44">
        <v>3.6499999999999998E-2</v>
      </c>
      <c r="G12" s="44"/>
      <c r="I12">
        <v>0.04</v>
      </c>
      <c r="K12" s="44"/>
      <c r="M12">
        <v>0.04</v>
      </c>
      <c r="O12">
        <v>0.04</v>
      </c>
      <c r="S12">
        <v>4.2000000000000003E-2</v>
      </c>
      <c r="W12">
        <v>4.2000000000000003E-2</v>
      </c>
      <c r="AA12">
        <v>4.1000000000000002E-2</v>
      </c>
      <c r="AB12" s="35"/>
      <c r="AE12">
        <v>4.1000000000000002E-2</v>
      </c>
      <c r="AI12">
        <v>4.2799999999999998E-2</v>
      </c>
      <c r="AM12">
        <v>4.2799999999999998E-2</v>
      </c>
      <c r="AP12" s="61">
        <f>((AP31/AP18)*360)/AP10</f>
        <v>4.2740624750000004E-2</v>
      </c>
    </row>
    <row r="13" spans="2:42" x14ac:dyDescent="0.2">
      <c r="B13" s="32"/>
      <c r="AP13" s="26"/>
    </row>
    <row r="14" spans="2:42" x14ac:dyDescent="0.2">
      <c r="B14" s="32" t="s">
        <v>243</v>
      </c>
      <c r="D14" s="59">
        <f>D10*D12</f>
        <v>730000</v>
      </c>
      <c r="E14" s="59"/>
      <c r="F14" s="59">
        <f>F10*F12</f>
        <v>730000</v>
      </c>
      <c r="G14" s="59"/>
      <c r="H14" s="59"/>
      <c r="I14" s="59">
        <f>I10*I12</f>
        <v>800000</v>
      </c>
      <c r="J14" s="59"/>
      <c r="K14" s="59"/>
      <c r="L14" s="59"/>
      <c r="M14" s="59">
        <f>M10*M12</f>
        <v>800000</v>
      </c>
      <c r="N14" s="59"/>
      <c r="O14" s="59">
        <f>O10*O12</f>
        <v>800000</v>
      </c>
      <c r="P14" s="59"/>
      <c r="Q14" s="59"/>
      <c r="R14" s="59"/>
      <c r="S14" s="59">
        <f>S10*S12</f>
        <v>840000</v>
      </c>
      <c r="T14" s="59"/>
      <c r="U14" s="59"/>
      <c r="V14" s="59"/>
      <c r="W14" s="59">
        <f>W10*W12</f>
        <v>840000</v>
      </c>
      <c r="X14" s="59"/>
      <c r="Y14" s="59"/>
      <c r="Z14" s="59"/>
      <c r="AA14" s="59">
        <f>AA10*AA12</f>
        <v>820000</v>
      </c>
      <c r="AB14" s="60"/>
      <c r="AC14" s="59"/>
      <c r="AD14" s="59"/>
      <c r="AE14" s="59">
        <f>AE10*AE12</f>
        <v>820000</v>
      </c>
      <c r="AF14" s="59"/>
      <c r="AG14" s="59"/>
      <c r="AH14" s="59"/>
      <c r="AI14" s="59">
        <f>AI10*AI12</f>
        <v>856000</v>
      </c>
      <c r="AK14" s="45"/>
      <c r="AM14" s="45">
        <f>AM10*AM12</f>
        <v>856000</v>
      </c>
      <c r="AO14" s="45"/>
      <c r="AP14" s="26"/>
    </row>
    <row r="15" spans="2:42" x14ac:dyDescent="0.2">
      <c r="B15" s="32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K15" s="45"/>
      <c r="AM15" s="45"/>
      <c r="AO15" s="45"/>
      <c r="AP15" s="26"/>
    </row>
    <row r="16" spans="2:42" x14ac:dyDescent="0.2">
      <c r="B16" s="32" t="s">
        <v>244</v>
      </c>
      <c r="D16" s="46">
        <f>D14/360</f>
        <v>2027.7777777777778</v>
      </c>
      <c r="E16" s="46"/>
      <c r="F16" s="46">
        <f>F14/360</f>
        <v>2027.7777777777778</v>
      </c>
      <c r="G16" s="46"/>
      <c r="H16" s="46"/>
      <c r="I16" s="46">
        <f>I14/360</f>
        <v>2222.2222222222222</v>
      </c>
      <c r="J16" s="46"/>
      <c r="K16" s="46"/>
      <c r="L16" s="46"/>
      <c r="M16" s="46">
        <f>(M14/360)</f>
        <v>2222.2222222222222</v>
      </c>
      <c r="N16" s="46"/>
      <c r="O16" s="46">
        <f>(O14/360)</f>
        <v>2222.2222222222222</v>
      </c>
      <c r="P16" s="46"/>
      <c r="Q16" s="46"/>
      <c r="R16" s="46"/>
      <c r="S16" s="46">
        <f>S14/360</f>
        <v>2333.3333333333335</v>
      </c>
      <c r="T16" s="46"/>
      <c r="U16" s="46"/>
      <c r="V16" s="46"/>
      <c r="W16" s="46">
        <f>W14/360</f>
        <v>2333.3333333333335</v>
      </c>
      <c r="X16" s="46"/>
      <c r="Y16" s="46"/>
      <c r="Z16" s="46"/>
      <c r="AA16" s="46">
        <f>AA14/360</f>
        <v>2277.7777777777778</v>
      </c>
      <c r="AB16" s="45"/>
      <c r="AC16" s="46"/>
      <c r="AD16" s="46"/>
      <c r="AE16" s="46">
        <f>AE14/360</f>
        <v>2277.7777777777778</v>
      </c>
      <c r="AF16" s="46"/>
      <c r="AG16" s="46"/>
      <c r="AH16" s="46"/>
      <c r="AI16" s="46">
        <f>AI14/360</f>
        <v>2377.7777777777778</v>
      </c>
      <c r="AK16" s="46"/>
      <c r="AM16" s="46">
        <f>AM14/360</f>
        <v>2377.7777777777778</v>
      </c>
      <c r="AO16" s="46"/>
      <c r="AP16" s="26"/>
    </row>
    <row r="17" spans="2:42" x14ac:dyDescent="0.2">
      <c r="B17" s="32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K17" s="46"/>
      <c r="AM17" s="46"/>
      <c r="AO17" s="46"/>
      <c r="AP17" s="26"/>
    </row>
    <row r="18" spans="2:42" x14ac:dyDescent="0.2">
      <c r="B18" s="32" t="s">
        <v>245</v>
      </c>
      <c r="D18" s="30">
        <v>7</v>
      </c>
      <c r="E18" s="30"/>
      <c r="F18" s="30">
        <v>28</v>
      </c>
      <c r="G18" s="30"/>
      <c r="H18" s="30"/>
      <c r="I18" s="30">
        <v>3</v>
      </c>
      <c r="J18" s="30"/>
      <c r="K18" s="30"/>
      <c r="L18" s="30"/>
      <c r="M18" s="30">
        <v>30</v>
      </c>
      <c r="N18" s="30"/>
      <c r="O18" s="30">
        <v>2</v>
      </c>
      <c r="P18" s="30"/>
      <c r="Q18" s="30"/>
      <c r="R18" s="30"/>
      <c r="S18" s="30">
        <v>29</v>
      </c>
      <c r="T18" s="30"/>
      <c r="U18" s="30"/>
      <c r="V18" s="30"/>
      <c r="W18" s="30">
        <v>6</v>
      </c>
      <c r="X18" s="30"/>
      <c r="Y18" s="30"/>
      <c r="Z18" s="30"/>
      <c r="AA18" s="30">
        <v>24</v>
      </c>
      <c r="AB18" s="46"/>
      <c r="AC18" s="30"/>
      <c r="AD18" s="30"/>
      <c r="AE18" s="30">
        <v>11</v>
      </c>
      <c r="AF18" s="30"/>
      <c r="AG18" s="30"/>
      <c r="AH18" s="30"/>
      <c r="AI18" s="30">
        <v>20</v>
      </c>
      <c r="AK18" s="30"/>
      <c r="AM18" s="30">
        <v>15</v>
      </c>
      <c r="AO18" s="30"/>
      <c r="AP18" s="57">
        <f>D18+F18+I18+M18+O18+S18+W18+AA18+AE18+AI18</f>
        <v>160</v>
      </c>
    </row>
    <row r="19" spans="2:42" x14ac:dyDescent="0.2">
      <c r="B19" s="32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K19" s="30"/>
      <c r="AM19" s="30"/>
      <c r="AO19" s="30"/>
      <c r="AP19" s="26"/>
    </row>
    <row r="20" spans="2:42" ht="13.5" thickBot="1" x14ac:dyDescent="0.25">
      <c r="B20" s="32" t="s">
        <v>246</v>
      </c>
      <c r="D20" s="40">
        <f>ROUND(D16*D18,2)</f>
        <v>14194.44</v>
      </c>
      <c r="E20" s="36"/>
      <c r="F20" s="40">
        <f>ROUND(F16*F18,2)</f>
        <v>56777.78</v>
      </c>
      <c r="G20" s="37">
        <f>D20+F20</f>
        <v>70972.22</v>
      </c>
      <c r="H20" s="36"/>
      <c r="I20" s="40">
        <f>ROUND(I16*I18,2)</f>
        <v>6666.67</v>
      </c>
      <c r="J20" s="36"/>
      <c r="K20" s="37">
        <f>F20+I20</f>
        <v>63444.45</v>
      </c>
      <c r="L20" s="36"/>
      <c r="M20" s="40">
        <f>ROUND(M16*M18,2)</f>
        <v>66666.67</v>
      </c>
      <c r="N20" s="36"/>
      <c r="O20" s="40">
        <f>ROUND(O16*O18,2)</f>
        <v>4444.4399999999996</v>
      </c>
      <c r="P20" s="36"/>
      <c r="Q20" s="40">
        <f>I20+M20+O20</f>
        <v>77777.78</v>
      </c>
      <c r="R20" s="36"/>
      <c r="S20" s="40">
        <f>S16*S18</f>
        <v>67666.666666666672</v>
      </c>
      <c r="T20" s="36"/>
      <c r="U20" s="40">
        <f>S20+O20</f>
        <v>72111.106666666674</v>
      </c>
      <c r="V20" s="36"/>
      <c r="W20" s="40">
        <f>W16*W18</f>
        <v>14000</v>
      </c>
      <c r="X20" s="36"/>
      <c r="Y20" s="40">
        <f>P20+S20+W20</f>
        <v>81666.666666666672</v>
      </c>
      <c r="Z20" s="36"/>
      <c r="AA20" s="40">
        <f>AA16*AA18</f>
        <v>54666.666666666672</v>
      </c>
      <c r="AB20" s="30"/>
      <c r="AC20" s="40">
        <f>AA20+W20</f>
        <v>68666.666666666672</v>
      </c>
      <c r="AD20" s="36"/>
      <c r="AE20" s="40">
        <f>AE16*AE18</f>
        <v>25055.555555555555</v>
      </c>
      <c r="AF20" s="36"/>
      <c r="AG20" s="40">
        <f>AE20+AA20</f>
        <v>79722.222222222219</v>
      </c>
      <c r="AH20" s="36"/>
      <c r="AI20" s="40">
        <f>AI16*AI18</f>
        <v>47555.555555555555</v>
      </c>
      <c r="AK20" s="40">
        <f>AI20+AE20-0.01</f>
        <v>72611.101111111115</v>
      </c>
      <c r="AM20" s="40">
        <f>AM16*AM18</f>
        <v>35666.666666666664</v>
      </c>
      <c r="AO20" s="40">
        <f>AM20+AI20</f>
        <v>83222.222222222219</v>
      </c>
      <c r="AP20" s="26"/>
    </row>
    <row r="21" spans="2:42" ht="13.5" thickTop="1" x14ac:dyDescent="0.2"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K21" s="36"/>
      <c r="AM21" s="36"/>
      <c r="AO21" s="36"/>
      <c r="AP21" s="26"/>
    </row>
    <row r="22" spans="2:42" x14ac:dyDescent="0.2">
      <c r="B22" s="32" t="s">
        <v>247</v>
      </c>
      <c r="D22" s="35">
        <f>20000000*0.0025</f>
        <v>50000</v>
      </c>
      <c r="E22" s="36"/>
      <c r="F22" s="35">
        <f>20000000*0.0025</f>
        <v>50000</v>
      </c>
      <c r="G22" s="35"/>
      <c r="H22" s="36"/>
      <c r="I22" s="35">
        <f>20000000*0.0025</f>
        <v>50000</v>
      </c>
      <c r="J22" s="36"/>
      <c r="K22" s="35"/>
      <c r="L22" s="36"/>
      <c r="M22" s="35">
        <f>20000000*0.0025</f>
        <v>50000</v>
      </c>
      <c r="N22" s="36"/>
      <c r="O22" s="35">
        <f>20000000*0.0025</f>
        <v>50000</v>
      </c>
      <c r="P22" s="36"/>
      <c r="Q22" s="35"/>
      <c r="R22" s="36"/>
      <c r="S22" s="35">
        <f>20000000*0.0025</f>
        <v>50000</v>
      </c>
      <c r="T22" s="36"/>
      <c r="U22" s="35"/>
      <c r="V22" s="36"/>
      <c r="W22" s="35">
        <f>20000000*0.0025</f>
        <v>50000</v>
      </c>
      <c r="X22" s="36"/>
      <c r="Y22" s="35"/>
      <c r="Z22" s="36"/>
      <c r="AA22" s="35">
        <f>20000000*0.0025</f>
        <v>50000</v>
      </c>
      <c r="AB22" s="36"/>
      <c r="AC22" s="35"/>
      <c r="AD22" s="36"/>
      <c r="AE22" s="35">
        <f>20000000*0.0025</f>
        <v>50000</v>
      </c>
      <c r="AF22" s="36"/>
      <c r="AG22" s="35"/>
      <c r="AH22" s="36"/>
      <c r="AI22" s="35">
        <f>20000000*0.0025</f>
        <v>50000</v>
      </c>
      <c r="AK22" s="35"/>
      <c r="AM22" s="35">
        <f>20000000*0.0025</f>
        <v>50000</v>
      </c>
      <c r="AO22" s="35"/>
      <c r="AP22" s="26"/>
    </row>
    <row r="23" spans="2:42" x14ac:dyDescent="0.2">
      <c r="D23" s="35"/>
      <c r="E23" s="36"/>
      <c r="F23" s="35"/>
      <c r="G23" s="35"/>
      <c r="H23" s="36"/>
      <c r="I23" s="36"/>
      <c r="J23" s="36"/>
      <c r="K23" s="35"/>
      <c r="L23" s="36"/>
      <c r="M23" s="35"/>
      <c r="N23" s="36"/>
      <c r="O23" s="35"/>
      <c r="P23" s="36"/>
      <c r="Q23" s="35"/>
      <c r="R23" s="36"/>
      <c r="S23" s="35"/>
      <c r="T23" s="36"/>
      <c r="U23" s="35"/>
      <c r="V23" s="36"/>
      <c r="W23" s="35"/>
      <c r="X23" s="36"/>
      <c r="Y23" s="35"/>
      <c r="Z23" s="36"/>
      <c r="AA23" s="35"/>
      <c r="AB23" s="36"/>
      <c r="AC23" s="35"/>
      <c r="AD23" s="36"/>
      <c r="AE23" s="35"/>
      <c r="AF23" s="36"/>
      <c r="AG23" s="35"/>
      <c r="AH23" s="36"/>
      <c r="AI23" s="35"/>
      <c r="AK23" s="35"/>
      <c r="AM23" s="35"/>
      <c r="AO23" s="35"/>
      <c r="AP23" s="26"/>
    </row>
    <row r="24" spans="2:42" x14ac:dyDescent="0.2">
      <c r="B24" s="32" t="s">
        <v>248</v>
      </c>
      <c r="D24" s="46">
        <f>D22/360</f>
        <v>138.88888888888889</v>
      </c>
      <c r="E24" s="36"/>
      <c r="F24" s="46">
        <f>(F22/360)</f>
        <v>138.88888888888889</v>
      </c>
      <c r="G24" s="46"/>
      <c r="H24" s="36"/>
      <c r="I24" s="46">
        <f>(I22/360)</f>
        <v>138.88888888888889</v>
      </c>
      <c r="J24" s="36"/>
      <c r="K24" s="46"/>
      <c r="L24" s="36"/>
      <c r="M24" s="46">
        <f>M22/360</f>
        <v>138.88888888888889</v>
      </c>
      <c r="N24" s="36"/>
      <c r="O24" s="46">
        <f>O22/360</f>
        <v>138.88888888888889</v>
      </c>
      <c r="P24" s="36"/>
      <c r="Q24" s="46"/>
      <c r="R24" s="36"/>
      <c r="S24" s="46">
        <f>S22/360</f>
        <v>138.88888888888889</v>
      </c>
      <c r="T24" s="36"/>
      <c r="U24" s="46"/>
      <c r="V24" s="36"/>
      <c r="W24" s="46">
        <f>W22/360</f>
        <v>138.88888888888889</v>
      </c>
      <c r="X24" s="36"/>
      <c r="Y24" s="46"/>
      <c r="Z24" s="36"/>
      <c r="AA24" s="46">
        <f>AA22/360</f>
        <v>138.88888888888889</v>
      </c>
      <c r="AB24" s="36"/>
      <c r="AC24" s="46"/>
      <c r="AD24" s="36"/>
      <c r="AE24" s="46">
        <f>AE22/360</f>
        <v>138.88888888888889</v>
      </c>
      <c r="AF24" s="36"/>
      <c r="AG24" s="46"/>
      <c r="AH24" s="36"/>
      <c r="AI24" s="46">
        <f>AI22/360</f>
        <v>138.88888888888889</v>
      </c>
      <c r="AK24" s="46"/>
      <c r="AM24" s="46">
        <f>AM22/360</f>
        <v>138.88888888888889</v>
      </c>
      <c r="AO24" s="46"/>
      <c r="AP24" s="26"/>
    </row>
    <row r="25" spans="2:42" x14ac:dyDescent="0.2">
      <c r="B25" s="32"/>
      <c r="D25" s="46"/>
      <c r="E25" s="36"/>
      <c r="F25" s="46"/>
      <c r="G25" s="46"/>
      <c r="H25" s="36"/>
      <c r="I25" s="36"/>
      <c r="J25" s="36"/>
      <c r="K25" s="46"/>
      <c r="L25" s="36"/>
      <c r="M25" s="46"/>
      <c r="N25" s="36"/>
      <c r="O25" s="46"/>
      <c r="P25" s="36"/>
      <c r="Q25" s="46"/>
      <c r="R25" s="36"/>
      <c r="S25" s="46"/>
      <c r="T25" s="36"/>
      <c r="U25" s="46"/>
      <c r="V25" s="36"/>
      <c r="W25" s="46"/>
      <c r="X25" s="36"/>
      <c r="Y25" s="46"/>
      <c r="Z25" s="36"/>
      <c r="AA25" s="46"/>
      <c r="AB25" s="36"/>
      <c r="AC25" s="46"/>
      <c r="AD25" s="36"/>
      <c r="AE25" s="46"/>
      <c r="AF25" s="36"/>
      <c r="AG25" s="46"/>
      <c r="AH25" s="36"/>
      <c r="AI25" s="46"/>
      <c r="AK25" s="46"/>
      <c r="AM25" s="46"/>
      <c r="AO25" s="46"/>
      <c r="AP25" s="26"/>
    </row>
    <row r="26" spans="2:42" x14ac:dyDescent="0.2">
      <c r="B26" s="32" t="s">
        <v>245</v>
      </c>
      <c r="D26">
        <v>7</v>
      </c>
      <c r="E26" s="36"/>
      <c r="F26">
        <v>28</v>
      </c>
      <c r="H26" s="36"/>
      <c r="I26">
        <v>3</v>
      </c>
      <c r="J26" s="36"/>
      <c r="L26" s="36"/>
      <c r="M26" s="30">
        <v>30</v>
      </c>
      <c r="N26" s="36"/>
      <c r="O26" s="30">
        <v>2</v>
      </c>
      <c r="P26" s="36"/>
      <c r="R26" s="36"/>
      <c r="S26" s="30">
        <v>29</v>
      </c>
      <c r="T26" s="36"/>
      <c r="V26" s="36"/>
      <c r="W26" s="30">
        <v>6</v>
      </c>
      <c r="X26" s="36"/>
      <c r="Z26" s="36"/>
      <c r="AA26" s="30">
        <v>24</v>
      </c>
      <c r="AB26" s="36"/>
      <c r="AD26" s="36"/>
      <c r="AE26" s="30">
        <v>11</v>
      </c>
      <c r="AF26" s="36"/>
      <c r="AH26" s="36"/>
      <c r="AI26" s="30">
        <v>20</v>
      </c>
      <c r="AM26" s="30">
        <v>15</v>
      </c>
      <c r="AP26" s="57">
        <f>D26+F26+I26+M26+O26+S26+W26+AA26+AE26+AI26</f>
        <v>160</v>
      </c>
    </row>
    <row r="27" spans="2:42" x14ac:dyDescent="0.2">
      <c r="B27" s="32"/>
      <c r="E27" s="36"/>
      <c r="H27" s="36"/>
      <c r="I27" s="36"/>
      <c r="J27" s="36"/>
      <c r="L27" s="36"/>
      <c r="N27" s="36"/>
      <c r="P27" s="36"/>
      <c r="Q27" s="36"/>
      <c r="R27" s="36"/>
      <c r="T27" s="36"/>
      <c r="U27" s="36"/>
      <c r="V27" s="36"/>
      <c r="X27" s="36"/>
      <c r="Y27" s="36"/>
      <c r="Z27" s="36"/>
      <c r="AB27" s="36"/>
      <c r="AC27" s="36"/>
      <c r="AD27" s="36"/>
      <c r="AF27" s="36"/>
      <c r="AG27" s="36"/>
      <c r="AH27" s="36"/>
      <c r="AK27" s="36"/>
      <c r="AO27" s="36"/>
      <c r="AP27" s="26"/>
    </row>
    <row r="28" spans="2:42" ht="13.5" thickBot="1" x14ac:dyDescent="0.25">
      <c r="B28" s="32" t="s">
        <v>249</v>
      </c>
      <c r="D28" s="47">
        <f>ROUND(D24*D26,2)</f>
        <v>972.22</v>
      </c>
      <c r="E28" s="36"/>
      <c r="F28" s="47">
        <f>ROUND(F24*F26,2)</f>
        <v>3888.89</v>
      </c>
      <c r="G28" s="37">
        <f>D28+F28</f>
        <v>4861.1099999999997</v>
      </c>
      <c r="H28" s="36"/>
      <c r="I28" s="47">
        <f>ROUND(I24*I26,2)</f>
        <v>416.67</v>
      </c>
      <c r="J28" s="36"/>
      <c r="K28" s="37">
        <f>F28+I28</f>
        <v>4305.5599999999995</v>
      </c>
      <c r="L28" s="36"/>
      <c r="M28" s="47">
        <f>ROUND(M24*M26,2)-0.01</f>
        <v>4166.66</v>
      </c>
      <c r="N28" s="36"/>
      <c r="O28" s="47">
        <f>ROUND(O24*O26,2)</f>
        <v>277.77999999999997</v>
      </c>
      <c r="P28" s="36"/>
      <c r="Q28" s="40">
        <f>I28+M28+O28</f>
        <v>4861.1099999999997</v>
      </c>
      <c r="R28" s="36"/>
      <c r="S28" s="47">
        <f>S24*S26</f>
        <v>4027.7777777777778</v>
      </c>
      <c r="T28" s="36"/>
      <c r="U28" s="40">
        <f>S28+O28</f>
        <v>4305.557777777778</v>
      </c>
      <c r="V28" s="36"/>
      <c r="W28" s="47">
        <f>W24*W26</f>
        <v>833.33333333333326</v>
      </c>
      <c r="X28" s="36"/>
      <c r="Y28" s="40">
        <f>P28+S28+W28</f>
        <v>4861.1111111111113</v>
      </c>
      <c r="Z28" s="36"/>
      <c r="AA28" s="47">
        <f>AA24*AA26</f>
        <v>3333.333333333333</v>
      </c>
      <c r="AB28" s="36"/>
      <c r="AC28" s="40">
        <f>AA28+W28</f>
        <v>4166.6666666666661</v>
      </c>
      <c r="AD28" s="36"/>
      <c r="AE28" s="47">
        <f>AE24*AE26</f>
        <v>1527.7777777777778</v>
      </c>
      <c r="AF28" s="36"/>
      <c r="AG28" s="40">
        <f>X28+AA28+AE28</f>
        <v>4861.1111111111113</v>
      </c>
      <c r="AH28" s="36"/>
      <c r="AI28" s="47">
        <f>AI24*AI26</f>
        <v>2777.7777777777778</v>
      </c>
      <c r="AK28" s="40">
        <f>AI28+AE28</f>
        <v>4305.5555555555557</v>
      </c>
      <c r="AM28" s="47">
        <f>AM24*AM26</f>
        <v>2083.3333333333335</v>
      </c>
      <c r="AO28" s="40">
        <f>AF28+AI28+AM28</f>
        <v>4861.1111111111113</v>
      </c>
      <c r="AP28" s="26"/>
    </row>
    <row r="29" spans="2:42" ht="13.5" thickTop="1" x14ac:dyDescent="0.2">
      <c r="D29" s="36"/>
      <c r="E29" s="36"/>
      <c r="F29" s="37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K29" s="36"/>
      <c r="AM29" s="36"/>
      <c r="AO29" s="36"/>
      <c r="AP29" s="26"/>
    </row>
    <row r="30" spans="2:42" x14ac:dyDescent="0.2"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K30" s="36"/>
      <c r="AM30" s="36"/>
      <c r="AO30" s="36"/>
      <c r="AP30" s="26"/>
    </row>
    <row r="31" spans="2:42" ht="13.5" thickBot="1" x14ac:dyDescent="0.25">
      <c r="B31" s="38" t="s">
        <v>250</v>
      </c>
      <c r="D31" s="39">
        <f>D20+D28</f>
        <v>15166.66</v>
      </c>
      <c r="E31" s="36"/>
      <c r="F31" s="39">
        <f>F20+F28</f>
        <v>60666.67</v>
      </c>
      <c r="G31" s="39">
        <f>G20+G28</f>
        <v>75833.33</v>
      </c>
      <c r="H31" s="36"/>
      <c r="I31" s="39">
        <f>ROUND(I20+I28,2)</f>
        <v>7083.34</v>
      </c>
      <c r="J31" s="36"/>
      <c r="K31" s="39">
        <f>K20+K28</f>
        <v>67750.009999999995</v>
      </c>
      <c r="L31" s="36"/>
      <c r="M31" s="39">
        <f>ROUND(M20+M28,2)</f>
        <v>70833.33</v>
      </c>
      <c r="N31" s="36"/>
      <c r="O31" s="39">
        <f>ROUND(O20+O28,2)</f>
        <v>4722.22</v>
      </c>
      <c r="P31" s="36"/>
      <c r="Q31" s="40">
        <f>Q20+Q28</f>
        <v>82638.89</v>
      </c>
      <c r="R31" s="36"/>
      <c r="S31" s="39">
        <f>S20+S28</f>
        <v>71694.444444444453</v>
      </c>
      <c r="T31" s="36"/>
      <c r="U31" s="40">
        <f>U20+U28</f>
        <v>76416.664444444454</v>
      </c>
      <c r="V31" s="36"/>
      <c r="W31" s="39">
        <f>W20+W28</f>
        <v>14833.333333333334</v>
      </c>
      <c r="X31" s="36"/>
      <c r="Y31" s="40">
        <f>Y20+Y28</f>
        <v>86527.777777777781</v>
      </c>
      <c r="Z31" s="36"/>
      <c r="AA31" s="39">
        <f>AA20+AA28</f>
        <v>58000.000000000007</v>
      </c>
      <c r="AB31" s="36"/>
      <c r="AC31" s="40">
        <f>AC20+AC28</f>
        <v>72833.333333333343</v>
      </c>
      <c r="AD31" s="36"/>
      <c r="AE31" s="39">
        <f>AE20+AE28</f>
        <v>26583.333333333332</v>
      </c>
      <c r="AF31" s="36"/>
      <c r="AG31" s="40">
        <f>AG20+AG28</f>
        <v>84583.333333333328</v>
      </c>
      <c r="AH31" s="36"/>
      <c r="AI31" s="39">
        <f>AI20+AI28</f>
        <v>50333.333333333336</v>
      </c>
      <c r="AK31" s="40">
        <f>AK20+AK28</f>
        <v>76916.656666666677</v>
      </c>
      <c r="AM31" s="39">
        <f>AM20+AM28</f>
        <v>37750</v>
      </c>
      <c r="AO31" s="40">
        <f>AO20+AO28</f>
        <v>88083.333333333328</v>
      </c>
      <c r="AP31" s="58">
        <f>D31+F31+I31+M31+O31+S31+W31+AA31+AE31+AI31</f>
        <v>379916.66444444447</v>
      </c>
    </row>
    <row r="32" spans="2:42" ht="13.5" thickTop="1" x14ac:dyDescent="0.2">
      <c r="B32" s="32"/>
      <c r="D32" s="41"/>
      <c r="E32" s="36"/>
      <c r="F32" s="41"/>
      <c r="G32" s="41"/>
      <c r="H32" s="36"/>
      <c r="I32" s="41"/>
      <c r="J32" s="36"/>
      <c r="K32" s="36"/>
      <c r="L32" s="36"/>
      <c r="M32" s="36"/>
      <c r="N32" s="36"/>
      <c r="O32" s="36"/>
      <c r="P32" s="36"/>
      <c r="Q32" s="41"/>
      <c r="R32" s="36"/>
      <c r="T32" s="36"/>
      <c r="V32" s="36"/>
      <c r="X32" s="36"/>
      <c r="Y32" s="36"/>
      <c r="Z32" s="36"/>
      <c r="AB32" s="36"/>
      <c r="AD32" s="36"/>
      <c r="AF32" s="36"/>
      <c r="AG32" s="36"/>
      <c r="AH32" s="36"/>
    </row>
    <row r="33" spans="2:34" x14ac:dyDescent="0.2">
      <c r="B33" s="42"/>
      <c r="D33" s="43"/>
      <c r="E33" s="36"/>
      <c r="F33" s="43"/>
      <c r="G33" s="43">
        <f>G31-75833.33</f>
        <v>0</v>
      </c>
      <c r="H33" s="36"/>
      <c r="I33" s="36"/>
      <c r="J33" s="36"/>
      <c r="K33" s="36"/>
      <c r="M33" s="36"/>
      <c r="N33" s="36"/>
      <c r="O33" s="36"/>
      <c r="P33" s="36"/>
      <c r="Q33" s="36"/>
      <c r="R33" s="36"/>
      <c r="T33" s="36"/>
      <c r="U33" s="36"/>
      <c r="W33" s="36"/>
      <c r="X33" s="36"/>
      <c r="Y33" s="36"/>
      <c r="AA33" s="36"/>
      <c r="AB33" s="36"/>
      <c r="AC33" s="36"/>
      <c r="AE33" s="36"/>
    </row>
    <row r="34" spans="2:34" x14ac:dyDescent="0.2">
      <c r="D34" s="36"/>
      <c r="E34" s="36"/>
      <c r="F34" s="36"/>
      <c r="G34" s="36"/>
      <c r="H34" s="36"/>
      <c r="I34" s="36"/>
      <c r="J34" s="36"/>
      <c r="K34" s="36"/>
      <c r="M34" s="36"/>
      <c r="N34" s="36"/>
      <c r="O34" s="36"/>
      <c r="P34" s="36"/>
      <c r="Q34" s="36"/>
      <c r="R34" s="36"/>
      <c r="T34" s="36"/>
      <c r="U34" s="36"/>
      <c r="W34" s="36"/>
      <c r="X34" s="36"/>
      <c r="Y34" s="36"/>
      <c r="AA34" s="36"/>
      <c r="AC34" s="36"/>
      <c r="AE34" s="36"/>
    </row>
    <row r="35" spans="2:34" x14ac:dyDescent="0.2"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T35" s="36"/>
      <c r="U35" s="36"/>
      <c r="W35" s="36"/>
      <c r="X35" s="36"/>
      <c r="Y35" s="36"/>
      <c r="AA35" s="36"/>
      <c r="AC35" s="36"/>
      <c r="AE35" s="36"/>
    </row>
    <row r="36" spans="2:34" x14ac:dyDescent="0.2">
      <c r="B36" s="32"/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T36" s="36"/>
      <c r="U36" s="36"/>
      <c r="W36" s="36"/>
      <c r="X36" s="36"/>
      <c r="Y36" s="36"/>
      <c r="AA36" s="36"/>
      <c r="AB36" s="36"/>
      <c r="AC36" s="36"/>
      <c r="AE36" s="36"/>
      <c r="AF36" s="35"/>
    </row>
    <row r="37" spans="2:34" x14ac:dyDescent="0.2">
      <c r="B37" s="32"/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T37" s="36"/>
      <c r="U37" s="36"/>
      <c r="W37" s="36"/>
      <c r="X37" s="36"/>
      <c r="Y37" s="36"/>
      <c r="AA37" s="36"/>
      <c r="AB37" s="36"/>
      <c r="AC37" s="36"/>
      <c r="AE37" s="36"/>
      <c r="AF37" s="36"/>
    </row>
    <row r="38" spans="2:34" x14ac:dyDescent="0.2">
      <c r="B38" s="32"/>
    </row>
    <row r="39" spans="2:34" x14ac:dyDescent="0.2">
      <c r="B39" s="32"/>
      <c r="AG39" s="35"/>
      <c r="AH39" s="35"/>
    </row>
    <row r="40" spans="2:34" x14ac:dyDescent="0.2">
      <c r="B40" s="32"/>
      <c r="D40" s="46"/>
      <c r="I40" s="46"/>
      <c r="K40" s="46"/>
      <c r="L40" s="46"/>
    </row>
    <row r="41" spans="2:34" x14ac:dyDescent="0.2">
      <c r="B41" s="32"/>
      <c r="D41" s="46"/>
    </row>
    <row r="42" spans="2:34" x14ac:dyDescent="0.2">
      <c r="B42" s="32"/>
      <c r="D42" s="46"/>
    </row>
    <row r="43" spans="2:34" x14ac:dyDescent="0.2">
      <c r="B43" s="32"/>
      <c r="D43" s="46"/>
    </row>
    <row r="44" spans="2:34" x14ac:dyDescent="0.2">
      <c r="B44" s="32"/>
      <c r="D44" s="46"/>
    </row>
    <row r="45" spans="2:34" x14ac:dyDescent="0.2">
      <c r="B45" s="32"/>
      <c r="D45" s="46"/>
    </row>
    <row r="46" spans="2:34" x14ac:dyDescent="0.2">
      <c r="B46" s="32"/>
      <c r="D46" s="48"/>
    </row>
    <row r="48" spans="2:34" x14ac:dyDescent="0.2">
      <c r="B48" s="32"/>
      <c r="D48" s="49"/>
    </row>
    <row r="50" spans="2:4" x14ac:dyDescent="0.2">
      <c r="B50" s="32"/>
      <c r="D50" s="30"/>
    </row>
    <row r="51" spans="2:4" x14ac:dyDescent="0.2">
      <c r="B51" s="32"/>
    </row>
    <row r="52" spans="2:4" x14ac:dyDescent="0.2">
      <c r="B52" s="32"/>
      <c r="D52" s="46"/>
    </row>
    <row r="53" spans="2:4" x14ac:dyDescent="0.2">
      <c r="B53" s="32"/>
      <c r="D53" s="46"/>
    </row>
    <row r="54" spans="2:4" x14ac:dyDescent="0.2">
      <c r="B54" s="32"/>
    </row>
    <row r="55" spans="2:4" x14ac:dyDescent="0.2">
      <c r="D55" s="50"/>
    </row>
    <row r="57" spans="2:4" x14ac:dyDescent="0.2">
      <c r="B57" s="32"/>
    </row>
  </sheetData>
  <mergeCells count="4">
    <mergeCell ref="B1:AP1"/>
    <mergeCell ref="B2:AP2"/>
    <mergeCell ref="B3:AP3"/>
    <mergeCell ref="B4:AP4"/>
  </mergeCells>
  <phoneticPr fontId="5" type="noConversion"/>
  <pageMargins left="0.75" right="0.75" top="1" bottom="1" header="0.5" footer="0.5"/>
  <pageSetup scale="50" orientation="landscape" r:id="rId1"/>
  <headerFooter alignWithMargins="0"/>
  <customProperties>
    <customPr name="_pios_id" r:id="rId2"/>
    <customPr name="EpmWorksheetKeyString_GUID" r:id="rId3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BZ63"/>
  <sheetViews>
    <sheetView zoomScale="80" zoomScaleNormal="80" workbookViewId="0">
      <selection activeCell="AM58" sqref="AM58"/>
    </sheetView>
  </sheetViews>
  <sheetFormatPr defaultRowHeight="12.75" x14ac:dyDescent="0.2"/>
  <cols>
    <col min="1" max="1" width="2.7109375" customWidth="1"/>
    <col min="2" max="2" width="28.5703125" bestFit="1" customWidth="1"/>
    <col min="3" max="3" width="2.7109375" customWidth="1"/>
    <col min="4" max="4" width="15.140625" bestFit="1" customWidth="1"/>
    <col min="5" max="5" width="2.7109375" customWidth="1"/>
    <col min="6" max="6" width="15.140625" bestFit="1" customWidth="1"/>
    <col min="7" max="7" width="2.7109375" customWidth="1"/>
    <col min="8" max="8" width="15.140625" bestFit="1" customWidth="1"/>
    <col min="9" max="9" width="2.7109375" customWidth="1"/>
    <col min="10" max="10" width="15.140625" bestFit="1" customWidth="1"/>
    <col min="11" max="11" width="2.7109375" customWidth="1"/>
    <col min="12" max="12" width="15.140625" bestFit="1" customWidth="1"/>
    <col min="13" max="13" width="2.7109375" hidden="1" customWidth="1"/>
    <col min="14" max="14" width="14" hidden="1" customWidth="1"/>
    <col min="15" max="15" width="2.7109375" customWidth="1"/>
    <col min="16" max="16" width="15.140625" bestFit="1" customWidth="1"/>
    <col min="17" max="17" width="2.7109375" hidden="1" customWidth="1"/>
    <col min="18" max="18" width="14" hidden="1" customWidth="1"/>
    <col min="19" max="19" width="2.7109375" customWidth="1"/>
    <col min="20" max="20" width="15.140625" bestFit="1" customWidth="1"/>
    <col min="21" max="21" width="2.7109375" customWidth="1"/>
    <col min="22" max="22" width="15.140625" bestFit="1" customWidth="1"/>
    <col min="23" max="23" width="2.7109375" customWidth="1"/>
    <col min="24" max="24" width="15.140625" bestFit="1" customWidth="1"/>
    <col min="25" max="25" width="2.7109375" customWidth="1"/>
    <col min="26" max="26" width="15.140625" bestFit="1" customWidth="1"/>
    <col min="27" max="27" width="2.7109375" hidden="1" customWidth="1"/>
    <col min="28" max="28" width="14" hidden="1" customWidth="1"/>
    <col min="29" max="29" width="2.7109375" customWidth="1"/>
    <col min="30" max="30" width="15.140625" bestFit="1" customWidth="1"/>
    <col min="31" max="31" width="2.7109375" hidden="1" customWidth="1"/>
    <col min="32" max="32" width="11.85546875" hidden="1" customWidth="1"/>
    <col min="33" max="33" width="3.140625" customWidth="1"/>
    <col min="34" max="34" width="15.140625" bestFit="1" customWidth="1"/>
    <col min="35" max="35" width="2.7109375" customWidth="1"/>
    <col min="36" max="36" width="15.140625" bestFit="1" customWidth="1"/>
    <col min="37" max="37" width="2.7109375" customWidth="1"/>
    <col min="38" max="38" width="15.140625" bestFit="1" customWidth="1"/>
    <col min="39" max="39" width="2.7109375" customWidth="1"/>
    <col min="40" max="40" width="14.5703125" hidden="1" customWidth="1"/>
    <col min="41" max="41" width="2.7109375" hidden="1" customWidth="1"/>
    <col min="42" max="42" width="15.7109375" hidden="1" customWidth="1"/>
    <col min="43" max="43" width="2.7109375" hidden="1" customWidth="1"/>
    <col min="44" max="44" width="14.85546875" hidden="1" customWidth="1"/>
    <col min="45" max="45" width="2.7109375" hidden="1" customWidth="1"/>
    <col min="46" max="46" width="15.140625" hidden="1" customWidth="1"/>
    <col min="47" max="47" width="2.7109375" hidden="1" customWidth="1"/>
    <col min="48" max="48" width="12.42578125" hidden="1" customWidth="1"/>
    <col min="49" max="49" width="2.42578125" hidden="1" customWidth="1"/>
    <col min="50" max="50" width="15.85546875" hidden="1" customWidth="1"/>
    <col min="51" max="51" width="2.140625" hidden="1" customWidth="1"/>
    <col min="52" max="52" width="16.85546875" hidden="1" customWidth="1"/>
    <col min="53" max="53" width="2.42578125" hidden="1" customWidth="1"/>
    <col min="54" max="54" width="14.5703125" hidden="1" customWidth="1"/>
    <col min="55" max="55" width="2.7109375" hidden="1" customWidth="1"/>
    <col min="56" max="56" width="15" hidden="1" customWidth="1"/>
    <col min="57" max="57" width="1.7109375" hidden="1" customWidth="1"/>
    <col min="58" max="58" width="12.140625" hidden="1" customWidth="1"/>
    <col min="59" max="59" width="2.42578125" hidden="1" customWidth="1"/>
    <col min="60" max="60" width="14.5703125" hidden="1" customWidth="1"/>
    <col min="61" max="61" width="2.7109375" hidden="1" customWidth="1"/>
    <col min="62" max="62" width="15.5703125" hidden="1" customWidth="1"/>
    <col min="63" max="63" width="5.42578125" hidden="1" customWidth="1"/>
    <col min="64" max="64" width="16" hidden="1" customWidth="1"/>
    <col min="65" max="65" width="3.42578125" hidden="1" customWidth="1"/>
    <col min="66" max="66" width="15.28515625" hidden="1" customWidth="1"/>
    <col min="67" max="67" width="3.5703125" hidden="1" customWidth="1"/>
    <col min="68" max="68" width="16.28515625" hidden="1" customWidth="1"/>
    <col min="69" max="69" width="3.28515625" hidden="1" customWidth="1"/>
    <col min="70" max="70" width="16.140625" hidden="1" customWidth="1"/>
    <col min="71" max="71" width="2.5703125" hidden="1" customWidth="1"/>
    <col min="72" max="72" width="12" hidden="1" customWidth="1"/>
    <col min="73" max="73" width="3" hidden="1" customWidth="1"/>
    <col min="74" max="74" width="14.5703125" hidden="1" customWidth="1"/>
    <col min="75" max="75" width="3" hidden="1" customWidth="1"/>
    <col min="76" max="76" width="16.5703125" hidden="1" customWidth="1"/>
    <col min="77" max="77" width="2.7109375" hidden="1" customWidth="1"/>
    <col min="78" max="78" width="15.140625" hidden="1" customWidth="1"/>
    <col min="79" max="79" width="0" hidden="1" customWidth="1"/>
  </cols>
  <sheetData>
    <row r="1" spans="1:78" ht="18" x14ac:dyDescent="0.25">
      <c r="A1" s="51"/>
      <c r="B1" s="403" t="s">
        <v>4326</v>
      </c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  <c r="Q1" s="403"/>
      <c r="R1" s="403"/>
      <c r="S1" s="403"/>
      <c r="T1" s="403"/>
      <c r="U1" s="403"/>
      <c r="V1" s="403"/>
      <c r="W1" s="403"/>
      <c r="X1" s="403"/>
      <c r="Y1" s="403"/>
      <c r="Z1" s="403"/>
      <c r="AA1" s="403"/>
      <c r="AB1" s="403"/>
      <c r="AC1" s="403"/>
      <c r="AD1" s="403"/>
      <c r="AE1" s="403"/>
      <c r="AF1" s="403"/>
      <c r="AG1" s="403"/>
      <c r="AH1" s="403"/>
      <c r="AI1" s="403"/>
      <c r="AJ1" s="403"/>
      <c r="AK1" s="403"/>
      <c r="AL1" s="403"/>
      <c r="AM1" s="403"/>
      <c r="AN1" s="403"/>
      <c r="AO1" s="403"/>
      <c r="AP1" s="403"/>
      <c r="AQ1" s="403"/>
      <c r="AR1" s="403"/>
      <c r="AS1" s="403"/>
      <c r="AT1" s="403"/>
      <c r="AU1" s="403"/>
      <c r="AV1" s="403"/>
      <c r="AW1" s="403"/>
      <c r="AX1" s="403"/>
      <c r="AY1" s="403"/>
      <c r="AZ1" s="403"/>
      <c r="BA1" s="403"/>
      <c r="BB1" s="403"/>
      <c r="BC1" s="403"/>
      <c r="BD1" s="403"/>
      <c r="BE1" s="403"/>
      <c r="BF1" s="403"/>
      <c r="BG1" s="403"/>
      <c r="BH1" s="403"/>
      <c r="BI1" s="403"/>
      <c r="BJ1" s="403"/>
      <c r="BK1" s="403"/>
      <c r="BL1" s="403"/>
      <c r="BM1" s="403"/>
      <c r="BN1" s="403"/>
      <c r="BO1" s="403"/>
      <c r="BP1" s="403"/>
      <c r="BQ1" s="403"/>
      <c r="BR1" s="403"/>
      <c r="BS1" s="405"/>
      <c r="BT1" s="405"/>
      <c r="BU1" s="405"/>
      <c r="BV1" s="405"/>
      <c r="BW1" s="405"/>
      <c r="BX1" s="405"/>
      <c r="BY1" s="405"/>
      <c r="BZ1" s="405"/>
    </row>
    <row r="2" spans="1:78" ht="18" x14ac:dyDescent="0.25">
      <c r="A2" s="51"/>
      <c r="B2" s="403" t="s">
        <v>2963</v>
      </c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403"/>
      <c r="R2" s="403"/>
      <c r="S2" s="403"/>
      <c r="T2" s="403"/>
      <c r="U2" s="403"/>
      <c r="V2" s="403"/>
      <c r="W2" s="403"/>
      <c r="X2" s="403"/>
      <c r="Y2" s="403"/>
      <c r="Z2" s="403"/>
      <c r="AA2" s="403"/>
      <c r="AB2" s="403"/>
      <c r="AC2" s="403"/>
      <c r="AD2" s="403"/>
      <c r="AE2" s="403"/>
      <c r="AF2" s="403"/>
      <c r="AG2" s="403"/>
      <c r="AH2" s="403"/>
      <c r="AI2" s="403"/>
      <c r="AJ2" s="403"/>
      <c r="AK2" s="403"/>
      <c r="AL2" s="403"/>
      <c r="AM2" s="403"/>
      <c r="AN2" s="403"/>
      <c r="AO2" s="403"/>
      <c r="AP2" s="403"/>
      <c r="AQ2" s="403"/>
      <c r="AR2" s="403"/>
      <c r="AS2" s="403"/>
      <c r="AT2" s="403"/>
      <c r="AU2" s="403"/>
      <c r="AV2" s="403"/>
      <c r="AW2" s="403"/>
      <c r="AX2" s="403"/>
      <c r="AY2" s="403"/>
      <c r="AZ2" s="403"/>
      <c r="BA2" s="403"/>
      <c r="BB2" s="403"/>
      <c r="BC2" s="403"/>
      <c r="BD2" s="403"/>
      <c r="BE2" s="403"/>
      <c r="BF2" s="403"/>
      <c r="BG2" s="403"/>
      <c r="BH2" s="403"/>
      <c r="BI2" s="403"/>
      <c r="BJ2" s="403"/>
      <c r="BK2" s="403"/>
      <c r="BL2" s="403"/>
      <c r="BM2" s="403"/>
      <c r="BN2" s="403"/>
      <c r="BO2" s="403"/>
      <c r="BP2" s="403"/>
      <c r="BQ2" s="403"/>
      <c r="BR2" s="403"/>
      <c r="BS2" s="405"/>
      <c r="BT2" s="405"/>
      <c r="BU2" s="405"/>
      <c r="BV2" s="405"/>
      <c r="BW2" s="405"/>
      <c r="BX2" s="405"/>
      <c r="BY2" s="405"/>
      <c r="BZ2" s="405"/>
    </row>
    <row r="3" spans="1:78" ht="18" x14ac:dyDescent="0.25">
      <c r="A3" s="52" t="s">
        <v>251</v>
      </c>
      <c r="B3" s="403" t="s">
        <v>3506</v>
      </c>
      <c r="C3" s="403"/>
      <c r="D3" s="403"/>
      <c r="E3" s="403"/>
      <c r="F3" s="403"/>
      <c r="G3" s="403"/>
      <c r="H3" s="403"/>
      <c r="I3" s="403"/>
      <c r="J3" s="403"/>
      <c r="K3" s="403"/>
      <c r="L3" s="403"/>
      <c r="M3" s="403"/>
      <c r="N3" s="403"/>
      <c r="O3" s="403"/>
      <c r="P3" s="403"/>
      <c r="Q3" s="403"/>
      <c r="R3" s="403"/>
      <c r="S3" s="403"/>
      <c r="T3" s="403"/>
      <c r="U3" s="403"/>
      <c r="V3" s="403"/>
      <c r="W3" s="403"/>
      <c r="X3" s="403"/>
      <c r="Y3" s="403"/>
      <c r="Z3" s="403"/>
      <c r="AA3" s="403"/>
      <c r="AB3" s="403"/>
      <c r="AC3" s="403"/>
      <c r="AD3" s="403"/>
      <c r="AE3" s="403"/>
      <c r="AF3" s="403"/>
      <c r="AG3" s="403"/>
      <c r="AH3" s="403"/>
      <c r="AI3" s="403"/>
      <c r="AJ3" s="403"/>
      <c r="AK3" s="403"/>
      <c r="AL3" s="403"/>
      <c r="AM3" s="403"/>
      <c r="AN3" s="403"/>
      <c r="AO3" s="403"/>
      <c r="AP3" s="403"/>
      <c r="AQ3" s="403"/>
      <c r="AR3" s="403"/>
      <c r="AS3" s="403"/>
      <c r="AT3" s="403"/>
      <c r="AU3" s="403"/>
      <c r="AV3" s="403"/>
      <c r="AW3" s="403"/>
      <c r="AX3" s="403"/>
      <c r="AY3" s="403"/>
      <c r="AZ3" s="403"/>
      <c r="BA3" s="403"/>
      <c r="BB3" s="403"/>
      <c r="BC3" s="403"/>
      <c r="BD3" s="403"/>
      <c r="BE3" s="403"/>
      <c r="BF3" s="403"/>
      <c r="BG3" s="403"/>
      <c r="BH3" s="403"/>
      <c r="BI3" s="403"/>
      <c r="BJ3" s="403"/>
      <c r="BK3" s="403"/>
      <c r="BL3" s="403"/>
      <c r="BM3" s="403"/>
      <c r="BN3" s="403"/>
      <c r="BO3" s="403"/>
      <c r="BP3" s="403"/>
      <c r="BQ3" s="403"/>
      <c r="BR3" s="403"/>
      <c r="BS3" s="405"/>
      <c r="BT3" s="405"/>
      <c r="BU3" s="405"/>
      <c r="BV3" s="405"/>
      <c r="BW3" s="405"/>
      <c r="BX3" s="405"/>
      <c r="BY3" s="405"/>
      <c r="BZ3" s="405"/>
    </row>
    <row r="4" spans="1:78" ht="18" x14ac:dyDescent="0.25">
      <c r="A4" s="52"/>
      <c r="B4" s="403" t="s">
        <v>5257</v>
      </c>
      <c r="C4" s="403"/>
      <c r="D4" s="403"/>
      <c r="E4" s="403"/>
      <c r="F4" s="403"/>
      <c r="G4" s="403"/>
      <c r="H4" s="403"/>
      <c r="I4" s="403"/>
      <c r="J4" s="403"/>
      <c r="K4" s="403"/>
      <c r="L4" s="403"/>
      <c r="M4" s="403"/>
      <c r="N4" s="403"/>
      <c r="O4" s="403"/>
      <c r="P4" s="403"/>
      <c r="Q4" s="403"/>
      <c r="R4" s="403"/>
      <c r="S4" s="403"/>
      <c r="T4" s="403"/>
      <c r="U4" s="403"/>
      <c r="V4" s="403"/>
      <c r="W4" s="403"/>
      <c r="X4" s="403"/>
      <c r="Y4" s="403"/>
      <c r="Z4" s="403"/>
      <c r="AA4" s="403"/>
      <c r="AB4" s="403"/>
      <c r="AC4" s="403"/>
      <c r="AD4" s="403"/>
      <c r="AE4" s="403"/>
      <c r="AF4" s="403"/>
      <c r="AG4" s="403"/>
      <c r="AH4" s="403"/>
      <c r="AI4" s="403"/>
      <c r="AJ4" s="403"/>
      <c r="AK4" s="403"/>
      <c r="AL4" s="403"/>
      <c r="AM4" s="403"/>
      <c r="AN4" s="403"/>
      <c r="AO4" s="403"/>
      <c r="AP4" s="403"/>
      <c r="AQ4" s="403"/>
      <c r="AR4" s="403"/>
      <c r="AS4" s="403"/>
      <c r="AT4" s="403"/>
      <c r="AU4" s="403"/>
      <c r="AV4" s="403"/>
      <c r="AW4" s="403"/>
      <c r="AX4" s="403"/>
      <c r="AY4" s="403"/>
      <c r="AZ4" s="403"/>
      <c r="BA4" s="403"/>
      <c r="BB4" s="403"/>
      <c r="BC4" s="403"/>
      <c r="BD4" s="403"/>
      <c r="BE4" s="403"/>
      <c r="BF4" s="403"/>
      <c r="BG4" s="403"/>
      <c r="BH4" s="403"/>
      <c r="BI4" s="403"/>
      <c r="BJ4" s="403"/>
      <c r="BK4" s="403"/>
      <c r="BL4" s="403"/>
      <c r="BM4" s="403"/>
      <c r="BN4" s="403"/>
      <c r="BO4" s="403"/>
      <c r="BP4" s="403"/>
      <c r="BQ4" s="403"/>
      <c r="BR4" s="403"/>
      <c r="BS4" s="405"/>
      <c r="BT4" s="405"/>
      <c r="BU4" s="405"/>
      <c r="BV4" s="405"/>
      <c r="BW4" s="405"/>
      <c r="BX4" s="405"/>
      <c r="BY4" s="405"/>
      <c r="BZ4" s="405"/>
    </row>
    <row r="5" spans="1:78" ht="18" x14ac:dyDescent="0.25">
      <c r="A5" s="52"/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1"/>
      <c r="BT5" s="51"/>
      <c r="BU5" s="51"/>
      <c r="BV5" s="51"/>
      <c r="BW5" s="51"/>
      <c r="BX5" s="51"/>
      <c r="BY5" s="51"/>
      <c r="BZ5" s="51"/>
    </row>
    <row r="6" spans="1:78" x14ac:dyDescent="0.2"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</row>
    <row r="7" spans="1:78" x14ac:dyDescent="0.2">
      <c r="J7" s="27"/>
      <c r="N7" s="27" t="s">
        <v>252</v>
      </c>
      <c r="R7" s="31" t="s">
        <v>253</v>
      </c>
      <c r="AB7" s="27" t="s">
        <v>254</v>
      </c>
      <c r="AF7" s="53" t="s">
        <v>255</v>
      </c>
      <c r="AR7" s="27" t="s">
        <v>5258</v>
      </c>
      <c r="AS7" s="27"/>
      <c r="AV7" s="53" t="s">
        <v>256</v>
      </c>
      <c r="BF7" s="27" t="s">
        <v>5259</v>
      </c>
      <c r="BJ7" s="53" t="s">
        <v>257</v>
      </c>
      <c r="BT7" s="27" t="s">
        <v>229</v>
      </c>
      <c r="BX7" s="53" t="s">
        <v>258</v>
      </c>
    </row>
    <row r="8" spans="1:78" x14ac:dyDescent="0.2">
      <c r="D8" s="31" t="s">
        <v>259</v>
      </c>
      <c r="F8" s="31" t="s">
        <v>2942</v>
      </c>
      <c r="H8" s="31" t="s">
        <v>2943</v>
      </c>
      <c r="J8" s="31" t="s">
        <v>2944</v>
      </c>
      <c r="L8" s="31" t="s">
        <v>233</v>
      </c>
      <c r="N8" s="31" t="s">
        <v>232</v>
      </c>
      <c r="P8" s="31" t="s">
        <v>253</v>
      </c>
      <c r="R8" s="31" t="s">
        <v>232</v>
      </c>
      <c r="T8" s="31" t="s">
        <v>2945</v>
      </c>
      <c r="V8" s="31" t="s">
        <v>2946</v>
      </c>
      <c r="X8" s="31" t="s">
        <v>2947</v>
      </c>
      <c r="Z8" s="31" t="s">
        <v>2948</v>
      </c>
      <c r="AB8" s="31" t="s">
        <v>232</v>
      </c>
      <c r="AD8" s="31" t="s">
        <v>235</v>
      </c>
      <c r="AF8" s="31" t="s">
        <v>232</v>
      </c>
      <c r="AH8" s="31" t="s">
        <v>2949</v>
      </c>
      <c r="AJ8" s="31" t="s">
        <v>2950</v>
      </c>
      <c r="AL8" s="31" t="s">
        <v>2951</v>
      </c>
      <c r="AR8" s="31" t="s">
        <v>232</v>
      </c>
      <c r="AS8" s="27"/>
      <c r="AV8" s="31" t="s">
        <v>232</v>
      </c>
      <c r="BF8" s="31" t="s">
        <v>232</v>
      </c>
      <c r="BG8" s="27"/>
      <c r="BJ8" s="31" t="s">
        <v>232</v>
      </c>
      <c r="BT8" s="31" t="s">
        <v>232</v>
      </c>
      <c r="BU8" s="27"/>
      <c r="BV8" s="31" t="s">
        <v>258</v>
      </c>
      <c r="BX8" s="31" t="s">
        <v>232</v>
      </c>
    </row>
    <row r="10" spans="1:78" x14ac:dyDescent="0.2">
      <c r="B10" s="32" t="s">
        <v>3625</v>
      </c>
      <c r="D10" s="35">
        <v>51600000</v>
      </c>
      <c r="E10" s="35"/>
      <c r="F10" s="35">
        <v>51600000</v>
      </c>
      <c r="G10" s="35"/>
      <c r="H10" s="35">
        <v>51600000</v>
      </c>
      <c r="I10" s="35"/>
      <c r="J10" s="35">
        <v>51600000</v>
      </c>
      <c r="K10" s="35"/>
      <c r="L10" s="35">
        <v>51600000</v>
      </c>
      <c r="M10" s="35"/>
      <c r="N10" s="35"/>
      <c r="O10" s="35"/>
      <c r="P10" s="35">
        <v>51600000</v>
      </c>
      <c r="Q10" s="35"/>
      <c r="R10" s="35"/>
      <c r="S10" s="35"/>
      <c r="T10" s="35">
        <v>51600000</v>
      </c>
      <c r="U10" s="35"/>
      <c r="V10" s="35">
        <v>51600000</v>
      </c>
      <c r="W10" s="35"/>
      <c r="X10" s="35">
        <v>51600000</v>
      </c>
      <c r="Y10" s="35"/>
      <c r="Z10" s="35">
        <v>51600000</v>
      </c>
      <c r="AA10" s="35"/>
      <c r="AB10" s="35"/>
      <c r="AC10" s="35"/>
      <c r="AD10" s="35">
        <v>51600000</v>
      </c>
      <c r="AF10" s="35"/>
      <c r="AG10" s="35"/>
      <c r="AH10" s="35">
        <v>51600000</v>
      </c>
      <c r="AI10" s="35"/>
      <c r="AJ10" s="35">
        <v>51600000</v>
      </c>
      <c r="AK10" s="35"/>
      <c r="AL10" s="35">
        <v>51600000</v>
      </c>
      <c r="AM10" s="35"/>
      <c r="AO10" s="35"/>
      <c r="AQ10" s="35"/>
      <c r="AR10" s="35">
        <v>51600000</v>
      </c>
      <c r="AS10" s="35"/>
      <c r="AU10" s="35"/>
      <c r="AV10" s="35"/>
      <c r="AW10" s="35"/>
      <c r="AY10" s="35"/>
      <c r="BA10" s="35"/>
      <c r="BC10" s="35"/>
      <c r="BF10" s="35"/>
      <c r="BG10" s="35"/>
      <c r="BI10" s="35"/>
      <c r="BJ10" s="35"/>
      <c r="BM10" s="35"/>
      <c r="BO10" s="35"/>
      <c r="BQ10" s="35"/>
      <c r="BT10" s="35"/>
      <c r="BU10" s="35"/>
      <c r="BV10" s="35">
        <v>51600000</v>
      </c>
      <c r="BX10" s="35"/>
    </row>
    <row r="11" spans="1:78" x14ac:dyDescent="0.2">
      <c r="B11" s="32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Q11" s="35"/>
      <c r="R11" s="35"/>
      <c r="S11" s="35"/>
      <c r="U11" s="35"/>
      <c r="W11" s="35"/>
      <c r="Y11" s="35"/>
      <c r="AA11" s="35"/>
      <c r="AB11" s="35"/>
      <c r="AC11" s="35"/>
      <c r="AE11" s="35"/>
      <c r="AF11" s="35"/>
      <c r="AG11" s="35"/>
      <c r="AI11" s="35"/>
      <c r="AK11" s="35"/>
      <c r="AM11" s="35"/>
      <c r="AO11" s="35"/>
      <c r="AQ11" s="35"/>
      <c r="AR11" s="35"/>
      <c r="AS11" s="35"/>
      <c r="AU11" s="35"/>
      <c r="AV11" s="35"/>
      <c r="AW11" s="35"/>
      <c r="AY11" s="35"/>
      <c r="BA11" s="35"/>
      <c r="BC11" s="35"/>
      <c r="BF11" s="35"/>
      <c r="BG11" s="35"/>
      <c r="BI11" s="35"/>
      <c r="BJ11" s="35"/>
      <c r="BM11" s="35"/>
      <c r="BO11" s="35"/>
      <c r="BQ11" s="35"/>
      <c r="BT11" s="35"/>
      <c r="BU11" s="35"/>
      <c r="BX11" s="35"/>
    </row>
    <row r="12" spans="1:78" x14ac:dyDescent="0.2">
      <c r="B12" s="32" t="s">
        <v>242</v>
      </c>
      <c r="D12" s="44">
        <v>3.5000000000000003E-2</v>
      </c>
      <c r="F12">
        <v>3.4200000000000001E-2</v>
      </c>
      <c r="H12">
        <v>3.7499999999999999E-2</v>
      </c>
      <c r="J12">
        <v>3.6999999999999998E-2</v>
      </c>
      <c r="L12">
        <v>3.9E-2</v>
      </c>
      <c r="P12">
        <v>3.9E-2</v>
      </c>
      <c r="T12">
        <v>3.9E-2</v>
      </c>
      <c r="V12">
        <v>3.6999999999999998E-2</v>
      </c>
      <c r="X12">
        <v>3.7499999999999999E-2</v>
      </c>
      <c r="Z12">
        <v>3.6999999999999998E-2</v>
      </c>
      <c r="AD12">
        <v>3.6999999999999998E-2</v>
      </c>
      <c r="AE12" s="35"/>
      <c r="AH12">
        <v>3.6999999999999998E-2</v>
      </c>
      <c r="AJ12">
        <v>3.6999999999999998E-2</v>
      </c>
      <c r="AL12">
        <v>3.5499999999999997E-2</v>
      </c>
      <c r="AQ12" s="35"/>
      <c r="BE12" s="35"/>
      <c r="BS12" s="35"/>
      <c r="BV12">
        <v>5.1999999999999998E-2</v>
      </c>
    </row>
    <row r="13" spans="1:78" x14ac:dyDescent="0.2">
      <c r="B13" s="32"/>
      <c r="BE13" s="35"/>
      <c r="BS13" s="35"/>
    </row>
    <row r="14" spans="1:78" x14ac:dyDescent="0.2">
      <c r="B14" s="32" t="s">
        <v>243</v>
      </c>
      <c r="D14" s="59">
        <f>D10*D12</f>
        <v>1806000.0000000002</v>
      </c>
      <c r="E14" s="59"/>
      <c r="F14" s="59">
        <f>F10*F12</f>
        <v>1764720</v>
      </c>
      <c r="G14" s="59"/>
      <c r="H14" s="59">
        <f>H10*H12</f>
        <v>1935000</v>
      </c>
      <c r="I14" s="59"/>
      <c r="J14" s="59">
        <f>J10*J12</f>
        <v>1909200</v>
      </c>
      <c r="K14" s="59"/>
      <c r="L14" s="59">
        <f>L10*L12</f>
        <v>2012400</v>
      </c>
      <c r="M14" s="59"/>
      <c r="N14" s="59"/>
      <c r="O14" s="59"/>
      <c r="P14" s="59">
        <f>P10*P12</f>
        <v>2012400</v>
      </c>
      <c r="Q14" s="59"/>
      <c r="R14" s="59"/>
      <c r="S14" s="59"/>
      <c r="T14" s="59">
        <f>T10*T12</f>
        <v>2012400</v>
      </c>
      <c r="U14" s="59"/>
      <c r="V14" s="59">
        <f>V10*V12</f>
        <v>1909200</v>
      </c>
      <c r="W14" s="59"/>
      <c r="X14" s="59">
        <f>X10*X12</f>
        <v>1935000</v>
      </c>
      <c r="Y14" s="59"/>
      <c r="Z14" s="59">
        <f>Z10*Z12</f>
        <v>1909200</v>
      </c>
      <c r="AA14" s="59"/>
      <c r="AB14" s="59"/>
      <c r="AC14" s="59"/>
      <c r="AD14" s="59">
        <f>AD10*AD12</f>
        <v>1909200</v>
      </c>
      <c r="AE14" s="60"/>
      <c r="AF14" s="59"/>
      <c r="AG14" s="59"/>
      <c r="AH14" s="59">
        <f>AH10*AH12</f>
        <v>1909200</v>
      </c>
      <c r="AI14" s="59"/>
      <c r="AJ14" s="59">
        <f>AJ10*AJ12</f>
        <v>1909200</v>
      </c>
      <c r="AK14" s="59"/>
      <c r="AL14" s="59">
        <f>AL10*AL12</f>
        <v>1831799.9999999998</v>
      </c>
      <c r="AM14" s="45"/>
      <c r="AO14" s="45"/>
      <c r="AR14" s="45"/>
      <c r="AS14" s="45"/>
      <c r="AU14" s="45"/>
      <c r="AV14" s="45"/>
      <c r="AW14" s="45"/>
      <c r="AY14" s="45"/>
      <c r="BA14" s="45"/>
      <c r="BC14" s="45"/>
      <c r="BF14" s="45"/>
      <c r="BG14" s="45"/>
      <c r="BI14" s="45"/>
      <c r="BJ14" s="45"/>
      <c r="BM14" s="45"/>
      <c r="BO14" s="45"/>
      <c r="BQ14" s="45"/>
      <c r="BT14" s="45"/>
      <c r="BU14" s="45"/>
      <c r="BV14" s="45">
        <f>BV10*BV12</f>
        <v>2683200</v>
      </c>
      <c r="BX14" s="45"/>
    </row>
    <row r="15" spans="1:78" x14ac:dyDescent="0.2">
      <c r="B15" s="32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Q15" s="45"/>
      <c r="R15" s="45"/>
      <c r="S15" s="45"/>
      <c r="U15" s="45"/>
      <c r="W15" s="45"/>
      <c r="Y15" s="45"/>
      <c r="AA15" s="45"/>
      <c r="AB15" s="45"/>
      <c r="AC15" s="45"/>
      <c r="AE15" s="45"/>
      <c r="AF15" s="45"/>
      <c r="AG15" s="45"/>
      <c r="AI15" s="45"/>
      <c r="AK15" s="45"/>
      <c r="AM15" s="45"/>
      <c r="AO15" s="45"/>
      <c r="AQ15" s="45"/>
      <c r="AR15" s="45"/>
      <c r="AS15" s="45"/>
      <c r="AU15" s="45"/>
      <c r="AV15" s="45"/>
      <c r="AW15" s="45"/>
      <c r="AY15" s="45"/>
      <c r="BA15" s="45"/>
      <c r="BC15" s="45"/>
      <c r="BF15" s="45"/>
      <c r="BG15" s="45"/>
      <c r="BI15" s="45"/>
      <c r="BJ15" s="45"/>
      <c r="BM15" s="45"/>
      <c r="BO15" s="45"/>
      <c r="BQ15" s="45"/>
      <c r="BT15" s="45"/>
      <c r="BU15" s="45"/>
      <c r="BX15" s="45"/>
    </row>
    <row r="16" spans="1:78" x14ac:dyDescent="0.2">
      <c r="B16" s="32" t="s">
        <v>244</v>
      </c>
      <c r="D16" s="46">
        <f>(D14/360)</f>
        <v>5016.666666666667</v>
      </c>
      <c r="E16" s="46"/>
      <c r="F16" s="46">
        <f>(F14/360)</f>
        <v>4902</v>
      </c>
      <c r="G16" s="46"/>
      <c r="H16" s="46">
        <f>(H14/360)</f>
        <v>5375</v>
      </c>
      <c r="I16" s="46"/>
      <c r="J16" s="46">
        <f>(J14/360)</f>
        <v>5303.333333333333</v>
      </c>
      <c r="K16" s="46"/>
      <c r="L16" s="46">
        <f>(L14/360)</f>
        <v>5590</v>
      </c>
      <c r="M16" s="46"/>
      <c r="N16" s="46"/>
      <c r="O16" s="46"/>
      <c r="P16" s="46">
        <f>(P14/360)</f>
        <v>5590</v>
      </c>
      <c r="Q16" s="46"/>
      <c r="R16" s="46"/>
      <c r="S16" s="46"/>
      <c r="T16" s="46">
        <f>T14/360</f>
        <v>5590</v>
      </c>
      <c r="U16" s="46"/>
      <c r="V16" s="46">
        <f>V14/360</f>
        <v>5303.333333333333</v>
      </c>
      <c r="W16" s="46"/>
      <c r="X16" s="46">
        <f>X14/360</f>
        <v>5375</v>
      </c>
      <c r="Y16" s="46"/>
      <c r="Z16" s="46">
        <f>Z14/360</f>
        <v>5303.333333333333</v>
      </c>
      <c r="AA16" s="46"/>
      <c r="AB16" s="46"/>
      <c r="AC16" s="46"/>
      <c r="AD16" s="46">
        <f>AD14/360</f>
        <v>5303.333333333333</v>
      </c>
      <c r="AE16" s="45"/>
      <c r="AF16" s="46"/>
      <c r="AG16" s="46"/>
      <c r="AH16" s="46">
        <f>(AH14/360)</f>
        <v>5303.333333333333</v>
      </c>
      <c r="AI16" s="46"/>
      <c r="AJ16" s="46">
        <f>(AJ14/360)</f>
        <v>5303.333333333333</v>
      </c>
      <c r="AK16" s="46"/>
      <c r="AL16" s="46">
        <f>(AL14/360)</f>
        <v>5088.333333333333</v>
      </c>
      <c r="AM16" s="46"/>
      <c r="AO16" s="46"/>
      <c r="AQ16" s="45"/>
      <c r="AR16" s="46"/>
      <c r="AS16" s="46"/>
      <c r="AU16" s="46"/>
      <c r="AV16" s="46"/>
      <c r="AW16" s="46"/>
      <c r="AY16" s="46"/>
      <c r="BA16" s="46"/>
      <c r="BC16" s="46"/>
      <c r="BE16" s="45"/>
      <c r="BF16" s="46"/>
      <c r="BG16" s="46"/>
      <c r="BI16" s="46"/>
      <c r="BJ16" s="46"/>
      <c r="BM16" s="46"/>
      <c r="BO16" s="46"/>
      <c r="BQ16" s="46"/>
      <c r="BS16" s="45"/>
      <c r="BT16" s="46"/>
      <c r="BU16" s="46"/>
      <c r="BV16" s="46">
        <f>(BV14/360)</f>
        <v>7453.333333333333</v>
      </c>
      <c r="BX16" s="46"/>
    </row>
    <row r="17" spans="2:76" x14ac:dyDescent="0.2">
      <c r="B17" s="32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Q17" s="46"/>
      <c r="R17" s="46"/>
      <c r="S17" s="46"/>
      <c r="U17" s="46"/>
      <c r="W17" s="46"/>
      <c r="Y17" s="46"/>
      <c r="AA17" s="46"/>
      <c r="AB17" s="46"/>
      <c r="AC17" s="46"/>
      <c r="AE17" s="46"/>
      <c r="AF17" s="46"/>
      <c r="AG17" s="46"/>
      <c r="AI17" s="46"/>
      <c r="AK17" s="46"/>
      <c r="AM17" s="46"/>
      <c r="AO17" s="46"/>
      <c r="AQ17" s="46"/>
      <c r="AR17" s="46"/>
      <c r="AS17" s="46"/>
      <c r="AU17" s="46"/>
      <c r="AV17" s="46"/>
      <c r="AW17" s="46"/>
      <c r="AY17" s="46"/>
      <c r="BA17" s="46"/>
      <c r="BC17" s="46"/>
      <c r="BE17" s="45"/>
      <c r="BF17" s="46"/>
      <c r="BG17" s="46"/>
      <c r="BI17" s="46"/>
      <c r="BJ17" s="46"/>
      <c r="BM17" s="46"/>
      <c r="BO17" s="46"/>
      <c r="BQ17" s="46"/>
      <c r="BS17" s="45"/>
      <c r="BT17" s="46"/>
      <c r="BU17" s="46"/>
      <c r="BX17" s="46"/>
    </row>
    <row r="18" spans="2:76" ht="13.5" thickBot="1" x14ac:dyDescent="0.25">
      <c r="B18" s="32" t="s">
        <v>245</v>
      </c>
      <c r="D18" s="30">
        <v>7</v>
      </c>
      <c r="E18" s="30"/>
      <c r="F18" s="30">
        <v>7</v>
      </c>
      <c r="G18" s="30"/>
      <c r="H18" s="30">
        <v>7</v>
      </c>
      <c r="I18" s="30"/>
      <c r="J18" s="30">
        <v>7</v>
      </c>
      <c r="K18" s="30"/>
      <c r="L18" s="30">
        <v>3</v>
      </c>
      <c r="M18" s="30"/>
      <c r="N18" s="30"/>
      <c r="O18" s="30"/>
      <c r="P18">
        <v>4</v>
      </c>
      <c r="Q18" s="30"/>
      <c r="R18" s="30"/>
      <c r="S18" s="30"/>
      <c r="T18">
        <v>7</v>
      </c>
      <c r="U18" s="30"/>
      <c r="V18">
        <v>7</v>
      </c>
      <c r="W18" s="30"/>
      <c r="X18">
        <v>7</v>
      </c>
      <c r="Y18" s="30"/>
      <c r="Z18">
        <v>5</v>
      </c>
      <c r="AA18" s="30"/>
      <c r="AB18" s="30"/>
      <c r="AC18" s="30"/>
      <c r="AD18">
        <v>2</v>
      </c>
      <c r="AE18" s="46"/>
      <c r="AF18" s="30"/>
      <c r="AG18" s="30"/>
      <c r="AH18">
        <v>7</v>
      </c>
      <c r="AI18" s="30"/>
      <c r="AJ18">
        <v>7</v>
      </c>
      <c r="AK18" s="30"/>
      <c r="AL18">
        <v>7</v>
      </c>
      <c r="AM18" s="30"/>
      <c r="AO18" s="30"/>
      <c r="AQ18" s="46"/>
      <c r="AR18" s="30"/>
      <c r="AS18" s="30"/>
      <c r="AU18" s="30"/>
      <c r="AV18" s="30"/>
      <c r="AW18" s="30"/>
      <c r="AY18" s="30"/>
      <c r="BA18" s="30"/>
      <c r="BC18" s="30"/>
      <c r="BE18" s="46"/>
      <c r="BF18" s="30"/>
      <c r="BG18" s="30"/>
      <c r="BI18" s="30"/>
      <c r="BJ18" s="30"/>
      <c r="BM18" s="30"/>
      <c r="BO18" s="30"/>
      <c r="BQ18" s="30"/>
      <c r="BS18" s="46"/>
      <c r="BT18" s="40"/>
      <c r="BU18" s="30"/>
      <c r="BV18">
        <v>1</v>
      </c>
      <c r="BX18" s="30"/>
    </row>
    <row r="19" spans="2:76" ht="13.5" thickTop="1" x14ac:dyDescent="0.2">
      <c r="B19" s="32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Q19" s="30"/>
      <c r="R19" s="30"/>
      <c r="S19" s="30"/>
      <c r="U19" s="30"/>
      <c r="W19" s="30"/>
      <c r="Y19" s="30"/>
      <c r="AA19" s="30"/>
      <c r="AB19" s="30"/>
      <c r="AC19" s="30"/>
      <c r="AE19" s="30"/>
      <c r="AF19" s="30"/>
      <c r="AG19" s="30"/>
      <c r="AI19" s="30"/>
      <c r="AK19" s="30"/>
      <c r="AM19" s="30"/>
      <c r="AO19" s="30"/>
      <c r="AQ19" s="30"/>
      <c r="AR19" s="30"/>
      <c r="AS19" s="30"/>
      <c r="AU19" s="30"/>
      <c r="AV19" s="30"/>
      <c r="AW19" s="30"/>
      <c r="AY19" s="30"/>
      <c r="BA19" s="30"/>
      <c r="BC19" s="30"/>
      <c r="BE19" s="46"/>
      <c r="BF19" s="30"/>
      <c r="BG19" s="30"/>
      <c r="BI19" s="30"/>
      <c r="BJ19" s="30"/>
      <c r="BM19" s="30"/>
      <c r="BO19" s="30"/>
      <c r="BQ19" s="30"/>
      <c r="BS19" s="46"/>
      <c r="BT19" s="30"/>
      <c r="BU19" s="30"/>
      <c r="BX19" s="30"/>
    </row>
    <row r="20" spans="2:76" ht="13.5" thickBot="1" x14ac:dyDescent="0.25">
      <c r="B20" s="32" t="s">
        <v>246</v>
      </c>
      <c r="D20" s="40">
        <f>ROUND(D16*D18,2)</f>
        <v>35116.67</v>
      </c>
      <c r="E20" s="36"/>
      <c r="F20" s="40">
        <f>F16*F18</f>
        <v>34314</v>
      </c>
      <c r="G20" s="36"/>
      <c r="H20" s="40">
        <f>H16*H18</f>
        <v>37625</v>
      </c>
      <c r="I20" s="36"/>
      <c r="J20" s="40">
        <f>ROUND(J16*J18,2)</f>
        <v>37123.33</v>
      </c>
      <c r="K20" s="36"/>
      <c r="L20" s="40">
        <f>ROUND(L16*L18,2)</f>
        <v>16770</v>
      </c>
      <c r="M20" s="36"/>
      <c r="N20" s="40">
        <f>D20+F20+H20+J20+L20</f>
        <v>160949</v>
      </c>
      <c r="O20" s="36"/>
      <c r="P20" s="40">
        <f>ROUND(P16*P18,2)</f>
        <v>22360</v>
      </c>
      <c r="Q20" s="36"/>
      <c r="R20" s="40">
        <f>P20+L20</f>
        <v>39130</v>
      </c>
      <c r="S20" s="36"/>
      <c r="T20" s="40">
        <f>ROUND(T16*T18,2)</f>
        <v>39130</v>
      </c>
      <c r="U20" s="36"/>
      <c r="V20" s="40">
        <f>ROUND(V16*V18,2)</f>
        <v>37123.33</v>
      </c>
      <c r="W20" s="36"/>
      <c r="X20" s="40">
        <f>ROUND(X16*X18,2)</f>
        <v>37625</v>
      </c>
      <c r="Y20" s="36"/>
      <c r="Z20" s="40">
        <f>ROUND(Z16*Z18,2)</f>
        <v>26516.67</v>
      </c>
      <c r="AA20" s="36"/>
      <c r="AB20" s="40">
        <f>P20+T20+V20+X20+Z20</f>
        <v>162755</v>
      </c>
      <c r="AC20" s="36"/>
      <c r="AD20" s="40">
        <f>ROUND(AD16*AD18,2)</f>
        <v>10606.67</v>
      </c>
      <c r="AE20" s="30"/>
      <c r="AF20" s="40">
        <f>AD20+Z20</f>
        <v>37123.339999999997</v>
      </c>
      <c r="AG20" s="36"/>
      <c r="AH20" s="40">
        <f>ROUND(AH16*AH18,2)</f>
        <v>37123.33</v>
      </c>
      <c r="AI20" s="36"/>
      <c r="AJ20" s="40">
        <f>ROUND(AJ16*AJ18,2)</f>
        <v>37123.33</v>
      </c>
      <c r="AK20" s="36"/>
      <c r="AL20" s="40">
        <f>ROUND(AL16*AL18,2)</f>
        <v>35618.33</v>
      </c>
      <c r="AM20" s="36"/>
      <c r="AO20" s="36"/>
      <c r="AQ20" s="30"/>
      <c r="AR20" s="40">
        <f>F47+D47+AL20+AJ20+AH20+AD20</f>
        <v>161033.56000000003</v>
      </c>
      <c r="AS20" s="37"/>
      <c r="AU20" s="36"/>
      <c r="AV20" s="40">
        <f>H47+F47</f>
        <v>34604.97</v>
      </c>
      <c r="AW20" s="36"/>
      <c r="AY20" s="36"/>
      <c r="BA20" s="36"/>
      <c r="BC20" s="36"/>
      <c r="BE20" s="30"/>
      <c r="BF20" s="40">
        <f>T47+P47+L47+J47+H47</f>
        <v>156788.03</v>
      </c>
      <c r="BG20" s="37"/>
      <c r="BI20" s="36"/>
      <c r="BJ20" s="40">
        <f>V47+T47</f>
        <v>42641.67</v>
      </c>
      <c r="BM20" s="36"/>
      <c r="BO20" s="36"/>
      <c r="BQ20" s="36"/>
      <c r="BS20" s="30"/>
      <c r="BT20" s="40">
        <f>AH47+AD47+Z47+X47+V47</f>
        <v>186476.66999999998</v>
      </c>
      <c r="BU20" s="37"/>
      <c r="BV20" s="40">
        <f>ROUND(BV16*BV18,2)</f>
        <v>7453.33</v>
      </c>
      <c r="BX20" s="40">
        <f>BV20+AH47</f>
        <v>52173.33</v>
      </c>
    </row>
    <row r="21" spans="2:76" ht="13.5" thickTop="1" x14ac:dyDescent="0.2"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I21" s="36"/>
      <c r="AK21" s="36"/>
      <c r="AM21" s="36"/>
      <c r="AO21" s="36"/>
      <c r="AQ21" s="36"/>
      <c r="AR21" s="36"/>
      <c r="AS21" s="36"/>
      <c r="AU21" s="36"/>
      <c r="AV21" s="36"/>
      <c r="AW21" s="36"/>
      <c r="AY21" s="36"/>
      <c r="BA21" s="36"/>
      <c r="BC21" s="36"/>
      <c r="BE21" s="30"/>
      <c r="BF21" s="36"/>
      <c r="BG21" s="36"/>
      <c r="BI21" s="36"/>
      <c r="BJ21" s="36"/>
      <c r="BM21" s="36"/>
      <c r="BO21" s="36"/>
      <c r="BQ21" s="36"/>
      <c r="BS21" s="30"/>
      <c r="BT21" s="36"/>
      <c r="BU21" s="36"/>
      <c r="BX21" s="36"/>
    </row>
    <row r="22" spans="2:76" x14ac:dyDescent="0.2">
      <c r="B22" s="32" t="s">
        <v>2962</v>
      </c>
      <c r="D22" s="35">
        <f>51600000*0.0025</f>
        <v>129000</v>
      </c>
      <c r="E22" s="36"/>
      <c r="F22" s="35">
        <f>51600000*0.0025</f>
        <v>129000</v>
      </c>
      <c r="G22" s="36"/>
      <c r="H22" s="35">
        <f>51600000*0.0025</f>
        <v>129000</v>
      </c>
      <c r="I22" s="36"/>
      <c r="J22" s="35">
        <f>51600000*0.0025</f>
        <v>129000</v>
      </c>
      <c r="K22" s="36"/>
      <c r="L22" s="35">
        <f>51600000*0.0025</f>
        <v>129000</v>
      </c>
      <c r="M22" s="36"/>
      <c r="N22" s="35"/>
      <c r="O22" s="36"/>
      <c r="P22" s="35">
        <f>51600000*0.0025</f>
        <v>129000</v>
      </c>
      <c r="Q22" s="36"/>
      <c r="R22" s="35"/>
      <c r="S22" s="36"/>
      <c r="T22" s="35">
        <f>51600000*0.0025</f>
        <v>129000</v>
      </c>
      <c r="U22" s="36"/>
      <c r="V22" s="35">
        <f>51600000*0.0025</f>
        <v>129000</v>
      </c>
      <c r="W22" s="36"/>
      <c r="X22" s="35">
        <f>51600000*0.0025</f>
        <v>129000</v>
      </c>
      <c r="Y22" s="36"/>
      <c r="Z22" s="35">
        <f>51600000*0.0025</f>
        <v>129000</v>
      </c>
      <c r="AA22" s="36"/>
      <c r="AB22" s="35"/>
      <c r="AC22" s="36"/>
      <c r="AD22" s="35">
        <f>51600000*0.0025</f>
        <v>129000</v>
      </c>
      <c r="AE22" s="36"/>
      <c r="AF22" s="35"/>
      <c r="AG22" s="36"/>
      <c r="AH22" s="35">
        <f>51600000*0.0025</f>
        <v>129000</v>
      </c>
      <c r="AI22" s="36"/>
      <c r="AJ22" s="35">
        <f>51600000*0.0025</f>
        <v>129000</v>
      </c>
      <c r="AK22" s="36"/>
      <c r="AL22" s="35">
        <f>51600000*0.0025</f>
        <v>129000</v>
      </c>
      <c r="AM22" s="36"/>
      <c r="AO22" s="36"/>
      <c r="AQ22" s="36"/>
      <c r="AR22" s="35"/>
      <c r="AS22" s="35"/>
      <c r="AU22" s="36"/>
      <c r="AV22" s="35"/>
      <c r="AW22" s="36"/>
      <c r="AY22" s="36"/>
      <c r="BA22" s="36"/>
      <c r="BC22" s="36"/>
      <c r="BE22" s="36"/>
      <c r="BF22" s="35"/>
      <c r="BG22" s="35"/>
      <c r="BI22" s="36"/>
      <c r="BJ22" s="35"/>
      <c r="BM22" s="36"/>
      <c r="BO22" s="36"/>
      <c r="BQ22" s="36"/>
      <c r="BS22" s="36"/>
      <c r="BT22" s="35"/>
      <c r="BU22" s="35"/>
      <c r="BV22" s="35">
        <f>51600000*0.0025</f>
        <v>129000</v>
      </c>
      <c r="BX22" s="35"/>
    </row>
    <row r="23" spans="2:76" x14ac:dyDescent="0.2">
      <c r="D23" s="35"/>
      <c r="E23" s="36"/>
      <c r="F23" s="36"/>
      <c r="G23" s="36"/>
      <c r="H23" s="35"/>
      <c r="I23" s="36"/>
      <c r="J23" s="35"/>
      <c r="K23" s="36"/>
      <c r="L23" s="35"/>
      <c r="M23" s="36"/>
      <c r="N23" s="35"/>
      <c r="O23" s="36"/>
      <c r="P23" s="35"/>
      <c r="Q23" s="36"/>
      <c r="R23" s="35"/>
      <c r="S23" s="36"/>
      <c r="T23" s="35"/>
      <c r="U23" s="36"/>
      <c r="V23" s="35"/>
      <c r="W23" s="36"/>
      <c r="X23" s="35"/>
      <c r="Y23" s="36"/>
      <c r="Z23" s="35"/>
      <c r="AA23" s="36"/>
      <c r="AB23" s="35"/>
      <c r="AC23" s="36"/>
      <c r="AD23" s="35"/>
      <c r="AE23" s="36"/>
      <c r="AF23" s="35"/>
      <c r="AG23" s="36"/>
      <c r="AH23" s="35"/>
      <c r="AI23" s="36"/>
      <c r="AJ23" s="35"/>
      <c r="AK23" s="36"/>
      <c r="AL23" s="35"/>
      <c r="AM23" s="36"/>
      <c r="AO23" s="36"/>
      <c r="AQ23" s="36"/>
      <c r="AR23" s="35"/>
      <c r="AS23" s="35"/>
      <c r="AU23" s="36"/>
      <c r="AV23" s="35"/>
      <c r="AW23" s="36"/>
      <c r="AY23" s="36"/>
      <c r="BA23" s="36"/>
      <c r="BC23" s="36"/>
      <c r="BE23" s="36"/>
      <c r="BF23" s="35"/>
      <c r="BG23" s="35"/>
      <c r="BI23" s="36"/>
      <c r="BJ23" s="35"/>
      <c r="BM23" s="36"/>
      <c r="BO23" s="36"/>
      <c r="BQ23" s="36"/>
      <c r="BS23" s="36"/>
      <c r="BT23" s="35"/>
      <c r="BU23" s="35"/>
      <c r="BV23" s="35"/>
      <c r="BX23" s="35"/>
    </row>
    <row r="24" spans="2:76" x14ac:dyDescent="0.2">
      <c r="B24" s="32" t="s">
        <v>248</v>
      </c>
      <c r="D24" s="46">
        <f>(D22/360)</f>
        <v>358.33333333333331</v>
      </c>
      <c r="E24" s="36"/>
      <c r="F24" s="46">
        <f>(F22/360)</f>
        <v>358.33333333333331</v>
      </c>
      <c r="G24" s="36"/>
      <c r="H24" s="46">
        <f>H22/360</f>
        <v>358.33333333333331</v>
      </c>
      <c r="I24" s="36"/>
      <c r="J24" s="46">
        <f>J22/360</f>
        <v>358.33333333333331</v>
      </c>
      <c r="K24" s="36"/>
      <c r="L24" s="46">
        <f>L22/360</f>
        <v>358.33333333333331</v>
      </c>
      <c r="M24" s="36"/>
      <c r="N24" s="46"/>
      <c r="O24" s="36"/>
      <c r="P24" s="46">
        <f>P22/360</f>
        <v>358.33333333333331</v>
      </c>
      <c r="Q24" s="36"/>
      <c r="R24" s="46"/>
      <c r="S24" s="36"/>
      <c r="T24" s="46">
        <f>T22/360</f>
        <v>358.33333333333331</v>
      </c>
      <c r="U24" s="36"/>
      <c r="V24" s="46">
        <f>V22/360</f>
        <v>358.33333333333331</v>
      </c>
      <c r="W24" s="36"/>
      <c r="X24" s="46">
        <f>X22/360</f>
        <v>358.33333333333331</v>
      </c>
      <c r="Y24" s="36"/>
      <c r="Z24" s="46">
        <f>Z22/360</f>
        <v>358.33333333333331</v>
      </c>
      <c r="AA24" s="36"/>
      <c r="AB24" s="46"/>
      <c r="AC24" s="36"/>
      <c r="AD24" s="46">
        <f>AD22/360</f>
        <v>358.33333333333331</v>
      </c>
      <c r="AE24" s="36"/>
      <c r="AF24" s="46"/>
      <c r="AG24" s="36"/>
      <c r="AH24" s="46">
        <f>AH22/360</f>
        <v>358.33333333333331</v>
      </c>
      <c r="AI24" s="36"/>
      <c r="AJ24" s="46">
        <f>AJ22/360</f>
        <v>358.33333333333331</v>
      </c>
      <c r="AK24" s="36"/>
      <c r="AL24" s="46">
        <f>AL22/360</f>
        <v>358.33333333333331</v>
      </c>
      <c r="AM24" s="36"/>
      <c r="AO24" s="36"/>
      <c r="AQ24" s="36"/>
      <c r="AR24" s="46"/>
      <c r="AS24" s="46"/>
      <c r="AU24" s="36"/>
      <c r="AV24" s="46"/>
      <c r="AW24" s="36"/>
      <c r="AY24" s="36"/>
      <c r="BA24" s="36"/>
      <c r="BC24" s="36"/>
      <c r="BE24" s="36"/>
      <c r="BF24" s="46"/>
      <c r="BG24" s="46"/>
      <c r="BI24" s="36"/>
      <c r="BJ24" s="46"/>
      <c r="BM24" s="36"/>
      <c r="BO24" s="36"/>
      <c r="BQ24" s="36"/>
      <c r="BS24" s="36"/>
      <c r="BT24" s="46"/>
      <c r="BU24" s="46"/>
      <c r="BV24" s="46">
        <f>BV22/360</f>
        <v>358.33333333333331</v>
      </c>
      <c r="BX24" s="46"/>
    </row>
    <row r="25" spans="2:76" x14ac:dyDescent="0.2">
      <c r="B25" s="32"/>
      <c r="D25" s="46"/>
      <c r="E25" s="36"/>
      <c r="F25" s="36"/>
      <c r="G25" s="36"/>
      <c r="H25" s="46"/>
      <c r="I25" s="36"/>
      <c r="J25" s="46"/>
      <c r="K25" s="36"/>
      <c r="L25" s="46"/>
      <c r="M25" s="36"/>
      <c r="N25" s="46"/>
      <c r="O25" s="36"/>
      <c r="P25" s="46"/>
      <c r="Q25" s="36"/>
      <c r="R25" s="46"/>
      <c r="S25" s="36"/>
      <c r="T25" s="46"/>
      <c r="U25" s="36"/>
      <c r="V25" s="46"/>
      <c r="W25" s="36"/>
      <c r="X25" s="46"/>
      <c r="Y25" s="36"/>
      <c r="Z25" s="46"/>
      <c r="AA25" s="36"/>
      <c r="AB25" s="46"/>
      <c r="AC25" s="36"/>
      <c r="AD25" s="46"/>
      <c r="AE25" s="36"/>
      <c r="AF25" s="46"/>
      <c r="AG25" s="36"/>
      <c r="AH25" s="46"/>
      <c r="AI25" s="36"/>
      <c r="AJ25" s="46"/>
      <c r="AK25" s="36"/>
      <c r="AL25" s="46"/>
      <c r="AM25" s="36"/>
      <c r="AO25" s="36"/>
      <c r="AQ25" s="36"/>
      <c r="AR25" s="46"/>
      <c r="AS25" s="46"/>
      <c r="AU25" s="36"/>
      <c r="AV25" s="46"/>
      <c r="AW25" s="36"/>
      <c r="AY25" s="36"/>
      <c r="BA25" s="36"/>
      <c r="BC25" s="36"/>
      <c r="BE25" s="36"/>
      <c r="BF25" s="46"/>
      <c r="BG25" s="46"/>
      <c r="BI25" s="36"/>
      <c r="BJ25" s="46"/>
      <c r="BM25" s="36"/>
      <c r="BO25" s="36"/>
      <c r="BQ25" s="36"/>
      <c r="BS25" s="36"/>
      <c r="BT25" s="46"/>
      <c r="BU25" s="46"/>
      <c r="BV25" s="46"/>
      <c r="BX25" s="46"/>
    </row>
    <row r="26" spans="2:76" x14ac:dyDescent="0.2">
      <c r="B26" s="32" t="s">
        <v>245</v>
      </c>
      <c r="D26">
        <v>7</v>
      </c>
      <c r="E26" s="36"/>
      <c r="F26">
        <v>7</v>
      </c>
      <c r="G26" s="36"/>
      <c r="H26" s="30">
        <v>7</v>
      </c>
      <c r="I26" s="36"/>
      <c r="J26" s="30">
        <v>7</v>
      </c>
      <c r="K26" s="36"/>
      <c r="L26">
        <v>3</v>
      </c>
      <c r="M26" s="36"/>
      <c r="O26" s="36"/>
      <c r="P26" s="30">
        <v>4</v>
      </c>
      <c r="Q26" s="36"/>
      <c r="S26" s="36"/>
      <c r="T26" s="30">
        <v>7</v>
      </c>
      <c r="U26" s="36"/>
      <c r="V26" s="30">
        <v>7</v>
      </c>
      <c r="W26" s="36"/>
      <c r="X26" s="30">
        <v>7</v>
      </c>
      <c r="Y26" s="36"/>
      <c r="Z26" s="30">
        <v>5</v>
      </c>
      <c r="AA26" s="36"/>
      <c r="AC26" s="36"/>
      <c r="AD26" s="30">
        <v>2</v>
      </c>
      <c r="AE26" s="36"/>
      <c r="AG26" s="36"/>
      <c r="AH26" s="30">
        <v>7</v>
      </c>
      <c r="AI26" s="36"/>
      <c r="AJ26" s="30">
        <v>7</v>
      </c>
      <c r="AK26" s="36"/>
      <c r="AL26" s="30">
        <v>7</v>
      </c>
      <c r="AM26" s="36"/>
      <c r="AO26" s="36"/>
      <c r="AQ26" s="36"/>
      <c r="AU26" s="36"/>
      <c r="AW26" s="36"/>
      <c r="AY26" s="36"/>
      <c r="BA26" s="36"/>
      <c r="BC26" s="36"/>
      <c r="BE26" s="36"/>
      <c r="BI26" s="36"/>
      <c r="BM26" s="36"/>
      <c r="BO26" s="36"/>
      <c r="BQ26" s="36"/>
      <c r="BS26" s="36"/>
      <c r="BV26" s="30">
        <v>1</v>
      </c>
    </row>
    <row r="27" spans="2:76" x14ac:dyDescent="0.2">
      <c r="B27" s="32"/>
      <c r="E27" s="36"/>
      <c r="F27" s="36"/>
      <c r="G27" s="36"/>
      <c r="I27" s="36"/>
      <c r="K27" s="36"/>
      <c r="M27" s="36"/>
      <c r="N27" s="36"/>
      <c r="O27" s="36"/>
      <c r="Q27" s="36"/>
      <c r="R27" s="36"/>
      <c r="S27" s="36"/>
      <c r="U27" s="36"/>
      <c r="W27" s="36"/>
      <c r="Y27" s="36"/>
      <c r="AA27" s="36"/>
      <c r="AB27" s="36"/>
      <c r="AC27" s="36"/>
      <c r="AE27" s="36"/>
      <c r="AF27" s="36"/>
      <c r="AG27" s="36"/>
      <c r="AI27" s="36"/>
      <c r="AK27" s="36"/>
      <c r="AM27" s="36"/>
      <c r="AO27" s="36"/>
      <c r="AQ27" s="36"/>
      <c r="AR27" s="36"/>
      <c r="AS27" s="36"/>
      <c r="AU27" s="36"/>
      <c r="AV27" s="36"/>
      <c r="AW27" s="36"/>
      <c r="AY27" s="36"/>
      <c r="BA27" s="36"/>
      <c r="BC27" s="36"/>
      <c r="BE27" s="36"/>
      <c r="BF27" s="36"/>
      <c r="BG27" s="36"/>
      <c r="BI27" s="36"/>
      <c r="BJ27" s="36"/>
      <c r="BM27" s="36"/>
      <c r="BO27" s="36"/>
      <c r="BQ27" s="36"/>
      <c r="BS27" s="36"/>
      <c r="BT27" s="36"/>
      <c r="BU27" s="36"/>
      <c r="BX27" s="36"/>
    </row>
    <row r="28" spans="2:76" ht="13.5" thickBot="1" x14ac:dyDescent="0.25">
      <c r="B28" s="32" t="s">
        <v>249</v>
      </c>
      <c r="D28" s="47">
        <f>ROUND(D24*D26,2)</f>
        <v>2508.33</v>
      </c>
      <c r="E28" s="36"/>
      <c r="F28" s="47">
        <f>ROUND(F24*F26,2)</f>
        <v>2508.33</v>
      </c>
      <c r="G28" s="36"/>
      <c r="H28" s="47">
        <f>ROUND(H24*H26,2)</f>
        <v>2508.33</v>
      </c>
      <c r="I28" s="36"/>
      <c r="J28" s="47">
        <f>ROUND(J24*J26,2)</f>
        <v>2508.33</v>
      </c>
      <c r="K28" s="36"/>
      <c r="L28" s="47">
        <f>ROUND(L24*L26,2)</f>
        <v>1075</v>
      </c>
      <c r="M28" s="36"/>
      <c r="N28" s="40">
        <f>D28+F28+H28+J28+L28</f>
        <v>11108.32</v>
      </c>
      <c r="O28" s="36"/>
      <c r="P28" s="47">
        <f>ROUND(P24*P26,2)</f>
        <v>1433.33</v>
      </c>
      <c r="Q28" s="36"/>
      <c r="R28" s="40">
        <f>P28+L28</f>
        <v>2508.33</v>
      </c>
      <c r="S28" s="36"/>
      <c r="T28" s="47">
        <f>ROUND(T24*T26,2)</f>
        <v>2508.33</v>
      </c>
      <c r="U28" s="36"/>
      <c r="V28" s="47">
        <f>ROUND(V24*V26,2)</f>
        <v>2508.33</v>
      </c>
      <c r="W28" s="36"/>
      <c r="X28" s="47">
        <f>ROUND(X24*X26,2)</f>
        <v>2508.33</v>
      </c>
      <c r="Y28" s="36"/>
      <c r="Z28" s="47">
        <f>ROUND(Z24*Z26,2)-0.01</f>
        <v>1791.66</v>
      </c>
      <c r="AA28" s="36"/>
      <c r="AB28" s="40">
        <f>P28+T28+V28+X28+Z28</f>
        <v>10749.98</v>
      </c>
      <c r="AC28" s="36"/>
      <c r="AD28" s="47">
        <f>ROUND(AD24*AD26,2)-0.01</f>
        <v>716.66</v>
      </c>
      <c r="AE28" s="36"/>
      <c r="AF28" s="40">
        <f>AD28+Z28</f>
        <v>2508.3200000000002</v>
      </c>
      <c r="AG28" s="36"/>
      <c r="AH28" s="40">
        <f>ROUND(AH24*AH26,2)</f>
        <v>2508.33</v>
      </c>
      <c r="AI28" s="36"/>
      <c r="AJ28" s="40">
        <f>ROUND(AJ24*AJ26,2)</f>
        <v>2508.33</v>
      </c>
      <c r="AK28" s="36"/>
      <c r="AL28" s="40">
        <f>ROUND(AL24*AL26,2)</f>
        <v>2508.33</v>
      </c>
      <c r="AM28" s="36"/>
      <c r="AO28" s="36"/>
      <c r="AQ28" s="36"/>
      <c r="AR28" s="40">
        <f>F55+D55+AL28+AJ28+AH28+AD28</f>
        <v>11108.31</v>
      </c>
      <c r="AS28" s="37"/>
      <c r="AU28" s="36"/>
      <c r="AV28" s="40">
        <f>H55+F55</f>
        <v>2508.33</v>
      </c>
      <c r="AW28" s="36"/>
      <c r="AY28" s="36"/>
      <c r="BA28" s="36"/>
      <c r="BC28" s="36"/>
      <c r="BE28" s="36"/>
      <c r="BF28" s="40">
        <f>T55+P55+L55+J55+H55</f>
        <v>10749.99</v>
      </c>
      <c r="BG28" s="37"/>
      <c r="BI28" s="36"/>
      <c r="BJ28" s="40">
        <f>V55+T55</f>
        <v>2508.33</v>
      </c>
      <c r="BM28" s="36"/>
      <c r="BO28" s="36"/>
      <c r="BQ28" s="36"/>
      <c r="BS28" s="36"/>
      <c r="BT28" s="40">
        <f>AH55+AD55+Z55+X55+V55</f>
        <v>11108.32</v>
      </c>
      <c r="BU28" s="37"/>
      <c r="BV28" s="40">
        <f>ROUND(BV24*BV26,2)</f>
        <v>358.33</v>
      </c>
      <c r="BX28" s="40">
        <f>BV28+AH55</f>
        <v>2508.33</v>
      </c>
    </row>
    <row r="29" spans="2:76" ht="13.5" thickTop="1" x14ac:dyDescent="0.2"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O29" s="36"/>
      <c r="AQ29" s="36"/>
      <c r="AR29" s="36"/>
      <c r="AS29" s="36"/>
      <c r="AU29" s="36"/>
      <c r="AV29" s="36"/>
      <c r="AW29" s="36"/>
      <c r="AY29" s="36"/>
      <c r="BA29" s="36"/>
      <c r="BC29" s="36"/>
      <c r="BE29" s="36"/>
      <c r="BF29" s="36"/>
      <c r="BG29" s="36"/>
      <c r="BI29" s="36"/>
      <c r="BJ29" s="36"/>
      <c r="BM29" s="36"/>
      <c r="BO29" s="36"/>
      <c r="BQ29" s="36"/>
      <c r="BS29" s="36"/>
      <c r="BT29" s="36"/>
      <c r="BU29" s="36"/>
      <c r="BV29" s="36"/>
      <c r="BX29" s="36"/>
    </row>
    <row r="30" spans="2:76" x14ac:dyDescent="0.2"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O30" s="36"/>
      <c r="AQ30" s="36"/>
      <c r="AR30" s="36"/>
      <c r="AS30" s="36"/>
      <c r="AU30" s="36"/>
      <c r="AV30" s="36"/>
      <c r="AW30" s="36"/>
      <c r="AY30" s="36"/>
      <c r="BA30" s="36"/>
      <c r="BC30" s="36"/>
      <c r="BE30" s="36"/>
      <c r="BF30" s="36"/>
      <c r="BG30" s="36"/>
      <c r="BI30" s="36"/>
      <c r="BJ30" s="36"/>
      <c r="BM30" s="36"/>
      <c r="BO30" s="36"/>
      <c r="BQ30" s="36"/>
      <c r="BS30" s="36"/>
      <c r="BT30" s="36"/>
      <c r="BU30" s="36"/>
      <c r="BV30" s="36"/>
      <c r="BX30" s="36"/>
    </row>
    <row r="31" spans="2:76" ht="13.5" thickBot="1" x14ac:dyDescent="0.25">
      <c r="B31" s="38" t="s">
        <v>250</v>
      </c>
      <c r="D31" s="39">
        <f>D20+D28</f>
        <v>37625</v>
      </c>
      <c r="E31" s="36"/>
      <c r="F31" s="39">
        <f>F20+F28</f>
        <v>36822.33</v>
      </c>
      <c r="G31" s="36"/>
      <c r="H31" s="39">
        <f>H20+H28</f>
        <v>40133.33</v>
      </c>
      <c r="I31" s="36"/>
      <c r="J31" s="39">
        <f>J20+J28</f>
        <v>39631.660000000003</v>
      </c>
      <c r="K31" s="36"/>
      <c r="L31" s="39">
        <f>L20+L28</f>
        <v>17845</v>
      </c>
      <c r="M31" s="36"/>
      <c r="N31" s="40">
        <f>N28+N20</f>
        <v>172057.32</v>
      </c>
      <c r="O31" s="36"/>
      <c r="P31" s="39">
        <f>P20+P28</f>
        <v>23793.33</v>
      </c>
      <c r="Q31" s="36"/>
      <c r="R31" s="40">
        <f>R28+R20</f>
        <v>41638.33</v>
      </c>
      <c r="S31" s="36"/>
      <c r="T31" s="39">
        <f>T20+T28</f>
        <v>41638.33</v>
      </c>
      <c r="U31" s="36"/>
      <c r="V31" s="39">
        <f>V20+V28</f>
        <v>39631.660000000003</v>
      </c>
      <c r="W31" s="36"/>
      <c r="X31" s="39">
        <f>X20+X28</f>
        <v>40133.33</v>
      </c>
      <c r="Y31" s="36"/>
      <c r="Z31" s="39">
        <f>Z20+Z28</f>
        <v>28308.329999999998</v>
      </c>
      <c r="AA31" s="36"/>
      <c r="AB31" s="40">
        <f>AB20+AB28</f>
        <v>173504.98</v>
      </c>
      <c r="AC31" s="36"/>
      <c r="AD31" s="39">
        <f>AD20+AD28</f>
        <v>11323.33</v>
      </c>
      <c r="AE31" s="36"/>
      <c r="AF31" s="40">
        <f>AF20+AF28</f>
        <v>39631.659999999996</v>
      </c>
      <c r="AG31" s="36"/>
      <c r="AH31" s="39">
        <f>AH20+AH28</f>
        <v>39631.660000000003</v>
      </c>
      <c r="AI31" s="36"/>
      <c r="AJ31" s="39">
        <f>AJ20+AJ28</f>
        <v>39631.660000000003</v>
      </c>
      <c r="AK31" s="36"/>
      <c r="AL31" s="39">
        <f>AL20+AL28</f>
        <v>38126.660000000003</v>
      </c>
      <c r="AM31" s="36"/>
      <c r="AO31" s="36"/>
      <c r="AQ31" s="36"/>
      <c r="AR31" s="40">
        <f>AR20+AR28</f>
        <v>172141.87000000002</v>
      </c>
      <c r="AS31" s="37"/>
      <c r="AU31" s="36"/>
      <c r="AV31" s="40">
        <f>AV20+AV28</f>
        <v>37113.300000000003</v>
      </c>
      <c r="AW31" s="36"/>
      <c r="AY31" s="36"/>
      <c r="BA31" s="36"/>
      <c r="BC31" s="36"/>
      <c r="BE31" s="36"/>
      <c r="BF31" s="40">
        <f>BF20+BF28</f>
        <v>167538.01999999999</v>
      </c>
      <c r="BG31" s="37"/>
      <c r="BI31" s="36"/>
      <c r="BJ31" s="40">
        <f>BJ20+BJ28</f>
        <v>45150</v>
      </c>
      <c r="BM31" s="36"/>
      <c r="BO31" s="36"/>
      <c r="BQ31" s="36"/>
      <c r="BS31" s="36"/>
      <c r="BT31" s="40">
        <f>BT20+BT28</f>
        <v>197584.99</v>
      </c>
      <c r="BU31" s="37"/>
      <c r="BV31" s="39">
        <f>BV20+BV28</f>
        <v>7811.66</v>
      </c>
      <c r="BX31" s="40">
        <f>BX20+BX28</f>
        <v>54681.66</v>
      </c>
    </row>
    <row r="32" spans="2:76" ht="13.5" thickTop="1" x14ac:dyDescent="0.2">
      <c r="B32" s="32"/>
      <c r="D32" s="41"/>
      <c r="E32" s="36"/>
      <c r="F32" s="41"/>
      <c r="G32" s="36"/>
      <c r="H32" s="36"/>
      <c r="I32" s="36"/>
      <c r="J32" s="36"/>
      <c r="K32" s="36"/>
      <c r="L32" s="36"/>
      <c r="M32" s="36"/>
      <c r="N32" s="41"/>
      <c r="O32" s="36"/>
      <c r="Q32" s="36"/>
      <c r="R32" s="41"/>
      <c r="S32" s="36"/>
      <c r="U32" s="36"/>
      <c r="W32" s="36"/>
      <c r="Y32" s="36"/>
      <c r="AA32" s="36"/>
      <c r="AB32" s="41"/>
      <c r="AC32" s="36"/>
      <c r="AE32" s="36"/>
    </row>
    <row r="33" spans="2:36" x14ac:dyDescent="0.2">
      <c r="B33" s="42"/>
      <c r="D33" s="43"/>
      <c r="E33" s="36"/>
      <c r="F33" s="36"/>
      <c r="G33" s="36"/>
      <c r="H33" s="36"/>
      <c r="I33" s="36"/>
      <c r="J33" s="36"/>
      <c r="K33" s="36"/>
      <c r="L33" s="36"/>
      <c r="M33" s="36"/>
      <c r="N33" s="36"/>
      <c r="O33" s="36"/>
      <c r="Q33" s="36"/>
      <c r="R33" s="36"/>
      <c r="S33" s="36"/>
      <c r="U33" s="36"/>
      <c r="W33" s="36"/>
      <c r="Y33" s="36"/>
      <c r="AA33" s="36"/>
      <c r="AB33" s="36"/>
      <c r="AC33" s="36"/>
    </row>
    <row r="34" spans="2:36" x14ac:dyDescent="0.2">
      <c r="D34" s="36"/>
      <c r="E34" s="36"/>
      <c r="F34" s="36"/>
      <c r="G34" s="36"/>
      <c r="H34" s="36"/>
      <c r="I34" s="36"/>
      <c r="J34" s="36"/>
      <c r="K34" s="36"/>
      <c r="L34" s="36"/>
      <c r="M34" s="36"/>
      <c r="N34" s="36"/>
      <c r="O34" s="36"/>
      <c r="Q34" s="36"/>
      <c r="R34" s="36"/>
      <c r="S34" s="36"/>
      <c r="U34" s="36"/>
      <c r="W34" s="36"/>
      <c r="Y34" s="36"/>
      <c r="AA34" s="36"/>
      <c r="AB34" s="36"/>
      <c r="AC34" s="36"/>
    </row>
    <row r="35" spans="2:36" x14ac:dyDescent="0.2">
      <c r="D35" s="31" t="s">
        <v>2952</v>
      </c>
      <c r="E35" s="36"/>
      <c r="F35" s="55" t="s">
        <v>2966</v>
      </c>
      <c r="G35" s="36"/>
      <c r="H35" s="31" t="s">
        <v>237</v>
      </c>
      <c r="I35" s="36"/>
      <c r="J35" s="31" t="s">
        <v>2953</v>
      </c>
      <c r="K35" s="36"/>
      <c r="L35" s="31" t="s">
        <v>2954</v>
      </c>
      <c r="M35" s="36"/>
      <c r="N35" s="36"/>
      <c r="O35" s="36"/>
      <c r="P35" s="31" t="s">
        <v>2955</v>
      </c>
      <c r="Q35" s="36"/>
      <c r="R35" s="36"/>
      <c r="S35" s="36"/>
      <c r="T35" s="31" t="s">
        <v>2956</v>
      </c>
      <c r="U35" s="36"/>
      <c r="V35" s="31" t="s">
        <v>2957</v>
      </c>
      <c r="W35" s="36"/>
      <c r="X35" s="31" t="s">
        <v>2958</v>
      </c>
      <c r="Y35" s="36"/>
      <c r="Z35" s="31" t="s">
        <v>2959</v>
      </c>
      <c r="AA35" s="36"/>
      <c r="AB35" s="36"/>
      <c r="AC35" s="36"/>
      <c r="AD35" s="31" t="s">
        <v>2960</v>
      </c>
      <c r="AH35" s="31" t="s">
        <v>2961</v>
      </c>
      <c r="AJ35" s="56" t="s">
        <v>3622</v>
      </c>
    </row>
    <row r="36" spans="2:36" x14ac:dyDescent="0.2">
      <c r="B36" s="32"/>
      <c r="E36" s="36"/>
      <c r="G36" s="36"/>
      <c r="I36" s="36"/>
      <c r="K36" s="36"/>
      <c r="M36" s="36"/>
      <c r="N36" s="36"/>
      <c r="O36" s="36"/>
      <c r="Q36" s="36"/>
      <c r="R36" s="36"/>
      <c r="S36" s="36"/>
      <c r="U36" s="36"/>
      <c r="W36" s="36"/>
      <c r="Y36" s="36"/>
      <c r="AA36" s="36"/>
      <c r="AB36" s="36"/>
      <c r="AC36" s="36"/>
      <c r="AJ36" s="26"/>
    </row>
    <row r="37" spans="2:36" x14ac:dyDescent="0.2">
      <c r="B37" s="32" t="s">
        <v>3625</v>
      </c>
      <c r="D37" s="35">
        <v>51600000</v>
      </c>
      <c r="E37" s="36"/>
      <c r="F37" s="35">
        <v>51600000</v>
      </c>
      <c r="G37" s="36"/>
      <c r="H37" s="35">
        <v>51600000</v>
      </c>
      <c r="I37" s="36"/>
      <c r="J37" s="35">
        <v>51600000</v>
      </c>
      <c r="K37" s="36"/>
      <c r="L37" s="35">
        <v>51600000</v>
      </c>
      <c r="M37" s="36"/>
      <c r="N37" s="36"/>
      <c r="O37" s="36"/>
      <c r="P37" s="35">
        <v>51600000</v>
      </c>
      <c r="Q37" s="36"/>
      <c r="R37" s="36"/>
      <c r="S37" s="36"/>
      <c r="T37" s="35">
        <v>51600000</v>
      </c>
      <c r="U37" s="36"/>
      <c r="V37" s="35">
        <v>51600000</v>
      </c>
      <c r="W37" s="36"/>
      <c r="X37" s="35">
        <v>51600000</v>
      </c>
      <c r="Y37" s="36"/>
      <c r="Z37" s="35">
        <v>51600000</v>
      </c>
      <c r="AA37" s="36"/>
      <c r="AB37" s="36"/>
      <c r="AC37" s="36"/>
      <c r="AD37" s="35">
        <v>51600000</v>
      </c>
      <c r="AH37" s="35">
        <v>51600000</v>
      </c>
      <c r="AJ37" s="45">
        <v>51600000</v>
      </c>
    </row>
    <row r="38" spans="2:36" x14ac:dyDescent="0.2">
      <c r="B38" s="32"/>
      <c r="AJ38" s="26"/>
    </row>
    <row r="39" spans="2:36" x14ac:dyDescent="0.2">
      <c r="B39" s="32" t="s">
        <v>242</v>
      </c>
      <c r="D39">
        <v>3.5499999999999997E-2</v>
      </c>
      <c r="F39">
        <v>3.449E-2</v>
      </c>
      <c r="H39">
        <v>3.449E-2</v>
      </c>
      <c r="J39">
        <v>3.2989999999999998E-2</v>
      </c>
      <c r="L39">
        <v>3.6999999999999998E-2</v>
      </c>
      <c r="P39">
        <v>3.85E-2</v>
      </c>
      <c r="T39">
        <v>4.2500000000000003E-2</v>
      </c>
      <c r="V39">
        <v>4.2500000000000003E-2</v>
      </c>
      <c r="X39">
        <v>0.04</v>
      </c>
      <c r="Z39">
        <v>3.7999999999999999E-2</v>
      </c>
      <c r="AD39">
        <v>3.9E-2</v>
      </c>
      <c r="AH39">
        <v>5.1999999999999998E-2</v>
      </c>
      <c r="AJ39" s="61">
        <f>((AJ62/160)*360)/AJ37</f>
        <v>4.0114121075581405E-2</v>
      </c>
    </row>
    <row r="40" spans="2:36" x14ac:dyDescent="0.2">
      <c r="B40" s="32"/>
      <c r="AJ40" s="26"/>
    </row>
    <row r="41" spans="2:36" x14ac:dyDescent="0.2">
      <c r="B41" s="32" t="s">
        <v>243</v>
      </c>
      <c r="D41" s="59">
        <f>D37*D39</f>
        <v>1831799.9999999998</v>
      </c>
      <c r="E41" s="60"/>
      <c r="F41" s="59">
        <f>F37*F39</f>
        <v>1779684</v>
      </c>
      <c r="G41" s="60"/>
      <c r="H41" s="59">
        <f>H37*H39</f>
        <v>1779684</v>
      </c>
      <c r="I41" s="60"/>
      <c r="J41" s="59">
        <f>J37*J39</f>
        <v>1702284</v>
      </c>
      <c r="K41" s="60"/>
      <c r="L41" s="59">
        <f>L37*L39</f>
        <v>1909200</v>
      </c>
      <c r="M41" s="60"/>
      <c r="N41" s="60"/>
      <c r="O41" s="60"/>
      <c r="P41" s="59">
        <f>P37*P39</f>
        <v>1986600</v>
      </c>
      <c r="Q41" s="60"/>
      <c r="R41" s="60"/>
      <c r="S41" s="60"/>
      <c r="T41" s="59">
        <f>T37*T39</f>
        <v>2193000</v>
      </c>
      <c r="U41" s="60"/>
      <c r="V41" s="59">
        <f>V37*V39</f>
        <v>2193000</v>
      </c>
      <c r="W41" s="60"/>
      <c r="X41" s="59">
        <f>X37*X39</f>
        <v>2064000</v>
      </c>
      <c r="Y41" s="60"/>
      <c r="Z41" s="59">
        <f>Z37*Z39</f>
        <v>1960800</v>
      </c>
      <c r="AA41" s="60"/>
      <c r="AB41" s="60"/>
      <c r="AC41" s="60"/>
      <c r="AD41" s="59">
        <f>AD37*AD39</f>
        <v>2012400</v>
      </c>
      <c r="AE41" s="60"/>
      <c r="AF41" s="60"/>
      <c r="AG41" s="60"/>
      <c r="AH41" s="59">
        <f>AH37*AH39</f>
        <v>2683200</v>
      </c>
      <c r="AJ41" s="26"/>
    </row>
    <row r="42" spans="2:36" x14ac:dyDescent="0.2">
      <c r="B42" s="32"/>
      <c r="AJ42" s="26"/>
    </row>
    <row r="43" spans="2:36" x14ac:dyDescent="0.2">
      <c r="B43" s="32" t="s">
        <v>244</v>
      </c>
      <c r="D43" s="46">
        <f>(D41/360)</f>
        <v>5088.333333333333</v>
      </c>
      <c r="F43" s="46">
        <f>(F41/360)</f>
        <v>4943.5666666666666</v>
      </c>
      <c r="H43" s="46">
        <f>(H41/360)</f>
        <v>4943.5666666666666</v>
      </c>
      <c r="J43" s="46">
        <f>(J41/360)</f>
        <v>4728.5666666666666</v>
      </c>
      <c r="L43" s="46">
        <f>(L41/360)</f>
        <v>5303.333333333333</v>
      </c>
      <c r="P43" s="46">
        <f>(P41/360)</f>
        <v>5518.333333333333</v>
      </c>
      <c r="T43" s="46">
        <f>(T41/360)</f>
        <v>6091.666666666667</v>
      </c>
      <c r="V43" s="46">
        <f>(V41/360)</f>
        <v>6091.666666666667</v>
      </c>
      <c r="X43" s="46">
        <f>(X41/360)</f>
        <v>5733.333333333333</v>
      </c>
      <c r="Z43" s="46">
        <f>(Z41/360)</f>
        <v>5446.666666666667</v>
      </c>
      <c r="AD43" s="46">
        <f>(AD41/360)</f>
        <v>5590</v>
      </c>
      <c r="AH43" s="46">
        <f>(AH41/360)</f>
        <v>7453.333333333333</v>
      </c>
      <c r="AJ43" s="26"/>
    </row>
    <row r="44" spans="2:36" x14ac:dyDescent="0.2">
      <c r="B44" s="32"/>
      <c r="AJ44" s="26"/>
    </row>
    <row r="45" spans="2:36" x14ac:dyDescent="0.2">
      <c r="B45" s="32" t="s">
        <v>245</v>
      </c>
      <c r="D45">
        <v>7</v>
      </c>
      <c r="F45">
        <v>1</v>
      </c>
      <c r="H45">
        <v>6</v>
      </c>
      <c r="J45">
        <v>7</v>
      </c>
      <c r="L45">
        <v>7</v>
      </c>
      <c r="P45">
        <v>7</v>
      </c>
      <c r="T45">
        <v>3</v>
      </c>
      <c r="V45">
        <v>4</v>
      </c>
      <c r="X45">
        <v>7</v>
      </c>
      <c r="Z45">
        <v>7</v>
      </c>
      <c r="AD45">
        <v>7</v>
      </c>
      <c r="AH45">
        <v>6</v>
      </c>
      <c r="AJ45" s="57">
        <f>D18+F18+H18+J18+L18+P18+T18+V18+X18+Z18+AD18+AH18+AJ18+AL18+D45+F45+H45+J45+L45+P45+T45+V45+X45+Z45+AD45+AH45</f>
        <v>153</v>
      </c>
    </row>
    <row r="46" spans="2:36" x14ac:dyDescent="0.2">
      <c r="B46" s="32"/>
      <c r="AJ46" s="26"/>
    </row>
    <row r="47" spans="2:36" ht="13.5" thickBot="1" x14ac:dyDescent="0.25">
      <c r="B47" s="32" t="s">
        <v>246</v>
      </c>
      <c r="D47" s="40">
        <f>ROUND(D43*D45,2)</f>
        <v>35618.33</v>
      </c>
      <c r="F47" s="40">
        <f>ROUND(F43*F45,2)</f>
        <v>4943.57</v>
      </c>
      <c r="H47" s="40">
        <f>ROUND(H43*H45,2)</f>
        <v>29661.4</v>
      </c>
      <c r="J47" s="40">
        <f>ROUND(J43*J45,2)</f>
        <v>33099.97</v>
      </c>
      <c r="L47" s="40">
        <f>ROUND(L43*L45,2)</f>
        <v>37123.33</v>
      </c>
      <c r="P47" s="40">
        <f>ROUND(P43*P45,2)</f>
        <v>38628.33</v>
      </c>
      <c r="T47" s="40">
        <f>ROUND(T43*T45,2)</f>
        <v>18275</v>
      </c>
      <c r="V47" s="40">
        <f>ROUND(V43*V45,2)</f>
        <v>24366.67</v>
      </c>
      <c r="X47" s="40">
        <f>ROUND(X43*X45,2)</f>
        <v>40133.33</v>
      </c>
      <c r="Z47" s="40">
        <f>ROUND(Z43*Z45,2)</f>
        <v>38126.67</v>
      </c>
      <c r="AD47" s="40">
        <f>ROUND(AD43*AD45,2)</f>
        <v>39130</v>
      </c>
      <c r="AH47" s="40">
        <f>ROUND(AH43*AH45,2)</f>
        <v>44720</v>
      </c>
      <c r="AJ47" s="26"/>
    </row>
    <row r="48" spans="2:36" ht="13.5" thickTop="1" x14ac:dyDescent="0.2">
      <c r="AJ48" s="26"/>
    </row>
    <row r="49" spans="2:36" x14ac:dyDescent="0.2">
      <c r="B49" s="32" t="s">
        <v>2962</v>
      </c>
      <c r="D49" s="35">
        <f>51600000*0.0025</f>
        <v>129000</v>
      </c>
      <c r="F49" s="35">
        <f>51600000*0.0025</f>
        <v>129000</v>
      </c>
      <c r="H49" s="35">
        <f>51600000*0.0025</f>
        <v>129000</v>
      </c>
      <c r="J49" s="35">
        <f>51600000*0.0025</f>
        <v>129000</v>
      </c>
      <c r="L49" s="35">
        <f>51600000*0.0025</f>
        <v>129000</v>
      </c>
      <c r="P49" s="35">
        <f>51600000*0.0025</f>
        <v>129000</v>
      </c>
      <c r="T49" s="35">
        <f>51600000*0.0025</f>
        <v>129000</v>
      </c>
      <c r="V49" s="35">
        <f>51600000*0.0025</f>
        <v>129000</v>
      </c>
      <c r="X49" s="35">
        <f>51600000*0.0025</f>
        <v>129000</v>
      </c>
      <c r="Z49" s="35">
        <f>51600000*0.0025</f>
        <v>129000</v>
      </c>
      <c r="AD49" s="35">
        <f>51600000*0.0025</f>
        <v>129000</v>
      </c>
      <c r="AH49" s="35">
        <f>51600000*0.0025</f>
        <v>129000</v>
      </c>
      <c r="AJ49" s="26"/>
    </row>
    <row r="50" spans="2:36" x14ac:dyDescent="0.2">
      <c r="D50" s="35"/>
      <c r="F50" s="35"/>
      <c r="H50" s="35"/>
      <c r="J50" s="35"/>
      <c r="L50" s="35"/>
      <c r="P50" s="35"/>
      <c r="T50" s="35"/>
      <c r="V50" s="35"/>
      <c r="X50" s="35"/>
      <c r="Z50" s="35"/>
      <c r="AD50" s="35"/>
      <c r="AH50" s="35"/>
      <c r="AJ50" s="26"/>
    </row>
    <row r="51" spans="2:36" x14ac:dyDescent="0.2">
      <c r="B51" s="32" t="s">
        <v>248</v>
      </c>
      <c r="D51" s="46">
        <f>D49/360</f>
        <v>358.33333333333331</v>
      </c>
      <c r="F51" s="46">
        <f>F49/360</f>
        <v>358.33333333333331</v>
      </c>
      <c r="H51" s="46">
        <f>H49/360</f>
        <v>358.33333333333331</v>
      </c>
      <c r="J51" s="46">
        <f>J49/360</f>
        <v>358.33333333333331</v>
      </c>
      <c r="L51" s="46">
        <f>L49/360</f>
        <v>358.33333333333331</v>
      </c>
      <c r="P51" s="46">
        <f>P49/360</f>
        <v>358.33333333333331</v>
      </c>
      <c r="T51" s="46">
        <f>T49/360</f>
        <v>358.33333333333331</v>
      </c>
      <c r="V51" s="46">
        <f>V49/360</f>
        <v>358.33333333333331</v>
      </c>
      <c r="X51" s="46">
        <f>X49/360</f>
        <v>358.33333333333331</v>
      </c>
      <c r="Z51" s="46">
        <f>Z49/360</f>
        <v>358.33333333333331</v>
      </c>
      <c r="AD51" s="46">
        <f>AD49/360</f>
        <v>358.33333333333331</v>
      </c>
      <c r="AH51" s="46">
        <f>AH49/360</f>
        <v>358.33333333333331</v>
      </c>
      <c r="AJ51" s="26"/>
    </row>
    <row r="52" spans="2:36" x14ac:dyDescent="0.2">
      <c r="B52" s="32"/>
      <c r="D52" s="46"/>
      <c r="F52" s="46"/>
      <c r="H52" s="46"/>
      <c r="J52" s="46"/>
      <c r="L52" s="46"/>
      <c r="P52" s="46"/>
      <c r="T52" s="46"/>
      <c r="V52" s="46"/>
      <c r="X52" s="46"/>
      <c r="Z52" s="46"/>
      <c r="AD52" s="46"/>
      <c r="AH52" s="46"/>
      <c r="AJ52" s="26"/>
    </row>
    <row r="53" spans="2:36" x14ac:dyDescent="0.2">
      <c r="B53" s="32" t="s">
        <v>245</v>
      </c>
      <c r="D53" s="30">
        <v>7</v>
      </c>
      <c r="F53" s="30">
        <v>1</v>
      </c>
      <c r="H53" s="30">
        <v>6</v>
      </c>
      <c r="J53" s="30">
        <v>7</v>
      </c>
      <c r="L53" s="30">
        <v>7</v>
      </c>
      <c r="P53" s="30">
        <v>7</v>
      </c>
      <c r="T53" s="30">
        <v>3</v>
      </c>
      <c r="V53" s="30">
        <v>4</v>
      </c>
      <c r="X53" s="30">
        <v>7</v>
      </c>
      <c r="Z53" s="30">
        <v>7</v>
      </c>
      <c r="AD53" s="30">
        <v>7</v>
      </c>
      <c r="AH53" s="30">
        <v>6</v>
      </c>
      <c r="AJ53" s="57">
        <f>D26+F26+H26+J26+L26+P26+T26+V26+X26+Z26+AD26+AH26+AJ26+AL26+D53+F53+H53+J53+L53+P53+T53+V53+X53+Z53+AD53+AH53</f>
        <v>153</v>
      </c>
    </row>
    <row r="54" spans="2:36" x14ac:dyDescent="0.2">
      <c r="B54" s="32"/>
      <c r="AJ54" s="26"/>
    </row>
    <row r="55" spans="2:36" ht="13.5" thickBot="1" x14ac:dyDescent="0.25">
      <c r="B55" s="32" t="s">
        <v>249</v>
      </c>
      <c r="D55" s="39">
        <f>ROUND(D51*D53,2)</f>
        <v>2508.33</v>
      </c>
      <c r="F55" s="39">
        <f>ROUND(F51*F53,2)</f>
        <v>358.33</v>
      </c>
      <c r="H55" s="40">
        <f>ROUND(H51*H53,2)</f>
        <v>2150</v>
      </c>
      <c r="J55" s="40">
        <f>ROUND(J51*J53,2)</f>
        <v>2508.33</v>
      </c>
      <c r="L55" s="40">
        <f>ROUND(L51*L53,2)</f>
        <v>2508.33</v>
      </c>
      <c r="P55" s="40">
        <f>ROUND(P51*P53,2)</f>
        <v>2508.33</v>
      </c>
      <c r="T55" s="39">
        <f>ROUND(T51*T53,2)</f>
        <v>1075</v>
      </c>
      <c r="V55" s="40">
        <f>ROUND(V51*V53,2)</f>
        <v>1433.33</v>
      </c>
      <c r="X55" s="40">
        <f>ROUND(X51*X53,2)</f>
        <v>2508.33</v>
      </c>
      <c r="Z55" s="40">
        <f>ROUND(Z51*Z53,2)</f>
        <v>2508.33</v>
      </c>
      <c r="AD55" s="40">
        <f>ROUND(AD51*AD53,2)</f>
        <v>2508.33</v>
      </c>
      <c r="AH55" s="39">
        <f>ROUND(AH51*AH53,2)</f>
        <v>2150</v>
      </c>
      <c r="AJ55" s="26"/>
    </row>
    <row r="56" spans="2:36" ht="13.5" thickTop="1" x14ac:dyDescent="0.2">
      <c r="D56" s="36"/>
      <c r="F56" s="36"/>
      <c r="H56" s="36"/>
      <c r="J56" s="36"/>
      <c r="L56" s="36"/>
      <c r="P56" s="36"/>
      <c r="T56" s="36"/>
      <c r="V56" s="36"/>
      <c r="X56" s="36"/>
      <c r="Z56" s="36"/>
      <c r="AD56" s="36"/>
      <c r="AH56" s="36"/>
      <c r="AJ56" s="26"/>
    </row>
    <row r="57" spans="2:36" x14ac:dyDescent="0.2">
      <c r="D57" s="36"/>
      <c r="F57" s="36"/>
      <c r="H57" s="36"/>
      <c r="J57" s="36"/>
      <c r="L57" s="36"/>
      <c r="P57" s="36"/>
      <c r="T57" s="36"/>
      <c r="V57" s="36"/>
      <c r="X57" s="36"/>
      <c r="Z57" s="36"/>
      <c r="AD57" s="36"/>
      <c r="AH57" s="36"/>
      <c r="AJ57" s="26"/>
    </row>
    <row r="58" spans="2:36" ht="13.5" thickBot="1" x14ac:dyDescent="0.25">
      <c r="B58" s="38" t="s">
        <v>250</v>
      </c>
      <c r="D58" s="39">
        <f>D47+D55</f>
        <v>38126.660000000003</v>
      </c>
      <c r="F58" s="39">
        <f>F47+F55</f>
        <v>5301.9</v>
      </c>
      <c r="H58" s="39">
        <f>H47+H55</f>
        <v>31811.4</v>
      </c>
      <c r="J58" s="39">
        <f>J47+J55</f>
        <v>35608.300000000003</v>
      </c>
      <c r="L58" s="39">
        <f>L47+L55</f>
        <v>39631.660000000003</v>
      </c>
      <c r="P58" s="39">
        <f>P47+P55</f>
        <v>41136.660000000003</v>
      </c>
      <c r="T58" s="39">
        <f>T47+T55</f>
        <v>19350</v>
      </c>
      <c r="V58" s="39">
        <f>V47+V55</f>
        <v>25800</v>
      </c>
      <c r="X58" s="39">
        <f>X47+X55</f>
        <v>42641.66</v>
      </c>
      <c r="Z58" s="39">
        <f>Z47+Z55</f>
        <v>40635</v>
      </c>
      <c r="AD58" s="39">
        <f>AD47+AD55</f>
        <v>41638.33</v>
      </c>
      <c r="AH58" s="39">
        <f>AH47+AH55</f>
        <v>46870</v>
      </c>
      <c r="AJ58" s="58">
        <f>D31+F31+H31+J31+L31+P31+T31+V31+X31+Z31+AD31+AH31+AJ31+AL31+D58+F58+H58+J58+L58+P58+T58+V58+X58+Z58+AD58+AH58</f>
        <v>882827.18000000028</v>
      </c>
    </row>
    <row r="59" spans="2:36" ht="13.5" thickTop="1" x14ac:dyDescent="0.2">
      <c r="AJ59" s="26"/>
    </row>
    <row r="60" spans="2:36" x14ac:dyDescent="0.2">
      <c r="AI60" s="32" t="s">
        <v>2981</v>
      </c>
      <c r="AJ60" s="22">
        <v>37123.33</v>
      </c>
    </row>
    <row r="62" spans="2:36" ht="13.5" thickBot="1" x14ac:dyDescent="0.25">
      <c r="AJ62" s="58">
        <f>AJ58+AJ60</f>
        <v>919950.51000000024</v>
      </c>
    </row>
    <row r="63" spans="2:36" ht="13.5" thickTop="1" x14ac:dyDescent="0.2"/>
  </sheetData>
  <mergeCells count="4">
    <mergeCell ref="B1:BZ1"/>
    <mergeCell ref="B2:BZ2"/>
    <mergeCell ref="B3:BZ3"/>
    <mergeCell ref="B4:BZ4"/>
  </mergeCells>
  <phoneticPr fontId="5" type="noConversion"/>
  <pageMargins left="0.75" right="0.75" top="1" bottom="1" header="0.5" footer="0.5"/>
  <pageSetup scale="43" orientation="landscape" r:id="rId1"/>
  <headerFooter alignWithMargins="0"/>
  <customProperties>
    <customPr name="_pios_id" r:id="rId2"/>
    <customPr name="EpmWorksheetKeyString_GUID" r:id="rId3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B1:AK145"/>
  <sheetViews>
    <sheetView zoomScale="80" workbookViewId="0">
      <selection activeCell="K29" sqref="K29"/>
    </sheetView>
  </sheetViews>
  <sheetFormatPr defaultRowHeight="12.75" x14ac:dyDescent="0.2"/>
  <cols>
    <col min="1" max="1" width="1.7109375" customWidth="1"/>
    <col min="3" max="3" width="1.7109375" customWidth="1"/>
    <col min="4" max="4" width="30.7109375" customWidth="1"/>
    <col min="5" max="5" width="1.7109375" customWidth="1"/>
    <col min="6" max="6" width="12.5703125" bestFit="1" customWidth="1"/>
    <col min="7" max="7" width="1.7109375" customWidth="1"/>
    <col min="8" max="8" width="23.140625" bestFit="1" customWidth="1"/>
    <col min="9" max="9" width="1.7109375" customWidth="1"/>
    <col min="18" max="18" width="13" bestFit="1" customWidth="1"/>
    <col min="19" max="19" width="7.7109375" bestFit="1" customWidth="1"/>
    <col min="20" max="20" width="59.42578125" bestFit="1" customWidth="1"/>
    <col min="21" max="21" width="1.7109375" customWidth="1"/>
    <col min="22" max="22" width="11.28515625" customWidth="1"/>
    <col min="23" max="35" width="11.28515625" bestFit="1" customWidth="1"/>
  </cols>
  <sheetData>
    <row r="1" spans="2:35" ht="15" x14ac:dyDescent="0.2">
      <c r="B1" s="406" t="s">
        <v>4326</v>
      </c>
      <c r="C1" s="406"/>
      <c r="D1" s="406"/>
      <c r="E1" s="406"/>
      <c r="F1" s="406"/>
      <c r="G1" s="406"/>
      <c r="H1" s="406"/>
    </row>
    <row r="2" spans="2:35" ht="15" x14ac:dyDescent="0.2">
      <c r="B2" s="406" t="s">
        <v>3448</v>
      </c>
      <c r="C2" s="406"/>
      <c r="D2" s="406"/>
      <c r="E2" s="406"/>
      <c r="F2" s="406"/>
      <c r="G2" s="406"/>
      <c r="H2" s="406"/>
    </row>
    <row r="3" spans="2:35" ht="15" x14ac:dyDescent="0.2">
      <c r="B3" s="406" t="s">
        <v>5257</v>
      </c>
      <c r="C3" s="406"/>
      <c r="D3" s="406"/>
      <c r="E3" s="406"/>
      <c r="F3" s="406"/>
      <c r="G3" s="406"/>
      <c r="H3" s="406"/>
    </row>
    <row r="6" spans="2:35" x14ac:dyDescent="0.2">
      <c r="B6" s="65" t="s">
        <v>3436</v>
      </c>
    </row>
    <row r="7" spans="2:35" x14ac:dyDescent="0.2">
      <c r="B7" s="26"/>
    </row>
    <row r="8" spans="2:35" x14ac:dyDescent="0.2">
      <c r="B8" s="60" t="s">
        <v>2990</v>
      </c>
      <c r="H8" s="148">
        <v>192952.18076923076</v>
      </c>
    </row>
    <row r="9" spans="2:35" ht="15" x14ac:dyDescent="0.2">
      <c r="S9" s="406" t="s">
        <v>4326</v>
      </c>
      <c r="T9" s="406"/>
      <c r="U9" s="406"/>
      <c r="V9" s="406"/>
      <c r="W9" s="406"/>
      <c r="X9" s="406"/>
      <c r="Y9" s="406"/>
      <c r="Z9" s="406"/>
      <c r="AA9" s="406"/>
      <c r="AB9" s="406"/>
      <c r="AC9" s="406"/>
      <c r="AD9" s="406"/>
      <c r="AE9" s="406"/>
      <c r="AF9" s="406"/>
      <c r="AG9" s="406"/>
      <c r="AH9" s="406"/>
      <c r="AI9" s="406"/>
    </row>
    <row r="10" spans="2:35" ht="15" x14ac:dyDescent="0.2">
      <c r="H10" s="27" t="s">
        <v>2991</v>
      </c>
      <c r="S10" s="406" t="s">
        <v>2095</v>
      </c>
      <c r="T10" s="406"/>
      <c r="U10" s="406"/>
      <c r="V10" s="406"/>
      <c r="W10" s="406"/>
      <c r="X10" s="406"/>
      <c r="Y10" s="406"/>
      <c r="Z10" s="406"/>
      <c r="AA10" s="406"/>
      <c r="AB10" s="406"/>
      <c r="AC10" s="406"/>
      <c r="AD10" s="406"/>
      <c r="AE10" s="406"/>
      <c r="AF10" s="406"/>
      <c r="AG10" s="406"/>
      <c r="AH10" s="406"/>
      <c r="AI10" s="406"/>
    </row>
    <row r="11" spans="2:35" ht="15" x14ac:dyDescent="0.2">
      <c r="B11" s="31" t="s">
        <v>3625</v>
      </c>
      <c r="D11" s="31" t="s">
        <v>2989</v>
      </c>
      <c r="F11" s="31" t="s">
        <v>2988</v>
      </c>
      <c r="H11" s="31" t="s">
        <v>2992</v>
      </c>
      <c r="S11" s="406" t="s">
        <v>2096</v>
      </c>
      <c r="T11" s="406"/>
      <c r="U11" s="406"/>
      <c r="V11" s="406"/>
      <c r="W11" s="406"/>
      <c r="X11" s="406"/>
      <c r="Y11" s="406"/>
      <c r="Z11" s="406"/>
      <c r="AA11" s="406"/>
      <c r="AB11" s="406"/>
      <c r="AC11" s="406"/>
      <c r="AD11" s="406"/>
      <c r="AE11" s="406"/>
      <c r="AF11" s="406"/>
      <c r="AG11" s="406"/>
      <c r="AH11" s="406"/>
      <c r="AI11" s="406"/>
    </row>
    <row r="13" spans="2:35" x14ac:dyDescent="0.2">
      <c r="B13" t="s">
        <v>2982</v>
      </c>
      <c r="D13" t="s">
        <v>2983</v>
      </c>
      <c r="F13">
        <f>54.2/125.8</f>
        <v>0.43084260731319557</v>
      </c>
      <c r="H13" s="30">
        <f>F13*H8</f>
        <v>83132.020649382423</v>
      </c>
    </row>
    <row r="14" spans="2:35" x14ac:dyDescent="0.2">
      <c r="B14" t="s">
        <v>2984</v>
      </c>
      <c r="D14" t="s">
        <v>2985</v>
      </c>
      <c r="F14">
        <f>51.6/125.8</f>
        <v>0.41017488076311609</v>
      </c>
      <c r="H14" s="30">
        <f>F14*H8</f>
        <v>79144.13774000245</v>
      </c>
    </row>
    <row r="15" spans="2:35" x14ac:dyDescent="0.2">
      <c r="B15" t="s">
        <v>2986</v>
      </c>
      <c r="D15" t="s">
        <v>2987</v>
      </c>
      <c r="F15" s="33">
        <f>20/125.8</f>
        <v>0.1589825119236884</v>
      </c>
      <c r="H15" s="64">
        <f>F15*H8</f>
        <v>30676.022379845908</v>
      </c>
      <c r="V15" s="126">
        <v>39417</v>
      </c>
      <c r="W15" s="126">
        <v>39448</v>
      </c>
      <c r="X15" s="126">
        <v>39479</v>
      </c>
      <c r="Y15" s="126">
        <v>39508</v>
      </c>
      <c r="Z15" s="126">
        <v>39539</v>
      </c>
      <c r="AA15" s="126">
        <v>39569</v>
      </c>
      <c r="AB15" s="126">
        <v>39600</v>
      </c>
      <c r="AC15" s="126">
        <v>39630</v>
      </c>
      <c r="AD15" s="126">
        <v>39661</v>
      </c>
      <c r="AE15" s="126">
        <v>39692</v>
      </c>
      <c r="AF15" s="126">
        <v>39722</v>
      </c>
      <c r="AG15" s="126">
        <v>39753</v>
      </c>
      <c r="AH15" s="126">
        <v>39783</v>
      </c>
      <c r="AI15" s="27" t="s">
        <v>423</v>
      </c>
    </row>
    <row r="16" spans="2:35" ht="13.5" thickBot="1" x14ac:dyDescent="0.25">
      <c r="F16">
        <f>SUM(F13:F15)</f>
        <v>1</v>
      </c>
      <c r="H16" s="67">
        <f>SUM(H13:H15)</f>
        <v>192952.18076923076</v>
      </c>
      <c r="S16" t="s">
        <v>353</v>
      </c>
      <c r="T16" t="s">
        <v>426</v>
      </c>
      <c r="V16" s="27" t="s">
        <v>424</v>
      </c>
      <c r="W16" s="27" t="s">
        <v>424</v>
      </c>
      <c r="X16" s="27" t="s">
        <v>424</v>
      </c>
      <c r="Y16" s="27" t="s">
        <v>424</v>
      </c>
      <c r="Z16" s="27" t="s">
        <v>424</v>
      </c>
      <c r="AA16" s="27" t="s">
        <v>424</v>
      </c>
      <c r="AB16" s="27" t="s">
        <v>424</v>
      </c>
      <c r="AC16" s="27" t="s">
        <v>424</v>
      </c>
      <c r="AD16" s="27" t="s">
        <v>424</v>
      </c>
      <c r="AE16" s="27" t="s">
        <v>424</v>
      </c>
      <c r="AF16" s="27" t="s">
        <v>424</v>
      </c>
      <c r="AG16" s="27" t="s">
        <v>424</v>
      </c>
      <c r="AH16" s="27" t="s">
        <v>424</v>
      </c>
      <c r="AI16" s="27" t="s">
        <v>428</v>
      </c>
    </row>
    <row r="17" spans="2:36" ht="13.5" thickTop="1" x14ac:dyDescent="0.2"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</row>
    <row r="19" spans="2:36" x14ac:dyDescent="0.2">
      <c r="R19" s="149"/>
      <c r="S19">
        <v>182.81</v>
      </c>
      <c r="T19" t="s">
        <v>2330</v>
      </c>
      <c r="V19" s="148">
        <v>147</v>
      </c>
      <c r="W19" s="149">
        <v>146.22265999999993</v>
      </c>
      <c r="X19" s="149">
        <v>145.04344999999992</v>
      </c>
      <c r="Y19" s="149">
        <v>143.86423999999991</v>
      </c>
      <c r="Z19" s="149">
        <v>142.6850299999999</v>
      </c>
      <c r="AA19" s="149">
        <v>141.50581999999989</v>
      </c>
      <c r="AB19" s="149">
        <v>140.32660999999987</v>
      </c>
      <c r="AC19" s="149">
        <v>139.14739999999986</v>
      </c>
      <c r="AD19" s="149">
        <v>137.96818999999985</v>
      </c>
      <c r="AE19" s="149">
        <v>136.78897999999984</v>
      </c>
      <c r="AF19" s="149">
        <v>135.60976999999983</v>
      </c>
      <c r="AG19" s="149">
        <v>134.43055999999982</v>
      </c>
      <c r="AH19" s="149">
        <v>133.2513499999998</v>
      </c>
      <c r="AI19" s="94">
        <v>140.32660999999987</v>
      </c>
    </row>
    <row r="20" spans="2:36" x14ac:dyDescent="0.2">
      <c r="B20" s="65" t="s">
        <v>3437</v>
      </c>
      <c r="R20" s="149"/>
      <c r="S20">
        <v>182.81</v>
      </c>
      <c r="T20" t="s">
        <v>354</v>
      </c>
      <c r="V20" s="148">
        <v>216</v>
      </c>
      <c r="W20" s="149">
        <v>215.07675</v>
      </c>
      <c r="X20" s="149">
        <v>214.05742000000001</v>
      </c>
      <c r="Y20" s="149">
        <v>213.03809000000001</v>
      </c>
      <c r="Z20" s="149">
        <v>212.01876000000001</v>
      </c>
      <c r="AA20" s="149">
        <v>210.99943000000002</v>
      </c>
      <c r="AB20" s="149">
        <v>209.98010000000002</v>
      </c>
      <c r="AC20" s="149">
        <v>208.96077000000002</v>
      </c>
      <c r="AD20" s="149">
        <v>207.94144000000003</v>
      </c>
      <c r="AE20" s="149">
        <v>206.92211000000003</v>
      </c>
      <c r="AF20" s="149">
        <v>205.90278000000004</v>
      </c>
      <c r="AG20" s="149">
        <v>204.88345000000004</v>
      </c>
      <c r="AH20" s="149">
        <v>203.86412000000004</v>
      </c>
      <c r="AI20" s="94">
        <v>209.98010000000005</v>
      </c>
    </row>
    <row r="21" spans="2:36" x14ac:dyDescent="0.2">
      <c r="B21" s="65" t="s">
        <v>3438</v>
      </c>
      <c r="R21" s="149"/>
      <c r="V21" s="148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94"/>
    </row>
    <row r="22" spans="2:36" x14ac:dyDescent="0.2">
      <c r="R22" s="149"/>
      <c r="S22">
        <v>182.81</v>
      </c>
      <c r="T22" t="s">
        <v>2329</v>
      </c>
      <c r="V22" s="148">
        <v>132</v>
      </c>
      <c r="W22" s="149">
        <v>131.20792999999995</v>
      </c>
      <c r="X22" s="149">
        <v>130.35035999999994</v>
      </c>
      <c r="Y22" s="149">
        <v>129.49278999999993</v>
      </c>
      <c r="Z22" s="149">
        <v>128.63521999999992</v>
      </c>
      <c r="AA22" s="149">
        <v>127.77764999999992</v>
      </c>
      <c r="AB22" s="149">
        <v>126.92007999999993</v>
      </c>
      <c r="AC22" s="149">
        <v>126.06250999999993</v>
      </c>
      <c r="AD22" s="149">
        <v>125.20493999999994</v>
      </c>
      <c r="AE22" s="149">
        <v>124.34736999999994</v>
      </c>
      <c r="AF22" s="149">
        <v>123.48979999999995</v>
      </c>
      <c r="AG22" s="149">
        <v>122.63222999999995</v>
      </c>
      <c r="AH22" s="149">
        <v>121.77465999999995</v>
      </c>
      <c r="AI22" s="92">
        <v>126.92007999999993</v>
      </c>
    </row>
    <row r="23" spans="2:36" x14ac:dyDescent="0.2">
      <c r="B23" s="60" t="s">
        <v>2993</v>
      </c>
      <c r="H23" s="148">
        <v>3248399.43</v>
      </c>
      <c r="R23" s="148"/>
      <c r="S23" s="137">
        <v>181.56</v>
      </c>
      <c r="T23" s="137" t="s">
        <v>4103</v>
      </c>
      <c r="U23" s="137"/>
      <c r="V23" s="150">
        <f>367965.6/1000</f>
        <v>367.96559999999999</v>
      </c>
      <c r="W23" s="151">
        <f>365576.21/1000</f>
        <v>365.57621</v>
      </c>
      <c r="X23" s="151">
        <f>363186.82/1000</f>
        <v>363.18682000000001</v>
      </c>
      <c r="Y23" s="151">
        <f>360797.43/1000</f>
        <v>360.79743000000002</v>
      </c>
      <c r="Z23" s="132">
        <f>358408.04/1000</f>
        <v>358.40803999999997</v>
      </c>
      <c r="AA23" s="132">
        <f>356018.65/1000</f>
        <v>356.01865000000004</v>
      </c>
      <c r="AB23" s="132">
        <f>353629.26/1000</f>
        <v>353.62925999999999</v>
      </c>
      <c r="AC23" s="132">
        <f>351239.87/1000</f>
        <v>351.23987</v>
      </c>
      <c r="AD23" s="132">
        <f>348850.48/1000</f>
        <v>348.85048</v>
      </c>
      <c r="AE23" s="132">
        <f>346461.09/1000</f>
        <v>346.46109000000001</v>
      </c>
      <c r="AF23" s="132">
        <f>344071.7/1000</f>
        <v>344.07170000000002</v>
      </c>
      <c r="AG23" s="132">
        <f>341682.31/1000</f>
        <v>341.68230999999997</v>
      </c>
      <c r="AH23" s="132">
        <f>339292.92/1000</f>
        <v>339.29291999999998</v>
      </c>
      <c r="AI23" s="152">
        <f>SUM(V23:AH23)/13*0</f>
        <v>0</v>
      </c>
      <c r="AJ23" s="92">
        <f>SUM(V23:AH23)/13</f>
        <v>353.62925999999999</v>
      </c>
    </row>
    <row r="24" spans="2:36" x14ac:dyDescent="0.2">
      <c r="B24" s="60" t="s">
        <v>2994</v>
      </c>
      <c r="H24" s="153">
        <v>1065830.586153846</v>
      </c>
      <c r="R24" s="148"/>
      <c r="V24" s="148"/>
      <c r="AI24" s="57">
        <f>SUM(AI22:AI23)</f>
        <v>126.92007999999993</v>
      </c>
    </row>
    <row r="25" spans="2:36" ht="13.5" thickBot="1" x14ac:dyDescent="0.25">
      <c r="D25" s="32"/>
      <c r="H25" s="67">
        <f>SUM(H23:H24)</f>
        <v>4314230.0161538459</v>
      </c>
      <c r="R25" s="148"/>
      <c r="V25" s="148"/>
      <c r="W25" s="149"/>
      <c r="X25" s="149"/>
      <c r="Y25" s="149"/>
      <c r="Z25" s="149"/>
      <c r="AA25" s="149"/>
      <c r="AB25" s="149"/>
      <c r="AC25" s="149"/>
      <c r="AD25" s="149"/>
      <c r="AE25" s="149"/>
      <c r="AF25" s="149"/>
      <c r="AG25" s="149"/>
      <c r="AH25" s="149"/>
      <c r="AI25" s="149"/>
    </row>
    <row r="26" spans="2:36" ht="13.5" thickTop="1" x14ac:dyDescent="0.2">
      <c r="R26" s="148"/>
      <c r="S26">
        <v>182.83</v>
      </c>
      <c r="T26" t="s">
        <v>2331</v>
      </c>
      <c r="V26" s="148">
        <v>556</v>
      </c>
      <c r="W26" s="148">
        <v>553.20973000000026</v>
      </c>
      <c r="X26" s="148">
        <v>550.08426000000031</v>
      </c>
      <c r="Y26" s="148">
        <v>546.95879000000036</v>
      </c>
      <c r="Z26" s="148">
        <v>543.83332000000041</v>
      </c>
      <c r="AA26" s="148">
        <v>540.70785000000046</v>
      </c>
      <c r="AB26" s="148">
        <v>537.58238000000051</v>
      </c>
      <c r="AC26" s="148">
        <v>534.45691000000056</v>
      </c>
      <c r="AD26" s="148">
        <v>531.33144000000061</v>
      </c>
      <c r="AE26" s="148">
        <v>528.20597000000066</v>
      </c>
      <c r="AF26" s="148">
        <v>525.08050000000071</v>
      </c>
      <c r="AG26" s="148">
        <v>521.95503000000076</v>
      </c>
      <c r="AH26" s="148">
        <v>518.82956000000081</v>
      </c>
      <c r="AI26" s="148">
        <v>537.58238000000063</v>
      </c>
    </row>
    <row r="27" spans="2:36" x14ac:dyDescent="0.2">
      <c r="R27" s="148"/>
      <c r="S27">
        <v>182.83</v>
      </c>
      <c r="T27" t="s">
        <v>2332</v>
      </c>
      <c r="V27" s="148">
        <v>1794</v>
      </c>
      <c r="W27" s="148">
        <v>1783.6443599999998</v>
      </c>
      <c r="X27" s="148">
        <v>1773.5672799999998</v>
      </c>
      <c r="Y27" s="148">
        <v>1763.4901999999997</v>
      </c>
      <c r="Z27" s="148">
        <v>1753.4131199999997</v>
      </c>
      <c r="AA27" s="148">
        <v>1743.3360399999997</v>
      </c>
      <c r="AB27" s="148">
        <v>1733.2589599999997</v>
      </c>
      <c r="AC27" s="148">
        <v>1723.1818799999996</v>
      </c>
      <c r="AD27" s="148">
        <v>1713.1047999999996</v>
      </c>
      <c r="AE27" s="148">
        <v>1703.0277199999996</v>
      </c>
      <c r="AF27" s="148">
        <v>1692.9506399999996</v>
      </c>
      <c r="AG27" s="148">
        <v>1682.8735599999995</v>
      </c>
      <c r="AH27" s="148">
        <v>1672.7964799999995</v>
      </c>
      <c r="AI27" s="148">
        <v>1733.2589599999997</v>
      </c>
    </row>
    <row r="28" spans="2:36" x14ac:dyDescent="0.2">
      <c r="R28" s="148"/>
      <c r="S28">
        <v>182.83</v>
      </c>
      <c r="T28" t="s">
        <v>2333</v>
      </c>
      <c r="V28" s="148">
        <v>792</v>
      </c>
      <c r="W28" s="148">
        <v>787.96504000000004</v>
      </c>
      <c r="X28" s="148">
        <v>783.51326000000006</v>
      </c>
      <c r="Y28" s="148">
        <v>779.06148000000007</v>
      </c>
      <c r="Z28" s="148">
        <v>774.60970000000009</v>
      </c>
      <c r="AA28" s="148">
        <v>770.1579200000001</v>
      </c>
      <c r="AB28" s="148">
        <v>765.70614000000012</v>
      </c>
      <c r="AC28" s="148">
        <v>761.25436000000013</v>
      </c>
      <c r="AD28" s="148">
        <v>756.80258000000015</v>
      </c>
      <c r="AE28" s="148">
        <v>752.35080000000016</v>
      </c>
      <c r="AF28" s="148">
        <v>747.89902000000018</v>
      </c>
      <c r="AG28" s="148">
        <v>743.44724000000019</v>
      </c>
      <c r="AH28" s="148">
        <v>738.99546000000021</v>
      </c>
      <c r="AI28" s="148">
        <v>765.70614000000012</v>
      </c>
    </row>
    <row r="29" spans="2:36" x14ac:dyDescent="0.2">
      <c r="B29" s="26" t="s">
        <v>4328</v>
      </c>
      <c r="R29" s="148"/>
      <c r="S29">
        <v>182.93</v>
      </c>
      <c r="T29" t="s">
        <v>5193</v>
      </c>
      <c r="V29" s="148">
        <v>490</v>
      </c>
      <c r="W29" s="148">
        <v>488.64535000000006</v>
      </c>
      <c r="X29" s="148">
        <v>486.86522000000008</v>
      </c>
      <c r="Y29" s="148">
        <v>485.08509000000009</v>
      </c>
      <c r="Z29" s="148">
        <v>483.30496000000011</v>
      </c>
      <c r="AA29" s="148">
        <v>481.52483000000012</v>
      </c>
      <c r="AB29" s="148">
        <v>479.74470000000014</v>
      </c>
      <c r="AC29" s="148">
        <v>477.96457000000015</v>
      </c>
      <c r="AD29" s="148">
        <v>476.18444000000017</v>
      </c>
      <c r="AE29" s="148">
        <v>474.40431000000018</v>
      </c>
      <c r="AF29" s="148">
        <v>472.62418000000019</v>
      </c>
      <c r="AG29" s="148">
        <v>470.84405000000021</v>
      </c>
      <c r="AH29" s="148">
        <v>469.06392000000022</v>
      </c>
      <c r="AI29" s="148">
        <v>479.74470000000014</v>
      </c>
    </row>
    <row r="30" spans="2:36" x14ac:dyDescent="0.2">
      <c r="R30" s="148"/>
      <c r="S30">
        <v>182.93</v>
      </c>
      <c r="T30" t="s">
        <v>5193</v>
      </c>
      <c r="V30" s="148">
        <v>1468</v>
      </c>
      <c r="W30" s="148">
        <v>1462.28655</v>
      </c>
      <c r="X30" s="148">
        <v>1456.94974</v>
      </c>
      <c r="Y30" s="148">
        <v>1451.61293</v>
      </c>
      <c r="Z30" s="148">
        <v>1446.27612</v>
      </c>
      <c r="AA30" s="148">
        <v>1440.93931</v>
      </c>
      <c r="AB30" s="148">
        <v>1435.6025</v>
      </c>
      <c r="AC30" s="148">
        <v>1430.2656899999999</v>
      </c>
      <c r="AD30" s="148">
        <v>1424.9288799999999</v>
      </c>
      <c r="AE30" s="148">
        <v>1419.5920699999999</v>
      </c>
      <c r="AF30" s="148">
        <v>1414.2552599999999</v>
      </c>
      <c r="AG30" s="148">
        <v>1408.9184499999999</v>
      </c>
      <c r="AH30" s="148">
        <v>1403.5816399999999</v>
      </c>
      <c r="AI30" s="154">
        <v>1435.6025</v>
      </c>
    </row>
    <row r="31" spans="2:36" x14ac:dyDescent="0.2">
      <c r="B31" s="60" t="s">
        <v>3016</v>
      </c>
      <c r="H31" s="148">
        <v>1553227.72</v>
      </c>
      <c r="R31" s="148"/>
      <c r="S31" s="137">
        <v>181.08</v>
      </c>
      <c r="T31" s="137" t="s">
        <v>2097</v>
      </c>
      <c r="U31" s="137"/>
      <c r="V31" s="150">
        <f>1784846.17/1000</f>
        <v>1784.84617</v>
      </c>
      <c r="W31" s="151">
        <f>1778355.82/1000</f>
        <v>1778.35582</v>
      </c>
      <c r="X31" s="151">
        <f>1771865.47/1000</f>
        <v>1771.86547</v>
      </c>
      <c r="Y31" s="151">
        <f>1765375.12/1000</f>
        <v>1765.3751200000002</v>
      </c>
      <c r="Z31" s="150">
        <f>1758884.77/1000</f>
        <v>1758.8847700000001</v>
      </c>
      <c r="AA31" s="150">
        <f>1752394.42/1000</f>
        <v>1752.3944199999999</v>
      </c>
      <c r="AB31" s="150">
        <f>1745904.07/1000</f>
        <v>1745.90407</v>
      </c>
      <c r="AC31" s="150">
        <f>1739413.72/1000</f>
        <v>1739.41372</v>
      </c>
      <c r="AD31" s="150">
        <f>1732923.37/1000</f>
        <v>1732.9233700000002</v>
      </c>
      <c r="AE31" s="150">
        <f>1726433.02/1000</f>
        <v>1726.4330199999999</v>
      </c>
      <c r="AF31" s="150">
        <f>1719942.67/1000</f>
        <v>1719.9426699999999</v>
      </c>
      <c r="AG31" s="150">
        <f>1713452.32/1000</f>
        <v>1713.4523200000001</v>
      </c>
      <c r="AH31" s="150">
        <f>1706961.97/1000</f>
        <v>1706.9619700000001</v>
      </c>
      <c r="AI31" s="152">
        <f>SUM(V31:AH31)/13*0</f>
        <v>0</v>
      </c>
      <c r="AJ31" s="92">
        <f>SUM(V31:AH31)/13</f>
        <v>1745.9040700000003</v>
      </c>
    </row>
    <row r="32" spans="2:36" x14ac:dyDescent="0.2">
      <c r="B32" s="60" t="s">
        <v>3017</v>
      </c>
      <c r="H32" s="153">
        <v>1429245.09</v>
      </c>
      <c r="R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28">
        <f>SUM(AI26:AI31)</f>
        <v>4951.8946800000012</v>
      </c>
    </row>
    <row r="33" spans="2:35" ht="13.5" thickBot="1" x14ac:dyDescent="0.25">
      <c r="H33" s="67">
        <f>SUM(H31:H32)</f>
        <v>2982472.81</v>
      </c>
      <c r="R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</row>
    <row r="34" spans="2:35" ht="13.5" thickTop="1" x14ac:dyDescent="0.2">
      <c r="R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28"/>
    </row>
    <row r="35" spans="2:35" x14ac:dyDescent="0.2">
      <c r="R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28"/>
    </row>
    <row r="36" spans="2:35" x14ac:dyDescent="0.2">
      <c r="R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</row>
    <row r="37" spans="2:35" x14ac:dyDescent="0.2">
      <c r="B37" s="26" t="s">
        <v>4327</v>
      </c>
      <c r="R37" s="148"/>
      <c r="S37">
        <v>182.96</v>
      </c>
      <c r="T37" t="s">
        <v>5196</v>
      </c>
      <c r="V37" s="148">
        <v>804</v>
      </c>
      <c r="W37" s="148">
        <v>801.89011000000028</v>
      </c>
      <c r="X37" s="148">
        <v>799.39977000000033</v>
      </c>
      <c r="Y37" s="148">
        <v>796.90943000000038</v>
      </c>
      <c r="Z37" s="148">
        <v>794.41909000000044</v>
      </c>
      <c r="AA37" s="148">
        <v>791.92875000000049</v>
      </c>
      <c r="AB37" s="148">
        <v>789.43841000000054</v>
      </c>
      <c r="AC37" s="148">
        <v>786.9480700000006</v>
      </c>
      <c r="AD37" s="148">
        <v>784.45773000000065</v>
      </c>
      <c r="AE37" s="148">
        <v>781.96739000000071</v>
      </c>
      <c r="AF37" s="148">
        <v>779.47705000000076</v>
      </c>
      <c r="AG37" s="148">
        <v>776.98671000000081</v>
      </c>
      <c r="AH37" s="148">
        <v>774.49637000000087</v>
      </c>
      <c r="AI37" s="148">
        <v>789.43841000000066</v>
      </c>
    </row>
    <row r="38" spans="2:35" x14ac:dyDescent="0.2">
      <c r="R38" s="148"/>
      <c r="S38">
        <v>182.96</v>
      </c>
      <c r="T38" t="s">
        <v>5197</v>
      </c>
      <c r="V38" s="148">
        <v>721</v>
      </c>
      <c r="W38" s="148">
        <v>718.29022999999984</v>
      </c>
      <c r="X38" s="148">
        <v>716.05951999999979</v>
      </c>
      <c r="Y38" s="148">
        <v>713.82880999999975</v>
      </c>
      <c r="Z38" s="148">
        <v>711.5980999999997</v>
      </c>
      <c r="AA38" s="148">
        <v>709.36738999999966</v>
      </c>
      <c r="AB38" s="148">
        <v>707.13667999999961</v>
      </c>
      <c r="AC38" s="148">
        <v>704.90596999999957</v>
      </c>
      <c r="AD38" s="148">
        <v>702.67525999999953</v>
      </c>
      <c r="AE38" s="148">
        <v>700.44454999999948</v>
      </c>
      <c r="AF38" s="148">
        <v>698.21383999999944</v>
      </c>
      <c r="AG38" s="148">
        <v>695.98312999999939</v>
      </c>
      <c r="AH38" s="148">
        <v>693.75241999999935</v>
      </c>
      <c r="AI38" s="148">
        <v>707.13667999999961</v>
      </c>
    </row>
    <row r="39" spans="2:35" x14ac:dyDescent="0.2">
      <c r="B39" s="60" t="s">
        <v>3432</v>
      </c>
      <c r="H39" s="148">
        <v>8121200.0100000007</v>
      </c>
      <c r="R39" s="148"/>
      <c r="S39">
        <v>182.99</v>
      </c>
      <c r="T39" t="s">
        <v>5199</v>
      </c>
      <c r="V39" s="148">
        <v>730</v>
      </c>
      <c r="W39" s="148">
        <v>719.51399999999978</v>
      </c>
      <c r="X39" s="148">
        <v>709.52099999999973</v>
      </c>
      <c r="Y39" s="148">
        <v>699.52799999999968</v>
      </c>
      <c r="Z39" s="148">
        <v>689.53499999999997</v>
      </c>
      <c r="AA39" s="148">
        <v>679.54199999999958</v>
      </c>
      <c r="AB39" s="148">
        <v>669.54899999999952</v>
      </c>
      <c r="AC39" s="148">
        <v>659.55599999999947</v>
      </c>
      <c r="AD39" s="148">
        <v>649.56299999999942</v>
      </c>
      <c r="AE39" s="148">
        <v>639.56999999999937</v>
      </c>
      <c r="AF39" s="148">
        <v>629.57699999999932</v>
      </c>
      <c r="AG39" s="148">
        <v>619.58399999999926</v>
      </c>
      <c r="AH39" s="148">
        <v>609.59099999999921</v>
      </c>
      <c r="AI39" s="148">
        <v>669.54899999999952</v>
      </c>
    </row>
    <row r="40" spans="2:35" x14ac:dyDescent="0.2">
      <c r="B40" s="60" t="s">
        <v>3447</v>
      </c>
      <c r="H40" s="153">
        <v>291509.7715384615</v>
      </c>
      <c r="R40" s="148"/>
      <c r="S40">
        <v>182.99</v>
      </c>
      <c r="T40" t="s">
        <v>5200</v>
      </c>
      <c r="V40" s="148">
        <v>21</v>
      </c>
      <c r="W40" s="148">
        <v>20.291999999999998</v>
      </c>
      <c r="X40" s="148">
        <v>19.727999999999998</v>
      </c>
      <c r="Y40" s="148">
        <v>19.163999999999998</v>
      </c>
      <c r="Z40" s="148">
        <v>18.600000000000001</v>
      </c>
      <c r="AA40" s="148">
        <v>18.035999999999998</v>
      </c>
      <c r="AB40" s="148">
        <v>17.471999999999998</v>
      </c>
      <c r="AC40" s="148">
        <v>16.907999999999998</v>
      </c>
      <c r="AD40" s="148">
        <v>16.343999999999998</v>
      </c>
      <c r="AE40" s="148">
        <v>15.78</v>
      </c>
      <c r="AF40" s="148">
        <v>15.215999999999998</v>
      </c>
      <c r="AG40" s="148">
        <v>14.651999999999997</v>
      </c>
      <c r="AH40" s="148">
        <v>14.087999999999997</v>
      </c>
      <c r="AI40" s="148">
        <v>17.471999999999998</v>
      </c>
    </row>
    <row r="41" spans="2:35" ht="13.5" thickBot="1" x14ac:dyDescent="0.25">
      <c r="H41" s="67">
        <f>SUM(H39:H40)</f>
        <v>8412709.7815384623</v>
      </c>
      <c r="R41" s="148"/>
      <c r="S41">
        <v>182.99</v>
      </c>
      <c r="T41" t="s">
        <v>5201</v>
      </c>
      <c r="V41" s="148">
        <v>45</v>
      </c>
      <c r="W41" s="148">
        <v>44.028349999999996</v>
      </c>
      <c r="X41" s="148">
        <v>43.425219999999996</v>
      </c>
      <c r="Y41" s="148">
        <v>42.822089999999996</v>
      </c>
      <c r="Z41" s="148">
        <v>42.218959999999996</v>
      </c>
      <c r="AA41" s="148">
        <v>41.615829999999995</v>
      </c>
      <c r="AB41" s="148">
        <v>41.012699999999995</v>
      </c>
      <c r="AC41" s="148">
        <v>40.409569999999995</v>
      </c>
      <c r="AD41" s="148">
        <v>39.806439999999995</v>
      </c>
      <c r="AE41" s="148">
        <v>39.203309999999995</v>
      </c>
      <c r="AF41" s="148">
        <v>38.600179999999995</v>
      </c>
      <c r="AG41" s="148">
        <v>37.997049999999994</v>
      </c>
      <c r="AH41" s="148">
        <v>37.393919999999994</v>
      </c>
      <c r="AI41" s="148">
        <v>41.012700000000002</v>
      </c>
    </row>
    <row r="42" spans="2:35" ht="13.5" thickTop="1" x14ac:dyDescent="0.2">
      <c r="F42" s="30"/>
      <c r="R42" s="148"/>
      <c r="S42">
        <v>182.99</v>
      </c>
      <c r="T42" t="s">
        <v>5202</v>
      </c>
      <c r="V42" s="148">
        <v>525</v>
      </c>
      <c r="W42" s="148">
        <v>517.64888999999994</v>
      </c>
      <c r="X42" s="148">
        <v>510.55779999999993</v>
      </c>
      <c r="Y42" s="148">
        <v>503.46670999999992</v>
      </c>
      <c r="Z42" s="148">
        <v>496.37561999999991</v>
      </c>
      <c r="AA42" s="148">
        <v>489.2845299999999</v>
      </c>
      <c r="AB42" s="148">
        <v>482.1934399999999</v>
      </c>
      <c r="AC42" s="148">
        <v>475.10234999999989</v>
      </c>
      <c r="AD42" s="148">
        <v>468.01125999999988</v>
      </c>
      <c r="AE42" s="148">
        <v>460.92016999999987</v>
      </c>
      <c r="AF42" s="148">
        <v>453.82907999999986</v>
      </c>
      <c r="AG42" s="148">
        <v>446.73798999999985</v>
      </c>
      <c r="AH42" s="148">
        <v>439.64689999999985</v>
      </c>
      <c r="AI42" s="153">
        <v>482.19343999999995</v>
      </c>
    </row>
    <row r="43" spans="2:35" x14ac:dyDescent="0.2">
      <c r="F43" s="30"/>
      <c r="R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28">
        <f>SUM(AI37:AI42)</f>
        <v>2706.8022300000002</v>
      </c>
    </row>
    <row r="44" spans="2:35" x14ac:dyDescent="0.2">
      <c r="R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</row>
    <row r="45" spans="2:35" x14ac:dyDescent="0.2">
      <c r="B45" s="65" t="s">
        <v>3435</v>
      </c>
      <c r="R45" s="148"/>
      <c r="S45">
        <v>182.97</v>
      </c>
      <c r="T45" t="s">
        <v>5198</v>
      </c>
      <c r="V45" s="148">
        <v>7328</v>
      </c>
      <c r="W45" s="148">
        <v>7196.3327100000024</v>
      </c>
      <c r="X45" s="148">
        <v>7064.2088100000028</v>
      </c>
      <c r="Y45" s="148">
        <v>6932.0849100000032</v>
      </c>
      <c r="Z45" s="148">
        <v>6799.9610100000036</v>
      </c>
      <c r="AA45" s="148">
        <v>6667.837110000004</v>
      </c>
      <c r="AB45" s="148">
        <v>6535.7132100000044</v>
      </c>
      <c r="AC45" s="148">
        <v>6403.5893100000048</v>
      </c>
      <c r="AD45" s="148">
        <v>6271.4654100000052</v>
      </c>
      <c r="AE45" s="148">
        <v>6139.3415100000057</v>
      </c>
      <c r="AF45" s="148">
        <v>6007.2176100000061</v>
      </c>
      <c r="AG45" s="148">
        <v>5875.0937100000065</v>
      </c>
      <c r="AH45" s="148">
        <v>5742.9698100000069</v>
      </c>
      <c r="AI45" s="148">
        <v>6535.7132100000035</v>
      </c>
    </row>
    <row r="46" spans="2:35" x14ac:dyDescent="0.2">
      <c r="R46" s="148"/>
      <c r="S46">
        <v>182.91</v>
      </c>
      <c r="T46" t="s">
        <v>5192</v>
      </c>
      <c r="V46" s="148">
        <v>258</v>
      </c>
      <c r="W46" s="148">
        <v>253.0096199999999</v>
      </c>
      <c r="X46" s="148">
        <v>247.53364999999991</v>
      </c>
      <c r="Y46" s="148">
        <v>242.05767999999992</v>
      </c>
      <c r="Z46" s="148">
        <v>236.58170999999993</v>
      </c>
      <c r="AA46" s="148">
        <v>231.32461999999992</v>
      </c>
      <c r="AB46" s="148">
        <v>226.06752999999992</v>
      </c>
      <c r="AC46" s="148">
        <v>220.81043999999991</v>
      </c>
      <c r="AD46" s="148">
        <v>215.55334999999991</v>
      </c>
      <c r="AE46" s="148">
        <v>210.2962599999999</v>
      </c>
      <c r="AF46" s="148">
        <v>205.0391699999999</v>
      </c>
      <c r="AG46" s="148">
        <v>199.78207999999989</v>
      </c>
      <c r="AH46" s="148">
        <v>194.52498999999989</v>
      </c>
      <c r="AI46" s="153">
        <v>226.23589923076918</v>
      </c>
    </row>
    <row r="47" spans="2:35" x14ac:dyDescent="0.2">
      <c r="B47" s="60" t="s">
        <v>3434</v>
      </c>
      <c r="H47" s="148">
        <v>2792664.49</v>
      </c>
      <c r="R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28">
        <f>SUM(AI45:AI46)</f>
        <v>6761.9491092307726</v>
      </c>
    </row>
    <row r="48" spans="2:35" x14ac:dyDescent="0.2">
      <c r="B48" s="60" t="s">
        <v>3439</v>
      </c>
      <c r="H48" s="148">
        <v>699918.24</v>
      </c>
      <c r="R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</row>
    <row r="49" spans="2:35" x14ac:dyDescent="0.2">
      <c r="B49" s="60" t="s">
        <v>3440</v>
      </c>
      <c r="H49" s="148">
        <v>79068.14</v>
      </c>
      <c r="R49" s="148"/>
      <c r="S49">
        <v>182.84</v>
      </c>
      <c r="T49" t="s">
        <v>2334</v>
      </c>
      <c r="V49" s="148">
        <v>961</v>
      </c>
      <c r="W49" s="148">
        <v>955.81001999999967</v>
      </c>
      <c r="X49" s="148">
        <v>950.22047999999961</v>
      </c>
      <c r="Y49" s="148">
        <v>944.63093999999955</v>
      </c>
      <c r="Z49" s="148">
        <v>939.0413999999995</v>
      </c>
      <c r="AA49" s="148">
        <v>933.45185999999944</v>
      </c>
      <c r="AB49" s="148">
        <v>927.86231999999939</v>
      </c>
      <c r="AC49" s="148">
        <v>922.27277999999933</v>
      </c>
      <c r="AD49" s="148">
        <v>916.68323999999927</v>
      </c>
      <c r="AE49" s="148">
        <v>911.09369999999922</v>
      </c>
      <c r="AF49" s="148">
        <v>905.50415999999916</v>
      </c>
      <c r="AG49" s="148">
        <v>899.9146199999991</v>
      </c>
      <c r="AH49" s="148">
        <v>894.32507999999905</v>
      </c>
      <c r="AI49" s="148">
        <v>927.86231999999939</v>
      </c>
    </row>
    <row r="50" spans="2:35" x14ac:dyDescent="0.2">
      <c r="B50" s="60" t="s">
        <v>3446</v>
      </c>
      <c r="H50" s="148">
        <v>552091.35</v>
      </c>
      <c r="R50" s="148"/>
      <c r="S50">
        <v>182.84</v>
      </c>
      <c r="T50" t="s">
        <v>2335</v>
      </c>
      <c r="V50" s="148">
        <v>1737</v>
      </c>
      <c r="W50" s="148">
        <v>1727.0304999999998</v>
      </c>
      <c r="X50" s="148">
        <v>1716.9309099999998</v>
      </c>
      <c r="Y50" s="148">
        <v>1706.8313199999998</v>
      </c>
      <c r="Z50" s="148">
        <v>1696.7317299999997</v>
      </c>
      <c r="AA50" s="148">
        <v>1686.6321399999997</v>
      </c>
      <c r="AB50" s="148">
        <v>1676.5325499999997</v>
      </c>
      <c r="AC50" s="148">
        <v>1666.4329599999996</v>
      </c>
      <c r="AD50" s="148">
        <v>1656.3333699999996</v>
      </c>
      <c r="AE50" s="148">
        <v>1646.2337799999996</v>
      </c>
      <c r="AF50" s="148">
        <v>1636.1341899999995</v>
      </c>
      <c r="AG50" s="148">
        <v>1626.0345999999995</v>
      </c>
      <c r="AH50" s="148">
        <v>1615.9350099999995</v>
      </c>
      <c r="AI50" s="148">
        <v>1676.5325499999999</v>
      </c>
    </row>
    <row r="51" spans="2:35" x14ac:dyDescent="0.2">
      <c r="B51" s="60" t="s">
        <v>3441</v>
      </c>
      <c r="H51" s="148">
        <v>107358.24692307692</v>
      </c>
      <c r="R51" s="148"/>
      <c r="S51">
        <v>182.85</v>
      </c>
      <c r="T51" t="s">
        <v>2336</v>
      </c>
      <c r="V51" s="148">
        <v>242</v>
      </c>
      <c r="W51" s="148">
        <v>240.63577000000001</v>
      </c>
      <c r="X51" s="148">
        <v>239.22854000000001</v>
      </c>
      <c r="Y51" s="148">
        <v>237.82131000000001</v>
      </c>
      <c r="Z51" s="148">
        <v>236.41408000000001</v>
      </c>
      <c r="AA51" s="148">
        <v>235.00685000000001</v>
      </c>
      <c r="AB51" s="148">
        <v>233.59962000000002</v>
      </c>
      <c r="AC51" s="148">
        <v>232.19239000000002</v>
      </c>
      <c r="AD51" s="148">
        <v>230.78516000000002</v>
      </c>
      <c r="AE51" s="148">
        <v>229.37793000000002</v>
      </c>
      <c r="AF51" s="148">
        <v>227.97070000000002</v>
      </c>
      <c r="AG51" s="148">
        <v>226.56347000000002</v>
      </c>
      <c r="AH51" s="148">
        <v>225.15624000000003</v>
      </c>
      <c r="AI51" s="148">
        <v>233.59962000000002</v>
      </c>
    </row>
    <row r="52" spans="2:35" x14ac:dyDescent="0.2">
      <c r="B52" s="60" t="s">
        <v>3433</v>
      </c>
      <c r="H52" s="153">
        <v>418117.20461538463</v>
      </c>
      <c r="R52" s="148"/>
      <c r="S52">
        <v>182.85</v>
      </c>
      <c r="T52" t="s">
        <v>2337</v>
      </c>
      <c r="V52" s="148">
        <v>434</v>
      </c>
      <c r="W52" s="148">
        <v>431.75756000000001</v>
      </c>
      <c r="X52" s="148">
        <v>429.23266000000001</v>
      </c>
      <c r="Y52" s="148">
        <v>426.70776000000001</v>
      </c>
      <c r="Z52" s="148">
        <v>424.18286000000001</v>
      </c>
      <c r="AA52" s="148">
        <v>421.65796</v>
      </c>
      <c r="AB52" s="148">
        <v>419.13306</v>
      </c>
      <c r="AC52" s="148">
        <v>416.60816</v>
      </c>
      <c r="AD52" s="148">
        <v>414.08326</v>
      </c>
      <c r="AE52" s="148">
        <v>411.55835999999999</v>
      </c>
      <c r="AF52" s="148">
        <v>409.03345999999999</v>
      </c>
      <c r="AG52" s="148">
        <v>406.50855999999999</v>
      </c>
      <c r="AH52" s="148">
        <v>403.98365999999999</v>
      </c>
      <c r="AI52" s="148">
        <v>419.13306000000006</v>
      </c>
    </row>
    <row r="53" spans="2:35" ht="13.5" thickBot="1" x14ac:dyDescent="0.25">
      <c r="H53" s="67">
        <f>SUM(H47:H52)</f>
        <v>4649217.6715384619</v>
      </c>
      <c r="R53" s="148"/>
      <c r="S53">
        <v>182.87</v>
      </c>
      <c r="T53" t="s">
        <v>2338</v>
      </c>
      <c r="V53" s="148">
        <v>32</v>
      </c>
      <c r="W53" s="148">
        <v>31.385230000000007</v>
      </c>
      <c r="X53" s="148">
        <v>31.191500000000008</v>
      </c>
      <c r="Y53" s="148">
        <v>30.99777000000001</v>
      </c>
      <c r="Z53" s="148">
        <v>30.804040000000011</v>
      </c>
      <c r="AA53" s="148">
        <v>30.610310000000013</v>
      </c>
      <c r="AB53" s="148">
        <v>30.416580000000014</v>
      </c>
      <c r="AC53" s="148">
        <v>30.222850000000015</v>
      </c>
      <c r="AD53" s="148">
        <v>30.029120000000017</v>
      </c>
      <c r="AE53" s="148">
        <v>29.835390000000018</v>
      </c>
      <c r="AF53" s="148">
        <v>29.641660000000019</v>
      </c>
      <c r="AG53" s="148">
        <v>29.447930000000021</v>
      </c>
      <c r="AH53" s="148">
        <v>29.254200000000022</v>
      </c>
      <c r="AI53" s="148">
        <v>30.416580000000014</v>
      </c>
    </row>
    <row r="54" spans="2:35" ht="13.5" thickTop="1" x14ac:dyDescent="0.2">
      <c r="H54" s="30"/>
      <c r="R54" s="148"/>
      <c r="S54">
        <v>182.87</v>
      </c>
      <c r="T54" t="s">
        <v>2339</v>
      </c>
      <c r="V54" s="148">
        <v>45</v>
      </c>
      <c r="W54" s="148">
        <v>44.407909999999987</v>
      </c>
      <c r="X54" s="148">
        <v>44.133789999999983</v>
      </c>
      <c r="Y54" s="148">
        <v>43.85966999999998</v>
      </c>
      <c r="Z54" s="148">
        <v>43.585549999999976</v>
      </c>
      <c r="AA54" s="148">
        <v>43.311429999999973</v>
      </c>
      <c r="AB54" s="148">
        <v>43.03730999999997</v>
      </c>
      <c r="AC54" s="148">
        <v>42.763189999999966</v>
      </c>
      <c r="AD54" s="148">
        <v>42.489069999999963</v>
      </c>
      <c r="AE54" s="148">
        <v>42.214949999999959</v>
      </c>
      <c r="AF54" s="148">
        <v>41.940829999999956</v>
      </c>
      <c r="AG54" s="148">
        <v>41.666709999999952</v>
      </c>
      <c r="AH54" s="148">
        <v>41.392589999999949</v>
      </c>
      <c r="AI54" s="148">
        <v>43.037309999999962</v>
      </c>
    </row>
    <row r="55" spans="2:35" x14ac:dyDescent="0.2">
      <c r="H55" s="27" t="s">
        <v>2991</v>
      </c>
      <c r="R55" s="148"/>
      <c r="S55">
        <v>182.88</v>
      </c>
      <c r="T55" t="s">
        <v>2340</v>
      </c>
      <c r="V55" s="148">
        <v>220</v>
      </c>
      <c r="W55" s="148">
        <v>218.36844000000002</v>
      </c>
      <c r="X55" s="148">
        <v>217.02049000000002</v>
      </c>
      <c r="Y55" s="148">
        <v>215.67254000000003</v>
      </c>
      <c r="Z55" s="148">
        <v>214.32459000000003</v>
      </c>
      <c r="AA55" s="148">
        <v>212.97664000000003</v>
      </c>
      <c r="AB55" s="148">
        <v>211.62869000000003</v>
      </c>
      <c r="AC55" s="148">
        <v>210.28074000000004</v>
      </c>
      <c r="AD55" s="148">
        <v>208.93279000000004</v>
      </c>
      <c r="AE55" s="148">
        <v>207.58484000000004</v>
      </c>
      <c r="AF55" s="148">
        <v>206.23689000000005</v>
      </c>
      <c r="AG55" s="148">
        <v>204.88894000000005</v>
      </c>
      <c r="AH55" s="148">
        <v>203.54099000000005</v>
      </c>
      <c r="AI55" s="148">
        <v>211.62869000000006</v>
      </c>
    </row>
    <row r="56" spans="2:35" x14ac:dyDescent="0.2">
      <c r="B56" s="31" t="s">
        <v>3625</v>
      </c>
      <c r="D56" s="31" t="s">
        <v>2989</v>
      </c>
      <c r="F56" s="31" t="s">
        <v>2988</v>
      </c>
      <c r="H56" s="31" t="s">
        <v>2992</v>
      </c>
      <c r="R56" s="148"/>
      <c r="S56">
        <v>182.88</v>
      </c>
      <c r="T56" t="s">
        <v>2341</v>
      </c>
      <c r="V56" s="148">
        <v>313</v>
      </c>
      <c r="W56" s="148">
        <v>310.85526000000004</v>
      </c>
      <c r="X56" s="148">
        <v>308.93640000000005</v>
      </c>
      <c r="Y56" s="148">
        <v>307.01754000000005</v>
      </c>
      <c r="Z56" s="148">
        <v>305.09868000000006</v>
      </c>
      <c r="AA56" s="148">
        <v>303.17982000000006</v>
      </c>
      <c r="AB56" s="148">
        <v>301.26096000000007</v>
      </c>
      <c r="AC56" s="148">
        <v>299.34210000000007</v>
      </c>
      <c r="AD56" s="148">
        <v>297.42324000000008</v>
      </c>
      <c r="AE56" s="148">
        <v>295.50438000000008</v>
      </c>
      <c r="AF56" s="148">
        <v>293.58552000000009</v>
      </c>
      <c r="AG56" s="148">
        <v>291.66666000000009</v>
      </c>
      <c r="AH56" s="148">
        <v>289.7478000000001</v>
      </c>
      <c r="AI56" s="148">
        <v>301.26096000000013</v>
      </c>
    </row>
    <row r="57" spans="2:35" x14ac:dyDescent="0.2">
      <c r="R57" s="148"/>
      <c r="S57">
        <v>182.94</v>
      </c>
      <c r="T57" t="s">
        <v>5194</v>
      </c>
      <c r="V57" s="148">
        <v>93</v>
      </c>
      <c r="W57" s="148">
        <v>90.103989999999996</v>
      </c>
      <c r="X57" s="148">
        <v>87.680329999999998</v>
      </c>
      <c r="Y57" s="148">
        <v>85.25667</v>
      </c>
      <c r="Z57" s="148">
        <v>82.833010000000002</v>
      </c>
      <c r="AA57" s="148">
        <v>80.409350000000003</v>
      </c>
      <c r="AB57" s="148">
        <v>77.985690000000005</v>
      </c>
      <c r="AC57" s="148">
        <v>75.562030000000007</v>
      </c>
      <c r="AD57" s="148">
        <v>73.288350000000008</v>
      </c>
      <c r="AE57" s="148">
        <v>71.01467000000001</v>
      </c>
      <c r="AF57" s="148">
        <v>68.740990000000011</v>
      </c>
      <c r="AG57" s="148">
        <v>66.467310000000012</v>
      </c>
      <c r="AH57" s="148">
        <v>64.193630000000013</v>
      </c>
      <c r="AI57" s="148">
        <v>78.15874384615384</v>
      </c>
    </row>
    <row r="58" spans="2:35" x14ac:dyDescent="0.2">
      <c r="B58" t="s">
        <v>3442</v>
      </c>
      <c r="D58" t="s">
        <v>3444</v>
      </c>
      <c r="F58">
        <f>60685000/147085000</f>
        <v>0.41258455994832921</v>
      </c>
      <c r="H58" s="30">
        <f>H53*F58</f>
        <v>1918195.4271156921</v>
      </c>
      <c r="R58" s="148"/>
      <c r="S58">
        <v>182.95</v>
      </c>
      <c r="T58" t="s">
        <v>5195</v>
      </c>
      <c r="V58" s="148">
        <v>371</v>
      </c>
      <c r="W58" s="148">
        <v>362.8981399999999</v>
      </c>
      <c r="X58" s="148">
        <v>355.04419999999988</v>
      </c>
      <c r="Y58" s="148">
        <v>347.19025999999985</v>
      </c>
      <c r="Z58" s="148">
        <v>339.33631999999983</v>
      </c>
      <c r="AA58" s="148">
        <v>331.79603999999983</v>
      </c>
      <c r="AB58" s="148">
        <v>324.25575999999984</v>
      </c>
      <c r="AC58" s="148">
        <v>316.71547999999984</v>
      </c>
      <c r="AD58" s="148">
        <v>309.17519999999985</v>
      </c>
      <c r="AE58" s="148">
        <v>301.63491999999985</v>
      </c>
      <c r="AF58" s="148">
        <v>294.09463999999986</v>
      </c>
      <c r="AG58" s="148">
        <v>286.55435999999986</v>
      </c>
      <c r="AH58" s="148">
        <v>279.01407999999986</v>
      </c>
      <c r="AI58" s="153">
        <v>324.49703692307679</v>
      </c>
    </row>
    <row r="59" spans="2:35" x14ac:dyDescent="0.2">
      <c r="B59" t="s">
        <v>3443</v>
      </c>
      <c r="D59" t="s">
        <v>3445</v>
      </c>
      <c r="F59" s="33">
        <f>86400000/147085000</f>
        <v>0.58741544005167079</v>
      </c>
      <c r="H59" s="64">
        <f>H53*F59</f>
        <v>2731022.2444227696</v>
      </c>
      <c r="R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28">
        <f>SUM(AI49:AI58)</f>
        <v>4246.1268707692298</v>
      </c>
    </row>
    <row r="60" spans="2:35" ht="13.5" thickBot="1" x14ac:dyDescent="0.25">
      <c r="F60">
        <f>SUM(F58:F59)</f>
        <v>1</v>
      </c>
      <c r="H60" s="67">
        <f>SUM(H58:H59)</f>
        <v>4649217.6715384619</v>
      </c>
      <c r="R60" s="148"/>
      <c r="W60" s="148"/>
      <c r="X60" s="148"/>
      <c r="AE60" s="27" t="s">
        <v>2991</v>
      </c>
      <c r="AF60" s="148"/>
    </row>
    <row r="61" spans="2:35" ht="13.5" thickTop="1" x14ac:dyDescent="0.2">
      <c r="R61" s="148"/>
      <c r="W61" s="148"/>
      <c r="X61" s="148"/>
      <c r="Y61" s="31" t="s">
        <v>3625</v>
      </c>
      <c r="Z61" s="31" t="s">
        <v>2989</v>
      </c>
      <c r="AC61" s="31" t="s">
        <v>2988</v>
      </c>
      <c r="AE61" s="31" t="s">
        <v>2992</v>
      </c>
    </row>
    <row r="62" spans="2:35" x14ac:dyDescent="0.2">
      <c r="R62" s="148"/>
      <c r="W62" s="148"/>
      <c r="X62" s="148"/>
    </row>
    <row r="63" spans="2:35" x14ac:dyDescent="0.2">
      <c r="R63" s="148"/>
      <c r="W63" s="148"/>
      <c r="X63" s="148"/>
      <c r="Y63" t="s">
        <v>3442</v>
      </c>
      <c r="Z63" t="s">
        <v>3444</v>
      </c>
      <c r="AC63">
        <f>60685000/147085000</f>
        <v>0.41258455994832921</v>
      </c>
      <c r="AE63" s="30">
        <f>AI59*AC63</f>
        <v>1751.8863864610987</v>
      </c>
    </row>
    <row r="64" spans="2:35" ht="39" customHeight="1" x14ac:dyDescent="0.2">
      <c r="B64" s="407" t="s">
        <v>3452</v>
      </c>
      <c r="C64" s="408"/>
      <c r="D64" s="408"/>
      <c r="E64" s="408"/>
      <c r="F64" s="408"/>
      <c r="G64" s="408"/>
      <c r="H64" s="408"/>
      <c r="R64" s="148"/>
      <c r="W64" s="148"/>
      <c r="X64" s="148"/>
      <c r="Y64" t="s">
        <v>3443</v>
      </c>
      <c r="Z64" t="s">
        <v>3445</v>
      </c>
      <c r="AC64" s="33">
        <f>86400000/147085000</f>
        <v>0.58741544005167079</v>
      </c>
      <c r="AE64" s="64">
        <f>AI59*AC64</f>
        <v>2494.2404843081308</v>
      </c>
    </row>
    <row r="65" spans="2:36" ht="13.5" thickBot="1" x14ac:dyDescent="0.25">
      <c r="B65" s="60" t="s">
        <v>3449</v>
      </c>
      <c r="H65" s="148">
        <v>183211.95</v>
      </c>
      <c r="W65" s="148"/>
      <c r="X65" s="148"/>
      <c r="AC65">
        <f>SUM(AC63:AC64)</f>
        <v>1</v>
      </c>
      <c r="AE65" s="67">
        <f>SUM(AE63:AE64)</f>
        <v>4246.1268707692298</v>
      </c>
      <c r="AF65" s="148"/>
    </row>
    <row r="66" spans="2:36" ht="13.5" thickTop="1" x14ac:dyDescent="0.2">
      <c r="B66" s="60" t="s">
        <v>3450</v>
      </c>
      <c r="H66" s="148">
        <v>168.62461538461537</v>
      </c>
      <c r="W66" s="148"/>
      <c r="X66" s="148"/>
      <c r="AE66" s="57"/>
      <c r="AF66" s="148"/>
    </row>
    <row r="67" spans="2:36" x14ac:dyDescent="0.2">
      <c r="B67" s="60" t="s">
        <v>3451</v>
      </c>
      <c r="H67" s="148">
        <v>94812.39</v>
      </c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</row>
    <row r="68" spans="2:36" ht="13.5" thickBot="1" x14ac:dyDescent="0.25">
      <c r="H68" s="67">
        <f>SUM(H65:H67)</f>
        <v>278192.96461538464</v>
      </c>
      <c r="R68" s="148"/>
      <c r="S68" s="127" t="s">
        <v>5204</v>
      </c>
      <c r="T68" t="s">
        <v>2093</v>
      </c>
      <c r="W68" s="148">
        <v>156.75083000000004</v>
      </c>
      <c r="X68" s="148">
        <v>152.97067000000004</v>
      </c>
      <c r="Y68" s="148">
        <v>149.19051000000005</v>
      </c>
      <c r="Z68" s="148">
        <v>145.41035000000005</v>
      </c>
      <c r="AA68" s="148">
        <v>141.63019000000006</v>
      </c>
      <c r="AB68" s="148">
        <v>137.85003000000006</v>
      </c>
      <c r="AC68" s="148">
        <v>134.06987000000007</v>
      </c>
      <c r="AD68" s="148">
        <v>130.28971000000007</v>
      </c>
      <c r="AE68" s="148">
        <v>126.50955000000008</v>
      </c>
      <c r="AF68" s="148">
        <v>122.72939000000008</v>
      </c>
      <c r="AG68" s="148">
        <v>118.94923000000009</v>
      </c>
      <c r="AH68" s="148">
        <v>115.16907000000009</v>
      </c>
      <c r="AI68" s="148">
        <v>137.85003000000003</v>
      </c>
    </row>
    <row r="69" spans="2:36" ht="13.5" thickTop="1" x14ac:dyDescent="0.2">
      <c r="S69" s="127" t="s">
        <v>5205</v>
      </c>
      <c r="T69" t="s">
        <v>2094</v>
      </c>
      <c r="W69" s="148">
        <v>78.509390000000039</v>
      </c>
      <c r="X69" s="148">
        <v>76.180390000000045</v>
      </c>
      <c r="Y69" s="148">
        <v>73.851390000000052</v>
      </c>
      <c r="Z69" s="148">
        <v>71.522390000000058</v>
      </c>
      <c r="AA69" s="148">
        <v>69.193390000000065</v>
      </c>
      <c r="AB69" s="148">
        <v>66.864390000000071</v>
      </c>
      <c r="AC69" s="148">
        <v>64.535390000000078</v>
      </c>
      <c r="AD69" s="148">
        <v>62.344390000000075</v>
      </c>
      <c r="AE69" s="148">
        <v>60.153390000000073</v>
      </c>
      <c r="AF69" s="148">
        <v>57.96239000000007</v>
      </c>
      <c r="AG69" s="148">
        <v>55.771390000000068</v>
      </c>
      <c r="AH69" s="148">
        <v>53.580390000000065</v>
      </c>
      <c r="AI69" s="148">
        <v>67.023620769230831</v>
      </c>
    </row>
    <row r="70" spans="2:36" x14ac:dyDescent="0.2">
      <c r="S70" s="127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</row>
    <row r="71" spans="2:36" ht="38.25" x14ac:dyDescent="0.2">
      <c r="T71" s="68" t="s">
        <v>2092</v>
      </c>
    </row>
    <row r="74" spans="2:36" x14ac:dyDescent="0.2">
      <c r="T74" t="s">
        <v>5203</v>
      </c>
      <c r="W74" s="148">
        <v>20487.777320000005</v>
      </c>
      <c r="X74" s="148">
        <v>20259.635120000003</v>
      </c>
      <c r="Y74" s="148">
        <v>20031.492920000001</v>
      </c>
      <c r="Z74" s="148">
        <v>19803.350719999999</v>
      </c>
      <c r="AA74" s="148">
        <v>19575.741060000004</v>
      </c>
      <c r="AB74" s="148">
        <v>19348.131400000006</v>
      </c>
      <c r="AC74" s="148">
        <v>19120.521740000004</v>
      </c>
      <c r="AD74" s="148">
        <v>18893.200060000003</v>
      </c>
      <c r="AE74" s="148">
        <v>18665.878380000009</v>
      </c>
      <c r="AF74" s="148">
        <v>18438.556700000005</v>
      </c>
      <c r="AG74" s="148">
        <v>18211.235020000004</v>
      </c>
      <c r="AH74" s="148">
        <v>17983.913340000003</v>
      </c>
      <c r="AI74" s="148">
        <v>19348.873330769231</v>
      </c>
    </row>
    <row r="77" spans="2:36" ht="15" x14ac:dyDescent="0.2">
      <c r="AJ77" s="34"/>
    </row>
    <row r="78" spans="2:36" ht="15" x14ac:dyDescent="0.2">
      <c r="U78" s="69"/>
      <c r="V78" s="69"/>
      <c r="W78" s="69"/>
      <c r="X78" s="69"/>
      <c r="Y78" s="69"/>
      <c r="Z78" s="69"/>
      <c r="AJ78" s="34"/>
    </row>
    <row r="79" spans="2:36" ht="15" x14ac:dyDescent="0.2">
      <c r="S79" s="406" t="s">
        <v>4326</v>
      </c>
      <c r="T79" s="406"/>
      <c r="U79" s="406"/>
      <c r="V79" s="406"/>
      <c r="W79" s="406"/>
      <c r="X79" s="406"/>
      <c r="Y79" s="406"/>
      <c r="Z79" s="406"/>
      <c r="AA79" s="406"/>
      <c r="AB79" s="406"/>
      <c r="AC79" s="406"/>
      <c r="AD79" s="406"/>
      <c r="AE79" s="406"/>
      <c r="AF79" s="406"/>
      <c r="AG79" s="406"/>
      <c r="AH79" s="406"/>
      <c r="AI79" s="406"/>
      <c r="AJ79" s="34"/>
    </row>
    <row r="80" spans="2:36" ht="15" x14ac:dyDescent="0.2">
      <c r="S80" s="406" t="s">
        <v>2095</v>
      </c>
      <c r="T80" s="406"/>
      <c r="U80" s="406"/>
      <c r="V80" s="406"/>
      <c r="W80" s="406"/>
      <c r="X80" s="406"/>
      <c r="Y80" s="406"/>
      <c r="Z80" s="406"/>
      <c r="AA80" s="406"/>
      <c r="AB80" s="406"/>
      <c r="AC80" s="406"/>
      <c r="AD80" s="406"/>
      <c r="AE80" s="406"/>
      <c r="AF80" s="406"/>
      <c r="AG80" s="406"/>
      <c r="AH80" s="406"/>
      <c r="AI80" s="406"/>
    </row>
    <row r="81" spans="19:35" ht="15" x14ac:dyDescent="0.2">
      <c r="S81" s="406" t="s">
        <v>2926</v>
      </c>
      <c r="T81" s="406"/>
      <c r="U81" s="406"/>
      <c r="V81" s="406"/>
      <c r="W81" s="406"/>
      <c r="X81" s="406"/>
      <c r="Y81" s="406"/>
      <c r="Z81" s="406"/>
      <c r="AA81" s="406"/>
      <c r="AB81" s="406"/>
      <c r="AC81" s="406"/>
      <c r="AD81" s="406"/>
      <c r="AE81" s="406"/>
      <c r="AF81" s="406"/>
      <c r="AG81" s="406"/>
      <c r="AH81" s="406"/>
      <c r="AI81" s="406"/>
    </row>
    <row r="82" spans="19:35" ht="15" x14ac:dyDescent="0.2"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</row>
    <row r="85" spans="19:35" x14ac:dyDescent="0.2">
      <c r="V85" s="126">
        <v>39783</v>
      </c>
      <c r="W85" s="126">
        <v>39814</v>
      </c>
      <c r="X85" s="126">
        <v>39845</v>
      </c>
      <c r="Y85" s="126">
        <v>39873</v>
      </c>
      <c r="Z85" s="126">
        <v>39904</v>
      </c>
      <c r="AA85" s="126">
        <v>39934</v>
      </c>
      <c r="AB85" s="126">
        <v>39965</v>
      </c>
      <c r="AC85" s="126">
        <v>39995</v>
      </c>
      <c r="AD85" s="126">
        <v>40026</v>
      </c>
      <c r="AE85" s="126">
        <v>40057</v>
      </c>
      <c r="AF85" s="126">
        <v>40087</v>
      </c>
      <c r="AG85" s="126">
        <v>40118</v>
      </c>
      <c r="AH85" s="126">
        <v>40148</v>
      </c>
      <c r="AI85" s="27" t="s">
        <v>423</v>
      </c>
    </row>
    <row r="86" spans="19:35" x14ac:dyDescent="0.2">
      <c r="S86" t="s">
        <v>353</v>
      </c>
      <c r="T86" t="s">
        <v>426</v>
      </c>
      <c r="V86" s="27" t="s">
        <v>424</v>
      </c>
      <c r="W86" s="27" t="s">
        <v>424</v>
      </c>
      <c r="X86" s="27" t="s">
        <v>424</v>
      </c>
      <c r="Y86" s="27" t="s">
        <v>424</v>
      </c>
      <c r="Z86" s="27" t="s">
        <v>424</v>
      </c>
      <c r="AA86" s="27" t="s">
        <v>424</v>
      </c>
      <c r="AB86" s="27" t="s">
        <v>424</v>
      </c>
      <c r="AC86" s="27" t="s">
        <v>424</v>
      </c>
      <c r="AD86" s="27" t="s">
        <v>424</v>
      </c>
      <c r="AE86" s="27" t="s">
        <v>424</v>
      </c>
      <c r="AF86" s="27" t="s">
        <v>424</v>
      </c>
      <c r="AG86" s="27" t="s">
        <v>424</v>
      </c>
      <c r="AH86" s="27" t="s">
        <v>424</v>
      </c>
      <c r="AI86" s="27" t="s">
        <v>428</v>
      </c>
    </row>
    <row r="89" spans="19:35" x14ac:dyDescent="0.2">
      <c r="S89">
        <v>182.81</v>
      </c>
      <c r="T89" t="s">
        <v>2330</v>
      </c>
      <c r="V89" s="148">
        <v>133.2513499999998</v>
      </c>
      <c r="W89" s="148">
        <v>132.07213999999979</v>
      </c>
      <c r="X89" s="148">
        <v>130.89292999999978</v>
      </c>
      <c r="Y89" s="148">
        <v>129.71371999999977</v>
      </c>
      <c r="Z89" s="148">
        <v>128.53450999999976</v>
      </c>
      <c r="AA89" s="148">
        <v>127.35529999999976</v>
      </c>
      <c r="AB89" s="148">
        <v>126.17608999999976</v>
      </c>
      <c r="AC89" s="148">
        <v>124.99687999999976</v>
      </c>
      <c r="AD89" s="148">
        <v>123.81766999999977</v>
      </c>
      <c r="AE89" s="148">
        <v>122.63845999999977</v>
      </c>
      <c r="AF89" s="148">
        <v>121.45924999999977</v>
      </c>
      <c r="AG89" s="148">
        <v>120.28003999999977</v>
      </c>
      <c r="AH89" s="148">
        <v>119.10082999999977</v>
      </c>
      <c r="AI89" s="94">
        <v>126.17608999999977</v>
      </c>
    </row>
    <row r="90" spans="19:35" x14ac:dyDescent="0.2">
      <c r="S90">
        <v>182.81</v>
      </c>
      <c r="T90" t="s">
        <v>354</v>
      </c>
      <c r="V90" s="148">
        <v>203.86412000000004</v>
      </c>
      <c r="W90" s="148">
        <v>202.84479000000005</v>
      </c>
      <c r="X90" s="148">
        <v>201.82546000000005</v>
      </c>
      <c r="Y90" s="148">
        <v>200.80613000000005</v>
      </c>
      <c r="Z90" s="148">
        <v>199.78680000000006</v>
      </c>
      <c r="AA90" s="148">
        <v>198.76747000000006</v>
      </c>
      <c r="AB90" s="148">
        <v>197.74814000000006</v>
      </c>
      <c r="AC90" s="148">
        <v>196.72881000000007</v>
      </c>
      <c r="AD90" s="148">
        <v>195.70948000000007</v>
      </c>
      <c r="AE90" s="148">
        <v>194.69015000000007</v>
      </c>
      <c r="AF90" s="148">
        <v>193.67082000000008</v>
      </c>
      <c r="AG90" s="148">
        <v>192.65149000000008</v>
      </c>
      <c r="AH90" s="148">
        <v>191.63216000000008</v>
      </c>
      <c r="AI90" s="94">
        <v>197.74814000000009</v>
      </c>
    </row>
    <row r="92" spans="19:35" x14ac:dyDescent="0.2">
      <c r="S92">
        <v>182.96</v>
      </c>
      <c r="T92" t="s">
        <v>5196</v>
      </c>
      <c r="V92" s="148">
        <v>774.49637000000087</v>
      </c>
      <c r="W92" s="148">
        <v>772.00603000000092</v>
      </c>
      <c r="X92" s="148">
        <v>769.51569000000097</v>
      </c>
      <c r="Y92" s="148">
        <v>767.02535000000103</v>
      </c>
      <c r="Z92" s="148">
        <v>764.53501000000108</v>
      </c>
      <c r="AA92" s="148">
        <v>762.04467000000113</v>
      </c>
      <c r="AB92" s="148">
        <v>759.55433000000119</v>
      </c>
      <c r="AC92" s="148">
        <v>757.06399000000124</v>
      </c>
      <c r="AD92" s="148">
        <v>754.57365000000129</v>
      </c>
      <c r="AE92" s="148">
        <v>752.08331000000135</v>
      </c>
      <c r="AF92" s="148">
        <v>749.5929700000014</v>
      </c>
      <c r="AG92" s="148">
        <v>747.10263000000145</v>
      </c>
      <c r="AH92" s="148">
        <v>744.61229000000151</v>
      </c>
      <c r="AI92" s="148">
        <v>759.55433000000107</v>
      </c>
    </row>
    <row r="93" spans="19:35" x14ac:dyDescent="0.2">
      <c r="S93">
        <v>182.96</v>
      </c>
      <c r="T93" t="s">
        <v>5197</v>
      </c>
      <c r="V93" s="148">
        <v>693.75241999999935</v>
      </c>
      <c r="W93" s="148">
        <v>691.5217099999993</v>
      </c>
      <c r="X93" s="148">
        <v>689.29099999999926</v>
      </c>
      <c r="Y93" s="148">
        <v>687.06028999999921</v>
      </c>
      <c r="Z93" s="148">
        <v>684.82957999999917</v>
      </c>
      <c r="AA93" s="148">
        <v>682.59886999999912</v>
      </c>
      <c r="AB93" s="148">
        <v>680.36815999999908</v>
      </c>
      <c r="AC93" s="148">
        <v>678.13744999999903</v>
      </c>
      <c r="AD93" s="148">
        <v>675.90673999999899</v>
      </c>
      <c r="AE93" s="148">
        <v>673.67602999999895</v>
      </c>
      <c r="AF93" s="148">
        <v>671.4453199999989</v>
      </c>
      <c r="AG93" s="148">
        <v>669.21460999999886</v>
      </c>
      <c r="AH93" s="148">
        <v>666.98389999999881</v>
      </c>
      <c r="AI93" s="148">
        <v>680.36815999999919</v>
      </c>
    </row>
    <row r="94" spans="19:35" x14ac:dyDescent="0.2">
      <c r="S94">
        <v>182.99</v>
      </c>
      <c r="T94" t="s">
        <v>5199</v>
      </c>
      <c r="V94" s="148">
        <v>609.59099999999921</v>
      </c>
      <c r="W94" s="148">
        <v>599.59799999999916</v>
      </c>
      <c r="X94" s="148">
        <v>589.60499999999911</v>
      </c>
      <c r="Y94" s="148">
        <v>579.61199999999906</v>
      </c>
      <c r="Z94" s="148">
        <v>569.61899999999901</v>
      </c>
      <c r="AA94" s="148">
        <v>559.62599999999895</v>
      </c>
      <c r="AB94" s="148">
        <v>549.6329999999989</v>
      </c>
      <c r="AC94" s="148">
        <v>539.63999999999885</v>
      </c>
      <c r="AD94" s="148">
        <v>529.6469999999988</v>
      </c>
      <c r="AE94" s="148">
        <v>519.65399999999875</v>
      </c>
      <c r="AF94" s="148">
        <v>509.66099999999875</v>
      </c>
      <c r="AG94" s="148">
        <v>499.66799999999876</v>
      </c>
      <c r="AH94" s="148">
        <v>489.67499999999876</v>
      </c>
      <c r="AI94" s="148">
        <v>549.63299999999902</v>
      </c>
    </row>
    <row r="95" spans="19:35" x14ac:dyDescent="0.2">
      <c r="S95">
        <v>182.99</v>
      </c>
      <c r="T95" t="s">
        <v>5200</v>
      </c>
      <c r="V95" s="148">
        <v>14.087999999999997</v>
      </c>
      <c r="W95" s="148">
        <v>13.523999999999997</v>
      </c>
      <c r="X95" s="148">
        <v>12.96</v>
      </c>
      <c r="Y95" s="148">
        <v>12.395999999999997</v>
      </c>
      <c r="Z95" s="148">
        <v>11.831999999999997</v>
      </c>
      <c r="AA95" s="148">
        <v>11.267999999999997</v>
      </c>
      <c r="AB95" s="148">
        <v>10.703999999999997</v>
      </c>
      <c r="AC95" s="148">
        <v>10.14</v>
      </c>
      <c r="AD95" s="148">
        <v>9.575999999999997</v>
      </c>
      <c r="AE95" s="148">
        <v>9.0119999999999969</v>
      </c>
      <c r="AF95" s="148">
        <v>8.4479999999999968</v>
      </c>
      <c r="AG95" s="148">
        <v>7.8839999999999968</v>
      </c>
      <c r="AH95" s="148">
        <v>7.32</v>
      </c>
      <c r="AI95" s="148">
        <v>10.703999999999997</v>
      </c>
    </row>
    <row r="96" spans="19:35" x14ac:dyDescent="0.2">
      <c r="S96">
        <v>182.99</v>
      </c>
      <c r="T96" t="s">
        <v>5201</v>
      </c>
      <c r="V96" s="148">
        <v>37.393919999999994</v>
      </c>
      <c r="W96" s="148">
        <v>36.790789999999994</v>
      </c>
      <c r="X96" s="148">
        <v>36.187659999999994</v>
      </c>
      <c r="Y96" s="148">
        <v>35.584529999999994</v>
      </c>
      <c r="Z96" s="148">
        <v>34.981399999999994</v>
      </c>
      <c r="AA96" s="148">
        <v>34.378269999999993</v>
      </c>
      <c r="AB96" s="148">
        <v>33.775139999999993</v>
      </c>
      <c r="AC96" s="148">
        <v>33.172009999999993</v>
      </c>
      <c r="AD96" s="148">
        <v>32.568879999999993</v>
      </c>
      <c r="AE96" s="148">
        <v>31.965749999999993</v>
      </c>
      <c r="AF96" s="148">
        <v>31.362619999999993</v>
      </c>
      <c r="AG96" s="148">
        <v>30.759489999999992</v>
      </c>
      <c r="AH96" s="148">
        <v>30.156359999999992</v>
      </c>
      <c r="AI96" s="148">
        <v>33.775139999999993</v>
      </c>
    </row>
    <row r="97" spans="19:35" x14ac:dyDescent="0.2">
      <c r="S97">
        <v>182.99</v>
      </c>
      <c r="T97" t="s">
        <v>5202</v>
      </c>
      <c r="V97" s="148">
        <v>439.64689999999985</v>
      </c>
      <c r="W97" s="148">
        <v>432.55580999999984</v>
      </c>
      <c r="X97" s="148">
        <v>425.46471999999983</v>
      </c>
      <c r="Y97" s="148">
        <v>418.37362999999982</v>
      </c>
      <c r="Z97" s="148">
        <v>411.28253999999981</v>
      </c>
      <c r="AA97" s="148">
        <v>404.1914499999998</v>
      </c>
      <c r="AB97" s="148">
        <v>397.1003599999998</v>
      </c>
      <c r="AC97" s="148">
        <v>390.00926999999979</v>
      </c>
      <c r="AD97" s="148">
        <v>382.91817999999978</v>
      </c>
      <c r="AE97" s="148">
        <v>375.82708999999977</v>
      </c>
      <c r="AF97" s="148">
        <v>368.73599999999976</v>
      </c>
      <c r="AG97" s="148">
        <v>361.64490999999975</v>
      </c>
      <c r="AH97" s="148">
        <v>354.55381999999975</v>
      </c>
      <c r="AI97" s="153">
        <v>397.10035999999985</v>
      </c>
    </row>
    <row r="98" spans="19:35" x14ac:dyDescent="0.2">
      <c r="AI98" s="57">
        <f>SUM(AI92:AI97)</f>
        <v>2431.1349899999991</v>
      </c>
    </row>
    <row r="100" spans="19:35" x14ac:dyDescent="0.2">
      <c r="S100">
        <v>182.97</v>
      </c>
      <c r="T100" t="s">
        <v>5198</v>
      </c>
      <c r="V100" s="148">
        <v>5742.9698100000069</v>
      </c>
      <c r="W100" s="148">
        <v>5610.8459100000073</v>
      </c>
      <c r="X100" s="148">
        <v>5478.7220100000077</v>
      </c>
      <c r="Y100" s="148">
        <v>5346.5981100000081</v>
      </c>
      <c r="Z100" s="148">
        <v>5214.4742100000085</v>
      </c>
      <c r="AA100" s="148">
        <v>5082.3503100000089</v>
      </c>
      <c r="AB100" s="148">
        <v>4950.2264100000093</v>
      </c>
      <c r="AC100" s="148">
        <v>4818.1025100000097</v>
      </c>
      <c r="AD100" s="148">
        <v>4685.9786100000101</v>
      </c>
      <c r="AE100" s="148">
        <v>4553.8547100000105</v>
      </c>
      <c r="AF100" s="148">
        <v>4421.7308100000109</v>
      </c>
      <c r="AG100" s="148">
        <v>4289.6069100000113</v>
      </c>
      <c r="AH100" s="148">
        <v>4157.4830100000117</v>
      </c>
      <c r="AI100" s="148">
        <v>4950.2264100000093</v>
      </c>
    </row>
    <row r="101" spans="19:35" x14ac:dyDescent="0.2">
      <c r="S101">
        <v>182.91</v>
      </c>
    </row>
    <row r="102" spans="19:35" x14ac:dyDescent="0.2">
      <c r="AI102" s="57">
        <f>SUM(AI100:AI101)</f>
        <v>4950.2264100000093</v>
      </c>
    </row>
    <row r="104" spans="19:35" x14ac:dyDescent="0.2">
      <c r="S104">
        <v>182.84</v>
      </c>
      <c r="T104" t="s">
        <v>2334</v>
      </c>
      <c r="V104" s="148">
        <v>894.32507999999905</v>
      </c>
      <c r="W104" s="148">
        <v>888.73553999999899</v>
      </c>
      <c r="X104" s="148">
        <v>883.14599999999893</v>
      </c>
      <c r="Y104" s="148">
        <v>877.55645999999888</v>
      </c>
      <c r="Z104" s="148">
        <v>871.96691999999882</v>
      </c>
      <c r="AA104" s="148">
        <v>866.37737999999877</v>
      </c>
      <c r="AB104" s="148">
        <v>860.78783999999871</v>
      </c>
      <c r="AC104" s="148">
        <v>855.19829999999865</v>
      </c>
      <c r="AD104" s="148">
        <v>849.6087599999986</v>
      </c>
      <c r="AE104" s="148">
        <v>844.01921999999854</v>
      </c>
      <c r="AF104" s="148">
        <v>838.42967999999848</v>
      </c>
      <c r="AG104" s="148">
        <v>832.84013999999843</v>
      </c>
      <c r="AH104" s="148">
        <v>827.25059999999837</v>
      </c>
      <c r="AI104" s="148">
        <v>860.78783999999882</v>
      </c>
    </row>
    <row r="105" spans="19:35" x14ac:dyDescent="0.2">
      <c r="S105">
        <v>182.84</v>
      </c>
      <c r="T105" t="s">
        <v>2335</v>
      </c>
      <c r="V105" s="148">
        <v>1615.9350099999995</v>
      </c>
      <c r="W105" s="148">
        <v>1605.8354199999994</v>
      </c>
      <c r="X105" s="148">
        <v>1595.7358299999994</v>
      </c>
      <c r="Y105" s="148">
        <v>1585.6362399999994</v>
      </c>
      <c r="Z105" s="148">
        <v>1575.5366499999993</v>
      </c>
      <c r="AA105" s="148">
        <v>1565.4370599999993</v>
      </c>
      <c r="AB105" s="148">
        <v>1555.3374699999993</v>
      </c>
      <c r="AC105" s="148">
        <v>1545.2378799999992</v>
      </c>
      <c r="AD105" s="148">
        <v>1535.1382899999992</v>
      </c>
      <c r="AE105" s="148">
        <v>1525.0386999999992</v>
      </c>
      <c r="AF105" s="148">
        <v>1514.9391099999991</v>
      </c>
      <c r="AG105" s="148">
        <v>1504.8395199999991</v>
      </c>
      <c r="AH105" s="148">
        <v>1494.739929999999</v>
      </c>
      <c r="AI105" s="148">
        <v>1555.337469999999</v>
      </c>
    </row>
    <row r="106" spans="19:35" x14ac:dyDescent="0.2">
      <c r="S106">
        <v>182.85</v>
      </c>
      <c r="T106" t="s">
        <v>2336</v>
      </c>
      <c r="V106" s="148">
        <v>225.15624000000003</v>
      </c>
      <c r="W106" s="148">
        <v>223.74901000000003</v>
      </c>
      <c r="X106" s="148">
        <v>222.34178000000003</v>
      </c>
      <c r="Y106" s="148">
        <v>220.93455000000003</v>
      </c>
      <c r="Z106" s="148">
        <v>219.52732000000003</v>
      </c>
      <c r="AA106" s="148">
        <v>218.12009000000003</v>
      </c>
      <c r="AB106" s="148">
        <v>216.71286000000003</v>
      </c>
      <c r="AC106" s="148">
        <v>215.30563000000004</v>
      </c>
      <c r="AD106" s="148">
        <v>213.89840000000004</v>
      </c>
      <c r="AE106" s="148">
        <v>212.49117000000004</v>
      </c>
      <c r="AF106" s="148">
        <v>211.08394000000004</v>
      </c>
      <c r="AG106" s="148">
        <v>209.67671000000004</v>
      </c>
      <c r="AH106" s="148">
        <v>208.26948000000004</v>
      </c>
      <c r="AI106" s="148">
        <v>216.71286000000006</v>
      </c>
    </row>
    <row r="107" spans="19:35" x14ac:dyDescent="0.2">
      <c r="S107">
        <v>182.85</v>
      </c>
      <c r="T107" t="s">
        <v>2337</v>
      </c>
      <c r="V107" s="148">
        <v>403.98365999999999</v>
      </c>
      <c r="W107" s="148">
        <v>401.45875999999998</v>
      </c>
      <c r="X107" s="148">
        <v>398.93385999999998</v>
      </c>
      <c r="Y107" s="148">
        <v>396.40895999999998</v>
      </c>
      <c r="Z107" s="148">
        <v>393.88405999999998</v>
      </c>
      <c r="AA107" s="148">
        <v>391.35915999999997</v>
      </c>
      <c r="AB107" s="148">
        <v>388.83425999999997</v>
      </c>
      <c r="AC107" s="148">
        <v>386.30935999999997</v>
      </c>
      <c r="AD107" s="148">
        <v>383.78445999999997</v>
      </c>
      <c r="AE107" s="148">
        <v>381.25955999999996</v>
      </c>
      <c r="AF107" s="148">
        <v>378.73465999999996</v>
      </c>
      <c r="AG107" s="148">
        <v>376.20975999999996</v>
      </c>
      <c r="AH107" s="148">
        <v>373.68485999999996</v>
      </c>
      <c r="AI107" s="148">
        <v>388.83425999999997</v>
      </c>
    </row>
    <row r="108" spans="19:35" x14ac:dyDescent="0.2">
      <c r="S108">
        <v>182.87</v>
      </c>
      <c r="T108" t="s">
        <v>2338</v>
      </c>
      <c r="V108" s="148">
        <v>29.254200000000022</v>
      </c>
      <c r="W108" s="148">
        <v>29.060470000000024</v>
      </c>
      <c r="X108" s="148">
        <v>28.866740000000025</v>
      </c>
      <c r="Y108" s="148">
        <v>28.673010000000026</v>
      </c>
      <c r="Z108" s="148">
        <v>28.479280000000028</v>
      </c>
      <c r="AA108" s="148">
        <v>28.285550000000029</v>
      </c>
      <c r="AB108" s="148">
        <v>28.09182000000003</v>
      </c>
      <c r="AC108" s="148">
        <v>27.898090000000032</v>
      </c>
      <c r="AD108" s="148">
        <v>27.704360000000033</v>
      </c>
      <c r="AE108" s="148">
        <v>27.510630000000035</v>
      </c>
      <c r="AF108" s="148">
        <v>27.316900000000036</v>
      </c>
      <c r="AG108" s="148">
        <v>27.123170000000037</v>
      </c>
      <c r="AH108" s="148">
        <v>26.929440000000039</v>
      </c>
      <c r="AI108" s="148">
        <v>28.091820000000027</v>
      </c>
    </row>
    <row r="109" spans="19:35" x14ac:dyDescent="0.2">
      <c r="S109">
        <v>182.87</v>
      </c>
      <c r="T109" t="s">
        <v>2339</v>
      </c>
      <c r="V109" s="148">
        <v>41.392589999999949</v>
      </c>
      <c r="W109" s="148">
        <v>41.118469999999945</v>
      </c>
      <c r="X109" s="148">
        <v>40.844349999999942</v>
      </c>
      <c r="Y109" s="148">
        <v>40.570229999999938</v>
      </c>
      <c r="Z109" s="148">
        <v>40.296109999999935</v>
      </c>
      <c r="AA109" s="148">
        <v>40.021989999999931</v>
      </c>
      <c r="AB109" s="148">
        <v>39.747869999999928</v>
      </c>
      <c r="AC109" s="148">
        <v>39.473749999999924</v>
      </c>
      <c r="AD109" s="148">
        <v>39.199629999999921</v>
      </c>
      <c r="AE109" s="148">
        <v>38.925509999999917</v>
      </c>
      <c r="AF109" s="148">
        <v>38.651389999999914</v>
      </c>
      <c r="AG109" s="148">
        <v>38.377269999999911</v>
      </c>
      <c r="AH109" s="148">
        <v>38.103149999999907</v>
      </c>
      <c r="AI109" s="148">
        <v>39.747869999999928</v>
      </c>
    </row>
    <row r="110" spans="19:35" x14ac:dyDescent="0.2">
      <c r="S110">
        <v>182.88</v>
      </c>
      <c r="T110" t="s">
        <v>2340</v>
      </c>
      <c r="V110" s="148">
        <v>203.54099000000005</v>
      </c>
      <c r="W110" s="148">
        <v>202.19304000000005</v>
      </c>
      <c r="X110" s="148">
        <v>200.84509000000006</v>
      </c>
      <c r="Y110" s="148">
        <v>199.49714000000006</v>
      </c>
      <c r="Z110" s="148">
        <v>198.14919000000006</v>
      </c>
      <c r="AA110" s="148">
        <v>196.80124000000006</v>
      </c>
      <c r="AB110" s="148">
        <v>195.45329000000007</v>
      </c>
      <c r="AC110" s="148">
        <v>194.10534000000007</v>
      </c>
      <c r="AD110" s="148">
        <v>192.75739000000007</v>
      </c>
      <c r="AE110" s="148">
        <v>191.40944000000007</v>
      </c>
      <c r="AF110" s="148">
        <v>190.06149000000008</v>
      </c>
      <c r="AG110" s="148">
        <v>188.71354000000008</v>
      </c>
      <c r="AH110" s="148">
        <v>187.36559000000008</v>
      </c>
      <c r="AI110" s="148">
        <v>195.45329000000007</v>
      </c>
    </row>
    <row r="111" spans="19:35" x14ac:dyDescent="0.2">
      <c r="S111">
        <v>182.88</v>
      </c>
      <c r="T111" t="s">
        <v>2341</v>
      </c>
      <c r="V111" s="148">
        <v>289.7478000000001</v>
      </c>
      <c r="W111" s="148">
        <v>287.8289400000001</v>
      </c>
      <c r="X111" s="148">
        <v>285.91008000000011</v>
      </c>
      <c r="Y111" s="148">
        <v>283.99122000000011</v>
      </c>
      <c r="Z111" s="148">
        <v>282.07236000000012</v>
      </c>
      <c r="AA111" s="148">
        <v>280.15350000000012</v>
      </c>
      <c r="AB111" s="148">
        <v>278.23464000000013</v>
      </c>
      <c r="AC111" s="148">
        <v>276.31578000000013</v>
      </c>
      <c r="AD111" s="148">
        <v>274.39692000000014</v>
      </c>
      <c r="AE111" s="148">
        <v>272.47806000000014</v>
      </c>
      <c r="AF111" s="148">
        <v>270.55920000000015</v>
      </c>
      <c r="AG111" s="148">
        <v>268.64034000000015</v>
      </c>
      <c r="AH111" s="148">
        <v>266.72148000000016</v>
      </c>
      <c r="AI111" s="148">
        <v>278.23464000000018</v>
      </c>
    </row>
    <row r="112" spans="19:35" x14ac:dyDescent="0.2">
      <c r="S112">
        <v>182.94</v>
      </c>
      <c r="T112" t="s">
        <v>5194</v>
      </c>
      <c r="V112" s="148">
        <v>64.193630000000013</v>
      </c>
      <c r="W112" s="148">
        <v>61.919950000000014</v>
      </c>
      <c r="X112" s="148">
        <v>59.646270000000015</v>
      </c>
      <c r="Y112" s="148">
        <v>57.372590000000017</v>
      </c>
      <c r="Z112" s="148">
        <v>55.098910000000018</v>
      </c>
      <c r="AA112" s="148">
        <v>52.825230000000019</v>
      </c>
      <c r="AB112" s="148">
        <v>50.55155000000002</v>
      </c>
      <c r="AC112" s="148">
        <v>48.277870000000021</v>
      </c>
      <c r="AD112" s="148">
        <v>46.172220000000024</v>
      </c>
      <c r="AE112" s="148">
        <v>44.066570000000027</v>
      </c>
      <c r="AF112" s="148">
        <v>41.96092000000003</v>
      </c>
      <c r="AG112" s="148">
        <v>39.855270000000033</v>
      </c>
      <c r="AH112" s="148">
        <v>37.749620000000036</v>
      </c>
      <c r="AI112" s="148">
        <v>50.745430769230786</v>
      </c>
    </row>
    <row r="113" spans="19:37" x14ac:dyDescent="0.2">
      <c r="S113">
        <v>182.95</v>
      </c>
      <c r="T113" t="s">
        <v>5195</v>
      </c>
      <c r="V113" s="148">
        <v>279.01407999999986</v>
      </c>
      <c r="W113" s="148">
        <v>271.47379999999987</v>
      </c>
      <c r="X113" s="148">
        <v>263.93351999999987</v>
      </c>
      <c r="Y113" s="148">
        <v>256.39323999999988</v>
      </c>
      <c r="Z113" s="148">
        <v>248.85295999999988</v>
      </c>
      <c r="AA113" s="148">
        <v>241.62684999999988</v>
      </c>
      <c r="AB113" s="148">
        <v>234.40073999999987</v>
      </c>
      <c r="AC113" s="148">
        <v>227.17462999999987</v>
      </c>
      <c r="AD113" s="148">
        <v>219.94851999999986</v>
      </c>
      <c r="AE113" s="148">
        <v>212.72240999999985</v>
      </c>
      <c r="AF113" s="148">
        <v>205.49629999999985</v>
      </c>
      <c r="AG113" s="148">
        <v>198.27018999999984</v>
      </c>
      <c r="AH113" s="148">
        <v>191.04407999999984</v>
      </c>
      <c r="AI113" s="153">
        <v>234.64240923076906</v>
      </c>
    </row>
    <row r="114" spans="19:37" x14ac:dyDescent="0.2">
      <c r="AI114" s="57">
        <f>SUM(AI104:AI113)</f>
        <v>3848.587889999998</v>
      </c>
    </row>
    <row r="116" spans="19:37" x14ac:dyDescent="0.2">
      <c r="AE116" s="27" t="s">
        <v>2991</v>
      </c>
    </row>
    <row r="117" spans="19:37" x14ac:dyDescent="0.2">
      <c r="Y117" s="31" t="s">
        <v>3625</v>
      </c>
      <c r="Z117" s="31" t="s">
        <v>2989</v>
      </c>
      <c r="AC117" s="31" t="s">
        <v>2988</v>
      </c>
      <c r="AE117" s="31" t="s">
        <v>2992</v>
      </c>
    </row>
    <row r="119" spans="19:37" x14ac:dyDescent="0.2">
      <c r="Y119" t="s">
        <v>3442</v>
      </c>
      <c r="Z119" t="s">
        <v>3444</v>
      </c>
      <c r="AC119">
        <f>60685000/147085000</f>
        <v>0.41258455994832921</v>
      </c>
      <c r="AE119" s="30">
        <f>AI114*AC119</f>
        <v>1587.867941018118</v>
      </c>
    </row>
    <row r="120" spans="19:37" x14ac:dyDescent="0.2">
      <c r="Y120" t="s">
        <v>3443</v>
      </c>
      <c r="Z120" t="s">
        <v>3445</v>
      </c>
      <c r="AC120" s="33">
        <f>86400000/147085000</f>
        <v>0.58741544005167079</v>
      </c>
      <c r="AE120" s="64">
        <f>AI114*AC120</f>
        <v>2260.71994898188</v>
      </c>
    </row>
    <row r="121" spans="19:37" ht="13.5" thickBot="1" x14ac:dyDescent="0.25">
      <c r="AC121">
        <f>SUM(AC119:AC120)</f>
        <v>1</v>
      </c>
      <c r="AE121" s="67">
        <f>SUM(AE119:AE120)</f>
        <v>3848.587889999998</v>
      </c>
    </row>
    <row r="122" spans="19:37" ht="13.5" thickTop="1" x14ac:dyDescent="0.2">
      <c r="AE122" s="57"/>
    </row>
    <row r="123" spans="19:37" x14ac:dyDescent="0.2">
      <c r="AE123" s="57"/>
    </row>
    <row r="124" spans="19:37" x14ac:dyDescent="0.2">
      <c r="S124">
        <v>182.83</v>
      </c>
      <c r="T124" t="s">
        <v>2927</v>
      </c>
      <c r="V124" s="148">
        <v>518.82956000000081</v>
      </c>
      <c r="W124" s="148">
        <v>515.70409000000086</v>
      </c>
      <c r="X124" s="148">
        <v>512.57862000000091</v>
      </c>
      <c r="Y124" s="148">
        <v>509.4531500000009</v>
      </c>
      <c r="Z124" s="148">
        <v>506.3276800000009</v>
      </c>
      <c r="AA124" s="148">
        <v>503.20221000000089</v>
      </c>
      <c r="AB124" s="148">
        <v>500.07674000000088</v>
      </c>
      <c r="AC124" s="148">
        <v>496.95127000000087</v>
      </c>
      <c r="AD124" s="148">
        <v>493.82580000000087</v>
      </c>
      <c r="AE124" s="148">
        <v>490.70033000000086</v>
      </c>
      <c r="AF124" s="148">
        <v>487.57486000000085</v>
      </c>
      <c r="AG124" s="148">
        <v>484.44939000000085</v>
      </c>
      <c r="AH124" s="148">
        <v>481.32392000000084</v>
      </c>
      <c r="AI124" s="148">
        <v>500.07674000000077</v>
      </c>
      <c r="AK124" s="30">
        <f t="shared" ref="AK124:AK129" si="0">V124-AH124</f>
        <v>37.505639999999971</v>
      </c>
    </row>
    <row r="125" spans="19:37" x14ac:dyDescent="0.2">
      <c r="S125">
        <v>182.83</v>
      </c>
      <c r="T125" t="s">
        <v>2928</v>
      </c>
      <c r="V125" s="148">
        <v>1672.7964799999995</v>
      </c>
      <c r="W125" s="148">
        <v>1662.7193999999995</v>
      </c>
      <c r="X125" s="148">
        <v>1652.6423199999995</v>
      </c>
      <c r="Y125" s="148">
        <v>1642.5652399999994</v>
      </c>
      <c r="Z125" s="148">
        <v>1632.4881599999994</v>
      </c>
      <c r="AA125" s="148">
        <v>1622.4110799999994</v>
      </c>
      <c r="AB125" s="148">
        <v>1612.3339999999994</v>
      </c>
      <c r="AC125" s="148">
        <v>1602.2569199999994</v>
      </c>
      <c r="AD125" s="148">
        <v>1592.1798399999993</v>
      </c>
      <c r="AE125" s="148">
        <v>1582.1027599999993</v>
      </c>
      <c r="AF125" s="148">
        <v>1572.0256799999993</v>
      </c>
      <c r="AG125" s="148">
        <v>1561.9485999999993</v>
      </c>
      <c r="AH125" s="148">
        <v>1551.8715199999992</v>
      </c>
      <c r="AI125" s="148">
        <v>1612.3339999999994</v>
      </c>
      <c r="AK125" s="30">
        <f t="shared" si="0"/>
        <v>120.92496000000028</v>
      </c>
    </row>
    <row r="126" spans="19:37" x14ac:dyDescent="0.2">
      <c r="S126">
        <v>182.83</v>
      </c>
      <c r="T126" t="s">
        <v>2929</v>
      </c>
      <c r="V126" s="148">
        <v>738.99546000000021</v>
      </c>
      <c r="W126" s="148">
        <v>734.54368000000022</v>
      </c>
      <c r="X126" s="148">
        <v>730.09190000000024</v>
      </c>
      <c r="Y126" s="148">
        <v>725.64012000000025</v>
      </c>
      <c r="Z126" s="148">
        <v>721.18834000000027</v>
      </c>
      <c r="AA126" s="148">
        <v>716.73656000000028</v>
      </c>
      <c r="AB126" s="148">
        <v>712.2847800000003</v>
      </c>
      <c r="AC126" s="148">
        <v>707.83300000000031</v>
      </c>
      <c r="AD126" s="148">
        <v>703.38122000000033</v>
      </c>
      <c r="AE126" s="148">
        <v>698.92944000000034</v>
      </c>
      <c r="AF126" s="148">
        <v>694.47766000000036</v>
      </c>
      <c r="AG126" s="148">
        <v>690.02588000000037</v>
      </c>
      <c r="AH126" s="148">
        <v>685.57410000000039</v>
      </c>
      <c r="AI126" s="148">
        <v>712.28478000000041</v>
      </c>
      <c r="AK126" s="30">
        <f t="shared" si="0"/>
        <v>53.421359999999822</v>
      </c>
    </row>
    <row r="127" spans="19:37" x14ac:dyDescent="0.2">
      <c r="S127">
        <v>182.93</v>
      </c>
      <c r="T127" t="s">
        <v>2930</v>
      </c>
      <c r="V127" s="148">
        <v>469.06392000000022</v>
      </c>
      <c r="W127" s="148">
        <v>467.28379000000024</v>
      </c>
      <c r="X127" s="148">
        <v>465.50366000000025</v>
      </c>
      <c r="Y127" s="148">
        <v>463.72353000000027</v>
      </c>
      <c r="Z127" s="148">
        <v>461.94340000000028</v>
      </c>
      <c r="AA127" s="148">
        <v>460.1632700000003</v>
      </c>
      <c r="AB127" s="148">
        <v>458.38314000000031</v>
      </c>
      <c r="AC127" s="148">
        <v>456.60301000000032</v>
      </c>
      <c r="AD127" s="148">
        <v>454.82288000000034</v>
      </c>
      <c r="AE127" s="148">
        <v>453.04275000000035</v>
      </c>
      <c r="AF127" s="148">
        <v>451.26262000000037</v>
      </c>
      <c r="AG127" s="148">
        <v>449.48249000000038</v>
      </c>
      <c r="AH127" s="148">
        <v>447.7023600000004</v>
      </c>
      <c r="AI127" s="148">
        <v>458.38314000000031</v>
      </c>
      <c r="AK127" s="30">
        <f t="shared" si="0"/>
        <v>21.361559999999827</v>
      </c>
    </row>
    <row r="128" spans="19:37" x14ac:dyDescent="0.2">
      <c r="S128">
        <v>182.93</v>
      </c>
      <c r="T128" t="s">
        <v>2931</v>
      </c>
      <c r="V128" s="148">
        <v>1403.5816399999999</v>
      </c>
      <c r="W128" s="148">
        <v>1398.2448299999999</v>
      </c>
      <c r="X128" s="148">
        <v>1392.9080199999999</v>
      </c>
      <c r="Y128" s="148">
        <v>1387.5712099999998</v>
      </c>
      <c r="Z128" s="148">
        <v>1382.2343999999998</v>
      </c>
      <c r="AA128" s="148">
        <v>1376.8975899999998</v>
      </c>
      <c r="AB128" s="148">
        <v>1371.5607799999998</v>
      </c>
      <c r="AC128" s="148">
        <v>1366.2239699999998</v>
      </c>
      <c r="AD128" s="148">
        <v>1360.8871599999998</v>
      </c>
      <c r="AE128" s="148">
        <v>1355.5503499999998</v>
      </c>
      <c r="AF128" s="148">
        <v>1350.2135399999997</v>
      </c>
      <c r="AG128" s="148">
        <v>1344.8767299999997</v>
      </c>
      <c r="AH128" s="148">
        <v>1339.5399199999997</v>
      </c>
      <c r="AI128" s="148">
        <v>1371.5607799999998</v>
      </c>
      <c r="AK128" s="30">
        <f t="shared" si="0"/>
        <v>64.041720000000169</v>
      </c>
    </row>
    <row r="129" spans="19:37" x14ac:dyDescent="0.2">
      <c r="S129" s="137">
        <v>181.08</v>
      </c>
      <c r="T129" s="137" t="s">
        <v>2932</v>
      </c>
      <c r="U129" s="137"/>
      <c r="V129" s="150">
        <f>AH31</f>
        <v>1706.9619700000001</v>
      </c>
      <c r="W129" s="150">
        <f>1700471.62/1000</f>
        <v>1700.47162</v>
      </c>
      <c r="X129" s="150">
        <f>1693981.27/1000</f>
        <v>1693.98127</v>
      </c>
      <c r="Y129" s="150">
        <f>1687490.92/1000</f>
        <v>1687.49092</v>
      </c>
      <c r="Z129" s="150">
        <f>1681000.57/1000</f>
        <v>1681.0005700000002</v>
      </c>
      <c r="AA129" s="150">
        <f>1674510.22/1000</f>
        <v>1674.5102199999999</v>
      </c>
      <c r="AB129" s="150">
        <f>1668019.87/1000</f>
        <v>1668.0198700000001</v>
      </c>
      <c r="AC129" s="150">
        <f>1661529.52/1000</f>
        <v>1661.52952</v>
      </c>
      <c r="AD129" s="150">
        <f>1655039.17/1000</f>
        <v>1655.03917</v>
      </c>
      <c r="AE129" s="150">
        <f>1648548.82/1000</f>
        <v>1648.54882</v>
      </c>
      <c r="AF129" s="150">
        <f>1642058.47/1000</f>
        <v>1642.0584699999999</v>
      </c>
      <c r="AG129" s="150">
        <f>1635568.12/1000</f>
        <v>1635.5681200000001</v>
      </c>
      <c r="AH129" s="150">
        <f>1629077.77/1000</f>
        <v>1629.0777700000001</v>
      </c>
      <c r="AI129" s="152">
        <f>SUM(V129:AH129)/13</f>
        <v>1668.0198700000001</v>
      </c>
      <c r="AK129" s="30">
        <f t="shared" si="0"/>
        <v>77.884199999999964</v>
      </c>
    </row>
    <row r="130" spans="19:37" x14ac:dyDescent="0.2">
      <c r="AI130" s="57">
        <f>SUM(AI124:AI129)</f>
        <v>6322.6593100000009</v>
      </c>
    </row>
    <row r="131" spans="19:37" x14ac:dyDescent="0.2">
      <c r="AE131" s="57"/>
    </row>
    <row r="132" spans="19:37" x14ac:dyDescent="0.2">
      <c r="S132">
        <v>182.81</v>
      </c>
      <c r="T132" t="s">
        <v>2933</v>
      </c>
      <c r="V132" s="148">
        <v>121.77465999999995</v>
      </c>
      <c r="W132" s="148">
        <v>120.91708999999996</v>
      </c>
      <c r="X132" s="148">
        <v>120.05951999999996</v>
      </c>
      <c r="Y132" s="148">
        <v>119.20194999999997</v>
      </c>
      <c r="Z132" s="148">
        <v>118.34437999999997</v>
      </c>
      <c r="AA132" s="148">
        <v>117.48680999999998</v>
      </c>
      <c r="AB132" s="148">
        <v>116.62923999999998</v>
      </c>
      <c r="AC132" s="148">
        <v>115.77166999999999</v>
      </c>
      <c r="AD132" s="148">
        <v>114.91409999999999</v>
      </c>
      <c r="AE132" s="148">
        <v>114.05653</v>
      </c>
      <c r="AF132" s="148">
        <v>113.19896</v>
      </c>
      <c r="AG132" s="148">
        <v>112.34139</v>
      </c>
      <c r="AH132" s="148">
        <v>111.48382000000001</v>
      </c>
      <c r="AI132" s="148">
        <v>116.62923999999998</v>
      </c>
      <c r="AK132" s="30">
        <f>V132-AH132</f>
        <v>10.290839999999946</v>
      </c>
    </row>
    <row r="133" spans="19:37" x14ac:dyDescent="0.2">
      <c r="S133" s="137">
        <v>181.56</v>
      </c>
      <c r="T133" s="137" t="s">
        <v>2934</v>
      </c>
      <c r="U133" s="137"/>
      <c r="V133" s="150">
        <f>AH23</f>
        <v>339.29291999999998</v>
      </c>
      <c r="W133" s="150">
        <f>336903.53/1000</f>
        <v>336.90353000000005</v>
      </c>
      <c r="X133" s="150">
        <f>334514.14/1000</f>
        <v>334.51414</v>
      </c>
      <c r="Y133" s="150">
        <f>332124.75/1000</f>
        <v>332.12475000000001</v>
      </c>
      <c r="Z133" s="150">
        <f>329735.36/1000</f>
        <v>329.73536000000001</v>
      </c>
      <c r="AA133" s="150">
        <f>327345.97/1000</f>
        <v>327.34596999999997</v>
      </c>
      <c r="AB133" s="150">
        <f>324956.58/1000</f>
        <v>324.95658000000003</v>
      </c>
      <c r="AC133" s="150">
        <f>322567.19/1000</f>
        <v>322.56718999999998</v>
      </c>
      <c r="AD133" s="150">
        <f>320177.8/1000</f>
        <v>320.17779999999999</v>
      </c>
      <c r="AE133" s="150">
        <f>317788.41/1000</f>
        <v>317.78841</v>
      </c>
      <c r="AF133" s="150">
        <f>315399.02/1000</f>
        <v>315.39902000000001</v>
      </c>
      <c r="AG133" s="150">
        <f>313009.63/1000</f>
        <v>313.00963000000002</v>
      </c>
      <c r="AH133" s="150">
        <f>310620.24/1000</f>
        <v>310.62023999999997</v>
      </c>
      <c r="AI133" s="152">
        <f>SUM(V133:AH133)/13</f>
        <v>324.95658000000003</v>
      </c>
      <c r="AK133" s="30">
        <f>V133-AH133</f>
        <v>28.672680000000014</v>
      </c>
    </row>
    <row r="134" spans="19:37" x14ac:dyDescent="0.2">
      <c r="AI134" s="57">
        <f>SUM(AI132:AI133)</f>
        <v>441.58582000000001</v>
      </c>
    </row>
    <row r="135" spans="19:37" x14ac:dyDescent="0.2">
      <c r="AE135" s="57"/>
    </row>
    <row r="136" spans="19:37" x14ac:dyDescent="0.2">
      <c r="S136" s="127" t="s">
        <v>5204</v>
      </c>
      <c r="T136" t="s">
        <v>2093</v>
      </c>
      <c r="V136" s="148">
        <v>115.16907</v>
      </c>
      <c r="W136" s="148">
        <v>111.38891000000001</v>
      </c>
      <c r="X136" s="148">
        <v>107.60875</v>
      </c>
      <c r="Y136" s="148">
        <v>103.82859000000002</v>
      </c>
      <c r="Z136" s="148">
        <v>100.04843000000002</v>
      </c>
      <c r="AA136" s="148">
        <v>96.26827000000003</v>
      </c>
      <c r="AB136" s="148">
        <v>92.488110000000034</v>
      </c>
      <c r="AC136" s="148">
        <v>88.707950000000039</v>
      </c>
      <c r="AD136" s="148">
        <v>84.927790000000044</v>
      </c>
      <c r="AE136" s="148">
        <v>81.147630000000049</v>
      </c>
      <c r="AF136" s="148">
        <v>77.367470000000054</v>
      </c>
      <c r="AG136" s="148">
        <v>73.587310000000059</v>
      </c>
      <c r="AH136" s="148">
        <v>69.807150000000064</v>
      </c>
      <c r="AI136" s="148">
        <v>92.488110000000034</v>
      </c>
      <c r="AK136" s="30">
        <f>V136-AH136</f>
        <v>45.361919999999941</v>
      </c>
    </row>
    <row r="137" spans="19:37" x14ac:dyDescent="0.2">
      <c r="S137" s="127" t="s">
        <v>5205</v>
      </c>
      <c r="T137" t="s">
        <v>2094</v>
      </c>
      <c r="V137" s="148">
        <v>53.580390000000065</v>
      </c>
      <c r="W137" s="148">
        <v>51.251390000000065</v>
      </c>
      <c r="X137" s="148">
        <v>48.922390000000064</v>
      </c>
      <c r="Y137" s="148">
        <v>46.593390000000063</v>
      </c>
      <c r="Z137" s="148">
        <v>44.264390000000063</v>
      </c>
      <c r="AA137" s="148">
        <v>41.935390000000062</v>
      </c>
      <c r="AB137" s="148">
        <v>39.606390000000061</v>
      </c>
      <c r="AC137" s="148">
        <v>37.277390000000061</v>
      </c>
      <c r="AD137" s="148">
        <v>35.086390000000058</v>
      </c>
      <c r="AE137" s="148">
        <v>32.895390000000056</v>
      </c>
      <c r="AF137" s="148">
        <v>30.704390000000057</v>
      </c>
      <c r="AG137" s="148">
        <v>28.513390000000058</v>
      </c>
      <c r="AH137" s="148">
        <v>26.322390000000059</v>
      </c>
      <c r="AI137" s="148">
        <v>39.765620769230836</v>
      </c>
      <c r="AK137" s="30">
        <f>V137-AH137</f>
        <v>27.258000000000006</v>
      </c>
    </row>
    <row r="138" spans="19:37" x14ac:dyDescent="0.2">
      <c r="S138" s="127" t="s">
        <v>729</v>
      </c>
      <c r="T138" t="s">
        <v>5192</v>
      </c>
      <c r="V138" s="148">
        <v>194.52498999999989</v>
      </c>
      <c r="W138" s="148">
        <v>189.26789999999988</v>
      </c>
      <c r="X138" s="148">
        <v>184.01080999999988</v>
      </c>
      <c r="Y138" s="148">
        <v>178.75371999999987</v>
      </c>
      <c r="Z138" s="148">
        <v>173.49662999999987</v>
      </c>
      <c r="AA138" s="148">
        <v>168.45840999999987</v>
      </c>
      <c r="AB138" s="148">
        <v>163.42018999999988</v>
      </c>
      <c r="AC138" s="148">
        <v>158.38196999999988</v>
      </c>
      <c r="AD138" s="148">
        <v>153.34375</v>
      </c>
      <c r="AE138" s="148">
        <v>148.30552999999989</v>
      </c>
      <c r="AF138" s="148">
        <v>143.2673099999999</v>
      </c>
      <c r="AG138" s="148">
        <v>138.2290899999999</v>
      </c>
      <c r="AH138" s="148">
        <v>133.1908699999999</v>
      </c>
      <c r="AI138" s="153">
        <v>163.58855153846145</v>
      </c>
      <c r="AK138" s="30"/>
    </row>
    <row r="140" spans="19:37" ht="38.25" x14ac:dyDescent="0.2">
      <c r="T140" s="68" t="s">
        <v>2092</v>
      </c>
    </row>
    <row r="143" spans="19:37" x14ac:dyDescent="0.2">
      <c r="T143" t="s">
        <v>5203</v>
      </c>
      <c r="V143" s="148">
        <v>17983.913340000003</v>
      </c>
      <c r="W143" s="148">
        <v>17756.453660000006</v>
      </c>
      <c r="X143" s="148">
        <v>17528.993980000003</v>
      </c>
      <c r="Y143" s="148">
        <v>17301.534300000007</v>
      </c>
      <c r="Z143" s="148">
        <v>17074.074620000007</v>
      </c>
      <c r="AA143" s="148">
        <v>16847.147980000009</v>
      </c>
      <c r="AB143" s="148">
        <v>16620.221340000004</v>
      </c>
      <c r="AC143" s="148">
        <v>16393.294700000006</v>
      </c>
      <c r="AD143" s="148">
        <v>16166.67409000001</v>
      </c>
      <c r="AE143" s="148">
        <v>15940.05348000001</v>
      </c>
      <c r="AF143" s="148">
        <v>15713.432870000008</v>
      </c>
      <c r="AG143" s="148">
        <v>15486.812260000004</v>
      </c>
      <c r="AH143" s="148">
        <v>15260.19165000001</v>
      </c>
      <c r="AI143" s="148">
        <v>16620.9844823077</v>
      </c>
    </row>
    <row r="145" spans="34:35" x14ac:dyDescent="0.2">
      <c r="AH145" s="30"/>
      <c r="AI145" s="30">
        <f>AI89+AI90+AI98+AI102+AI114+AI124+AI125+AI126+AI127+AI128+AI132+AI136+AI137-AI143</f>
        <v>-163.58855153846525</v>
      </c>
    </row>
  </sheetData>
  <mergeCells count="10">
    <mergeCell ref="S79:AI79"/>
    <mergeCell ref="S80:AI80"/>
    <mergeCell ref="S81:AI81"/>
    <mergeCell ref="B1:H1"/>
    <mergeCell ref="B2:H2"/>
    <mergeCell ref="B3:H3"/>
    <mergeCell ref="B64:H64"/>
    <mergeCell ref="S9:AI9"/>
    <mergeCell ref="S10:AI10"/>
    <mergeCell ref="S11:AI11"/>
  </mergeCells>
  <phoneticPr fontId="5" type="noConversion"/>
  <printOptions horizontalCentered="1"/>
  <pageMargins left="0.75" right="0.75" top="1" bottom="1" header="0.5" footer="0.5"/>
  <pageSetup scale="54" orientation="landscape" r:id="rId1"/>
  <headerFooter alignWithMargins="0"/>
  <customProperties>
    <customPr name="_pios_id" r:id="rId2"/>
    <customPr name="EpmWorksheetKeyString_GUID" r:id="rId3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L292"/>
  <sheetViews>
    <sheetView view="pageBreakPreview" topLeftCell="A241" zoomScale="80" zoomScaleNormal="100" zoomScaleSheetLayoutView="80" workbookViewId="0">
      <selection activeCell="L292" sqref="L292"/>
    </sheetView>
  </sheetViews>
  <sheetFormatPr defaultRowHeight="12.75" x14ac:dyDescent="0.2"/>
  <cols>
    <col min="1" max="1" width="8.42578125" customWidth="1"/>
    <col min="2" max="2" width="17.7109375" customWidth="1"/>
    <col min="3" max="3" width="14.140625" bestFit="1" customWidth="1"/>
    <col min="4" max="4" width="11.7109375" bestFit="1" customWidth="1"/>
    <col min="5" max="5" width="11.85546875" customWidth="1"/>
    <col min="6" max="6" width="11.42578125" customWidth="1"/>
    <col min="7" max="7" width="43.7109375" bestFit="1" customWidth="1"/>
    <col min="8" max="8" width="19.42578125" bestFit="1" customWidth="1"/>
    <col min="9" max="9" width="11.28515625" bestFit="1" customWidth="1"/>
    <col min="10" max="10" width="10.85546875" bestFit="1" customWidth="1"/>
    <col min="11" max="11" width="23.140625" style="204" bestFit="1" customWidth="1"/>
    <col min="12" max="12" width="12.85546875" bestFit="1" customWidth="1"/>
  </cols>
  <sheetData>
    <row r="1" spans="1:11" x14ac:dyDescent="0.2">
      <c r="A1" s="256"/>
      <c r="B1" s="249"/>
      <c r="C1" s="249"/>
      <c r="D1" s="250"/>
      <c r="E1" s="249"/>
      <c r="F1" s="249"/>
      <c r="G1" s="249"/>
      <c r="H1" s="249"/>
      <c r="I1" s="249"/>
      <c r="J1" s="249"/>
      <c r="K1" s="251"/>
    </row>
    <row r="2" spans="1:11" x14ac:dyDescent="0.2">
      <c r="A2" s="252" t="s">
        <v>5735</v>
      </c>
      <c r="C2" s="172"/>
      <c r="D2" s="244"/>
      <c r="E2" s="172"/>
      <c r="F2" s="172"/>
      <c r="G2" s="172"/>
      <c r="H2" s="172"/>
      <c r="I2" s="172"/>
      <c r="J2" s="172"/>
      <c r="K2" s="240"/>
    </row>
    <row r="3" spans="1:11" x14ac:dyDescent="0.2">
      <c r="A3" s="252" t="s">
        <v>5736</v>
      </c>
      <c r="C3" s="172"/>
      <c r="D3" s="244"/>
      <c r="E3" s="172"/>
      <c r="F3" s="172"/>
      <c r="G3" s="172"/>
      <c r="H3" s="172"/>
      <c r="I3" s="172"/>
      <c r="J3" s="172"/>
      <c r="K3" s="240"/>
    </row>
    <row r="4" spans="1:11" ht="15" hidden="1" x14ac:dyDescent="0.25">
      <c r="B4" s="245">
        <v>2011</v>
      </c>
      <c r="C4" s="245">
        <v>12</v>
      </c>
      <c r="D4" s="246" t="s">
        <v>5691</v>
      </c>
      <c r="E4" s="246" t="s">
        <v>1399</v>
      </c>
      <c r="F4" s="246" t="s">
        <v>5697</v>
      </c>
      <c r="G4" s="245">
        <v>99</v>
      </c>
      <c r="H4" s="246" t="s">
        <v>5693</v>
      </c>
      <c r="I4" s="246" t="s">
        <v>5694</v>
      </c>
      <c r="J4" s="246" t="s">
        <v>5695</v>
      </c>
      <c r="K4" s="247">
        <v>18392</v>
      </c>
    </row>
    <row r="5" spans="1:11" x14ac:dyDescent="0.2">
      <c r="B5" s="172" t="s">
        <v>5631</v>
      </c>
      <c r="C5" s="172" t="s">
        <v>5632</v>
      </c>
      <c r="D5" s="244">
        <v>40939</v>
      </c>
      <c r="E5" s="172" t="s">
        <v>5633</v>
      </c>
      <c r="F5" s="172" t="s">
        <v>5634</v>
      </c>
      <c r="G5" s="172" t="s">
        <v>5687</v>
      </c>
      <c r="H5" s="172" t="s">
        <v>5688</v>
      </c>
      <c r="I5" s="172" t="s">
        <v>5637</v>
      </c>
      <c r="J5" s="172" t="s">
        <v>5638</v>
      </c>
      <c r="K5" s="240">
        <v>18392</v>
      </c>
    </row>
    <row r="6" spans="1:11" x14ac:dyDescent="0.2">
      <c r="B6" s="172" t="s">
        <v>5654</v>
      </c>
      <c r="C6" s="172" t="s">
        <v>5632</v>
      </c>
      <c r="D6" s="244">
        <v>40968</v>
      </c>
      <c r="E6" s="172" t="s">
        <v>5652</v>
      </c>
      <c r="F6" s="172" t="s">
        <v>5634</v>
      </c>
      <c r="G6" s="172" t="s">
        <v>5687</v>
      </c>
      <c r="H6" s="172" t="s">
        <v>5688</v>
      </c>
      <c r="I6" s="172" t="s">
        <v>5637</v>
      </c>
      <c r="J6" s="172" t="s">
        <v>5638</v>
      </c>
      <c r="K6" s="240">
        <v>18392</v>
      </c>
    </row>
    <row r="7" spans="1:11" x14ac:dyDescent="0.2">
      <c r="B7" s="172" t="s">
        <v>5655</v>
      </c>
      <c r="C7" s="172" t="s">
        <v>5632</v>
      </c>
      <c r="D7" s="244">
        <v>40999</v>
      </c>
      <c r="E7" s="172" t="s">
        <v>5656</v>
      </c>
      <c r="F7" s="172" t="s">
        <v>5634</v>
      </c>
      <c r="G7" s="172" t="s">
        <v>5687</v>
      </c>
      <c r="H7" s="172" t="s">
        <v>5688</v>
      </c>
      <c r="I7" s="172" t="s">
        <v>5637</v>
      </c>
      <c r="J7" s="172" t="s">
        <v>5638</v>
      </c>
      <c r="K7" s="240">
        <v>18392</v>
      </c>
    </row>
    <row r="8" spans="1:11" x14ac:dyDescent="0.2">
      <c r="B8" s="172" t="s">
        <v>5658</v>
      </c>
      <c r="C8" s="172" t="s">
        <v>5632</v>
      </c>
      <c r="D8" s="244">
        <v>41029</v>
      </c>
      <c r="E8" s="172" t="s">
        <v>5659</v>
      </c>
      <c r="F8" s="172" t="s">
        <v>5634</v>
      </c>
      <c r="G8" s="172" t="s">
        <v>5687</v>
      </c>
      <c r="H8" s="172" t="s">
        <v>5688</v>
      </c>
      <c r="I8" s="172" t="s">
        <v>5637</v>
      </c>
      <c r="J8" s="172" t="s">
        <v>5638</v>
      </c>
      <c r="K8" s="240">
        <v>18392</v>
      </c>
    </row>
    <row r="9" spans="1:11" x14ac:dyDescent="0.2">
      <c r="B9" s="172" t="s">
        <v>5661</v>
      </c>
      <c r="C9" s="172" t="s">
        <v>5632</v>
      </c>
      <c r="D9" s="244">
        <v>41060</v>
      </c>
      <c r="E9" s="172" t="s">
        <v>5662</v>
      </c>
      <c r="F9" s="172" t="s">
        <v>5634</v>
      </c>
      <c r="G9" s="172" t="s">
        <v>5687</v>
      </c>
      <c r="H9" s="172" t="s">
        <v>5688</v>
      </c>
      <c r="I9" s="172" t="s">
        <v>5637</v>
      </c>
      <c r="J9" s="172" t="s">
        <v>5638</v>
      </c>
      <c r="K9" s="240">
        <v>18392</v>
      </c>
    </row>
    <row r="10" spans="1:11" x14ac:dyDescent="0.2">
      <c r="B10" s="172" t="s">
        <v>5669</v>
      </c>
      <c r="C10" s="172" t="s">
        <v>5632</v>
      </c>
      <c r="D10" s="244">
        <v>41090</v>
      </c>
      <c r="E10" s="172" t="s">
        <v>5670</v>
      </c>
      <c r="F10" s="172" t="s">
        <v>5634</v>
      </c>
      <c r="G10" s="172" t="s">
        <v>5687</v>
      </c>
      <c r="H10" s="172" t="s">
        <v>5688</v>
      </c>
      <c r="I10" s="172" t="s">
        <v>5637</v>
      </c>
      <c r="J10" s="172" t="s">
        <v>5638</v>
      </c>
      <c r="K10" s="240">
        <v>18392</v>
      </c>
    </row>
    <row r="11" spans="1:11" x14ac:dyDescent="0.2">
      <c r="B11" s="172" t="s">
        <v>5674</v>
      </c>
      <c r="C11" s="172" t="s">
        <v>5632</v>
      </c>
      <c r="D11" s="244">
        <v>41090</v>
      </c>
      <c r="E11" s="172" t="s">
        <v>5670</v>
      </c>
      <c r="F11" s="172" t="s">
        <v>5634</v>
      </c>
      <c r="G11" s="172" t="s">
        <v>5687</v>
      </c>
      <c r="H11" s="172" t="s">
        <v>5688</v>
      </c>
      <c r="I11" s="172" t="s">
        <v>5637</v>
      </c>
      <c r="J11" s="172" t="s">
        <v>5638</v>
      </c>
      <c r="K11" s="240">
        <v>18392</v>
      </c>
    </row>
    <row r="12" spans="1:11" x14ac:dyDescent="0.2">
      <c r="B12" s="172" t="s">
        <v>5665</v>
      </c>
      <c r="C12" s="172" t="s">
        <v>5666</v>
      </c>
      <c r="D12" s="244">
        <v>41113</v>
      </c>
      <c r="E12" s="172" t="s">
        <v>5667</v>
      </c>
      <c r="F12" s="172" t="s">
        <v>5634</v>
      </c>
      <c r="G12" s="172"/>
      <c r="H12" s="172" t="s">
        <v>5668</v>
      </c>
      <c r="I12" s="172" t="s">
        <v>5581</v>
      </c>
      <c r="J12" s="172"/>
      <c r="K12" s="240">
        <v>18392</v>
      </c>
    </row>
    <row r="13" spans="1:11" x14ac:dyDescent="0.2">
      <c r="B13" s="172" t="s">
        <v>5675</v>
      </c>
      <c r="C13" s="172" t="s">
        <v>5666</v>
      </c>
      <c r="D13" s="244">
        <v>41152</v>
      </c>
      <c r="E13" s="172" t="s">
        <v>5667</v>
      </c>
      <c r="F13" s="172" t="s">
        <v>5634</v>
      </c>
      <c r="G13" s="172"/>
      <c r="H13" s="172" t="s">
        <v>5676</v>
      </c>
      <c r="I13" s="172" t="s">
        <v>5581</v>
      </c>
      <c r="J13" s="172"/>
      <c r="K13" s="240">
        <v>18392</v>
      </c>
    </row>
    <row r="14" spans="1:11" x14ac:dyDescent="0.2">
      <c r="B14" s="172" t="s">
        <v>5677</v>
      </c>
      <c r="C14" s="172" t="s">
        <v>5666</v>
      </c>
      <c r="D14" s="244">
        <v>41179</v>
      </c>
      <c r="E14" s="172" t="s">
        <v>5667</v>
      </c>
      <c r="F14" s="172" t="s">
        <v>5634</v>
      </c>
      <c r="G14" s="172"/>
      <c r="H14" s="172" t="s">
        <v>5678</v>
      </c>
      <c r="I14" s="172" t="s">
        <v>5581</v>
      </c>
      <c r="J14" s="172"/>
      <c r="K14" s="240">
        <v>18392</v>
      </c>
    </row>
    <row r="15" spans="1:11" x14ac:dyDescent="0.2">
      <c r="B15" s="172" t="s">
        <v>5679</v>
      </c>
      <c r="C15" s="172" t="s">
        <v>5666</v>
      </c>
      <c r="D15" s="244">
        <v>41213</v>
      </c>
      <c r="E15" s="172" t="s">
        <v>5667</v>
      </c>
      <c r="F15" s="172" t="s">
        <v>5634</v>
      </c>
      <c r="G15" s="172"/>
      <c r="H15" s="172" t="s">
        <v>5680</v>
      </c>
      <c r="I15" s="172" t="s">
        <v>5581</v>
      </c>
      <c r="J15" s="172"/>
      <c r="K15" s="240">
        <v>18392</v>
      </c>
    </row>
    <row r="16" spans="1:11" x14ac:dyDescent="0.2">
      <c r="B16" s="172" t="s">
        <v>5683</v>
      </c>
      <c r="C16" s="172" t="s">
        <v>5666</v>
      </c>
      <c r="D16" s="244">
        <v>41243</v>
      </c>
      <c r="E16" s="172" t="s">
        <v>5667</v>
      </c>
      <c r="F16" s="172" t="s">
        <v>5634</v>
      </c>
      <c r="G16" s="172"/>
      <c r="H16" s="172" t="s">
        <v>5684</v>
      </c>
      <c r="I16" s="172" t="s">
        <v>5581</v>
      </c>
      <c r="J16" s="172"/>
      <c r="K16" s="240">
        <v>18392</v>
      </c>
    </row>
    <row r="17" spans="1:11" x14ac:dyDescent="0.2">
      <c r="B17" s="172" t="s">
        <v>5685</v>
      </c>
      <c r="C17" s="172" t="s">
        <v>5666</v>
      </c>
      <c r="D17" s="244">
        <v>41274</v>
      </c>
      <c r="E17" s="172" t="s">
        <v>5667</v>
      </c>
      <c r="F17" s="172" t="s">
        <v>5634</v>
      </c>
      <c r="G17" s="172"/>
      <c r="H17" s="172" t="s">
        <v>5686</v>
      </c>
      <c r="I17" s="172" t="s">
        <v>5581</v>
      </c>
      <c r="J17" s="172"/>
      <c r="K17" s="240">
        <v>18392</v>
      </c>
    </row>
    <row r="18" spans="1:11" x14ac:dyDescent="0.2">
      <c r="B18" s="172" t="s">
        <v>5673</v>
      </c>
      <c r="C18" s="172" t="s">
        <v>5632</v>
      </c>
      <c r="D18" s="244">
        <v>41090</v>
      </c>
      <c r="E18" s="172" t="s">
        <v>5670</v>
      </c>
      <c r="F18" s="172" t="s">
        <v>5634</v>
      </c>
      <c r="G18" s="172" t="s">
        <v>5687</v>
      </c>
      <c r="H18" s="172" t="s">
        <v>5688</v>
      </c>
      <c r="I18" s="172" t="s">
        <v>5637</v>
      </c>
      <c r="J18" s="172" t="s">
        <v>5638</v>
      </c>
      <c r="K18" s="254">
        <v>-18392</v>
      </c>
    </row>
    <row r="19" spans="1:11" x14ac:dyDescent="0.2">
      <c r="B19" s="172"/>
      <c r="C19" s="172"/>
      <c r="D19" s="244"/>
      <c r="E19" s="172"/>
      <c r="F19" s="172"/>
      <c r="G19" s="172"/>
      <c r="H19" s="172"/>
      <c r="I19" s="172"/>
      <c r="J19" s="255" t="s">
        <v>5739</v>
      </c>
      <c r="K19" s="253">
        <f>SUM(K5:K18)</f>
        <v>220704</v>
      </c>
    </row>
    <row r="20" spans="1:11" x14ac:dyDescent="0.2">
      <c r="A20" s="26" t="s">
        <v>6421</v>
      </c>
      <c r="B20" s="172"/>
      <c r="C20" s="172"/>
      <c r="D20" s="244"/>
      <c r="E20" s="172"/>
      <c r="F20" s="172"/>
      <c r="G20" s="172"/>
      <c r="H20" s="172"/>
      <c r="I20" s="172"/>
      <c r="J20" s="255"/>
      <c r="K20" s="253"/>
    </row>
    <row r="21" spans="1:11" x14ac:dyDescent="0.2">
      <c r="A21" s="252" t="s">
        <v>5736</v>
      </c>
      <c r="B21" s="172"/>
      <c r="C21" s="172"/>
      <c r="D21" s="244"/>
      <c r="E21" s="172"/>
      <c r="F21" s="172"/>
      <c r="G21" s="172"/>
      <c r="H21" s="172"/>
      <c r="I21" s="172"/>
      <c r="J21" s="255"/>
      <c r="K21" s="253"/>
    </row>
    <row r="22" spans="1:11" x14ac:dyDescent="0.2">
      <c r="B22" s="172" t="s">
        <v>5658</v>
      </c>
      <c r="C22" s="172" t="s">
        <v>5632</v>
      </c>
      <c r="D22" s="244">
        <v>41029</v>
      </c>
      <c r="E22" s="172" t="s">
        <v>5659</v>
      </c>
      <c r="F22" s="172" t="s">
        <v>5634</v>
      </c>
      <c r="G22" s="172" t="s">
        <v>5689</v>
      </c>
      <c r="H22" s="172" t="s">
        <v>5690</v>
      </c>
      <c r="I22" s="172" t="s">
        <v>5637</v>
      </c>
      <c r="J22" s="172" t="s">
        <v>5638</v>
      </c>
      <c r="K22" s="167">
        <v>27703.86</v>
      </c>
    </row>
    <row r="23" spans="1:11" x14ac:dyDescent="0.2">
      <c r="B23" s="172" t="s">
        <v>5631</v>
      </c>
      <c r="C23" s="172" t="s">
        <v>5632</v>
      </c>
      <c r="D23" s="244">
        <v>40939</v>
      </c>
      <c r="E23" s="172" t="s">
        <v>5633</v>
      </c>
      <c r="F23" s="172" t="s">
        <v>5634</v>
      </c>
      <c r="G23" s="172" t="s">
        <v>5689</v>
      </c>
      <c r="H23" s="172" t="s">
        <v>5690</v>
      </c>
      <c r="I23" s="172" t="s">
        <v>5637</v>
      </c>
      <c r="J23" s="172" t="s">
        <v>5638</v>
      </c>
      <c r="K23" s="167">
        <v>27704.81</v>
      </c>
    </row>
    <row r="24" spans="1:11" x14ac:dyDescent="0.2">
      <c r="B24" s="172" t="s">
        <v>5654</v>
      </c>
      <c r="C24" s="172" t="s">
        <v>5632</v>
      </c>
      <c r="D24" s="244">
        <v>40968</v>
      </c>
      <c r="E24" s="172" t="s">
        <v>5652</v>
      </c>
      <c r="F24" s="172" t="s">
        <v>5634</v>
      </c>
      <c r="G24" s="172" t="s">
        <v>5689</v>
      </c>
      <c r="H24" s="172" t="s">
        <v>5690</v>
      </c>
      <c r="I24" s="172" t="s">
        <v>5637</v>
      </c>
      <c r="J24" s="172" t="s">
        <v>5638</v>
      </c>
      <c r="K24" s="240">
        <v>27704.81</v>
      </c>
    </row>
    <row r="25" spans="1:11" x14ac:dyDescent="0.2">
      <c r="B25" s="172" t="s">
        <v>5655</v>
      </c>
      <c r="C25" s="172" t="s">
        <v>5632</v>
      </c>
      <c r="D25" s="244">
        <v>40999</v>
      </c>
      <c r="E25" s="172" t="s">
        <v>5656</v>
      </c>
      <c r="F25" s="172" t="s">
        <v>5634</v>
      </c>
      <c r="G25" s="172" t="s">
        <v>5689</v>
      </c>
      <c r="H25" s="172" t="s">
        <v>5690</v>
      </c>
      <c r="I25" s="172" t="s">
        <v>5637</v>
      </c>
      <c r="J25" s="172" t="s">
        <v>5638</v>
      </c>
      <c r="K25" s="254">
        <v>27704.81</v>
      </c>
    </row>
    <row r="26" spans="1:11" x14ac:dyDescent="0.2">
      <c r="B26" s="172"/>
      <c r="C26" s="172"/>
      <c r="D26" s="244"/>
      <c r="E26" s="172"/>
      <c r="F26" s="172"/>
      <c r="G26" s="172"/>
      <c r="H26" s="172"/>
      <c r="I26" s="172"/>
      <c r="J26" s="172"/>
      <c r="K26" s="287">
        <f>SUM(K22:K25)</f>
        <v>110818.29</v>
      </c>
    </row>
    <row r="27" spans="1:11" x14ac:dyDescent="0.2">
      <c r="B27" s="172"/>
      <c r="C27" s="172"/>
      <c r="D27" s="244"/>
      <c r="E27" s="172"/>
      <c r="F27" s="172"/>
      <c r="G27" s="172"/>
      <c r="H27" s="172"/>
      <c r="I27" s="172"/>
      <c r="J27" s="172"/>
      <c r="K27" s="287"/>
    </row>
    <row r="28" spans="1:11" x14ac:dyDescent="0.2">
      <c r="B28" s="172"/>
      <c r="C28" s="172"/>
      <c r="D28" s="244"/>
      <c r="E28" s="172"/>
      <c r="F28" s="172"/>
      <c r="G28" s="172"/>
      <c r="H28" s="172"/>
      <c r="I28" s="172"/>
      <c r="J28" s="255" t="s">
        <v>3622</v>
      </c>
      <c r="K28" s="287">
        <f>K26+K19</f>
        <v>331522.28999999998</v>
      </c>
    </row>
    <row r="29" spans="1:11" x14ac:dyDescent="0.2">
      <c r="B29" s="172"/>
      <c r="C29" s="172"/>
      <c r="D29" s="244"/>
      <c r="E29" s="172"/>
      <c r="F29" s="172"/>
      <c r="G29" s="172"/>
      <c r="H29" s="172"/>
      <c r="I29" s="172"/>
      <c r="J29" s="172"/>
      <c r="K29" s="240"/>
    </row>
    <row r="30" spans="1:11" x14ac:dyDescent="0.2">
      <c r="A30" s="256"/>
      <c r="B30" s="249"/>
      <c r="C30" s="249"/>
      <c r="D30" s="250"/>
      <c r="E30" s="249"/>
      <c r="F30" s="249"/>
      <c r="G30" s="249"/>
      <c r="H30" s="249"/>
      <c r="I30" s="249"/>
      <c r="J30" s="249"/>
      <c r="K30" s="251"/>
    </row>
    <row r="31" spans="1:11" x14ac:dyDescent="0.2">
      <c r="A31" s="26" t="s">
        <v>5751</v>
      </c>
      <c r="B31" s="172"/>
      <c r="C31" s="172"/>
      <c r="D31" s="244"/>
      <c r="E31" s="172"/>
      <c r="F31" s="172"/>
      <c r="G31" s="172"/>
      <c r="H31" s="172"/>
      <c r="I31" s="172"/>
      <c r="J31" s="172"/>
      <c r="K31" s="258"/>
    </row>
    <row r="32" spans="1:11" x14ac:dyDescent="0.2">
      <c r="A32" s="252" t="s">
        <v>5750</v>
      </c>
      <c r="C32" s="172"/>
      <c r="D32" s="244"/>
      <c r="E32" s="172"/>
      <c r="F32" s="172"/>
      <c r="G32" s="172"/>
      <c r="H32" s="172"/>
      <c r="I32" s="172"/>
      <c r="J32" s="172"/>
      <c r="K32" s="240"/>
    </row>
    <row r="33" spans="1:11" x14ac:dyDescent="0.2">
      <c r="A33" s="252" t="s">
        <v>5736</v>
      </c>
      <c r="C33" s="172"/>
      <c r="D33" s="244"/>
      <c r="E33" s="172"/>
      <c r="F33" s="172"/>
      <c r="G33" s="172"/>
      <c r="H33" s="172"/>
      <c r="I33" s="172"/>
      <c r="J33" s="172"/>
      <c r="K33" s="240"/>
    </row>
    <row r="34" spans="1:11" ht="15" hidden="1" x14ac:dyDescent="0.25">
      <c r="B34" s="245">
        <v>2011</v>
      </c>
      <c r="C34" s="245">
        <v>12</v>
      </c>
      <c r="D34" s="246" t="s">
        <v>5691</v>
      </c>
      <c r="E34" s="246" t="s">
        <v>1399</v>
      </c>
      <c r="F34" s="246" t="s">
        <v>5696</v>
      </c>
      <c r="G34" s="245">
        <v>99</v>
      </c>
      <c r="H34" s="246" t="s">
        <v>5693</v>
      </c>
      <c r="I34" s="246" t="s">
        <v>5694</v>
      </c>
      <c r="J34" s="246" t="s">
        <v>5695</v>
      </c>
      <c r="K34" s="247">
        <v>27704.81</v>
      </c>
    </row>
    <row r="35" spans="1:11" ht="15" hidden="1" x14ac:dyDescent="0.25">
      <c r="B35" s="245">
        <v>2011</v>
      </c>
      <c r="C35" s="245">
        <v>12</v>
      </c>
      <c r="D35" s="246" t="s">
        <v>5691</v>
      </c>
      <c r="E35" s="246" t="s">
        <v>1399</v>
      </c>
      <c r="F35" s="246" t="s">
        <v>5699</v>
      </c>
      <c r="G35" s="245">
        <v>99</v>
      </c>
      <c r="H35" s="246" t="s">
        <v>5693</v>
      </c>
      <c r="I35" s="246" t="s">
        <v>5694</v>
      </c>
      <c r="J35" s="246" t="s">
        <v>5695</v>
      </c>
      <c r="K35" s="247">
        <v>358125</v>
      </c>
    </row>
    <row r="36" spans="1:11" x14ac:dyDescent="0.2">
      <c r="B36" s="172" t="s">
        <v>5655</v>
      </c>
      <c r="C36" s="172" t="s">
        <v>5632</v>
      </c>
      <c r="D36" s="244">
        <v>40999</v>
      </c>
      <c r="E36" s="172" t="s">
        <v>5656</v>
      </c>
      <c r="F36" s="172" t="s">
        <v>5634</v>
      </c>
      <c r="G36" s="172" t="s">
        <v>5641</v>
      </c>
      <c r="H36" s="172" t="s">
        <v>5657</v>
      </c>
      <c r="I36" s="172" t="s">
        <v>5637</v>
      </c>
      <c r="J36" s="172" t="s">
        <v>5638</v>
      </c>
      <c r="K36" s="240">
        <v>167125</v>
      </c>
    </row>
    <row r="37" spans="1:11" x14ac:dyDescent="0.2">
      <c r="B37" s="172" t="s">
        <v>5640</v>
      </c>
      <c r="C37" s="172" t="s">
        <v>5632</v>
      </c>
      <c r="D37" s="244">
        <v>40939</v>
      </c>
      <c r="E37" s="172" t="s">
        <v>5633</v>
      </c>
      <c r="F37" s="172" t="s">
        <v>5634</v>
      </c>
      <c r="G37" s="172" t="s">
        <v>5641</v>
      </c>
      <c r="H37" s="172" t="s">
        <v>5636</v>
      </c>
      <c r="I37" s="172" t="s">
        <v>5637</v>
      </c>
      <c r="J37" s="172" t="s">
        <v>5638</v>
      </c>
      <c r="K37" s="240">
        <v>358125</v>
      </c>
    </row>
    <row r="38" spans="1:11" x14ac:dyDescent="0.2">
      <c r="B38" s="172" t="s">
        <v>5651</v>
      </c>
      <c r="C38" s="172" t="s">
        <v>5632</v>
      </c>
      <c r="D38" s="244">
        <v>40968</v>
      </c>
      <c r="E38" s="172" t="s">
        <v>5652</v>
      </c>
      <c r="F38" s="172" t="s">
        <v>5634</v>
      </c>
      <c r="G38" s="172" t="s">
        <v>5641</v>
      </c>
      <c r="H38" s="172" t="s">
        <v>5653</v>
      </c>
      <c r="I38" s="172" t="s">
        <v>5637</v>
      </c>
      <c r="J38" s="172" t="s">
        <v>5638</v>
      </c>
      <c r="K38" s="254">
        <v>358125</v>
      </c>
    </row>
    <row r="39" spans="1:11" x14ac:dyDescent="0.2">
      <c r="B39" s="172"/>
      <c r="C39" s="172"/>
      <c r="D39" s="244"/>
      <c r="E39" s="172"/>
      <c r="F39" s="172"/>
      <c r="G39" s="172"/>
      <c r="H39" s="172"/>
      <c r="I39" s="172"/>
      <c r="J39" s="255" t="s">
        <v>5739</v>
      </c>
      <c r="K39" s="253">
        <f>SUM(K36:K38)</f>
        <v>883375</v>
      </c>
    </row>
    <row r="40" spans="1:11" x14ac:dyDescent="0.2">
      <c r="B40" s="172"/>
      <c r="C40" s="172"/>
      <c r="D40" s="244"/>
      <c r="E40" s="172"/>
      <c r="F40" s="172"/>
      <c r="G40" s="172"/>
      <c r="H40" s="172"/>
      <c r="I40" s="172"/>
      <c r="J40" s="255"/>
      <c r="K40" s="253"/>
    </row>
    <row r="41" spans="1:11" x14ac:dyDescent="0.2">
      <c r="B41" s="172"/>
      <c r="C41" s="172"/>
      <c r="D41" s="244"/>
      <c r="E41" s="172"/>
      <c r="F41" s="172"/>
      <c r="G41" s="172"/>
      <c r="H41" s="172"/>
      <c r="I41" s="172"/>
      <c r="J41" s="172"/>
      <c r="K41" s="167"/>
    </row>
    <row r="42" spans="1:11" x14ac:dyDescent="0.2">
      <c r="B42" s="172"/>
      <c r="C42" s="172"/>
      <c r="D42" s="244"/>
      <c r="E42" s="172"/>
      <c r="F42" s="172"/>
      <c r="G42" s="172"/>
      <c r="H42" s="172"/>
      <c r="I42" s="172"/>
      <c r="J42" s="172"/>
      <c r="K42" s="240"/>
    </row>
    <row r="43" spans="1:11" x14ac:dyDescent="0.2">
      <c r="A43" s="256"/>
      <c r="B43" s="249"/>
      <c r="C43" s="249"/>
      <c r="D43" s="250"/>
      <c r="E43" s="249"/>
      <c r="F43" s="249"/>
      <c r="G43" s="249"/>
      <c r="H43" s="249"/>
      <c r="I43" s="249"/>
      <c r="J43" s="249"/>
      <c r="K43" s="251"/>
    </row>
    <row r="44" spans="1:11" x14ac:dyDescent="0.2">
      <c r="A44" s="26" t="s">
        <v>5738</v>
      </c>
      <c r="B44" s="172"/>
      <c r="C44" s="172"/>
      <c r="D44" s="244"/>
      <c r="E44" s="172"/>
      <c r="F44" s="172"/>
      <c r="G44" s="172"/>
      <c r="H44" s="172"/>
      <c r="I44" s="172"/>
      <c r="J44" s="172"/>
      <c r="K44" s="258"/>
    </row>
    <row r="45" spans="1:11" x14ac:dyDescent="0.2">
      <c r="A45" s="252" t="s">
        <v>5733</v>
      </c>
      <c r="C45" s="172"/>
      <c r="D45" s="244"/>
      <c r="E45" s="172"/>
      <c r="F45" s="172"/>
      <c r="G45" s="172"/>
      <c r="H45" s="172"/>
      <c r="I45" s="172"/>
      <c r="J45" s="172"/>
      <c r="K45" s="240"/>
    </row>
    <row r="46" spans="1:11" x14ac:dyDescent="0.2">
      <c r="A46" s="252" t="s">
        <v>5734</v>
      </c>
      <c r="C46" s="172"/>
      <c r="D46" s="244"/>
      <c r="E46" s="172"/>
      <c r="F46" s="172"/>
      <c r="G46" s="172"/>
      <c r="H46" s="172"/>
      <c r="I46" s="172"/>
      <c r="J46" s="172"/>
      <c r="K46" s="240"/>
    </row>
    <row r="47" spans="1:11" ht="15" hidden="1" x14ac:dyDescent="0.25">
      <c r="B47" s="245">
        <v>2011</v>
      </c>
      <c r="C47" s="245">
        <v>12</v>
      </c>
      <c r="D47" s="246" t="s">
        <v>5691</v>
      </c>
      <c r="E47" s="246" t="s">
        <v>1399</v>
      </c>
      <c r="F47" s="246" t="s">
        <v>5706</v>
      </c>
      <c r="G47" s="245">
        <v>99</v>
      </c>
      <c r="H47" s="246" t="s">
        <v>5693</v>
      </c>
      <c r="I47" s="246" t="s">
        <v>5694</v>
      </c>
      <c r="J47" s="246" t="s">
        <v>5695</v>
      </c>
      <c r="K47" s="247">
        <v>221450</v>
      </c>
    </row>
    <row r="48" spans="1:11" x14ac:dyDescent="0.2">
      <c r="B48" s="172" t="s">
        <v>5640</v>
      </c>
      <c r="C48" s="172" t="s">
        <v>5632</v>
      </c>
      <c r="D48" s="244">
        <v>40939</v>
      </c>
      <c r="E48" s="172" t="s">
        <v>5633</v>
      </c>
      <c r="F48" s="172" t="s">
        <v>5634</v>
      </c>
      <c r="G48" s="172" t="s">
        <v>5648</v>
      </c>
      <c r="H48" s="172" t="s">
        <v>5636</v>
      </c>
      <c r="I48" s="172" t="s">
        <v>5637</v>
      </c>
      <c r="J48" s="172" t="s">
        <v>5638</v>
      </c>
      <c r="K48" s="240">
        <v>221450</v>
      </c>
    </row>
    <row r="49" spans="1:11" x14ac:dyDescent="0.2">
      <c r="B49" s="172" t="s">
        <v>5673</v>
      </c>
      <c r="C49" s="172" t="s">
        <v>5632</v>
      </c>
      <c r="D49" s="244">
        <v>41090</v>
      </c>
      <c r="E49" s="172" t="s">
        <v>5670</v>
      </c>
      <c r="F49" s="172" t="s">
        <v>5634</v>
      </c>
      <c r="G49" s="172" t="s">
        <v>5648</v>
      </c>
      <c r="H49" s="172" t="s">
        <v>5671</v>
      </c>
      <c r="I49" s="172" t="s">
        <v>5637</v>
      </c>
      <c r="J49" s="172" t="s">
        <v>5638</v>
      </c>
      <c r="K49" s="240">
        <v>-221450</v>
      </c>
    </row>
    <row r="50" spans="1:11" x14ac:dyDescent="0.2">
      <c r="B50" s="172" t="s">
        <v>5654</v>
      </c>
      <c r="C50" s="172" t="s">
        <v>5632</v>
      </c>
      <c r="D50" s="244">
        <v>40968</v>
      </c>
      <c r="E50" s="172" t="s">
        <v>5652</v>
      </c>
      <c r="F50" s="172" t="s">
        <v>5634</v>
      </c>
      <c r="G50" s="172" t="s">
        <v>5648</v>
      </c>
      <c r="H50" s="172" t="s">
        <v>5653</v>
      </c>
      <c r="I50" s="172" t="s">
        <v>5637</v>
      </c>
      <c r="J50" s="172" t="s">
        <v>5638</v>
      </c>
      <c r="K50" s="240">
        <v>221450</v>
      </c>
    </row>
    <row r="51" spans="1:11" x14ac:dyDescent="0.2">
      <c r="B51" s="172" t="s">
        <v>5655</v>
      </c>
      <c r="C51" s="172" t="s">
        <v>5632</v>
      </c>
      <c r="D51" s="244">
        <v>40999</v>
      </c>
      <c r="E51" s="172" t="s">
        <v>5656</v>
      </c>
      <c r="F51" s="172" t="s">
        <v>5634</v>
      </c>
      <c r="G51" s="172" t="s">
        <v>5648</v>
      </c>
      <c r="H51" s="172" t="s">
        <v>5657</v>
      </c>
      <c r="I51" s="172" t="s">
        <v>5637</v>
      </c>
      <c r="J51" s="172" t="s">
        <v>5638</v>
      </c>
      <c r="K51" s="240">
        <v>221450</v>
      </c>
    </row>
    <row r="52" spans="1:11" x14ac:dyDescent="0.2">
      <c r="B52" s="172" t="s">
        <v>5658</v>
      </c>
      <c r="C52" s="172" t="s">
        <v>5632</v>
      </c>
      <c r="D52" s="244">
        <v>41029</v>
      </c>
      <c r="E52" s="172" t="s">
        <v>5659</v>
      </c>
      <c r="F52" s="172" t="s">
        <v>5634</v>
      </c>
      <c r="G52" s="172" t="s">
        <v>5648</v>
      </c>
      <c r="H52" s="172" t="s">
        <v>5660</v>
      </c>
      <c r="I52" s="172" t="s">
        <v>5637</v>
      </c>
      <c r="J52" s="172" t="s">
        <v>5638</v>
      </c>
      <c r="K52" s="240">
        <v>221450</v>
      </c>
    </row>
    <row r="53" spans="1:11" x14ac:dyDescent="0.2">
      <c r="B53" s="172" t="s">
        <v>5664</v>
      </c>
      <c r="C53" s="172" t="s">
        <v>5632</v>
      </c>
      <c r="D53" s="244">
        <v>41060</v>
      </c>
      <c r="E53" s="172" t="s">
        <v>5662</v>
      </c>
      <c r="F53" s="172" t="s">
        <v>5634</v>
      </c>
      <c r="G53" s="172" t="s">
        <v>5648</v>
      </c>
      <c r="H53" s="172" t="s">
        <v>5663</v>
      </c>
      <c r="I53" s="172" t="s">
        <v>5637</v>
      </c>
      <c r="J53" s="172" t="s">
        <v>5638</v>
      </c>
      <c r="K53" s="240">
        <v>221450</v>
      </c>
    </row>
    <row r="54" spans="1:11" x14ac:dyDescent="0.2">
      <c r="B54" s="172" t="s">
        <v>5669</v>
      </c>
      <c r="C54" s="172" t="s">
        <v>5632</v>
      </c>
      <c r="D54" s="244">
        <v>41090</v>
      </c>
      <c r="E54" s="172" t="s">
        <v>5670</v>
      </c>
      <c r="F54" s="172" t="s">
        <v>5634</v>
      </c>
      <c r="G54" s="172" t="s">
        <v>5648</v>
      </c>
      <c r="H54" s="172" t="s">
        <v>5671</v>
      </c>
      <c r="I54" s="172" t="s">
        <v>5637</v>
      </c>
      <c r="J54" s="172" t="s">
        <v>5638</v>
      </c>
      <c r="K54" s="240">
        <v>221450</v>
      </c>
    </row>
    <row r="55" spans="1:11" x14ac:dyDescent="0.2">
      <c r="B55" s="172" t="s">
        <v>5674</v>
      </c>
      <c r="C55" s="172" t="s">
        <v>5632</v>
      </c>
      <c r="D55" s="244">
        <v>41090</v>
      </c>
      <c r="E55" s="172" t="s">
        <v>5670</v>
      </c>
      <c r="F55" s="172" t="s">
        <v>5634</v>
      </c>
      <c r="G55" s="172" t="s">
        <v>5648</v>
      </c>
      <c r="H55" s="172" t="s">
        <v>5671</v>
      </c>
      <c r="I55" s="172" t="s">
        <v>5637</v>
      </c>
      <c r="J55" s="172" t="s">
        <v>5638</v>
      </c>
      <c r="K55" s="240">
        <v>221450</v>
      </c>
    </row>
    <row r="56" spans="1:11" x14ac:dyDescent="0.2">
      <c r="B56" s="172" t="s">
        <v>5665</v>
      </c>
      <c r="C56" s="172" t="s">
        <v>5666</v>
      </c>
      <c r="D56" s="244">
        <v>41113</v>
      </c>
      <c r="E56" s="172" t="s">
        <v>5667</v>
      </c>
      <c r="F56" s="172" t="s">
        <v>5634</v>
      </c>
      <c r="G56" s="172"/>
      <c r="H56" s="172" t="s">
        <v>5668</v>
      </c>
      <c r="I56" s="172" t="s">
        <v>5578</v>
      </c>
      <c r="J56" s="172"/>
      <c r="K56" s="240">
        <v>221450</v>
      </c>
    </row>
    <row r="57" spans="1:11" x14ac:dyDescent="0.2">
      <c r="B57" s="172" t="s">
        <v>5675</v>
      </c>
      <c r="C57" s="172" t="s">
        <v>5666</v>
      </c>
      <c r="D57" s="244">
        <v>41152</v>
      </c>
      <c r="E57" s="172" t="s">
        <v>5667</v>
      </c>
      <c r="F57" s="172" t="s">
        <v>5634</v>
      </c>
      <c r="G57" s="172"/>
      <c r="H57" s="172" t="s">
        <v>5676</v>
      </c>
      <c r="I57" s="172" t="s">
        <v>5578</v>
      </c>
      <c r="J57" s="172"/>
      <c r="K57" s="240">
        <v>221450</v>
      </c>
    </row>
    <row r="58" spans="1:11" x14ac:dyDescent="0.2">
      <c r="B58" s="172" t="s">
        <v>5677</v>
      </c>
      <c r="C58" s="172" t="s">
        <v>5666</v>
      </c>
      <c r="D58" s="244">
        <v>41179</v>
      </c>
      <c r="E58" s="172" t="s">
        <v>5667</v>
      </c>
      <c r="F58" s="172" t="s">
        <v>5634</v>
      </c>
      <c r="G58" s="172"/>
      <c r="H58" s="172" t="s">
        <v>5678</v>
      </c>
      <c r="I58" s="172" t="s">
        <v>5578</v>
      </c>
      <c r="J58" s="172"/>
      <c r="K58" s="240">
        <v>221450</v>
      </c>
    </row>
    <row r="59" spans="1:11" x14ac:dyDescent="0.2">
      <c r="B59" s="172" t="s">
        <v>5679</v>
      </c>
      <c r="C59" s="172" t="s">
        <v>5666</v>
      </c>
      <c r="D59" s="244">
        <v>41213</v>
      </c>
      <c r="E59" s="172" t="s">
        <v>5667</v>
      </c>
      <c r="F59" s="172" t="s">
        <v>5634</v>
      </c>
      <c r="G59" s="172"/>
      <c r="H59" s="172" t="s">
        <v>5680</v>
      </c>
      <c r="I59" s="172" t="s">
        <v>5578</v>
      </c>
      <c r="J59" s="172"/>
      <c r="K59" s="240">
        <v>221450</v>
      </c>
    </row>
    <row r="60" spans="1:11" x14ac:dyDescent="0.2">
      <c r="B60" s="172" t="s">
        <v>5683</v>
      </c>
      <c r="C60" s="172" t="s">
        <v>5666</v>
      </c>
      <c r="D60" s="244">
        <v>41243</v>
      </c>
      <c r="E60" s="172" t="s">
        <v>5667</v>
      </c>
      <c r="F60" s="172" t="s">
        <v>5634</v>
      </c>
      <c r="G60" s="172"/>
      <c r="H60" s="172" t="s">
        <v>5684</v>
      </c>
      <c r="I60" s="172" t="s">
        <v>5578</v>
      </c>
      <c r="J60" s="172"/>
      <c r="K60" s="240">
        <v>221450</v>
      </c>
    </row>
    <row r="61" spans="1:11" x14ac:dyDescent="0.2">
      <c r="B61" s="172" t="s">
        <v>5685</v>
      </c>
      <c r="C61" s="172" t="s">
        <v>5666</v>
      </c>
      <c r="D61" s="244">
        <v>41274</v>
      </c>
      <c r="E61" s="172" t="s">
        <v>5667</v>
      </c>
      <c r="F61" s="172" t="s">
        <v>5634</v>
      </c>
      <c r="G61" s="172"/>
      <c r="H61" s="172" t="s">
        <v>5686</v>
      </c>
      <c r="I61" s="172" t="s">
        <v>5578</v>
      </c>
      <c r="J61" s="172"/>
      <c r="K61" s="254">
        <v>221450</v>
      </c>
    </row>
    <row r="62" spans="1:11" x14ac:dyDescent="0.2">
      <c r="B62" s="172"/>
      <c r="C62" s="172"/>
      <c r="D62" s="244"/>
      <c r="E62" s="172"/>
      <c r="F62" s="172"/>
      <c r="G62" s="172"/>
      <c r="H62" s="172"/>
      <c r="I62" s="172"/>
      <c r="J62" s="255" t="s">
        <v>5739</v>
      </c>
      <c r="K62" s="253">
        <f>SUM(K48:K61)</f>
        <v>2657400</v>
      </c>
    </row>
    <row r="63" spans="1:11" x14ac:dyDescent="0.2">
      <c r="B63" s="172"/>
      <c r="C63" s="172"/>
      <c r="D63" s="244"/>
      <c r="E63" s="172"/>
      <c r="F63" s="172"/>
      <c r="G63" s="172"/>
      <c r="H63" s="172"/>
      <c r="I63" s="172"/>
      <c r="J63" s="171"/>
      <c r="K63" s="240"/>
    </row>
    <row r="64" spans="1:11" x14ac:dyDescent="0.2">
      <c r="A64" s="256"/>
      <c r="B64" s="249"/>
      <c r="C64" s="249"/>
      <c r="D64" s="250"/>
      <c r="E64" s="249"/>
      <c r="F64" s="249"/>
      <c r="G64" s="249"/>
      <c r="H64" s="249"/>
      <c r="I64" s="249"/>
      <c r="J64" s="249"/>
      <c r="K64" s="251"/>
    </row>
    <row r="65" spans="1:11" x14ac:dyDescent="0.2">
      <c r="A65" s="26" t="s">
        <v>5740</v>
      </c>
      <c r="B65" s="172"/>
      <c r="C65" s="172"/>
      <c r="D65" s="244"/>
      <c r="E65" s="172"/>
      <c r="F65" s="172"/>
      <c r="G65" s="172"/>
      <c r="H65" s="172"/>
      <c r="I65" s="172"/>
      <c r="J65" s="172"/>
      <c r="K65" s="258"/>
    </row>
    <row r="66" spans="1:11" x14ac:dyDescent="0.2">
      <c r="A66" s="252" t="s">
        <v>5731</v>
      </c>
      <c r="C66" s="172"/>
      <c r="D66" s="244"/>
      <c r="E66" s="172"/>
      <c r="F66" s="172"/>
      <c r="G66" s="172"/>
      <c r="H66" s="172"/>
      <c r="I66" s="172"/>
      <c r="J66" s="172"/>
      <c r="K66" s="240"/>
    </row>
    <row r="67" spans="1:11" x14ac:dyDescent="0.2">
      <c r="A67" s="252" t="s">
        <v>5732</v>
      </c>
      <c r="C67" s="172"/>
      <c r="D67" s="244"/>
      <c r="E67" s="172"/>
      <c r="F67" s="172"/>
      <c r="G67" s="172"/>
      <c r="H67" s="172"/>
      <c r="I67" s="172"/>
      <c r="J67" s="172"/>
      <c r="K67" s="240"/>
    </row>
    <row r="68" spans="1:11" ht="15" hidden="1" x14ac:dyDescent="0.25">
      <c r="B68" s="245">
        <v>2011</v>
      </c>
      <c r="C68" s="245">
        <v>12</v>
      </c>
      <c r="D68" s="246" t="s">
        <v>5691</v>
      </c>
      <c r="E68" s="246" t="s">
        <v>1399</v>
      </c>
      <c r="F68" s="246" t="s">
        <v>5705</v>
      </c>
      <c r="G68" s="245">
        <v>99</v>
      </c>
      <c r="H68" s="246" t="s">
        <v>5693</v>
      </c>
      <c r="I68" s="246" t="s">
        <v>5694</v>
      </c>
      <c r="J68" s="246" t="s">
        <v>5695</v>
      </c>
      <c r="K68" s="247">
        <v>255191.67</v>
      </c>
    </row>
    <row r="69" spans="1:11" x14ac:dyDescent="0.2">
      <c r="B69" s="172" t="s">
        <v>5655</v>
      </c>
      <c r="C69" s="172" t="s">
        <v>5632</v>
      </c>
      <c r="D69" s="244">
        <v>40999</v>
      </c>
      <c r="E69" s="172" t="s">
        <v>5656</v>
      </c>
      <c r="F69" s="172" t="s">
        <v>5634</v>
      </c>
      <c r="G69" s="172" t="s">
        <v>5647</v>
      </c>
      <c r="H69" s="172" t="s">
        <v>5657</v>
      </c>
      <c r="I69" s="172" t="s">
        <v>5637</v>
      </c>
      <c r="J69" s="172" t="s">
        <v>5638</v>
      </c>
      <c r="K69" s="240">
        <v>255191.65</v>
      </c>
    </row>
    <row r="70" spans="1:11" x14ac:dyDescent="0.2">
      <c r="B70" s="172" t="s">
        <v>5673</v>
      </c>
      <c r="C70" s="172" t="s">
        <v>5632</v>
      </c>
      <c r="D70" s="244">
        <v>41090</v>
      </c>
      <c r="E70" s="172" t="s">
        <v>5670</v>
      </c>
      <c r="F70" s="172" t="s">
        <v>5634</v>
      </c>
      <c r="G70" s="172" t="s">
        <v>5647</v>
      </c>
      <c r="H70" s="172" t="s">
        <v>5671</v>
      </c>
      <c r="I70" s="172" t="s">
        <v>5637</v>
      </c>
      <c r="J70" s="172" t="s">
        <v>5638</v>
      </c>
      <c r="K70" s="240">
        <v>-255191.67</v>
      </c>
    </row>
    <row r="71" spans="1:11" x14ac:dyDescent="0.2">
      <c r="B71" s="172" t="s">
        <v>5640</v>
      </c>
      <c r="C71" s="172" t="s">
        <v>5632</v>
      </c>
      <c r="D71" s="244">
        <v>40939</v>
      </c>
      <c r="E71" s="172" t="s">
        <v>5633</v>
      </c>
      <c r="F71" s="172" t="s">
        <v>5634</v>
      </c>
      <c r="G71" s="172" t="s">
        <v>5647</v>
      </c>
      <c r="H71" s="172" t="s">
        <v>5636</v>
      </c>
      <c r="I71" s="172" t="s">
        <v>5637</v>
      </c>
      <c r="J71" s="172" t="s">
        <v>5638</v>
      </c>
      <c r="K71" s="240">
        <v>255191.67</v>
      </c>
    </row>
    <row r="72" spans="1:11" x14ac:dyDescent="0.2">
      <c r="B72" s="172" t="s">
        <v>5654</v>
      </c>
      <c r="C72" s="172" t="s">
        <v>5632</v>
      </c>
      <c r="D72" s="244">
        <v>40968</v>
      </c>
      <c r="E72" s="172" t="s">
        <v>5652</v>
      </c>
      <c r="F72" s="172" t="s">
        <v>5634</v>
      </c>
      <c r="G72" s="172" t="s">
        <v>5647</v>
      </c>
      <c r="H72" s="172" t="s">
        <v>5653</v>
      </c>
      <c r="I72" s="172" t="s">
        <v>5637</v>
      </c>
      <c r="J72" s="172" t="s">
        <v>5638</v>
      </c>
      <c r="K72" s="240">
        <v>255191.67</v>
      </c>
    </row>
    <row r="73" spans="1:11" x14ac:dyDescent="0.2">
      <c r="B73" s="172" t="s">
        <v>5658</v>
      </c>
      <c r="C73" s="172" t="s">
        <v>5632</v>
      </c>
      <c r="D73" s="244">
        <v>41029</v>
      </c>
      <c r="E73" s="172" t="s">
        <v>5659</v>
      </c>
      <c r="F73" s="172" t="s">
        <v>5634</v>
      </c>
      <c r="G73" s="172" t="s">
        <v>5647</v>
      </c>
      <c r="H73" s="172" t="s">
        <v>5660</v>
      </c>
      <c r="I73" s="172" t="s">
        <v>5637</v>
      </c>
      <c r="J73" s="172" t="s">
        <v>5638</v>
      </c>
      <c r="K73" s="240">
        <v>255191.67</v>
      </c>
    </row>
    <row r="74" spans="1:11" x14ac:dyDescent="0.2">
      <c r="B74" s="172" t="s">
        <v>5664</v>
      </c>
      <c r="C74" s="172" t="s">
        <v>5632</v>
      </c>
      <c r="D74" s="244">
        <v>41060</v>
      </c>
      <c r="E74" s="172" t="s">
        <v>5662</v>
      </c>
      <c r="F74" s="172" t="s">
        <v>5634</v>
      </c>
      <c r="G74" s="172" t="s">
        <v>5647</v>
      </c>
      <c r="H74" s="172" t="s">
        <v>5663</v>
      </c>
      <c r="I74" s="172" t="s">
        <v>5637</v>
      </c>
      <c r="J74" s="172" t="s">
        <v>5638</v>
      </c>
      <c r="K74" s="240">
        <v>255191.67</v>
      </c>
    </row>
    <row r="75" spans="1:11" x14ac:dyDescent="0.2">
      <c r="B75" s="172" t="s">
        <v>5669</v>
      </c>
      <c r="C75" s="172" t="s">
        <v>5632</v>
      </c>
      <c r="D75" s="244">
        <v>41090</v>
      </c>
      <c r="E75" s="172" t="s">
        <v>5670</v>
      </c>
      <c r="F75" s="172" t="s">
        <v>5634</v>
      </c>
      <c r="G75" s="172" t="s">
        <v>5647</v>
      </c>
      <c r="H75" s="172" t="s">
        <v>5671</v>
      </c>
      <c r="I75" s="172" t="s">
        <v>5637</v>
      </c>
      <c r="J75" s="172" t="s">
        <v>5638</v>
      </c>
      <c r="K75" s="240">
        <v>255191.67</v>
      </c>
    </row>
    <row r="76" spans="1:11" x14ac:dyDescent="0.2">
      <c r="B76" s="172" t="s">
        <v>5674</v>
      </c>
      <c r="C76" s="172" t="s">
        <v>5632</v>
      </c>
      <c r="D76" s="244">
        <v>41090</v>
      </c>
      <c r="E76" s="172" t="s">
        <v>5670</v>
      </c>
      <c r="F76" s="172" t="s">
        <v>5634</v>
      </c>
      <c r="G76" s="172" t="s">
        <v>5647</v>
      </c>
      <c r="H76" s="172" t="s">
        <v>5671</v>
      </c>
      <c r="I76" s="172" t="s">
        <v>5637</v>
      </c>
      <c r="J76" s="172" t="s">
        <v>5638</v>
      </c>
      <c r="K76" s="240">
        <v>255191.67</v>
      </c>
    </row>
    <row r="77" spans="1:11" x14ac:dyDescent="0.2">
      <c r="B77" s="172" t="s">
        <v>5665</v>
      </c>
      <c r="C77" s="172" t="s">
        <v>5666</v>
      </c>
      <c r="D77" s="244">
        <v>41113</v>
      </c>
      <c r="E77" s="172" t="s">
        <v>5667</v>
      </c>
      <c r="F77" s="172" t="s">
        <v>5634</v>
      </c>
      <c r="G77" s="172"/>
      <c r="H77" s="172" t="s">
        <v>5668</v>
      </c>
      <c r="I77" s="172" t="s">
        <v>5577</v>
      </c>
      <c r="J77" s="172"/>
      <c r="K77" s="240">
        <v>255191.67</v>
      </c>
    </row>
    <row r="78" spans="1:11" x14ac:dyDescent="0.2">
      <c r="B78" s="172" t="s">
        <v>5675</v>
      </c>
      <c r="C78" s="172" t="s">
        <v>5666</v>
      </c>
      <c r="D78" s="244">
        <v>41152</v>
      </c>
      <c r="E78" s="172" t="s">
        <v>5667</v>
      </c>
      <c r="F78" s="172" t="s">
        <v>5634</v>
      </c>
      <c r="G78" s="172"/>
      <c r="H78" s="172" t="s">
        <v>5676</v>
      </c>
      <c r="I78" s="172" t="s">
        <v>5577</v>
      </c>
      <c r="J78" s="172"/>
      <c r="K78" s="240">
        <v>255191.67</v>
      </c>
    </row>
    <row r="79" spans="1:11" x14ac:dyDescent="0.2">
      <c r="B79" s="172" t="s">
        <v>5677</v>
      </c>
      <c r="C79" s="172" t="s">
        <v>5666</v>
      </c>
      <c r="D79" s="244">
        <v>41179</v>
      </c>
      <c r="E79" s="172" t="s">
        <v>5667</v>
      </c>
      <c r="F79" s="172" t="s">
        <v>5634</v>
      </c>
      <c r="G79" s="172"/>
      <c r="H79" s="172" t="s">
        <v>5678</v>
      </c>
      <c r="I79" s="172" t="s">
        <v>5577</v>
      </c>
      <c r="J79" s="172"/>
      <c r="K79" s="240">
        <v>255191.67</v>
      </c>
    </row>
    <row r="80" spans="1:11" x14ac:dyDescent="0.2">
      <c r="B80" s="172" t="s">
        <v>5677</v>
      </c>
      <c r="C80" s="172" t="s">
        <v>5666</v>
      </c>
      <c r="D80" s="244">
        <v>41179</v>
      </c>
      <c r="E80" s="172" t="s">
        <v>5667</v>
      </c>
      <c r="F80" s="172" t="s">
        <v>5634</v>
      </c>
      <c r="G80" s="172"/>
      <c r="H80" s="172" t="s">
        <v>5678</v>
      </c>
      <c r="I80" s="172" t="s">
        <v>5577</v>
      </c>
      <c r="J80" s="172"/>
      <c r="K80" s="240">
        <v>-0.02</v>
      </c>
    </row>
    <row r="81" spans="1:11" x14ac:dyDescent="0.2">
      <c r="B81" s="172" t="s">
        <v>5679</v>
      </c>
      <c r="C81" s="172" t="s">
        <v>5666</v>
      </c>
      <c r="D81" s="244">
        <v>41213</v>
      </c>
      <c r="E81" s="172" t="s">
        <v>5667</v>
      </c>
      <c r="F81" s="172" t="s">
        <v>5634</v>
      </c>
      <c r="G81" s="172"/>
      <c r="H81" s="172" t="s">
        <v>5680</v>
      </c>
      <c r="I81" s="172" t="s">
        <v>5577</v>
      </c>
      <c r="J81" s="172"/>
      <c r="K81" s="240">
        <v>255191.67</v>
      </c>
    </row>
    <row r="82" spans="1:11" x14ac:dyDescent="0.2">
      <c r="B82" s="172" t="s">
        <v>5683</v>
      </c>
      <c r="C82" s="172" t="s">
        <v>5666</v>
      </c>
      <c r="D82" s="244">
        <v>41243</v>
      </c>
      <c r="E82" s="172" t="s">
        <v>5667</v>
      </c>
      <c r="F82" s="172" t="s">
        <v>5634</v>
      </c>
      <c r="G82" s="172"/>
      <c r="H82" s="172" t="s">
        <v>5684</v>
      </c>
      <c r="I82" s="172" t="s">
        <v>5577</v>
      </c>
      <c r="J82" s="172"/>
      <c r="K82" s="240">
        <v>255191.67</v>
      </c>
    </row>
    <row r="83" spans="1:11" x14ac:dyDescent="0.2">
      <c r="B83" s="172" t="s">
        <v>5685</v>
      </c>
      <c r="C83" s="172" t="s">
        <v>5666</v>
      </c>
      <c r="D83" s="244">
        <v>41274</v>
      </c>
      <c r="E83" s="172" t="s">
        <v>5667</v>
      </c>
      <c r="F83" s="172" t="s">
        <v>5634</v>
      </c>
      <c r="G83" s="172"/>
      <c r="H83" s="172" t="s">
        <v>5686</v>
      </c>
      <c r="I83" s="172" t="s">
        <v>5577</v>
      </c>
      <c r="J83" s="172"/>
      <c r="K83" s="254">
        <v>255191.67</v>
      </c>
    </row>
    <row r="84" spans="1:11" x14ac:dyDescent="0.2">
      <c r="B84" s="172"/>
      <c r="C84" s="172"/>
      <c r="D84" s="244"/>
      <c r="E84" s="172"/>
      <c r="F84" s="172"/>
      <c r="G84" s="172"/>
      <c r="H84" s="172"/>
      <c r="I84" s="172"/>
      <c r="J84" s="255" t="s">
        <v>5739</v>
      </c>
      <c r="K84" s="253">
        <f>SUM(K69:K83)</f>
        <v>3062299.9999999995</v>
      </c>
    </row>
    <row r="85" spans="1:11" x14ac:dyDescent="0.2">
      <c r="B85" s="172"/>
      <c r="C85" s="172"/>
      <c r="D85" s="244"/>
      <c r="E85" s="172"/>
      <c r="F85" s="172"/>
      <c r="G85" s="172"/>
      <c r="H85" s="172"/>
      <c r="I85" s="172"/>
      <c r="J85" s="172"/>
      <c r="K85" s="240"/>
    </row>
    <row r="86" spans="1:11" x14ac:dyDescent="0.2">
      <c r="A86" s="256"/>
      <c r="B86" s="249"/>
      <c r="C86" s="249"/>
      <c r="D86" s="250"/>
      <c r="E86" s="249"/>
      <c r="F86" s="249"/>
      <c r="G86" s="249"/>
      <c r="H86" s="249"/>
      <c r="I86" s="249"/>
      <c r="J86" s="249"/>
      <c r="K86" s="251"/>
    </row>
    <row r="87" spans="1:11" x14ac:dyDescent="0.2">
      <c r="A87" s="26" t="s">
        <v>5741</v>
      </c>
      <c r="B87" s="172"/>
      <c r="C87" s="172"/>
      <c r="D87" s="244"/>
      <c r="E87" s="172"/>
      <c r="F87" s="172"/>
      <c r="G87" s="172"/>
      <c r="H87" s="172"/>
      <c r="I87" s="172"/>
      <c r="J87" s="172"/>
      <c r="K87" s="258"/>
    </row>
    <row r="88" spans="1:11" x14ac:dyDescent="0.2">
      <c r="A88" s="252" t="s">
        <v>5729</v>
      </c>
      <c r="C88" s="172"/>
      <c r="D88" s="244"/>
      <c r="E88" s="172"/>
      <c r="F88" s="172"/>
      <c r="G88" s="172"/>
      <c r="H88" s="172"/>
      <c r="I88" s="172"/>
      <c r="J88" s="172"/>
      <c r="K88" s="240"/>
    </row>
    <row r="89" spans="1:11" x14ac:dyDescent="0.2">
      <c r="A89" s="252" t="s">
        <v>5730</v>
      </c>
      <c r="C89" s="172"/>
      <c r="D89" s="244"/>
      <c r="E89" s="172"/>
      <c r="F89" s="172"/>
      <c r="G89" s="172"/>
      <c r="H89" s="172"/>
      <c r="I89" s="172"/>
      <c r="J89" s="172"/>
      <c r="K89" s="240"/>
    </row>
    <row r="90" spans="1:11" ht="15" hidden="1" x14ac:dyDescent="0.25">
      <c r="B90" s="245">
        <v>2011</v>
      </c>
      <c r="C90" s="245">
        <v>12</v>
      </c>
      <c r="D90" s="246" t="s">
        <v>5691</v>
      </c>
      <c r="E90" s="246" t="s">
        <v>1399</v>
      </c>
      <c r="F90" s="246" t="s">
        <v>5701</v>
      </c>
      <c r="G90" s="245">
        <v>99</v>
      </c>
      <c r="H90" s="246" t="s">
        <v>5693</v>
      </c>
      <c r="I90" s="246" t="s">
        <v>5694</v>
      </c>
      <c r="J90" s="246" t="s">
        <v>5695</v>
      </c>
      <c r="K90" s="247">
        <v>257911.25</v>
      </c>
    </row>
    <row r="91" spans="1:11" x14ac:dyDescent="0.2">
      <c r="B91" s="172" t="s">
        <v>5640</v>
      </c>
      <c r="C91" s="172" t="s">
        <v>5632</v>
      </c>
      <c r="D91" s="244">
        <v>40939</v>
      </c>
      <c r="E91" s="172" t="s">
        <v>5633</v>
      </c>
      <c r="F91" s="172" t="s">
        <v>5634</v>
      </c>
      <c r="G91" s="172" t="s">
        <v>5643</v>
      </c>
      <c r="H91" s="172" t="s">
        <v>5636</v>
      </c>
      <c r="I91" s="172" t="s">
        <v>5637</v>
      </c>
      <c r="J91" s="172" t="s">
        <v>5638</v>
      </c>
      <c r="K91" s="240">
        <v>257911.25</v>
      </c>
    </row>
    <row r="92" spans="1:11" x14ac:dyDescent="0.2">
      <c r="B92" s="172" t="s">
        <v>5673</v>
      </c>
      <c r="C92" s="172" t="s">
        <v>5632</v>
      </c>
      <c r="D92" s="244">
        <v>41090</v>
      </c>
      <c r="E92" s="172" t="s">
        <v>5670</v>
      </c>
      <c r="F92" s="172" t="s">
        <v>5634</v>
      </c>
      <c r="G92" s="172" t="s">
        <v>5643</v>
      </c>
      <c r="H92" s="172" t="s">
        <v>5671</v>
      </c>
      <c r="I92" s="172" t="s">
        <v>5637</v>
      </c>
      <c r="J92" s="172" t="s">
        <v>5638</v>
      </c>
      <c r="K92" s="240">
        <v>-257911.25</v>
      </c>
    </row>
    <row r="93" spans="1:11" x14ac:dyDescent="0.2">
      <c r="B93" s="172" t="s">
        <v>5651</v>
      </c>
      <c r="C93" s="172" t="s">
        <v>5632</v>
      </c>
      <c r="D93" s="244">
        <v>40968</v>
      </c>
      <c r="E93" s="172" t="s">
        <v>5652</v>
      </c>
      <c r="F93" s="172" t="s">
        <v>5634</v>
      </c>
      <c r="G93" s="172" t="s">
        <v>5643</v>
      </c>
      <c r="H93" s="172" t="s">
        <v>5653</v>
      </c>
      <c r="I93" s="172" t="s">
        <v>5637</v>
      </c>
      <c r="J93" s="172" t="s">
        <v>5638</v>
      </c>
      <c r="K93" s="240">
        <v>257911.25</v>
      </c>
    </row>
    <row r="94" spans="1:11" x14ac:dyDescent="0.2">
      <c r="B94" s="172" t="s">
        <v>5655</v>
      </c>
      <c r="C94" s="172" t="s">
        <v>5632</v>
      </c>
      <c r="D94" s="244">
        <v>40999</v>
      </c>
      <c r="E94" s="172" t="s">
        <v>5656</v>
      </c>
      <c r="F94" s="172" t="s">
        <v>5634</v>
      </c>
      <c r="G94" s="172" t="s">
        <v>5643</v>
      </c>
      <c r="H94" s="172" t="s">
        <v>5657</v>
      </c>
      <c r="I94" s="172" t="s">
        <v>5637</v>
      </c>
      <c r="J94" s="172" t="s">
        <v>5638</v>
      </c>
      <c r="K94" s="240">
        <v>257911.25</v>
      </c>
    </row>
    <row r="95" spans="1:11" x14ac:dyDescent="0.2">
      <c r="B95" s="172" t="s">
        <v>5658</v>
      </c>
      <c r="C95" s="172" t="s">
        <v>5632</v>
      </c>
      <c r="D95" s="244">
        <v>41029</v>
      </c>
      <c r="E95" s="172" t="s">
        <v>5659</v>
      </c>
      <c r="F95" s="172" t="s">
        <v>5634</v>
      </c>
      <c r="G95" s="172" t="s">
        <v>5643</v>
      </c>
      <c r="H95" s="172" t="s">
        <v>5660</v>
      </c>
      <c r="I95" s="172" t="s">
        <v>5637</v>
      </c>
      <c r="J95" s="172" t="s">
        <v>5638</v>
      </c>
      <c r="K95" s="240">
        <v>257911.25</v>
      </c>
    </row>
    <row r="96" spans="1:11" x14ac:dyDescent="0.2">
      <c r="B96" s="172" t="s">
        <v>5664</v>
      </c>
      <c r="C96" s="172" t="s">
        <v>5632</v>
      </c>
      <c r="D96" s="244">
        <v>41060</v>
      </c>
      <c r="E96" s="172" t="s">
        <v>5662</v>
      </c>
      <c r="F96" s="172" t="s">
        <v>5634</v>
      </c>
      <c r="G96" s="172" t="s">
        <v>5643</v>
      </c>
      <c r="H96" s="172" t="s">
        <v>5663</v>
      </c>
      <c r="I96" s="172" t="s">
        <v>5637</v>
      </c>
      <c r="J96" s="172" t="s">
        <v>5638</v>
      </c>
      <c r="K96" s="240">
        <v>257911.25</v>
      </c>
    </row>
    <row r="97" spans="1:11" x14ac:dyDescent="0.2">
      <c r="B97" s="172" t="s">
        <v>5669</v>
      </c>
      <c r="C97" s="172" t="s">
        <v>5632</v>
      </c>
      <c r="D97" s="244">
        <v>41090</v>
      </c>
      <c r="E97" s="172" t="s">
        <v>5670</v>
      </c>
      <c r="F97" s="172" t="s">
        <v>5634</v>
      </c>
      <c r="G97" s="172" t="s">
        <v>5643</v>
      </c>
      <c r="H97" s="172" t="s">
        <v>5671</v>
      </c>
      <c r="I97" s="172" t="s">
        <v>5637</v>
      </c>
      <c r="J97" s="172" t="s">
        <v>5638</v>
      </c>
      <c r="K97" s="240">
        <v>257911.25</v>
      </c>
    </row>
    <row r="98" spans="1:11" x14ac:dyDescent="0.2">
      <c r="B98" s="172" t="s">
        <v>5674</v>
      </c>
      <c r="C98" s="172" t="s">
        <v>5632</v>
      </c>
      <c r="D98" s="244">
        <v>41090</v>
      </c>
      <c r="E98" s="172" t="s">
        <v>5670</v>
      </c>
      <c r="F98" s="172" t="s">
        <v>5634</v>
      </c>
      <c r="G98" s="172" t="s">
        <v>5643</v>
      </c>
      <c r="H98" s="172" t="s">
        <v>5671</v>
      </c>
      <c r="I98" s="172" t="s">
        <v>5637</v>
      </c>
      <c r="J98" s="172" t="s">
        <v>5638</v>
      </c>
      <c r="K98" s="240">
        <v>257911.25</v>
      </c>
    </row>
    <row r="99" spans="1:11" x14ac:dyDescent="0.2">
      <c r="B99" s="172" t="s">
        <v>5665</v>
      </c>
      <c r="C99" s="172" t="s">
        <v>5666</v>
      </c>
      <c r="D99" s="244">
        <v>41113</v>
      </c>
      <c r="E99" s="172" t="s">
        <v>5667</v>
      </c>
      <c r="F99" s="172" t="s">
        <v>5634</v>
      </c>
      <c r="G99" s="172"/>
      <c r="H99" s="172" t="s">
        <v>5668</v>
      </c>
      <c r="I99" s="172" t="s">
        <v>5582</v>
      </c>
      <c r="J99" s="172"/>
      <c r="K99" s="240">
        <v>257911.25</v>
      </c>
    </row>
    <row r="100" spans="1:11" x14ac:dyDescent="0.2">
      <c r="B100" s="172" t="s">
        <v>5675</v>
      </c>
      <c r="C100" s="172" t="s">
        <v>5666</v>
      </c>
      <c r="D100" s="244">
        <v>41152</v>
      </c>
      <c r="E100" s="172" t="s">
        <v>5667</v>
      </c>
      <c r="F100" s="172" t="s">
        <v>5634</v>
      </c>
      <c r="G100" s="172"/>
      <c r="H100" s="172" t="s">
        <v>5676</v>
      </c>
      <c r="I100" s="172" t="s">
        <v>5582</v>
      </c>
      <c r="J100" s="172"/>
      <c r="K100" s="240">
        <v>257911.25</v>
      </c>
    </row>
    <row r="101" spans="1:11" x14ac:dyDescent="0.2">
      <c r="B101" s="172" t="s">
        <v>5677</v>
      </c>
      <c r="C101" s="172" t="s">
        <v>5666</v>
      </c>
      <c r="D101" s="244">
        <v>41179</v>
      </c>
      <c r="E101" s="172" t="s">
        <v>5667</v>
      </c>
      <c r="F101" s="172" t="s">
        <v>5634</v>
      </c>
      <c r="G101" s="172"/>
      <c r="H101" s="172" t="s">
        <v>5678</v>
      </c>
      <c r="I101" s="172" t="s">
        <v>5582</v>
      </c>
      <c r="J101" s="172"/>
      <c r="K101" s="254">
        <v>257911.25</v>
      </c>
    </row>
    <row r="102" spans="1:11" x14ac:dyDescent="0.2">
      <c r="B102" s="172"/>
      <c r="C102" s="172"/>
      <c r="D102" s="244"/>
      <c r="E102" s="172"/>
      <c r="F102" s="172"/>
      <c r="G102" s="172"/>
      <c r="H102" s="172"/>
      <c r="I102" s="172"/>
      <c r="J102" s="255" t="s">
        <v>5739</v>
      </c>
      <c r="K102" s="253">
        <f>SUM(K91:K101)</f>
        <v>2321201.25</v>
      </c>
    </row>
    <row r="103" spans="1:11" x14ac:dyDescent="0.2">
      <c r="B103" s="172"/>
      <c r="C103" s="172"/>
      <c r="D103" s="244"/>
      <c r="E103" s="172"/>
      <c r="F103" s="172"/>
      <c r="G103" s="172"/>
      <c r="H103" s="172"/>
      <c r="I103" s="172"/>
      <c r="J103" s="172"/>
      <c r="K103" s="240"/>
    </row>
    <row r="104" spans="1:11" x14ac:dyDescent="0.2">
      <c r="B104" s="172"/>
      <c r="C104" s="172"/>
      <c r="D104" s="244"/>
      <c r="E104" s="172"/>
      <c r="F104" s="172"/>
      <c r="G104" s="172"/>
      <c r="H104" s="172"/>
      <c r="I104" s="172"/>
      <c r="J104" s="172"/>
      <c r="K104" s="240"/>
    </row>
    <row r="105" spans="1:11" x14ac:dyDescent="0.2">
      <c r="B105" s="172"/>
      <c r="C105" s="172"/>
      <c r="D105" s="244"/>
      <c r="E105" s="172"/>
      <c r="F105" s="172"/>
      <c r="G105" s="172"/>
      <c r="H105" s="172"/>
      <c r="I105" s="172"/>
      <c r="J105" s="172"/>
      <c r="K105" s="240"/>
    </row>
    <row r="106" spans="1:11" x14ac:dyDescent="0.2">
      <c r="A106" s="256"/>
      <c r="B106" s="249"/>
      <c r="C106" s="249"/>
      <c r="D106" s="250"/>
      <c r="E106" s="249"/>
      <c r="F106" s="249"/>
      <c r="G106" s="249"/>
      <c r="H106" s="249"/>
      <c r="I106" s="249"/>
      <c r="J106" s="249"/>
      <c r="K106" s="251"/>
    </row>
    <row r="107" spans="1:11" x14ac:dyDescent="0.2">
      <c r="A107" s="26" t="s">
        <v>5742</v>
      </c>
      <c r="B107" s="172"/>
      <c r="C107" s="172"/>
      <c r="D107" s="244"/>
      <c r="E107" s="172"/>
      <c r="F107" s="172"/>
      <c r="G107" s="172"/>
      <c r="H107" s="172"/>
      <c r="I107" s="172"/>
      <c r="J107" s="172"/>
      <c r="K107" s="258"/>
    </row>
    <row r="108" spans="1:11" x14ac:dyDescent="0.2">
      <c r="A108" s="252" t="s">
        <v>5726</v>
      </c>
      <c r="C108" s="172"/>
      <c r="D108" s="244"/>
      <c r="E108" s="172"/>
      <c r="F108" s="172"/>
      <c r="G108" s="172"/>
      <c r="H108" s="172"/>
      <c r="I108" s="172"/>
      <c r="J108" s="172"/>
      <c r="K108" s="240"/>
    </row>
    <row r="109" spans="1:11" x14ac:dyDescent="0.2">
      <c r="A109" s="252" t="s">
        <v>5727</v>
      </c>
      <c r="C109" s="172"/>
      <c r="D109" s="244"/>
      <c r="E109" s="172"/>
      <c r="F109" s="172"/>
      <c r="G109" s="172"/>
      <c r="H109" s="172"/>
      <c r="I109" s="172"/>
      <c r="J109" s="172"/>
      <c r="K109" s="240"/>
    </row>
    <row r="110" spans="1:11" ht="15" hidden="1" x14ac:dyDescent="0.25">
      <c r="B110" s="245">
        <v>2011</v>
      </c>
      <c r="C110" s="245">
        <v>12</v>
      </c>
      <c r="D110" s="246" t="s">
        <v>5691</v>
      </c>
      <c r="E110" s="246" t="s">
        <v>1399</v>
      </c>
      <c r="F110" s="246" t="s">
        <v>5702</v>
      </c>
      <c r="G110" s="245">
        <v>99</v>
      </c>
      <c r="H110" s="246" t="s">
        <v>5693</v>
      </c>
      <c r="I110" s="246" t="s">
        <v>5694</v>
      </c>
      <c r="J110" s="246" t="s">
        <v>5695</v>
      </c>
      <c r="K110" s="247">
        <v>396000</v>
      </c>
    </row>
    <row r="111" spans="1:11" x14ac:dyDescent="0.2">
      <c r="B111" s="172" t="s">
        <v>5640</v>
      </c>
      <c r="C111" s="172" t="s">
        <v>5632</v>
      </c>
      <c r="D111" s="244">
        <v>40939</v>
      </c>
      <c r="E111" s="172" t="s">
        <v>5633</v>
      </c>
      <c r="F111" s="172" t="s">
        <v>5634</v>
      </c>
      <c r="G111" s="172" t="s">
        <v>5644</v>
      </c>
      <c r="H111" s="172" t="s">
        <v>5636</v>
      </c>
      <c r="I111" s="172" t="s">
        <v>5637</v>
      </c>
      <c r="J111" s="172" t="s">
        <v>5638</v>
      </c>
      <c r="K111" s="240">
        <v>396000</v>
      </c>
    </row>
    <row r="112" spans="1:11" x14ac:dyDescent="0.2">
      <c r="B112" s="172" t="s">
        <v>5673</v>
      </c>
      <c r="C112" s="172" t="s">
        <v>5632</v>
      </c>
      <c r="D112" s="244">
        <v>41090</v>
      </c>
      <c r="E112" s="172" t="s">
        <v>5670</v>
      </c>
      <c r="F112" s="172" t="s">
        <v>5634</v>
      </c>
      <c r="G112" s="172" t="s">
        <v>5644</v>
      </c>
      <c r="H112" s="172" t="s">
        <v>5671</v>
      </c>
      <c r="I112" s="172" t="s">
        <v>5637</v>
      </c>
      <c r="J112" s="172" t="s">
        <v>5638</v>
      </c>
      <c r="K112" s="240">
        <v>-396000</v>
      </c>
    </row>
    <row r="113" spans="1:11" x14ac:dyDescent="0.2">
      <c r="B113" s="172" t="s">
        <v>5654</v>
      </c>
      <c r="C113" s="172" t="s">
        <v>5632</v>
      </c>
      <c r="D113" s="244">
        <v>40968</v>
      </c>
      <c r="E113" s="172" t="s">
        <v>5652</v>
      </c>
      <c r="F113" s="172" t="s">
        <v>5634</v>
      </c>
      <c r="G113" s="172" t="s">
        <v>5644</v>
      </c>
      <c r="H113" s="172" t="s">
        <v>5653</v>
      </c>
      <c r="I113" s="172" t="s">
        <v>5637</v>
      </c>
      <c r="J113" s="172" t="s">
        <v>5638</v>
      </c>
      <c r="K113" s="240">
        <v>396000</v>
      </c>
    </row>
    <row r="114" spans="1:11" x14ac:dyDescent="0.2">
      <c r="B114" s="172" t="s">
        <v>5655</v>
      </c>
      <c r="C114" s="172" t="s">
        <v>5632</v>
      </c>
      <c r="D114" s="244">
        <v>40999</v>
      </c>
      <c r="E114" s="172" t="s">
        <v>5656</v>
      </c>
      <c r="F114" s="172" t="s">
        <v>5634</v>
      </c>
      <c r="G114" s="172" t="s">
        <v>5644</v>
      </c>
      <c r="H114" s="172" t="s">
        <v>5657</v>
      </c>
      <c r="I114" s="172" t="s">
        <v>5637</v>
      </c>
      <c r="J114" s="172" t="s">
        <v>5638</v>
      </c>
      <c r="K114" s="240">
        <v>396000</v>
      </c>
    </row>
    <row r="115" spans="1:11" x14ac:dyDescent="0.2">
      <c r="B115" s="172" t="s">
        <v>5658</v>
      </c>
      <c r="C115" s="172" t="s">
        <v>5632</v>
      </c>
      <c r="D115" s="244">
        <v>41029</v>
      </c>
      <c r="E115" s="172" t="s">
        <v>5659</v>
      </c>
      <c r="F115" s="172" t="s">
        <v>5634</v>
      </c>
      <c r="G115" s="172" t="s">
        <v>5644</v>
      </c>
      <c r="H115" s="172" t="s">
        <v>5660</v>
      </c>
      <c r="I115" s="172" t="s">
        <v>5637</v>
      </c>
      <c r="J115" s="172" t="s">
        <v>5638</v>
      </c>
      <c r="K115" s="240">
        <v>396000</v>
      </c>
    </row>
    <row r="116" spans="1:11" x14ac:dyDescent="0.2">
      <c r="B116" s="172" t="s">
        <v>5664</v>
      </c>
      <c r="C116" s="172" t="s">
        <v>5632</v>
      </c>
      <c r="D116" s="244">
        <v>41060</v>
      </c>
      <c r="E116" s="172" t="s">
        <v>5662</v>
      </c>
      <c r="F116" s="172" t="s">
        <v>5634</v>
      </c>
      <c r="G116" s="172" t="s">
        <v>5644</v>
      </c>
      <c r="H116" s="172" t="s">
        <v>5663</v>
      </c>
      <c r="I116" s="172" t="s">
        <v>5637</v>
      </c>
      <c r="J116" s="172" t="s">
        <v>5638</v>
      </c>
      <c r="K116" s="240">
        <v>396000</v>
      </c>
    </row>
    <row r="117" spans="1:11" x14ac:dyDescent="0.2">
      <c r="B117" s="172" t="s">
        <v>5669</v>
      </c>
      <c r="C117" s="172" t="s">
        <v>5632</v>
      </c>
      <c r="D117" s="244">
        <v>41090</v>
      </c>
      <c r="E117" s="172" t="s">
        <v>5670</v>
      </c>
      <c r="F117" s="172" t="s">
        <v>5634</v>
      </c>
      <c r="G117" s="172" t="s">
        <v>5644</v>
      </c>
      <c r="H117" s="172" t="s">
        <v>5671</v>
      </c>
      <c r="I117" s="172" t="s">
        <v>5637</v>
      </c>
      <c r="J117" s="172" t="s">
        <v>5638</v>
      </c>
      <c r="K117" s="240">
        <v>396000</v>
      </c>
    </row>
    <row r="118" spans="1:11" x14ac:dyDescent="0.2">
      <c r="B118" s="172" t="s">
        <v>5674</v>
      </c>
      <c r="C118" s="172" t="s">
        <v>5632</v>
      </c>
      <c r="D118" s="244">
        <v>41090</v>
      </c>
      <c r="E118" s="172" t="s">
        <v>5670</v>
      </c>
      <c r="F118" s="172" t="s">
        <v>5634</v>
      </c>
      <c r="G118" s="172" t="s">
        <v>5644</v>
      </c>
      <c r="H118" s="172" t="s">
        <v>5671</v>
      </c>
      <c r="I118" s="172" t="s">
        <v>5637</v>
      </c>
      <c r="J118" s="172" t="s">
        <v>5638</v>
      </c>
      <c r="K118" s="240">
        <v>396000</v>
      </c>
    </row>
    <row r="119" spans="1:11" x14ac:dyDescent="0.2">
      <c r="B119" s="172" t="s">
        <v>5665</v>
      </c>
      <c r="C119" s="172" t="s">
        <v>5666</v>
      </c>
      <c r="D119" s="244">
        <v>41113</v>
      </c>
      <c r="E119" s="172" t="s">
        <v>5667</v>
      </c>
      <c r="F119" s="172" t="s">
        <v>5634</v>
      </c>
      <c r="G119" s="172"/>
      <c r="H119" s="172" t="s">
        <v>5668</v>
      </c>
      <c r="I119" s="172" t="s">
        <v>5576</v>
      </c>
      <c r="J119" s="172"/>
      <c r="K119" s="240">
        <v>396000</v>
      </c>
    </row>
    <row r="120" spans="1:11" x14ac:dyDescent="0.2">
      <c r="B120" s="172" t="s">
        <v>5675</v>
      </c>
      <c r="C120" s="172" t="s">
        <v>5666</v>
      </c>
      <c r="D120" s="244">
        <v>41152</v>
      </c>
      <c r="E120" s="172" t="s">
        <v>5667</v>
      </c>
      <c r="F120" s="172" t="s">
        <v>5634</v>
      </c>
      <c r="G120" s="172"/>
      <c r="H120" s="172" t="s">
        <v>5676</v>
      </c>
      <c r="I120" s="172" t="s">
        <v>5576</v>
      </c>
      <c r="J120" s="172"/>
      <c r="K120" s="240">
        <v>396000</v>
      </c>
    </row>
    <row r="121" spans="1:11" x14ac:dyDescent="0.2">
      <c r="B121" s="172" t="s">
        <v>5677</v>
      </c>
      <c r="C121" s="172" t="s">
        <v>5666</v>
      </c>
      <c r="D121" s="244">
        <v>41179</v>
      </c>
      <c r="E121" s="172" t="s">
        <v>5667</v>
      </c>
      <c r="F121" s="172" t="s">
        <v>5634</v>
      </c>
      <c r="G121" s="172"/>
      <c r="H121" s="172" t="s">
        <v>5678</v>
      </c>
      <c r="I121" s="172" t="s">
        <v>5576</v>
      </c>
      <c r="J121" s="172"/>
      <c r="K121" s="254">
        <v>396000</v>
      </c>
    </row>
    <row r="122" spans="1:11" x14ac:dyDescent="0.2">
      <c r="B122" s="172"/>
      <c r="C122" s="172"/>
      <c r="D122" s="244"/>
      <c r="E122" s="172"/>
      <c r="F122" s="172"/>
      <c r="G122" s="172"/>
      <c r="H122" s="172"/>
      <c r="I122" s="172"/>
      <c r="J122" s="255" t="s">
        <v>5739</v>
      </c>
      <c r="K122" s="253">
        <f>SUM(K111:K121)</f>
        <v>3564000</v>
      </c>
    </row>
    <row r="123" spans="1:11" x14ac:dyDescent="0.2">
      <c r="B123" s="172"/>
      <c r="C123" s="172"/>
      <c r="D123" s="244"/>
      <c r="E123" s="172"/>
      <c r="F123" s="172"/>
      <c r="G123" s="172"/>
      <c r="H123" s="172"/>
      <c r="I123" s="172"/>
      <c r="J123" s="172"/>
      <c r="K123" s="240"/>
    </row>
    <row r="124" spans="1:11" x14ac:dyDescent="0.2">
      <c r="A124" s="256"/>
      <c r="B124" s="249"/>
      <c r="C124" s="249"/>
      <c r="D124" s="250"/>
      <c r="E124" s="249"/>
      <c r="F124" s="249"/>
      <c r="G124" s="249"/>
      <c r="H124" s="249"/>
      <c r="I124" s="249"/>
      <c r="J124" s="249"/>
      <c r="K124" s="251"/>
    </row>
    <row r="125" spans="1:11" x14ac:dyDescent="0.2">
      <c r="A125" s="252" t="s">
        <v>5728</v>
      </c>
      <c r="C125" s="172"/>
      <c r="D125" s="244"/>
      <c r="E125" s="172"/>
      <c r="F125" s="172"/>
      <c r="G125" s="172"/>
      <c r="H125" s="172"/>
      <c r="I125" s="172"/>
      <c r="J125" s="172"/>
      <c r="K125" s="240"/>
    </row>
    <row r="126" spans="1:11" x14ac:dyDescent="0.2">
      <c r="B126" s="172" t="s">
        <v>5679</v>
      </c>
      <c r="C126" s="172" t="s">
        <v>5666</v>
      </c>
      <c r="D126" s="244">
        <v>41213</v>
      </c>
      <c r="E126" s="172" t="s">
        <v>5667</v>
      </c>
      <c r="F126" s="172" t="s">
        <v>5634</v>
      </c>
      <c r="G126" s="172" t="s">
        <v>5681</v>
      </c>
      <c r="H126" s="172" t="s">
        <v>5680</v>
      </c>
      <c r="I126" s="172" t="s">
        <v>5593</v>
      </c>
      <c r="J126" s="172"/>
      <c r="K126" s="240">
        <v>487500</v>
      </c>
    </row>
    <row r="127" spans="1:11" x14ac:dyDescent="0.2">
      <c r="B127" s="172" t="s">
        <v>5683</v>
      </c>
      <c r="C127" s="172" t="s">
        <v>5666</v>
      </c>
      <c r="D127" s="244">
        <v>41243</v>
      </c>
      <c r="E127" s="172" t="s">
        <v>5667</v>
      </c>
      <c r="F127" s="172" t="s">
        <v>5634</v>
      </c>
      <c r="G127" s="172"/>
      <c r="H127" s="172" t="s">
        <v>5684</v>
      </c>
      <c r="I127" s="172" t="s">
        <v>5593</v>
      </c>
      <c r="J127" s="172"/>
      <c r="K127" s="240">
        <v>487500</v>
      </c>
    </row>
    <row r="128" spans="1:11" x14ac:dyDescent="0.2">
      <c r="B128" s="172" t="s">
        <v>5679</v>
      </c>
      <c r="C128" s="172" t="s">
        <v>5666</v>
      </c>
      <c r="D128" s="244">
        <v>41213</v>
      </c>
      <c r="E128" s="172" t="s">
        <v>5667</v>
      </c>
      <c r="F128" s="172" t="s">
        <v>5634</v>
      </c>
      <c r="G128" s="172" t="s">
        <v>5682</v>
      </c>
      <c r="H128" s="172" t="s">
        <v>5680</v>
      </c>
      <c r="I128" s="172" t="s">
        <v>5593</v>
      </c>
      <c r="J128" s="172"/>
      <c r="K128" s="240">
        <v>48750</v>
      </c>
    </row>
    <row r="129" spans="1:11" x14ac:dyDescent="0.2">
      <c r="B129" s="172" t="s">
        <v>5685</v>
      </c>
      <c r="C129" s="172" t="s">
        <v>5666</v>
      </c>
      <c r="D129" s="244">
        <v>41274</v>
      </c>
      <c r="E129" s="172" t="s">
        <v>5667</v>
      </c>
      <c r="F129" s="172" t="s">
        <v>5634</v>
      </c>
      <c r="G129" s="172"/>
      <c r="H129" s="172" t="s">
        <v>5686</v>
      </c>
      <c r="I129" s="172" t="s">
        <v>5593</v>
      </c>
      <c r="J129" s="172"/>
      <c r="K129" s="254">
        <v>487500</v>
      </c>
    </row>
    <row r="130" spans="1:11" x14ac:dyDescent="0.2">
      <c r="B130" s="172"/>
      <c r="C130" s="172"/>
      <c r="D130" s="244"/>
      <c r="E130" s="172"/>
      <c r="F130" s="172"/>
      <c r="G130" s="172"/>
      <c r="H130" s="172"/>
      <c r="I130" s="172"/>
      <c r="J130" s="255" t="s">
        <v>5739</v>
      </c>
      <c r="K130" s="253">
        <f>SUM(K126:K129)</f>
        <v>1511250</v>
      </c>
    </row>
    <row r="131" spans="1:11" x14ac:dyDescent="0.2">
      <c r="B131" s="172"/>
      <c r="C131" s="172"/>
      <c r="D131" s="244"/>
      <c r="E131" s="172"/>
      <c r="F131" s="172"/>
      <c r="G131" s="172"/>
      <c r="H131" s="172"/>
      <c r="I131" s="172"/>
      <c r="J131" s="172"/>
      <c r="K131" s="240"/>
    </row>
    <row r="132" spans="1:11" x14ac:dyDescent="0.2">
      <c r="A132" s="256"/>
      <c r="B132" s="249"/>
      <c r="C132" s="249"/>
      <c r="D132" s="250"/>
      <c r="E132" s="249"/>
      <c r="F132" s="249"/>
      <c r="G132" s="249"/>
      <c r="H132" s="249"/>
      <c r="I132" s="249"/>
      <c r="J132" s="249"/>
      <c r="K132" s="251"/>
    </row>
    <row r="133" spans="1:11" x14ac:dyDescent="0.2">
      <c r="A133" s="252" t="s">
        <v>5723</v>
      </c>
      <c r="C133" s="172"/>
      <c r="D133" s="244"/>
      <c r="E133" s="172"/>
      <c r="F133" s="172"/>
      <c r="G133" s="172"/>
      <c r="H133" s="172"/>
      <c r="I133" s="172"/>
      <c r="J133" s="172"/>
      <c r="K133" s="240"/>
    </row>
    <row r="134" spans="1:11" x14ac:dyDescent="0.2">
      <c r="A134" s="252" t="s">
        <v>5724</v>
      </c>
      <c r="C134" s="172"/>
      <c r="D134" s="244"/>
      <c r="E134" s="172"/>
      <c r="F134" s="172"/>
      <c r="G134" s="172"/>
      <c r="H134" s="172"/>
      <c r="I134" s="172"/>
      <c r="J134" s="172"/>
      <c r="K134" s="240"/>
    </row>
    <row r="135" spans="1:11" ht="15" hidden="1" x14ac:dyDescent="0.25">
      <c r="B135" s="245">
        <v>2011</v>
      </c>
      <c r="C135" s="245">
        <v>12</v>
      </c>
      <c r="D135" s="246" t="s">
        <v>5691</v>
      </c>
      <c r="E135" s="246" t="s">
        <v>1399</v>
      </c>
      <c r="F135" s="246" t="s">
        <v>5700</v>
      </c>
      <c r="G135" s="245">
        <v>99</v>
      </c>
      <c r="H135" s="246" t="s">
        <v>5693</v>
      </c>
      <c r="I135" s="246" t="s">
        <v>5694</v>
      </c>
      <c r="J135" s="246" t="s">
        <v>5695</v>
      </c>
      <c r="K135" s="247">
        <v>0.02</v>
      </c>
    </row>
    <row r="136" spans="1:11" ht="15" hidden="1" x14ac:dyDescent="0.25">
      <c r="B136" s="245">
        <v>2011</v>
      </c>
      <c r="C136" s="245">
        <v>12</v>
      </c>
      <c r="D136" s="246" t="s">
        <v>5691</v>
      </c>
      <c r="E136" s="246" t="s">
        <v>1399</v>
      </c>
      <c r="F136" s="246" t="s">
        <v>5700</v>
      </c>
      <c r="G136" s="245">
        <v>99</v>
      </c>
      <c r="H136" s="246" t="s">
        <v>5693</v>
      </c>
      <c r="I136" s="246" t="s">
        <v>5694</v>
      </c>
      <c r="J136" s="246" t="s">
        <v>5695</v>
      </c>
      <c r="K136" s="247">
        <v>570459.31000000006</v>
      </c>
    </row>
    <row r="137" spans="1:11" x14ac:dyDescent="0.2">
      <c r="B137" s="172" t="s">
        <v>5669</v>
      </c>
      <c r="C137" s="172" t="s">
        <v>5632</v>
      </c>
      <c r="D137" s="244">
        <v>41090</v>
      </c>
      <c r="E137" s="172" t="s">
        <v>5670</v>
      </c>
      <c r="F137" s="172" t="s">
        <v>5634</v>
      </c>
      <c r="G137" s="172" t="s">
        <v>5642</v>
      </c>
      <c r="H137" s="172" t="s">
        <v>5671</v>
      </c>
      <c r="I137" s="172" t="s">
        <v>5637</v>
      </c>
      <c r="J137" s="172" t="s">
        <v>5638</v>
      </c>
      <c r="K137" s="240">
        <v>285229.67</v>
      </c>
    </row>
    <row r="138" spans="1:11" x14ac:dyDescent="0.2">
      <c r="B138" s="172" t="s">
        <v>5673</v>
      </c>
      <c r="C138" s="172" t="s">
        <v>5632</v>
      </c>
      <c r="D138" s="244">
        <v>41090</v>
      </c>
      <c r="E138" s="172" t="s">
        <v>5670</v>
      </c>
      <c r="F138" s="172" t="s">
        <v>5634</v>
      </c>
      <c r="G138" s="172" t="s">
        <v>5642</v>
      </c>
      <c r="H138" s="172" t="s">
        <v>5671</v>
      </c>
      <c r="I138" s="172" t="s">
        <v>5637</v>
      </c>
      <c r="J138" s="172" t="s">
        <v>5638</v>
      </c>
      <c r="K138" s="240">
        <v>-285229.67</v>
      </c>
    </row>
    <row r="139" spans="1:11" x14ac:dyDescent="0.2">
      <c r="B139" s="172" t="s">
        <v>5674</v>
      </c>
      <c r="C139" s="172" t="s">
        <v>5632</v>
      </c>
      <c r="D139" s="244">
        <v>41090</v>
      </c>
      <c r="E139" s="172" t="s">
        <v>5670</v>
      </c>
      <c r="F139" s="172" t="s">
        <v>5634</v>
      </c>
      <c r="G139" s="172" t="s">
        <v>5642</v>
      </c>
      <c r="H139" s="172" t="s">
        <v>5671</v>
      </c>
      <c r="I139" s="172" t="s">
        <v>5637</v>
      </c>
      <c r="J139" s="172" t="s">
        <v>5638</v>
      </c>
      <c r="K139" s="240">
        <v>285229.67</v>
      </c>
    </row>
    <row r="140" spans="1:11" x14ac:dyDescent="0.2">
      <c r="B140" s="172" t="s">
        <v>5640</v>
      </c>
      <c r="C140" s="172" t="s">
        <v>5632</v>
      </c>
      <c r="D140" s="244">
        <v>40939</v>
      </c>
      <c r="E140" s="172" t="s">
        <v>5633</v>
      </c>
      <c r="F140" s="172" t="s">
        <v>5634</v>
      </c>
      <c r="G140" s="172" t="s">
        <v>5642</v>
      </c>
      <c r="H140" s="172" t="s">
        <v>5636</v>
      </c>
      <c r="I140" s="172" t="s">
        <v>5637</v>
      </c>
      <c r="J140" s="172" t="s">
        <v>5638</v>
      </c>
      <c r="K140" s="240">
        <v>570459.31000000006</v>
      </c>
    </row>
    <row r="141" spans="1:11" x14ac:dyDescent="0.2">
      <c r="B141" s="172" t="s">
        <v>5651</v>
      </c>
      <c r="C141" s="172" t="s">
        <v>5632</v>
      </c>
      <c r="D141" s="244">
        <v>40968</v>
      </c>
      <c r="E141" s="172" t="s">
        <v>5652</v>
      </c>
      <c r="F141" s="172" t="s">
        <v>5634</v>
      </c>
      <c r="G141" s="172" t="s">
        <v>5642</v>
      </c>
      <c r="H141" s="172" t="s">
        <v>5653</v>
      </c>
      <c r="I141" s="172" t="s">
        <v>5637</v>
      </c>
      <c r="J141" s="172" t="s">
        <v>5638</v>
      </c>
      <c r="K141" s="240">
        <v>570459.31000000006</v>
      </c>
    </row>
    <row r="142" spans="1:11" x14ac:dyDescent="0.2">
      <c r="B142" s="172" t="s">
        <v>5655</v>
      </c>
      <c r="C142" s="172" t="s">
        <v>5632</v>
      </c>
      <c r="D142" s="244">
        <v>40999</v>
      </c>
      <c r="E142" s="172" t="s">
        <v>5656</v>
      </c>
      <c r="F142" s="172" t="s">
        <v>5634</v>
      </c>
      <c r="G142" s="172" t="s">
        <v>5642</v>
      </c>
      <c r="H142" s="172" t="s">
        <v>5657</v>
      </c>
      <c r="I142" s="172" t="s">
        <v>5637</v>
      </c>
      <c r="J142" s="172" t="s">
        <v>5638</v>
      </c>
      <c r="K142" s="240">
        <v>570459.31000000006</v>
      </c>
    </row>
    <row r="143" spans="1:11" x14ac:dyDescent="0.2">
      <c r="B143" s="172" t="s">
        <v>5658</v>
      </c>
      <c r="C143" s="172" t="s">
        <v>5632</v>
      </c>
      <c r="D143" s="244">
        <v>41029</v>
      </c>
      <c r="E143" s="172" t="s">
        <v>5659</v>
      </c>
      <c r="F143" s="172" t="s">
        <v>5634</v>
      </c>
      <c r="G143" s="172" t="s">
        <v>5642</v>
      </c>
      <c r="H143" s="172" t="s">
        <v>5660</v>
      </c>
      <c r="I143" s="172" t="s">
        <v>5637</v>
      </c>
      <c r="J143" s="172" t="s">
        <v>5638</v>
      </c>
      <c r="K143" s="240">
        <v>570459.31000000006</v>
      </c>
    </row>
    <row r="144" spans="1:11" x14ac:dyDescent="0.2">
      <c r="B144" s="172" t="s">
        <v>5664</v>
      </c>
      <c r="C144" s="172" t="s">
        <v>5632</v>
      </c>
      <c r="D144" s="244">
        <v>41060</v>
      </c>
      <c r="E144" s="172" t="s">
        <v>5662</v>
      </c>
      <c r="F144" s="172" t="s">
        <v>5634</v>
      </c>
      <c r="G144" s="172" t="s">
        <v>5642</v>
      </c>
      <c r="H144" s="172" t="s">
        <v>5663</v>
      </c>
      <c r="I144" s="172" t="s">
        <v>5637</v>
      </c>
      <c r="J144" s="172" t="s">
        <v>5638</v>
      </c>
      <c r="K144" s="254">
        <v>570459.31000000006</v>
      </c>
    </row>
    <row r="145" spans="1:11" x14ac:dyDescent="0.2">
      <c r="B145" s="172"/>
      <c r="C145" s="172"/>
      <c r="D145" s="244"/>
      <c r="E145" s="172"/>
      <c r="F145" s="172"/>
      <c r="G145" s="172"/>
      <c r="H145" s="172"/>
      <c r="I145" s="172"/>
      <c r="J145" s="255" t="s">
        <v>5739</v>
      </c>
      <c r="K145" s="253">
        <f>SUM(K137:K144)</f>
        <v>3137526.22</v>
      </c>
    </row>
    <row r="146" spans="1:11" x14ac:dyDescent="0.2">
      <c r="B146" s="172"/>
      <c r="C146" s="172"/>
      <c r="D146" s="244"/>
      <c r="E146" s="172"/>
      <c r="F146" s="172"/>
      <c r="G146" s="172"/>
      <c r="H146" s="172"/>
      <c r="I146" s="172"/>
      <c r="J146" s="172"/>
      <c r="K146" s="240"/>
    </row>
    <row r="147" spans="1:11" x14ac:dyDescent="0.2">
      <c r="A147" s="256"/>
      <c r="B147" s="249"/>
      <c r="C147" s="249"/>
      <c r="D147" s="250"/>
      <c r="E147" s="249"/>
      <c r="F147" s="249"/>
      <c r="G147" s="249"/>
      <c r="H147" s="249"/>
      <c r="I147" s="249"/>
      <c r="J147" s="249"/>
      <c r="K147" s="251"/>
    </row>
    <row r="148" spans="1:11" x14ac:dyDescent="0.2">
      <c r="A148" s="26" t="s">
        <v>5744</v>
      </c>
      <c r="B148" s="172"/>
      <c r="C148" s="172"/>
      <c r="D148" s="244"/>
      <c r="E148" s="172"/>
      <c r="F148" s="172"/>
      <c r="G148" s="172"/>
      <c r="H148" s="172"/>
      <c r="I148" s="172"/>
      <c r="J148" s="172"/>
      <c r="K148" s="258"/>
    </row>
    <row r="149" spans="1:11" x14ac:dyDescent="0.2">
      <c r="A149" s="252" t="s">
        <v>5725</v>
      </c>
      <c r="C149" s="172"/>
      <c r="D149" s="244"/>
      <c r="E149" s="172"/>
      <c r="F149" s="172"/>
      <c r="G149" s="172"/>
      <c r="H149" s="172"/>
      <c r="I149" s="172"/>
      <c r="J149" s="172"/>
      <c r="K149" s="240"/>
    </row>
    <row r="150" spans="1:11" x14ac:dyDescent="0.2">
      <c r="A150" s="252" t="s">
        <v>5722</v>
      </c>
      <c r="C150" s="172"/>
      <c r="D150" s="244"/>
      <c r="E150" s="172"/>
      <c r="F150" s="172"/>
      <c r="G150" s="172"/>
      <c r="H150" s="172"/>
      <c r="I150" s="172"/>
      <c r="J150" s="172"/>
      <c r="K150" s="240"/>
    </row>
    <row r="151" spans="1:11" x14ac:dyDescent="0.2">
      <c r="B151" s="172" t="s">
        <v>5669</v>
      </c>
      <c r="C151" s="172" t="s">
        <v>5632</v>
      </c>
      <c r="D151" s="244">
        <v>41090</v>
      </c>
      <c r="E151" s="172" t="s">
        <v>5670</v>
      </c>
      <c r="F151" s="172" t="s">
        <v>5634</v>
      </c>
      <c r="G151" s="172" t="s">
        <v>5672</v>
      </c>
      <c r="H151" s="172" t="s">
        <v>5671</v>
      </c>
      <c r="I151" s="172" t="s">
        <v>5637</v>
      </c>
      <c r="J151" s="172" t="s">
        <v>5638</v>
      </c>
      <c r="K151" s="240">
        <v>711805.56</v>
      </c>
    </row>
    <row r="152" spans="1:11" x14ac:dyDescent="0.2">
      <c r="B152" s="172" t="s">
        <v>5673</v>
      </c>
      <c r="C152" s="172" t="s">
        <v>5632</v>
      </c>
      <c r="D152" s="244">
        <v>41090</v>
      </c>
      <c r="E152" s="172" t="s">
        <v>5670</v>
      </c>
      <c r="F152" s="172" t="s">
        <v>5634</v>
      </c>
      <c r="G152" s="172" t="s">
        <v>5672</v>
      </c>
      <c r="H152" s="172" t="s">
        <v>5671</v>
      </c>
      <c r="I152" s="172" t="s">
        <v>5637</v>
      </c>
      <c r="J152" s="172" t="s">
        <v>5638</v>
      </c>
      <c r="K152" s="167">
        <v>-711805.56</v>
      </c>
    </row>
    <row r="153" spans="1:11" x14ac:dyDescent="0.2">
      <c r="B153" s="172" t="s">
        <v>5674</v>
      </c>
      <c r="C153" s="172" t="s">
        <v>5632</v>
      </c>
      <c r="D153" s="244">
        <v>41090</v>
      </c>
      <c r="E153" s="172" t="s">
        <v>5670</v>
      </c>
      <c r="F153" s="172" t="s">
        <v>5634</v>
      </c>
      <c r="G153" s="172" t="s">
        <v>5672</v>
      </c>
      <c r="H153" s="172" t="s">
        <v>5671</v>
      </c>
      <c r="I153" s="172" t="s">
        <v>5637</v>
      </c>
      <c r="J153" s="172" t="s">
        <v>5638</v>
      </c>
      <c r="K153" s="167">
        <v>711805.56</v>
      </c>
    </row>
    <row r="154" spans="1:11" x14ac:dyDescent="0.2">
      <c r="B154" s="172" t="s">
        <v>5665</v>
      </c>
      <c r="C154" s="172" t="s">
        <v>5666</v>
      </c>
      <c r="D154" s="244">
        <v>41113</v>
      </c>
      <c r="E154" s="172" t="s">
        <v>5667</v>
      </c>
      <c r="F154" s="172" t="s">
        <v>5634</v>
      </c>
      <c r="G154" s="172"/>
      <c r="H154" s="172" t="s">
        <v>5668</v>
      </c>
      <c r="I154" s="172" t="s">
        <v>5589</v>
      </c>
      <c r="J154" s="172"/>
      <c r="K154" s="167">
        <v>854166.67</v>
      </c>
    </row>
    <row r="155" spans="1:11" x14ac:dyDescent="0.2">
      <c r="B155" s="172" t="s">
        <v>5675</v>
      </c>
      <c r="C155" s="172" t="s">
        <v>5666</v>
      </c>
      <c r="D155" s="244">
        <v>41152</v>
      </c>
      <c r="E155" s="172" t="s">
        <v>5667</v>
      </c>
      <c r="F155" s="172" t="s">
        <v>5634</v>
      </c>
      <c r="G155" s="172"/>
      <c r="H155" s="172" t="s">
        <v>5676</v>
      </c>
      <c r="I155" s="172" t="s">
        <v>5589</v>
      </c>
      <c r="J155" s="172"/>
      <c r="K155" s="167">
        <v>854166.67</v>
      </c>
    </row>
    <row r="156" spans="1:11" x14ac:dyDescent="0.2">
      <c r="B156" s="172" t="s">
        <v>5677</v>
      </c>
      <c r="C156" s="172" t="s">
        <v>5666</v>
      </c>
      <c r="D156" s="244">
        <v>41179</v>
      </c>
      <c r="E156" s="172" t="s">
        <v>5667</v>
      </c>
      <c r="F156" s="172" t="s">
        <v>5634</v>
      </c>
      <c r="G156" s="172"/>
      <c r="H156" s="172" t="s">
        <v>5678</v>
      </c>
      <c r="I156" s="172" t="s">
        <v>5589</v>
      </c>
      <c r="J156" s="172"/>
      <c r="K156" s="167">
        <v>854166.67</v>
      </c>
    </row>
    <row r="157" spans="1:11" x14ac:dyDescent="0.2">
      <c r="B157" s="172" t="s">
        <v>5679</v>
      </c>
      <c r="C157" s="172" t="s">
        <v>5666</v>
      </c>
      <c r="D157" s="244">
        <v>41213</v>
      </c>
      <c r="E157" s="172" t="s">
        <v>5667</v>
      </c>
      <c r="F157" s="172" t="s">
        <v>5634</v>
      </c>
      <c r="G157" s="172"/>
      <c r="H157" s="172" t="s">
        <v>5680</v>
      </c>
      <c r="I157" s="172" t="s">
        <v>5589</v>
      </c>
      <c r="J157" s="172"/>
      <c r="K157" s="240">
        <v>854166.67</v>
      </c>
    </row>
    <row r="158" spans="1:11" x14ac:dyDescent="0.2">
      <c r="B158" s="172" t="s">
        <v>5683</v>
      </c>
      <c r="C158" s="172" t="s">
        <v>5666</v>
      </c>
      <c r="D158" s="244">
        <v>41243</v>
      </c>
      <c r="E158" s="172" t="s">
        <v>5667</v>
      </c>
      <c r="F158" s="172" t="s">
        <v>5634</v>
      </c>
      <c r="G158" s="172"/>
      <c r="H158" s="172" t="s">
        <v>5684</v>
      </c>
      <c r="I158" s="172" t="s">
        <v>5589</v>
      </c>
      <c r="J158" s="172"/>
      <c r="K158" s="240">
        <v>854166.67</v>
      </c>
    </row>
    <row r="159" spans="1:11" x14ac:dyDescent="0.2">
      <c r="B159" s="172" t="s">
        <v>5685</v>
      </c>
      <c r="C159" s="172" t="s">
        <v>5666</v>
      </c>
      <c r="D159" s="244">
        <v>41274</v>
      </c>
      <c r="E159" s="172" t="s">
        <v>5667</v>
      </c>
      <c r="F159" s="172" t="s">
        <v>5634</v>
      </c>
      <c r="G159" s="172"/>
      <c r="H159" s="172" t="s">
        <v>5686</v>
      </c>
      <c r="I159" s="172" t="s">
        <v>5589</v>
      </c>
      <c r="J159" s="172"/>
      <c r="K159" s="240">
        <v>-0.01</v>
      </c>
    </row>
    <row r="160" spans="1:11" x14ac:dyDescent="0.2">
      <c r="B160" s="172" t="s">
        <v>5685</v>
      </c>
      <c r="C160" s="172" t="s">
        <v>5666</v>
      </c>
      <c r="D160" s="244">
        <v>41274</v>
      </c>
      <c r="E160" s="172" t="s">
        <v>5667</v>
      </c>
      <c r="F160" s="172" t="s">
        <v>5634</v>
      </c>
      <c r="G160" s="172"/>
      <c r="H160" s="172" t="s">
        <v>5686</v>
      </c>
      <c r="I160" s="172" t="s">
        <v>5589</v>
      </c>
      <c r="J160" s="172"/>
      <c r="K160" s="254">
        <v>854166.67</v>
      </c>
    </row>
    <row r="161" spans="1:11" x14ac:dyDescent="0.2">
      <c r="B161" s="172"/>
      <c r="C161" s="172"/>
      <c r="D161" s="244"/>
      <c r="E161" s="172"/>
      <c r="F161" s="172"/>
      <c r="G161" s="172"/>
      <c r="H161" s="172"/>
      <c r="I161" s="172"/>
      <c r="J161" s="255" t="s">
        <v>5739</v>
      </c>
      <c r="K161" s="253">
        <f>SUM(K151:K160)</f>
        <v>5836805.5700000003</v>
      </c>
    </row>
    <row r="162" spans="1:11" x14ac:dyDescent="0.2">
      <c r="B162" s="172"/>
      <c r="C162" s="172"/>
      <c r="D162" s="244"/>
      <c r="E162" s="172"/>
      <c r="F162" s="172"/>
      <c r="G162" s="172"/>
      <c r="H162" s="172"/>
      <c r="I162" s="172"/>
      <c r="J162" s="172"/>
      <c r="K162" s="240"/>
    </row>
    <row r="163" spans="1:11" x14ac:dyDescent="0.2">
      <c r="A163" s="256"/>
      <c r="B163" s="249"/>
      <c r="C163" s="249"/>
      <c r="D163" s="250"/>
      <c r="E163" s="249"/>
      <c r="F163" s="249"/>
      <c r="G163" s="249"/>
      <c r="H163" s="249"/>
      <c r="I163" s="249"/>
      <c r="J163" s="249"/>
      <c r="K163" s="251"/>
    </row>
    <row r="164" spans="1:11" x14ac:dyDescent="0.2">
      <c r="A164" s="26" t="s">
        <v>5743</v>
      </c>
      <c r="B164" s="172"/>
      <c r="C164" s="172"/>
      <c r="D164" s="244"/>
      <c r="E164" s="172"/>
      <c r="F164" s="172"/>
      <c r="G164" s="172"/>
      <c r="H164" s="172"/>
      <c r="I164" s="172"/>
      <c r="J164" s="172"/>
      <c r="K164" s="258"/>
    </row>
    <row r="165" spans="1:11" x14ac:dyDescent="0.2">
      <c r="A165" s="252" t="s">
        <v>5720</v>
      </c>
      <c r="C165" s="172"/>
      <c r="D165" s="244"/>
      <c r="E165" s="172"/>
      <c r="F165" s="172"/>
      <c r="G165" s="172"/>
      <c r="H165" s="172"/>
      <c r="I165" s="172"/>
      <c r="J165" s="172"/>
      <c r="K165" s="240"/>
    </row>
    <row r="166" spans="1:11" x14ac:dyDescent="0.2">
      <c r="A166" s="252" t="s">
        <v>5721</v>
      </c>
      <c r="C166" s="172"/>
      <c r="D166" s="244"/>
      <c r="E166" s="172"/>
      <c r="F166" s="172"/>
      <c r="G166" s="172"/>
      <c r="H166" s="172"/>
      <c r="I166" s="172"/>
      <c r="J166" s="172"/>
      <c r="K166" s="240"/>
    </row>
    <row r="167" spans="1:11" ht="15" hidden="1" x14ac:dyDescent="0.25">
      <c r="B167" s="245">
        <v>2011</v>
      </c>
      <c r="C167" s="245">
        <v>12</v>
      </c>
      <c r="D167" s="246" t="s">
        <v>5691</v>
      </c>
      <c r="E167" s="246" t="s">
        <v>1399</v>
      </c>
      <c r="F167" s="246" t="s">
        <v>5698</v>
      </c>
      <c r="G167" s="245">
        <v>99</v>
      </c>
      <c r="H167" s="246" t="s">
        <v>5693</v>
      </c>
      <c r="I167" s="246" t="s">
        <v>5694</v>
      </c>
      <c r="J167" s="246" t="s">
        <v>5695</v>
      </c>
      <c r="K167" s="247">
        <v>973750</v>
      </c>
    </row>
    <row r="168" spans="1:11" x14ac:dyDescent="0.2">
      <c r="B168" s="172" t="s">
        <v>5631</v>
      </c>
      <c r="C168" s="172" t="s">
        <v>5632</v>
      </c>
      <c r="D168" s="244">
        <v>40939</v>
      </c>
      <c r="E168" s="172" t="s">
        <v>5633</v>
      </c>
      <c r="F168" s="172" t="s">
        <v>5634</v>
      </c>
      <c r="G168" s="172" t="s">
        <v>5635</v>
      </c>
      <c r="H168" s="172" t="s">
        <v>5636</v>
      </c>
      <c r="I168" s="172" t="s">
        <v>5637</v>
      </c>
      <c r="J168" s="172" t="s">
        <v>5638</v>
      </c>
      <c r="K168" s="240">
        <v>973750</v>
      </c>
    </row>
    <row r="169" spans="1:11" x14ac:dyDescent="0.2">
      <c r="B169" s="172" t="s">
        <v>5673</v>
      </c>
      <c r="C169" s="172" t="s">
        <v>5632</v>
      </c>
      <c r="D169" s="244">
        <v>41090</v>
      </c>
      <c r="E169" s="172" t="s">
        <v>5670</v>
      </c>
      <c r="F169" s="172" t="s">
        <v>5634</v>
      </c>
      <c r="G169" s="172" t="s">
        <v>5635</v>
      </c>
      <c r="H169" s="172" t="s">
        <v>5671</v>
      </c>
      <c r="I169" s="172" t="s">
        <v>5637</v>
      </c>
      <c r="J169" s="172" t="s">
        <v>5638</v>
      </c>
      <c r="K169" s="240">
        <v>-973750</v>
      </c>
    </row>
    <row r="170" spans="1:11" x14ac:dyDescent="0.2">
      <c r="B170" s="172" t="s">
        <v>5651</v>
      </c>
      <c r="C170" s="172" t="s">
        <v>5632</v>
      </c>
      <c r="D170" s="244">
        <v>40968</v>
      </c>
      <c r="E170" s="172" t="s">
        <v>5652</v>
      </c>
      <c r="F170" s="172" t="s">
        <v>5634</v>
      </c>
      <c r="G170" s="172" t="s">
        <v>5635</v>
      </c>
      <c r="H170" s="172" t="s">
        <v>5653</v>
      </c>
      <c r="I170" s="172" t="s">
        <v>5637</v>
      </c>
      <c r="J170" s="172" t="s">
        <v>5638</v>
      </c>
      <c r="K170" s="240">
        <v>973750</v>
      </c>
    </row>
    <row r="171" spans="1:11" x14ac:dyDescent="0.2">
      <c r="B171" s="172" t="s">
        <v>5655</v>
      </c>
      <c r="C171" s="172" t="s">
        <v>5632</v>
      </c>
      <c r="D171" s="244">
        <v>40999</v>
      </c>
      <c r="E171" s="172" t="s">
        <v>5656</v>
      </c>
      <c r="F171" s="172" t="s">
        <v>5634</v>
      </c>
      <c r="G171" s="172" t="s">
        <v>5635</v>
      </c>
      <c r="H171" s="172" t="s">
        <v>5657</v>
      </c>
      <c r="I171" s="172" t="s">
        <v>5637</v>
      </c>
      <c r="J171" s="172" t="s">
        <v>5638</v>
      </c>
      <c r="K171" s="240">
        <v>973750</v>
      </c>
    </row>
    <row r="172" spans="1:11" x14ac:dyDescent="0.2">
      <c r="B172" s="172" t="s">
        <v>5658</v>
      </c>
      <c r="C172" s="172" t="s">
        <v>5632</v>
      </c>
      <c r="D172" s="244">
        <v>41029</v>
      </c>
      <c r="E172" s="172" t="s">
        <v>5659</v>
      </c>
      <c r="F172" s="172" t="s">
        <v>5634</v>
      </c>
      <c r="G172" s="172" t="s">
        <v>5635</v>
      </c>
      <c r="H172" s="172" t="s">
        <v>5660</v>
      </c>
      <c r="I172" s="172" t="s">
        <v>5637</v>
      </c>
      <c r="J172" s="172" t="s">
        <v>5638</v>
      </c>
      <c r="K172" s="240">
        <v>973750</v>
      </c>
    </row>
    <row r="173" spans="1:11" x14ac:dyDescent="0.2">
      <c r="B173" s="172" t="s">
        <v>5661</v>
      </c>
      <c r="C173" s="172" t="s">
        <v>5632</v>
      </c>
      <c r="D173" s="244">
        <v>41060</v>
      </c>
      <c r="E173" s="172" t="s">
        <v>5662</v>
      </c>
      <c r="F173" s="172" t="s">
        <v>5634</v>
      </c>
      <c r="G173" s="172" t="s">
        <v>5635</v>
      </c>
      <c r="H173" s="172" t="s">
        <v>5663</v>
      </c>
      <c r="I173" s="172" t="s">
        <v>5637</v>
      </c>
      <c r="J173" s="172" t="s">
        <v>5638</v>
      </c>
      <c r="K173" s="240">
        <v>973750</v>
      </c>
    </row>
    <row r="174" spans="1:11" x14ac:dyDescent="0.2">
      <c r="B174" s="172" t="s">
        <v>5669</v>
      </c>
      <c r="C174" s="172" t="s">
        <v>5632</v>
      </c>
      <c r="D174" s="244">
        <v>41090</v>
      </c>
      <c r="E174" s="172" t="s">
        <v>5670</v>
      </c>
      <c r="F174" s="172" t="s">
        <v>5634</v>
      </c>
      <c r="G174" s="172" t="s">
        <v>5635</v>
      </c>
      <c r="H174" s="172" t="s">
        <v>5671</v>
      </c>
      <c r="I174" s="172" t="s">
        <v>5637</v>
      </c>
      <c r="J174" s="172" t="s">
        <v>5638</v>
      </c>
      <c r="K174" s="240">
        <v>973750</v>
      </c>
    </row>
    <row r="175" spans="1:11" x14ac:dyDescent="0.2">
      <c r="B175" s="172" t="s">
        <v>5674</v>
      </c>
      <c r="C175" s="172" t="s">
        <v>5632</v>
      </c>
      <c r="D175" s="244">
        <v>41090</v>
      </c>
      <c r="E175" s="172" t="s">
        <v>5670</v>
      </c>
      <c r="F175" s="172" t="s">
        <v>5634</v>
      </c>
      <c r="G175" s="172" t="s">
        <v>5635</v>
      </c>
      <c r="H175" s="172" t="s">
        <v>5671</v>
      </c>
      <c r="I175" s="172" t="s">
        <v>5637</v>
      </c>
      <c r="J175" s="172" t="s">
        <v>5638</v>
      </c>
      <c r="K175" s="240">
        <v>973750</v>
      </c>
    </row>
    <row r="176" spans="1:11" x14ac:dyDescent="0.2">
      <c r="B176" s="172" t="s">
        <v>5665</v>
      </c>
      <c r="C176" s="172" t="s">
        <v>5666</v>
      </c>
      <c r="D176" s="244">
        <v>41113</v>
      </c>
      <c r="E176" s="172" t="s">
        <v>5667</v>
      </c>
      <c r="F176" s="172" t="s">
        <v>5634</v>
      </c>
      <c r="G176" s="172"/>
      <c r="H176" s="172" t="s">
        <v>5668</v>
      </c>
      <c r="I176" s="172" t="s">
        <v>5586</v>
      </c>
      <c r="J176" s="172"/>
      <c r="K176" s="240">
        <v>973750</v>
      </c>
    </row>
    <row r="177" spans="1:11" x14ac:dyDescent="0.2">
      <c r="B177" s="172" t="s">
        <v>5675</v>
      </c>
      <c r="C177" s="172" t="s">
        <v>5666</v>
      </c>
      <c r="D177" s="244">
        <v>41152</v>
      </c>
      <c r="E177" s="172" t="s">
        <v>5667</v>
      </c>
      <c r="F177" s="172" t="s">
        <v>5634</v>
      </c>
      <c r="G177" s="172"/>
      <c r="H177" s="172" t="s">
        <v>5676</v>
      </c>
      <c r="I177" s="172" t="s">
        <v>5586</v>
      </c>
      <c r="J177" s="172"/>
      <c r="K177" s="240">
        <v>973750</v>
      </c>
    </row>
    <row r="178" spans="1:11" x14ac:dyDescent="0.2">
      <c r="B178" s="172" t="s">
        <v>5677</v>
      </c>
      <c r="C178" s="172" t="s">
        <v>5666</v>
      </c>
      <c r="D178" s="244">
        <v>41179</v>
      </c>
      <c r="E178" s="172" t="s">
        <v>5667</v>
      </c>
      <c r="F178" s="172" t="s">
        <v>5634</v>
      </c>
      <c r="G178" s="172"/>
      <c r="H178" s="172" t="s">
        <v>5678</v>
      </c>
      <c r="I178" s="172" t="s">
        <v>5586</v>
      </c>
      <c r="J178" s="172"/>
      <c r="K178" s="240">
        <v>973750</v>
      </c>
    </row>
    <row r="179" spans="1:11" x14ac:dyDescent="0.2">
      <c r="B179" s="172" t="s">
        <v>5679</v>
      </c>
      <c r="C179" s="172" t="s">
        <v>5666</v>
      </c>
      <c r="D179" s="244">
        <v>41213</v>
      </c>
      <c r="E179" s="172" t="s">
        <v>5667</v>
      </c>
      <c r="F179" s="172" t="s">
        <v>5634</v>
      </c>
      <c r="G179" s="172"/>
      <c r="H179" s="172" t="s">
        <v>5680</v>
      </c>
      <c r="I179" s="172" t="s">
        <v>5586</v>
      </c>
      <c r="J179" s="172"/>
      <c r="K179" s="240">
        <v>973750</v>
      </c>
    </row>
    <row r="180" spans="1:11" x14ac:dyDescent="0.2">
      <c r="B180" s="172" t="s">
        <v>5683</v>
      </c>
      <c r="C180" s="172" t="s">
        <v>5666</v>
      </c>
      <c r="D180" s="244">
        <v>41243</v>
      </c>
      <c r="E180" s="172" t="s">
        <v>5667</v>
      </c>
      <c r="F180" s="172" t="s">
        <v>5634</v>
      </c>
      <c r="G180" s="172"/>
      <c r="H180" s="172" t="s">
        <v>5684</v>
      </c>
      <c r="I180" s="172" t="s">
        <v>5586</v>
      </c>
      <c r="J180" s="172"/>
      <c r="K180" s="240">
        <v>973750</v>
      </c>
    </row>
    <row r="181" spans="1:11" x14ac:dyDescent="0.2">
      <c r="B181" s="172" t="s">
        <v>5685</v>
      </c>
      <c r="C181" s="172" t="s">
        <v>5666</v>
      </c>
      <c r="D181" s="244">
        <v>41274</v>
      </c>
      <c r="E181" s="172" t="s">
        <v>5667</v>
      </c>
      <c r="F181" s="172" t="s">
        <v>5634</v>
      </c>
      <c r="G181" s="172"/>
      <c r="H181" s="172" t="s">
        <v>5686</v>
      </c>
      <c r="I181" s="172" t="s">
        <v>5586</v>
      </c>
      <c r="J181" s="172"/>
      <c r="K181" s="254">
        <v>973750</v>
      </c>
    </row>
    <row r="182" spans="1:11" x14ac:dyDescent="0.2">
      <c r="B182" s="172"/>
      <c r="C182" s="172"/>
      <c r="D182" s="244"/>
      <c r="E182" s="172"/>
      <c r="F182" s="172"/>
      <c r="G182" s="172"/>
      <c r="H182" s="172"/>
      <c r="I182" s="172"/>
      <c r="J182" s="255" t="s">
        <v>5711</v>
      </c>
      <c r="K182" s="253">
        <f>SUM(K168:K181)</f>
        <v>11685000</v>
      </c>
    </row>
    <row r="183" spans="1:11" x14ac:dyDescent="0.2">
      <c r="B183" s="172"/>
      <c r="C183" s="172"/>
      <c r="D183" s="244"/>
      <c r="E183" s="172"/>
      <c r="F183" s="172"/>
      <c r="G183" s="172"/>
      <c r="H183" s="172"/>
      <c r="I183" s="172"/>
      <c r="J183" s="172"/>
      <c r="K183" s="240"/>
    </row>
    <row r="184" spans="1:11" x14ac:dyDescent="0.2">
      <c r="A184" s="256"/>
      <c r="B184" s="249"/>
      <c r="C184" s="249"/>
      <c r="D184" s="250"/>
      <c r="E184" s="249"/>
      <c r="F184" s="249"/>
      <c r="G184" s="249"/>
      <c r="H184" s="249"/>
      <c r="I184" s="249"/>
      <c r="J184" s="249"/>
      <c r="K184" s="251"/>
    </row>
    <row r="185" spans="1:11" x14ac:dyDescent="0.2">
      <c r="A185" s="26" t="s">
        <v>5745</v>
      </c>
      <c r="B185" s="172"/>
      <c r="C185" s="172"/>
      <c r="D185" s="244"/>
      <c r="E185" s="172"/>
      <c r="F185" s="172"/>
      <c r="G185" s="172"/>
      <c r="H185" s="172"/>
      <c r="I185" s="172"/>
      <c r="J185" s="172"/>
      <c r="K185" s="258"/>
    </row>
    <row r="186" spans="1:11" x14ac:dyDescent="0.2">
      <c r="A186" s="252" t="s">
        <v>5718</v>
      </c>
      <c r="C186" s="172"/>
      <c r="D186" s="244"/>
      <c r="E186" s="172"/>
      <c r="F186" s="172"/>
      <c r="G186" s="172"/>
      <c r="H186" s="172"/>
      <c r="I186" s="172"/>
      <c r="J186" s="172"/>
      <c r="K186" s="240"/>
    </row>
    <row r="187" spans="1:11" x14ac:dyDescent="0.2">
      <c r="A187" s="252" t="s">
        <v>5719</v>
      </c>
      <c r="C187" s="172"/>
      <c r="D187" s="244"/>
      <c r="E187" s="172"/>
      <c r="F187" s="172"/>
      <c r="G187" s="172"/>
      <c r="H187" s="172"/>
      <c r="I187" s="172"/>
      <c r="J187" s="172"/>
      <c r="K187" s="240"/>
    </row>
    <row r="188" spans="1:11" ht="15" hidden="1" x14ac:dyDescent="0.25">
      <c r="B188" s="245">
        <v>2011</v>
      </c>
      <c r="C188" s="245">
        <v>12</v>
      </c>
      <c r="D188" s="246" t="s">
        <v>5691</v>
      </c>
      <c r="E188" s="246" t="s">
        <v>1399</v>
      </c>
      <c r="F188" s="246" t="s">
        <v>5707</v>
      </c>
      <c r="G188" s="245">
        <v>99</v>
      </c>
      <c r="H188" s="246" t="s">
        <v>5693</v>
      </c>
      <c r="I188" s="246" t="s">
        <v>5694</v>
      </c>
      <c r="J188" s="246" t="s">
        <v>5695</v>
      </c>
      <c r="K188" s="247">
        <v>1016666.67</v>
      </c>
    </row>
    <row r="189" spans="1:11" x14ac:dyDescent="0.2">
      <c r="B189" s="172" t="s">
        <v>5664</v>
      </c>
      <c r="C189" s="172" t="s">
        <v>5632</v>
      </c>
      <c r="D189" s="244">
        <v>41060</v>
      </c>
      <c r="E189" s="172" t="s">
        <v>5662</v>
      </c>
      <c r="F189" s="172" t="s">
        <v>5634</v>
      </c>
      <c r="G189" s="172" t="s">
        <v>5649</v>
      </c>
      <c r="H189" s="172" t="s">
        <v>5663</v>
      </c>
      <c r="I189" s="172" t="s">
        <v>5637</v>
      </c>
      <c r="J189" s="172" t="s">
        <v>5638</v>
      </c>
      <c r="K189" s="240">
        <v>1016666.65</v>
      </c>
    </row>
    <row r="190" spans="1:11" x14ac:dyDescent="0.2">
      <c r="B190" s="172" t="s">
        <v>5673</v>
      </c>
      <c r="C190" s="172" t="s">
        <v>5632</v>
      </c>
      <c r="D190" s="244">
        <v>41090</v>
      </c>
      <c r="E190" s="172" t="s">
        <v>5670</v>
      </c>
      <c r="F190" s="172" t="s">
        <v>5634</v>
      </c>
      <c r="G190" s="172" t="s">
        <v>5649</v>
      </c>
      <c r="H190" s="172" t="s">
        <v>5671</v>
      </c>
      <c r="I190" s="172" t="s">
        <v>5637</v>
      </c>
      <c r="J190" s="172" t="s">
        <v>5638</v>
      </c>
      <c r="K190" s="240">
        <v>-1016666.67</v>
      </c>
    </row>
    <row r="191" spans="1:11" x14ac:dyDescent="0.2">
      <c r="B191" s="172" t="s">
        <v>5640</v>
      </c>
      <c r="C191" s="172" t="s">
        <v>5632</v>
      </c>
      <c r="D191" s="244">
        <v>40939</v>
      </c>
      <c r="E191" s="172" t="s">
        <v>5633</v>
      </c>
      <c r="F191" s="172" t="s">
        <v>5634</v>
      </c>
      <c r="G191" s="172" t="s">
        <v>5649</v>
      </c>
      <c r="H191" s="172" t="s">
        <v>5636</v>
      </c>
      <c r="I191" s="172" t="s">
        <v>5637</v>
      </c>
      <c r="J191" s="172" t="s">
        <v>5638</v>
      </c>
      <c r="K191" s="240">
        <v>1016666.67</v>
      </c>
    </row>
    <row r="192" spans="1:11" x14ac:dyDescent="0.2">
      <c r="B192" s="172" t="s">
        <v>5654</v>
      </c>
      <c r="C192" s="172" t="s">
        <v>5632</v>
      </c>
      <c r="D192" s="244">
        <v>40968</v>
      </c>
      <c r="E192" s="172" t="s">
        <v>5652</v>
      </c>
      <c r="F192" s="172" t="s">
        <v>5634</v>
      </c>
      <c r="G192" s="172" t="s">
        <v>5649</v>
      </c>
      <c r="H192" s="172" t="s">
        <v>5653</v>
      </c>
      <c r="I192" s="172" t="s">
        <v>5637</v>
      </c>
      <c r="J192" s="172" t="s">
        <v>5638</v>
      </c>
      <c r="K192" s="240">
        <v>1016666.67</v>
      </c>
    </row>
    <row r="193" spans="1:11" x14ac:dyDescent="0.2">
      <c r="B193" s="172" t="s">
        <v>5655</v>
      </c>
      <c r="C193" s="172" t="s">
        <v>5632</v>
      </c>
      <c r="D193" s="244">
        <v>40999</v>
      </c>
      <c r="E193" s="172" t="s">
        <v>5656</v>
      </c>
      <c r="F193" s="172" t="s">
        <v>5634</v>
      </c>
      <c r="G193" s="172" t="s">
        <v>5649</v>
      </c>
      <c r="H193" s="172" t="s">
        <v>5657</v>
      </c>
      <c r="I193" s="172" t="s">
        <v>5637</v>
      </c>
      <c r="J193" s="172" t="s">
        <v>5638</v>
      </c>
      <c r="K193" s="240">
        <v>1016666.67</v>
      </c>
    </row>
    <row r="194" spans="1:11" x14ac:dyDescent="0.2">
      <c r="B194" s="172" t="s">
        <v>5658</v>
      </c>
      <c r="C194" s="172" t="s">
        <v>5632</v>
      </c>
      <c r="D194" s="244">
        <v>41029</v>
      </c>
      <c r="E194" s="172" t="s">
        <v>5659</v>
      </c>
      <c r="F194" s="172" t="s">
        <v>5634</v>
      </c>
      <c r="G194" s="172" t="s">
        <v>5649</v>
      </c>
      <c r="H194" s="172" t="s">
        <v>5660</v>
      </c>
      <c r="I194" s="172" t="s">
        <v>5637</v>
      </c>
      <c r="J194" s="172" t="s">
        <v>5638</v>
      </c>
      <c r="K194" s="240">
        <v>1016666.67</v>
      </c>
    </row>
    <row r="195" spans="1:11" x14ac:dyDescent="0.2">
      <c r="B195" s="172" t="s">
        <v>5669</v>
      </c>
      <c r="C195" s="172" t="s">
        <v>5632</v>
      </c>
      <c r="D195" s="244">
        <v>41090</v>
      </c>
      <c r="E195" s="172" t="s">
        <v>5670</v>
      </c>
      <c r="F195" s="172" t="s">
        <v>5634</v>
      </c>
      <c r="G195" s="172" t="s">
        <v>5649</v>
      </c>
      <c r="H195" s="172" t="s">
        <v>5671</v>
      </c>
      <c r="I195" s="172" t="s">
        <v>5637</v>
      </c>
      <c r="J195" s="172" t="s">
        <v>5638</v>
      </c>
      <c r="K195" s="240">
        <v>1016666.67</v>
      </c>
    </row>
    <row r="196" spans="1:11" x14ac:dyDescent="0.2">
      <c r="B196" s="172" t="s">
        <v>5674</v>
      </c>
      <c r="C196" s="172" t="s">
        <v>5632</v>
      </c>
      <c r="D196" s="244">
        <v>41090</v>
      </c>
      <c r="E196" s="172" t="s">
        <v>5670</v>
      </c>
      <c r="F196" s="172" t="s">
        <v>5634</v>
      </c>
      <c r="G196" s="172" t="s">
        <v>5649</v>
      </c>
      <c r="H196" s="172" t="s">
        <v>5671</v>
      </c>
      <c r="I196" s="172" t="s">
        <v>5637</v>
      </c>
      <c r="J196" s="172" t="s">
        <v>5638</v>
      </c>
      <c r="K196" s="240">
        <v>1016666.67</v>
      </c>
    </row>
    <row r="197" spans="1:11" x14ac:dyDescent="0.2">
      <c r="B197" s="172" t="s">
        <v>5665</v>
      </c>
      <c r="C197" s="172" t="s">
        <v>5666</v>
      </c>
      <c r="D197" s="244">
        <v>41113</v>
      </c>
      <c r="E197" s="172" t="s">
        <v>5667</v>
      </c>
      <c r="F197" s="172" t="s">
        <v>5634</v>
      </c>
      <c r="G197" s="172"/>
      <c r="H197" s="172" t="s">
        <v>5668</v>
      </c>
      <c r="I197" s="172" t="s">
        <v>5591</v>
      </c>
      <c r="J197" s="172"/>
      <c r="K197" s="240">
        <v>1016666.67</v>
      </c>
    </row>
    <row r="198" spans="1:11" x14ac:dyDescent="0.2">
      <c r="B198" s="172" t="s">
        <v>5675</v>
      </c>
      <c r="C198" s="172" t="s">
        <v>5666</v>
      </c>
      <c r="D198" s="244">
        <v>41152</v>
      </c>
      <c r="E198" s="172" t="s">
        <v>5667</v>
      </c>
      <c r="F198" s="172" t="s">
        <v>5634</v>
      </c>
      <c r="G198" s="172"/>
      <c r="H198" s="172" t="s">
        <v>5676</v>
      </c>
      <c r="I198" s="172" t="s">
        <v>5591</v>
      </c>
      <c r="J198" s="172"/>
      <c r="K198" s="240">
        <v>1016666.67</v>
      </c>
    </row>
    <row r="199" spans="1:11" x14ac:dyDescent="0.2">
      <c r="B199" s="172" t="s">
        <v>5677</v>
      </c>
      <c r="C199" s="172" t="s">
        <v>5666</v>
      </c>
      <c r="D199" s="244">
        <v>41179</v>
      </c>
      <c r="E199" s="172" t="s">
        <v>5667</v>
      </c>
      <c r="F199" s="172" t="s">
        <v>5634</v>
      </c>
      <c r="G199" s="172"/>
      <c r="H199" s="172" t="s">
        <v>5678</v>
      </c>
      <c r="I199" s="172" t="s">
        <v>5591</v>
      </c>
      <c r="J199" s="172"/>
      <c r="K199" s="240">
        <v>1016666.67</v>
      </c>
    </row>
    <row r="200" spans="1:11" x14ac:dyDescent="0.2">
      <c r="B200" s="172" t="s">
        <v>5679</v>
      </c>
      <c r="C200" s="172" t="s">
        <v>5666</v>
      </c>
      <c r="D200" s="244">
        <v>41213</v>
      </c>
      <c r="E200" s="172" t="s">
        <v>5667</v>
      </c>
      <c r="F200" s="172" t="s">
        <v>5634</v>
      </c>
      <c r="G200" s="172"/>
      <c r="H200" s="172" t="s">
        <v>5680</v>
      </c>
      <c r="I200" s="172" t="s">
        <v>5591</v>
      </c>
      <c r="J200" s="172"/>
      <c r="K200" s="240">
        <v>1016666.67</v>
      </c>
    </row>
    <row r="201" spans="1:11" x14ac:dyDescent="0.2">
      <c r="B201" s="172" t="s">
        <v>5683</v>
      </c>
      <c r="C201" s="172" t="s">
        <v>5666</v>
      </c>
      <c r="D201" s="244">
        <v>41243</v>
      </c>
      <c r="E201" s="172" t="s">
        <v>5667</v>
      </c>
      <c r="F201" s="172" t="s">
        <v>5634</v>
      </c>
      <c r="G201" s="172"/>
      <c r="H201" s="172" t="s">
        <v>5684</v>
      </c>
      <c r="I201" s="172" t="s">
        <v>5591</v>
      </c>
      <c r="J201" s="172"/>
      <c r="K201" s="240">
        <v>1016666.67</v>
      </c>
    </row>
    <row r="202" spans="1:11" x14ac:dyDescent="0.2">
      <c r="B202" s="172" t="s">
        <v>5683</v>
      </c>
      <c r="C202" s="172" t="s">
        <v>5666</v>
      </c>
      <c r="D202" s="244">
        <v>41243</v>
      </c>
      <c r="E202" s="172" t="s">
        <v>5667</v>
      </c>
      <c r="F202" s="172" t="s">
        <v>5634</v>
      </c>
      <c r="G202" s="172"/>
      <c r="H202" s="172" t="s">
        <v>5684</v>
      </c>
      <c r="I202" s="172" t="s">
        <v>5591</v>
      </c>
      <c r="J202" s="172"/>
      <c r="K202" s="240">
        <v>-0.02</v>
      </c>
    </row>
    <row r="203" spans="1:11" x14ac:dyDescent="0.2">
      <c r="B203" s="172" t="s">
        <v>5685</v>
      </c>
      <c r="C203" s="172" t="s">
        <v>5666</v>
      </c>
      <c r="D203" s="244">
        <v>41274</v>
      </c>
      <c r="E203" s="172" t="s">
        <v>5667</v>
      </c>
      <c r="F203" s="172" t="s">
        <v>5634</v>
      </c>
      <c r="G203" s="172"/>
      <c r="H203" s="172" t="s">
        <v>5686</v>
      </c>
      <c r="I203" s="172" t="s">
        <v>5591</v>
      </c>
      <c r="J203" s="172"/>
      <c r="K203" s="254">
        <v>1016666.67</v>
      </c>
    </row>
    <row r="204" spans="1:11" x14ac:dyDescent="0.2">
      <c r="B204" s="172"/>
      <c r="C204" s="172"/>
      <c r="D204" s="244"/>
      <c r="E204" s="172"/>
      <c r="F204" s="172"/>
      <c r="G204" s="172"/>
      <c r="H204" s="172"/>
      <c r="I204" s="172"/>
      <c r="J204" s="255" t="s">
        <v>5711</v>
      </c>
      <c r="K204" s="253">
        <f>SUM(K189:K203)</f>
        <v>12200000</v>
      </c>
    </row>
    <row r="205" spans="1:11" x14ac:dyDescent="0.2">
      <c r="B205" s="172"/>
      <c r="C205" s="172"/>
      <c r="D205" s="244"/>
      <c r="E205" s="172"/>
      <c r="F205" s="172"/>
      <c r="G205" s="172"/>
      <c r="H205" s="172"/>
      <c r="I205" s="172"/>
      <c r="J205" s="172"/>
      <c r="K205" s="240"/>
    </row>
    <row r="206" spans="1:11" x14ac:dyDescent="0.2">
      <c r="A206" s="256"/>
      <c r="B206" s="249"/>
      <c r="C206" s="249"/>
      <c r="D206" s="250"/>
      <c r="E206" s="249"/>
      <c r="F206" s="249"/>
      <c r="G206" s="249"/>
      <c r="H206" s="249"/>
      <c r="I206" s="249"/>
      <c r="J206" s="249"/>
      <c r="K206" s="251"/>
    </row>
    <row r="207" spans="1:11" x14ac:dyDescent="0.2">
      <c r="A207" s="26" t="s">
        <v>5747</v>
      </c>
      <c r="B207" s="172"/>
      <c r="C207" s="172"/>
      <c r="D207" s="244"/>
      <c r="E207" s="172"/>
      <c r="F207" s="172"/>
      <c r="G207" s="172"/>
      <c r="H207" s="172"/>
      <c r="I207" s="172"/>
      <c r="J207" s="172"/>
      <c r="K207" s="258"/>
    </row>
    <row r="208" spans="1:11" x14ac:dyDescent="0.2">
      <c r="A208" s="252" t="s">
        <v>5716</v>
      </c>
      <c r="C208" s="172"/>
      <c r="D208" s="244"/>
      <c r="E208" s="172"/>
      <c r="F208" s="172"/>
      <c r="G208" s="172"/>
      <c r="H208" s="172"/>
      <c r="I208" s="172"/>
      <c r="J208" s="172"/>
      <c r="K208" s="240"/>
    </row>
    <row r="209" spans="1:11" x14ac:dyDescent="0.2">
      <c r="A209" s="252" t="s">
        <v>5717</v>
      </c>
      <c r="C209" s="172"/>
      <c r="D209" s="244"/>
      <c r="E209" s="172"/>
      <c r="F209" s="172"/>
      <c r="G209" s="172"/>
      <c r="H209" s="172"/>
      <c r="I209" s="172"/>
      <c r="J209" s="172"/>
      <c r="K209" s="240"/>
    </row>
    <row r="210" spans="1:11" ht="15" hidden="1" x14ac:dyDescent="0.25">
      <c r="B210" s="245">
        <v>2011</v>
      </c>
      <c r="C210" s="245">
        <v>12</v>
      </c>
      <c r="D210" s="246" t="s">
        <v>5691</v>
      </c>
      <c r="E210" s="246" t="s">
        <v>1399</v>
      </c>
      <c r="F210" s="246" t="s">
        <v>5708</v>
      </c>
      <c r="G210" s="245">
        <v>99</v>
      </c>
      <c r="H210" s="246" t="s">
        <v>5693</v>
      </c>
      <c r="I210" s="246" t="s">
        <v>5694</v>
      </c>
      <c r="J210" s="246" t="s">
        <v>5695</v>
      </c>
      <c r="K210" s="247">
        <v>1042786.44</v>
      </c>
    </row>
    <row r="211" spans="1:11" x14ac:dyDescent="0.2">
      <c r="B211" s="172" t="s">
        <v>5640</v>
      </c>
      <c r="C211" s="172" t="s">
        <v>5632</v>
      </c>
      <c r="D211" s="244">
        <v>40939</v>
      </c>
      <c r="E211" s="172" t="s">
        <v>5633</v>
      </c>
      <c r="F211" s="172" t="s">
        <v>5634</v>
      </c>
      <c r="G211" s="172" t="s">
        <v>5650</v>
      </c>
      <c r="H211" s="172" t="s">
        <v>5636</v>
      </c>
      <c r="I211" s="172" t="s">
        <v>5637</v>
      </c>
      <c r="J211" s="172" t="s">
        <v>5638</v>
      </c>
      <c r="K211" s="240">
        <v>1042786.44</v>
      </c>
    </row>
    <row r="212" spans="1:11" x14ac:dyDescent="0.2">
      <c r="B212" s="172" t="s">
        <v>5673</v>
      </c>
      <c r="C212" s="172" t="s">
        <v>5632</v>
      </c>
      <c r="D212" s="244">
        <v>41090</v>
      </c>
      <c r="E212" s="172" t="s">
        <v>5670</v>
      </c>
      <c r="F212" s="172" t="s">
        <v>5634</v>
      </c>
      <c r="G212" s="172" t="s">
        <v>5650</v>
      </c>
      <c r="H212" s="172" t="s">
        <v>5671</v>
      </c>
      <c r="I212" s="172" t="s">
        <v>5637</v>
      </c>
      <c r="J212" s="172" t="s">
        <v>5638</v>
      </c>
      <c r="K212" s="240">
        <v>-1042786.44</v>
      </c>
    </row>
    <row r="213" spans="1:11" x14ac:dyDescent="0.2">
      <c r="B213" s="172" t="s">
        <v>5654</v>
      </c>
      <c r="C213" s="172" t="s">
        <v>5632</v>
      </c>
      <c r="D213" s="244">
        <v>40968</v>
      </c>
      <c r="E213" s="172" t="s">
        <v>5652</v>
      </c>
      <c r="F213" s="172" t="s">
        <v>5634</v>
      </c>
      <c r="G213" s="172" t="s">
        <v>5650</v>
      </c>
      <c r="H213" s="172" t="s">
        <v>5653</v>
      </c>
      <c r="I213" s="172" t="s">
        <v>5637</v>
      </c>
      <c r="J213" s="172" t="s">
        <v>5638</v>
      </c>
      <c r="K213" s="240">
        <v>1042786.44</v>
      </c>
    </row>
    <row r="214" spans="1:11" x14ac:dyDescent="0.2">
      <c r="B214" s="172" t="s">
        <v>5655</v>
      </c>
      <c r="C214" s="172" t="s">
        <v>5632</v>
      </c>
      <c r="D214" s="244">
        <v>40999</v>
      </c>
      <c r="E214" s="172" t="s">
        <v>5656</v>
      </c>
      <c r="F214" s="172" t="s">
        <v>5634</v>
      </c>
      <c r="G214" s="172" t="s">
        <v>5650</v>
      </c>
      <c r="H214" s="172" t="s">
        <v>5657</v>
      </c>
      <c r="I214" s="172" t="s">
        <v>5637</v>
      </c>
      <c r="J214" s="172" t="s">
        <v>5638</v>
      </c>
      <c r="K214" s="240">
        <v>1042786.44</v>
      </c>
    </row>
    <row r="215" spans="1:11" x14ac:dyDescent="0.2">
      <c r="B215" s="172" t="s">
        <v>5658</v>
      </c>
      <c r="C215" s="172" t="s">
        <v>5632</v>
      </c>
      <c r="D215" s="244">
        <v>41029</v>
      </c>
      <c r="E215" s="172" t="s">
        <v>5659</v>
      </c>
      <c r="F215" s="172" t="s">
        <v>5634</v>
      </c>
      <c r="G215" s="172" t="s">
        <v>5650</v>
      </c>
      <c r="H215" s="172" t="s">
        <v>5660</v>
      </c>
      <c r="I215" s="172" t="s">
        <v>5637</v>
      </c>
      <c r="J215" s="172" t="s">
        <v>5638</v>
      </c>
      <c r="K215" s="240">
        <v>1042786.44</v>
      </c>
    </row>
    <row r="216" spans="1:11" x14ac:dyDescent="0.2">
      <c r="B216" s="172" t="s">
        <v>5664</v>
      </c>
      <c r="C216" s="172" t="s">
        <v>5632</v>
      </c>
      <c r="D216" s="244">
        <v>41060</v>
      </c>
      <c r="E216" s="172" t="s">
        <v>5662</v>
      </c>
      <c r="F216" s="172" t="s">
        <v>5634</v>
      </c>
      <c r="G216" s="172" t="s">
        <v>5650</v>
      </c>
      <c r="H216" s="172" t="s">
        <v>5663</v>
      </c>
      <c r="I216" s="172" t="s">
        <v>5637</v>
      </c>
      <c r="J216" s="172" t="s">
        <v>5638</v>
      </c>
      <c r="K216" s="240">
        <v>1042786.44</v>
      </c>
    </row>
    <row r="217" spans="1:11" x14ac:dyDescent="0.2">
      <c r="B217" s="172" t="s">
        <v>5669</v>
      </c>
      <c r="C217" s="172" t="s">
        <v>5632</v>
      </c>
      <c r="D217" s="244">
        <v>41090</v>
      </c>
      <c r="E217" s="172" t="s">
        <v>5670</v>
      </c>
      <c r="F217" s="172" t="s">
        <v>5634</v>
      </c>
      <c r="G217" s="172" t="s">
        <v>5650</v>
      </c>
      <c r="H217" s="172" t="s">
        <v>5671</v>
      </c>
      <c r="I217" s="172" t="s">
        <v>5637</v>
      </c>
      <c r="J217" s="172" t="s">
        <v>5638</v>
      </c>
      <c r="K217" s="240">
        <v>1042786.44</v>
      </c>
    </row>
    <row r="218" spans="1:11" x14ac:dyDescent="0.2">
      <c r="B218" s="172" t="s">
        <v>5674</v>
      </c>
      <c r="C218" s="172" t="s">
        <v>5632</v>
      </c>
      <c r="D218" s="244">
        <v>41090</v>
      </c>
      <c r="E218" s="172" t="s">
        <v>5670</v>
      </c>
      <c r="F218" s="172" t="s">
        <v>5634</v>
      </c>
      <c r="G218" s="172" t="s">
        <v>5650</v>
      </c>
      <c r="H218" s="172" t="s">
        <v>5671</v>
      </c>
      <c r="I218" s="172" t="s">
        <v>5637</v>
      </c>
      <c r="J218" s="172" t="s">
        <v>5638</v>
      </c>
      <c r="K218" s="240">
        <v>1042786.44</v>
      </c>
    </row>
    <row r="219" spans="1:11" x14ac:dyDescent="0.2">
      <c r="B219" s="172" t="s">
        <v>5665</v>
      </c>
      <c r="C219" s="172" t="s">
        <v>5666</v>
      </c>
      <c r="D219" s="244">
        <v>41113</v>
      </c>
      <c r="E219" s="172" t="s">
        <v>5667</v>
      </c>
      <c r="F219" s="172" t="s">
        <v>5634</v>
      </c>
      <c r="G219" s="172"/>
      <c r="H219" s="172" t="s">
        <v>5668</v>
      </c>
      <c r="I219" s="172" t="s">
        <v>5592</v>
      </c>
      <c r="J219" s="172"/>
      <c r="K219" s="240">
        <v>1042786.44</v>
      </c>
    </row>
    <row r="220" spans="1:11" x14ac:dyDescent="0.2">
      <c r="B220" s="172" t="s">
        <v>5675</v>
      </c>
      <c r="C220" s="172" t="s">
        <v>5666</v>
      </c>
      <c r="D220" s="244">
        <v>41152</v>
      </c>
      <c r="E220" s="172" t="s">
        <v>5667</v>
      </c>
      <c r="F220" s="172" t="s">
        <v>5634</v>
      </c>
      <c r="G220" s="172"/>
      <c r="H220" s="172" t="s">
        <v>5676</v>
      </c>
      <c r="I220" s="172" t="s">
        <v>5592</v>
      </c>
      <c r="J220" s="172"/>
      <c r="K220" s="240">
        <v>1042786.44</v>
      </c>
    </row>
    <row r="221" spans="1:11" x14ac:dyDescent="0.2">
      <c r="B221" s="172" t="s">
        <v>5677</v>
      </c>
      <c r="C221" s="172" t="s">
        <v>5666</v>
      </c>
      <c r="D221" s="244">
        <v>41179</v>
      </c>
      <c r="E221" s="172" t="s">
        <v>5667</v>
      </c>
      <c r="F221" s="172" t="s">
        <v>5634</v>
      </c>
      <c r="G221" s="172"/>
      <c r="H221" s="172" t="s">
        <v>5678</v>
      </c>
      <c r="I221" s="172" t="s">
        <v>5592</v>
      </c>
      <c r="J221" s="172"/>
      <c r="K221" s="240">
        <v>1042786.44</v>
      </c>
    </row>
    <row r="222" spans="1:11" x14ac:dyDescent="0.2">
      <c r="B222" s="172" t="s">
        <v>5679</v>
      </c>
      <c r="C222" s="172" t="s">
        <v>5666</v>
      </c>
      <c r="D222" s="244">
        <v>41213</v>
      </c>
      <c r="E222" s="172" t="s">
        <v>5667</v>
      </c>
      <c r="F222" s="172" t="s">
        <v>5634</v>
      </c>
      <c r="G222" s="172"/>
      <c r="H222" s="172" t="s">
        <v>5680</v>
      </c>
      <c r="I222" s="172" t="s">
        <v>5592</v>
      </c>
      <c r="J222" s="172"/>
      <c r="K222" s="240">
        <v>1042786.44</v>
      </c>
    </row>
    <row r="223" spans="1:11" x14ac:dyDescent="0.2">
      <c r="B223" s="172" t="s">
        <v>5683</v>
      </c>
      <c r="C223" s="172" t="s">
        <v>5666</v>
      </c>
      <c r="D223" s="244">
        <v>41243</v>
      </c>
      <c r="E223" s="172" t="s">
        <v>5667</v>
      </c>
      <c r="F223" s="172" t="s">
        <v>5634</v>
      </c>
      <c r="G223" s="172"/>
      <c r="H223" s="172" t="s">
        <v>5684</v>
      </c>
      <c r="I223" s="172" t="s">
        <v>5592</v>
      </c>
      <c r="J223" s="172"/>
      <c r="K223" s="240">
        <v>1042786.44</v>
      </c>
    </row>
    <row r="224" spans="1:11" x14ac:dyDescent="0.2">
      <c r="B224" s="172" t="s">
        <v>5685</v>
      </c>
      <c r="C224" s="172" t="s">
        <v>5666</v>
      </c>
      <c r="D224" s="244">
        <v>41274</v>
      </c>
      <c r="E224" s="172" t="s">
        <v>5667</v>
      </c>
      <c r="F224" s="172" t="s">
        <v>5634</v>
      </c>
      <c r="G224" s="172"/>
      <c r="H224" s="172" t="s">
        <v>5686</v>
      </c>
      <c r="I224" s="172" t="s">
        <v>5592</v>
      </c>
      <c r="J224" s="172"/>
      <c r="K224" s="254">
        <v>1042786.44</v>
      </c>
    </row>
    <row r="225" spans="1:12" x14ac:dyDescent="0.2">
      <c r="B225" s="172"/>
      <c r="C225" s="172"/>
      <c r="D225" s="244"/>
      <c r="E225" s="172"/>
      <c r="F225" s="172"/>
      <c r="G225" s="172"/>
      <c r="H225" s="172"/>
      <c r="I225" s="172"/>
      <c r="J225" s="255" t="s">
        <v>5711</v>
      </c>
      <c r="K225" s="253">
        <f>SUM(K211:K224)</f>
        <v>12513437.279999996</v>
      </c>
    </row>
    <row r="226" spans="1:12" x14ac:dyDescent="0.2">
      <c r="B226" s="172"/>
      <c r="C226" s="172"/>
      <c r="D226" s="244"/>
      <c r="E226" s="172"/>
      <c r="F226" s="172"/>
      <c r="G226" s="172"/>
      <c r="H226" s="172"/>
      <c r="I226" s="172"/>
      <c r="J226" s="172"/>
      <c r="K226" s="240"/>
    </row>
    <row r="227" spans="1:12" x14ac:dyDescent="0.2">
      <c r="A227" s="256"/>
      <c r="B227" s="249"/>
      <c r="C227" s="249"/>
      <c r="D227" s="250"/>
      <c r="E227" s="249"/>
      <c r="F227" s="249"/>
      <c r="G227" s="249"/>
      <c r="H227" s="249"/>
      <c r="I227" s="249"/>
      <c r="J227" s="249"/>
      <c r="K227" s="251"/>
    </row>
    <row r="228" spans="1:12" x14ac:dyDescent="0.2">
      <c r="A228" s="26" t="s">
        <v>5746</v>
      </c>
      <c r="B228" s="172"/>
      <c r="C228" s="172"/>
      <c r="D228" s="244"/>
      <c r="E228" s="172"/>
      <c r="F228" s="172"/>
      <c r="G228" s="172"/>
      <c r="H228" s="172"/>
      <c r="I228" s="172"/>
      <c r="J228" s="172"/>
      <c r="K228" s="258"/>
    </row>
    <row r="229" spans="1:12" x14ac:dyDescent="0.2">
      <c r="A229" s="252" t="s">
        <v>5714</v>
      </c>
      <c r="C229" s="172"/>
      <c r="D229" s="244"/>
      <c r="E229" s="172"/>
      <c r="F229" s="172"/>
      <c r="G229" s="172"/>
      <c r="H229" s="172"/>
      <c r="I229" s="172"/>
      <c r="J229" s="172"/>
      <c r="K229" s="240"/>
    </row>
    <row r="230" spans="1:12" x14ac:dyDescent="0.2">
      <c r="A230" s="252" t="s">
        <v>5715</v>
      </c>
      <c r="C230" s="172"/>
      <c r="D230" s="244"/>
      <c r="E230" s="172"/>
      <c r="F230" s="172"/>
      <c r="G230" s="172"/>
      <c r="H230" s="172"/>
      <c r="I230" s="172"/>
      <c r="J230" s="172"/>
      <c r="K230" s="240"/>
    </row>
    <row r="231" spans="1:12" ht="15" hidden="1" x14ac:dyDescent="0.25">
      <c r="B231" s="245">
        <v>2011</v>
      </c>
      <c r="C231" s="245">
        <v>12</v>
      </c>
      <c r="D231" s="246" t="s">
        <v>5691</v>
      </c>
      <c r="E231" s="246" t="s">
        <v>1399</v>
      </c>
      <c r="F231" s="246" t="s">
        <v>5703</v>
      </c>
      <c r="G231" s="245">
        <v>99</v>
      </c>
      <c r="H231" s="246" t="s">
        <v>5693</v>
      </c>
      <c r="I231" s="246" t="s">
        <v>5694</v>
      </c>
      <c r="J231" s="246" t="s">
        <v>5695</v>
      </c>
      <c r="K231" s="247">
        <v>1108711.31</v>
      </c>
    </row>
    <row r="232" spans="1:12" x14ac:dyDescent="0.2">
      <c r="B232" s="172" t="s">
        <v>5675</v>
      </c>
      <c r="C232" s="172" t="s">
        <v>5666</v>
      </c>
      <c r="D232" s="244">
        <v>41152</v>
      </c>
      <c r="E232" s="172" t="s">
        <v>5667</v>
      </c>
      <c r="F232" s="172" t="s">
        <v>5634</v>
      </c>
      <c r="G232" s="172"/>
      <c r="H232" s="172" t="s">
        <v>5676</v>
      </c>
      <c r="I232" s="172" t="s">
        <v>5588</v>
      </c>
      <c r="J232" s="172"/>
      <c r="K232" s="240">
        <v>554355.68000000005</v>
      </c>
      <c r="L232" s="46"/>
    </row>
    <row r="233" spans="1:12" x14ac:dyDescent="0.2">
      <c r="B233" s="172" t="s">
        <v>5640</v>
      </c>
      <c r="C233" s="172" t="s">
        <v>5632</v>
      </c>
      <c r="D233" s="244">
        <v>40939</v>
      </c>
      <c r="E233" s="172" t="s">
        <v>5633</v>
      </c>
      <c r="F233" s="172" t="s">
        <v>5634</v>
      </c>
      <c r="G233" s="172" t="s">
        <v>5645</v>
      </c>
      <c r="H233" s="172" t="s">
        <v>5636</v>
      </c>
      <c r="I233" s="172" t="s">
        <v>5637</v>
      </c>
      <c r="J233" s="172" t="s">
        <v>5638</v>
      </c>
      <c r="K233" s="240">
        <v>1108711.31</v>
      </c>
    </row>
    <row r="234" spans="1:12" x14ac:dyDescent="0.2">
      <c r="B234" s="172" t="s">
        <v>5673</v>
      </c>
      <c r="C234" s="172" t="s">
        <v>5632</v>
      </c>
      <c r="D234" s="244">
        <v>41090</v>
      </c>
      <c r="E234" s="172" t="s">
        <v>5670</v>
      </c>
      <c r="F234" s="172" t="s">
        <v>5634</v>
      </c>
      <c r="G234" s="172" t="s">
        <v>5645</v>
      </c>
      <c r="H234" s="172" t="s">
        <v>5671</v>
      </c>
      <c r="I234" s="172" t="s">
        <v>5637</v>
      </c>
      <c r="J234" s="172" t="s">
        <v>5638</v>
      </c>
      <c r="K234" s="240">
        <v>-1108711.31</v>
      </c>
    </row>
    <row r="235" spans="1:12" x14ac:dyDescent="0.2">
      <c r="B235" s="172" t="s">
        <v>5655</v>
      </c>
      <c r="C235" s="172" t="s">
        <v>5632</v>
      </c>
      <c r="D235" s="244">
        <v>40999</v>
      </c>
      <c r="E235" s="172" t="s">
        <v>5656</v>
      </c>
      <c r="F235" s="172" t="s">
        <v>5634</v>
      </c>
      <c r="G235" s="172" t="s">
        <v>5645</v>
      </c>
      <c r="H235" s="172" t="s">
        <v>5657</v>
      </c>
      <c r="I235" s="172" t="s">
        <v>5637</v>
      </c>
      <c r="J235" s="172" t="s">
        <v>5638</v>
      </c>
      <c r="K235" s="240">
        <v>1108711.31</v>
      </c>
    </row>
    <row r="236" spans="1:12" x14ac:dyDescent="0.2">
      <c r="B236" s="172" t="s">
        <v>5658</v>
      </c>
      <c r="C236" s="172" t="s">
        <v>5632</v>
      </c>
      <c r="D236" s="244">
        <v>41029</v>
      </c>
      <c r="E236" s="172" t="s">
        <v>5659</v>
      </c>
      <c r="F236" s="172" t="s">
        <v>5634</v>
      </c>
      <c r="G236" s="172" t="s">
        <v>5645</v>
      </c>
      <c r="H236" s="172" t="s">
        <v>5660</v>
      </c>
      <c r="I236" s="172" t="s">
        <v>5637</v>
      </c>
      <c r="J236" s="172" t="s">
        <v>5638</v>
      </c>
      <c r="K236" s="240">
        <v>1108711.31</v>
      </c>
    </row>
    <row r="237" spans="1:12" x14ac:dyDescent="0.2">
      <c r="B237" s="172" t="s">
        <v>5664</v>
      </c>
      <c r="C237" s="172" t="s">
        <v>5632</v>
      </c>
      <c r="D237" s="244">
        <v>41060</v>
      </c>
      <c r="E237" s="172" t="s">
        <v>5662</v>
      </c>
      <c r="F237" s="172" t="s">
        <v>5634</v>
      </c>
      <c r="G237" s="172" t="s">
        <v>5645</v>
      </c>
      <c r="H237" s="172" t="s">
        <v>5663</v>
      </c>
      <c r="I237" s="172" t="s">
        <v>5637</v>
      </c>
      <c r="J237" s="172" t="s">
        <v>5638</v>
      </c>
      <c r="K237" s="240">
        <v>1108711.31</v>
      </c>
    </row>
    <row r="238" spans="1:12" x14ac:dyDescent="0.2">
      <c r="B238" s="172" t="s">
        <v>5669</v>
      </c>
      <c r="C238" s="172" t="s">
        <v>5632</v>
      </c>
      <c r="D238" s="244">
        <v>41090</v>
      </c>
      <c r="E238" s="172" t="s">
        <v>5670</v>
      </c>
      <c r="F238" s="172" t="s">
        <v>5634</v>
      </c>
      <c r="G238" s="172" t="s">
        <v>5645</v>
      </c>
      <c r="H238" s="172" t="s">
        <v>5671</v>
      </c>
      <c r="I238" s="172" t="s">
        <v>5637</v>
      </c>
      <c r="J238" s="172" t="s">
        <v>5638</v>
      </c>
      <c r="K238" s="240">
        <v>1108711.31</v>
      </c>
    </row>
    <row r="239" spans="1:12" x14ac:dyDescent="0.2">
      <c r="B239" s="172" t="s">
        <v>5674</v>
      </c>
      <c r="C239" s="172" t="s">
        <v>5632</v>
      </c>
      <c r="D239" s="244">
        <v>41090</v>
      </c>
      <c r="E239" s="172" t="s">
        <v>5670</v>
      </c>
      <c r="F239" s="172" t="s">
        <v>5634</v>
      </c>
      <c r="G239" s="172" t="s">
        <v>5645</v>
      </c>
      <c r="H239" s="172" t="s">
        <v>5671</v>
      </c>
      <c r="I239" s="172" t="s">
        <v>5637</v>
      </c>
      <c r="J239" s="172" t="s">
        <v>5638</v>
      </c>
      <c r="K239" s="240">
        <v>1108711.31</v>
      </c>
    </row>
    <row r="240" spans="1:12" x14ac:dyDescent="0.2">
      <c r="B240" s="172" t="s">
        <v>5665</v>
      </c>
      <c r="C240" s="172" t="s">
        <v>5666</v>
      </c>
      <c r="D240" s="244">
        <v>41113</v>
      </c>
      <c r="E240" s="172" t="s">
        <v>5667</v>
      </c>
      <c r="F240" s="172" t="s">
        <v>5634</v>
      </c>
      <c r="G240" s="172"/>
      <c r="H240" s="172" t="s">
        <v>5668</v>
      </c>
      <c r="I240" s="172" t="s">
        <v>5588</v>
      </c>
      <c r="J240" s="172"/>
      <c r="K240" s="240">
        <v>1108711.31</v>
      </c>
    </row>
    <row r="241" spans="1:11" x14ac:dyDescent="0.2">
      <c r="B241" s="172" t="s">
        <v>5654</v>
      </c>
      <c r="C241" s="172" t="s">
        <v>5632</v>
      </c>
      <c r="D241" s="244">
        <v>40968</v>
      </c>
      <c r="E241" s="172" t="s">
        <v>5652</v>
      </c>
      <c r="F241" s="172" t="s">
        <v>5634</v>
      </c>
      <c r="G241" s="172" t="s">
        <v>5645</v>
      </c>
      <c r="H241" s="172" t="s">
        <v>5653</v>
      </c>
      <c r="I241" s="172" t="s">
        <v>5637</v>
      </c>
      <c r="J241" s="172" t="s">
        <v>5638</v>
      </c>
      <c r="K241" s="254">
        <v>1108711.33</v>
      </c>
    </row>
    <row r="242" spans="1:11" x14ac:dyDescent="0.2">
      <c r="B242" s="172"/>
      <c r="C242" s="172"/>
      <c r="D242" s="244"/>
      <c r="E242" s="172"/>
      <c r="F242" s="172"/>
      <c r="G242" s="172"/>
      <c r="H242" s="172"/>
      <c r="I242" s="172"/>
      <c r="J242" s="255" t="s">
        <v>5711</v>
      </c>
      <c r="K242" s="253">
        <f>SUM(K232:K241)</f>
        <v>8315334.870000001</v>
      </c>
    </row>
    <row r="243" spans="1:11" x14ac:dyDescent="0.2">
      <c r="B243" s="172"/>
      <c r="C243" s="172"/>
      <c r="D243" s="244"/>
      <c r="E243" s="172"/>
      <c r="F243" s="172"/>
      <c r="G243" s="172"/>
      <c r="H243" s="172"/>
      <c r="I243" s="172"/>
      <c r="J243" s="172"/>
      <c r="K243" s="240"/>
    </row>
    <row r="244" spans="1:11" x14ac:dyDescent="0.2">
      <c r="A244" s="256"/>
      <c r="B244" s="249"/>
      <c r="C244" s="249"/>
      <c r="D244" s="250"/>
      <c r="E244" s="249"/>
      <c r="F244" s="249"/>
      <c r="G244" s="249"/>
      <c r="H244" s="249"/>
      <c r="I244" s="249"/>
      <c r="J244" s="249"/>
      <c r="K244" s="251"/>
    </row>
    <row r="245" spans="1:11" x14ac:dyDescent="0.2">
      <c r="A245" s="26" t="s">
        <v>5748</v>
      </c>
      <c r="B245" s="172"/>
      <c r="C245" s="172"/>
      <c r="D245" s="244"/>
      <c r="E245" s="172"/>
      <c r="F245" s="172"/>
      <c r="G245" s="172"/>
      <c r="H245" s="172"/>
      <c r="I245" s="172"/>
      <c r="J245" s="172"/>
      <c r="K245" s="258"/>
    </row>
    <row r="246" spans="1:11" x14ac:dyDescent="0.2">
      <c r="A246" s="252" t="s">
        <v>5712</v>
      </c>
      <c r="C246" s="172"/>
      <c r="D246" s="244"/>
      <c r="E246" s="172"/>
      <c r="F246" s="172"/>
      <c r="G246" s="172"/>
      <c r="H246" s="172"/>
      <c r="I246" s="172"/>
      <c r="J246" s="172"/>
      <c r="K246" s="240"/>
    </row>
    <row r="247" spans="1:11" x14ac:dyDescent="0.2">
      <c r="A247" s="252" t="s">
        <v>5713</v>
      </c>
      <c r="C247" s="172"/>
      <c r="D247" s="244"/>
      <c r="E247" s="172"/>
      <c r="F247" s="172"/>
      <c r="G247" s="172"/>
      <c r="H247" s="172"/>
      <c r="I247" s="172"/>
      <c r="J247" s="172"/>
      <c r="K247" s="240"/>
    </row>
    <row r="248" spans="1:11" ht="15" hidden="1" x14ac:dyDescent="0.25">
      <c r="B248" s="245">
        <v>2011</v>
      </c>
      <c r="C248" s="245">
        <v>12</v>
      </c>
      <c r="D248" s="246" t="s">
        <v>5691</v>
      </c>
      <c r="E248" s="246" t="s">
        <v>1399</v>
      </c>
      <c r="F248" s="246" t="s">
        <v>5704</v>
      </c>
      <c r="G248" s="245">
        <v>99</v>
      </c>
      <c r="H248" s="246" t="s">
        <v>5693</v>
      </c>
      <c r="I248" s="246" t="s">
        <v>5694</v>
      </c>
      <c r="J248" s="246" t="s">
        <v>5695</v>
      </c>
      <c r="K248" s="247">
        <v>1302083.33</v>
      </c>
    </row>
    <row r="249" spans="1:11" x14ac:dyDescent="0.2">
      <c r="B249" s="172" t="s">
        <v>5640</v>
      </c>
      <c r="C249" s="172" t="s">
        <v>5632</v>
      </c>
      <c r="D249" s="244">
        <v>40939</v>
      </c>
      <c r="E249" s="172" t="s">
        <v>5633</v>
      </c>
      <c r="F249" s="172" t="s">
        <v>5634</v>
      </c>
      <c r="G249" s="172" t="s">
        <v>5646</v>
      </c>
      <c r="H249" s="172" t="s">
        <v>5636</v>
      </c>
      <c r="I249" s="172" t="s">
        <v>5637</v>
      </c>
      <c r="J249" s="172" t="s">
        <v>5638</v>
      </c>
      <c r="K249" s="240">
        <v>1302083.33</v>
      </c>
    </row>
    <row r="250" spans="1:11" x14ac:dyDescent="0.2">
      <c r="B250" s="172" t="s">
        <v>5673</v>
      </c>
      <c r="C250" s="172" t="s">
        <v>5632</v>
      </c>
      <c r="D250" s="244">
        <v>41090</v>
      </c>
      <c r="E250" s="172" t="s">
        <v>5670</v>
      </c>
      <c r="F250" s="172" t="s">
        <v>5634</v>
      </c>
      <c r="G250" s="172" t="s">
        <v>5646</v>
      </c>
      <c r="H250" s="172" t="s">
        <v>5671</v>
      </c>
      <c r="I250" s="172" t="s">
        <v>5637</v>
      </c>
      <c r="J250" s="172" t="s">
        <v>5638</v>
      </c>
      <c r="K250" s="240">
        <v>-1302083.33</v>
      </c>
    </row>
    <row r="251" spans="1:11" x14ac:dyDescent="0.2">
      <c r="B251" s="172" t="s">
        <v>5654</v>
      </c>
      <c r="C251" s="172" t="s">
        <v>5632</v>
      </c>
      <c r="D251" s="244">
        <v>40968</v>
      </c>
      <c r="E251" s="172" t="s">
        <v>5652</v>
      </c>
      <c r="F251" s="172" t="s">
        <v>5634</v>
      </c>
      <c r="G251" s="172" t="s">
        <v>5646</v>
      </c>
      <c r="H251" s="172" t="s">
        <v>5653</v>
      </c>
      <c r="I251" s="172" t="s">
        <v>5637</v>
      </c>
      <c r="J251" s="172" t="s">
        <v>5638</v>
      </c>
      <c r="K251" s="240">
        <v>1302083.33</v>
      </c>
    </row>
    <row r="252" spans="1:11" x14ac:dyDescent="0.2">
      <c r="B252" s="172" t="s">
        <v>5655</v>
      </c>
      <c r="C252" s="172" t="s">
        <v>5632</v>
      </c>
      <c r="D252" s="244">
        <v>40999</v>
      </c>
      <c r="E252" s="172" t="s">
        <v>5656</v>
      </c>
      <c r="F252" s="172" t="s">
        <v>5634</v>
      </c>
      <c r="G252" s="172" t="s">
        <v>5646</v>
      </c>
      <c r="H252" s="172" t="s">
        <v>5657</v>
      </c>
      <c r="I252" s="172" t="s">
        <v>5637</v>
      </c>
      <c r="J252" s="172" t="s">
        <v>5638</v>
      </c>
      <c r="K252" s="240">
        <v>1302083.33</v>
      </c>
    </row>
    <row r="253" spans="1:11" x14ac:dyDescent="0.2">
      <c r="B253" s="172" t="s">
        <v>5664</v>
      </c>
      <c r="C253" s="172" t="s">
        <v>5632</v>
      </c>
      <c r="D253" s="244">
        <v>41060</v>
      </c>
      <c r="E253" s="172" t="s">
        <v>5662</v>
      </c>
      <c r="F253" s="172" t="s">
        <v>5634</v>
      </c>
      <c r="G253" s="172" t="s">
        <v>5646</v>
      </c>
      <c r="H253" s="172" t="s">
        <v>5663</v>
      </c>
      <c r="I253" s="172" t="s">
        <v>5637</v>
      </c>
      <c r="J253" s="172" t="s">
        <v>5638</v>
      </c>
      <c r="K253" s="240">
        <v>1302083.33</v>
      </c>
    </row>
    <row r="254" spans="1:11" x14ac:dyDescent="0.2">
      <c r="B254" s="172" t="s">
        <v>5669</v>
      </c>
      <c r="C254" s="172" t="s">
        <v>5632</v>
      </c>
      <c r="D254" s="244">
        <v>41090</v>
      </c>
      <c r="E254" s="172" t="s">
        <v>5670</v>
      </c>
      <c r="F254" s="172" t="s">
        <v>5634</v>
      </c>
      <c r="G254" s="172" t="s">
        <v>5646</v>
      </c>
      <c r="H254" s="172" t="s">
        <v>5671</v>
      </c>
      <c r="I254" s="172" t="s">
        <v>5637</v>
      </c>
      <c r="J254" s="172" t="s">
        <v>5638</v>
      </c>
      <c r="K254" s="240">
        <v>1302083.33</v>
      </c>
    </row>
    <row r="255" spans="1:11" x14ac:dyDescent="0.2">
      <c r="B255" s="172" t="s">
        <v>5674</v>
      </c>
      <c r="C255" s="172" t="s">
        <v>5632</v>
      </c>
      <c r="D255" s="244">
        <v>41090</v>
      </c>
      <c r="E255" s="172" t="s">
        <v>5670</v>
      </c>
      <c r="F255" s="172" t="s">
        <v>5634</v>
      </c>
      <c r="G255" s="172" t="s">
        <v>5646</v>
      </c>
      <c r="H255" s="172" t="s">
        <v>5671</v>
      </c>
      <c r="I255" s="172" t="s">
        <v>5637</v>
      </c>
      <c r="J255" s="172" t="s">
        <v>5638</v>
      </c>
      <c r="K255" s="240">
        <v>1302083.33</v>
      </c>
    </row>
    <row r="256" spans="1:11" x14ac:dyDescent="0.2">
      <c r="B256" s="172" t="s">
        <v>5665</v>
      </c>
      <c r="C256" s="172" t="s">
        <v>5666</v>
      </c>
      <c r="D256" s="244">
        <v>41113</v>
      </c>
      <c r="E256" s="172" t="s">
        <v>5667</v>
      </c>
      <c r="F256" s="172" t="s">
        <v>5634</v>
      </c>
      <c r="G256" s="172"/>
      <c r="H256" s="172" t="s">
        <v>5668</v>
      </c>
      <c r="I256" s="172" t="s">
        <v>5590</v>
      </c>
      <c r="J256" s="172"/>
      <c r="K256" s="240">
        <v>1302083.33</v>
      </c>
    </row>
    <row r="257" spans="1:11" x14ac:dyDescent="0.2">
      <c r="B257" s="172" t="s">
        <v>5675</v>
      </c>
      <c r="C257" s="172" t="s">
        <v>5666</v>
      </c>
      <c r="D257" s="244">
        <v>41152</v>
      </c>
      <c r="E257" s="172" t="s">
        <v>5667</v>
      </c>
      <c r="F257" s="172" t="s">
        <v>5634</v>
      </c>
      <c r="G257" s="172"/>
      <c r="H257" s="172" t="s">
        <v>5676</v>
      </c>
      <c r="I257" s="172" t="s">
        <v>5590</v>
      </c>
      <c r="J257" s="172"/>
      <c r="K257" s="240">
        <v>1302083.33</v>
      </c>
    </row>
    <row r="258" spans="1:11" x14ac:dyDescent="0.2">
      <c r="B258" s="172" t="s">
        <v>5677</v>
      </c>
      <c r="C258" s="172" t="s">
        <v>5666</v>
      </c>
      <c r="D258" s="244">
        <v>41179</v>
      </c>
      <c r="E258" s="172" t="s">
        <v>5667</v>
      </c>
      <c r="F258" s="172" t="s">
        <v>5634</v>
      </c>
      <c r="G258" s="172"/>
      <c r="H258" s="172" t="s">
        <v>5678</v>
      </c>
      <c r="I258" s="172" t="s">
        <v>5590</v>
      </c>
      <c r="J258" s="172"/>
      <c r="K258" s="240">
        <v>1302083.33</v>
      </c>
    </row>
    <row r="259" spans="1:11" x14ac:dyDescent="0.2">
      <c r="B259" s="172" t="s">
        <v>5679</v>
      </c>
      <c r="C259" s="172" t="s">
        <v>5666</v>
      </c>
      <c r="D259" s="244">
        <v>41213</v>
      </c>
      <c r="E259" s="172" t="s">
        <v>5667</v>
      </c>
      <c r="F259" s="172" t="s">
        <v>5634</v>
      </c>
      <c r="G259" s="172"/>
      <c r="H259" s="172" t="s">
        <v>5680</v>
      </c>
      <c r="I259" s="172" t="s">
        <v>5590</v>
      </c>
      <c r="J259" s="172"/>
      <c r="K259" s="240">
        <v>1302083.33</v>
      </c>
    </row>
    <row r="260" spans="1:11" x14ac:dyDescent="0.2">
      <c r="B260" s="172" t="s">
        <v>5683</v>
      </c>
      <c r="C260" s="172" t="s">
        <v>5666</v>
      </c>
      <c r="D260" s="244">
        <v>41243</v>
      </c>
      <c r="E260" s="172" t="s">
        <v>5667</v>
      </c>
      <c r="F260" s="172" t="s">
        <v>5634</v>
      </c>
      <c r="G260" s="172"/>
      <c r="H260" s="172" t="s">
        <v>5684</v>
      </c>
      <c r="I260" s="172" t="s">
        <v>5590</v>
      </c>
      <c r="J260" s="172"/>
      <c r="K260" s="240">
        <v>1302083.33</v>
      </c>
    </row>
    <row r="261" spans="1:11" x14ac:dyDescent="0.2">
      <c r="B261" s="172" t="s">
        <v>5685</v>
      </c>
      <c r="C261" s="172" t="s">
        <v>5666</v>
      </c>
      <c r="D261" s="244">
        <v>41274</v>
      </c>
      <c r="E261" s="172" t="s">
        <v>5667</v>
      </c>
      <c r="F261" s="172" t="s">
        <v>5634</v>
      </c>
      <c r="G261" s="172"/>
      <c r="H261" s="172" t="s">
        <v>5686</v>
      </c>
      <c r="I261" s="172" t="s">
        <v>5590</v>
      </c>
      <c r="J261" s="172"/>
      <c r="K261" s="240">
        <v>1302083.33</v>
      </c>
    </row>
    <row r="262" spans="1:11" x14ac:dyDescent="0.2">
      <c r="B262" s="172" t="s">
        <v>5679</v>
      </c>
      <c r="C262" s="172" t="s">
        <v>5666</v>
      </c>
      <c r="D262" s="244">
        <v>41213</v>
      </c>
      <c r="E262" s="172" t="s">
        <v>5667</v>
      </c>
      <c r="F262" s="172" t="s">
        <v>5634</v>
      </c>
      <c r="G262" s="172"/>
      <c r="H262" s="172" t="s">
        <v>5680</v>
      </c>
      <c r="I262" s="172" t="s">
        <v>5590</v>
      </c>
      <c r="J262" s="172"/>
      <c r="K262" s="240">
        <v>0.02</v>
      </c>
    </row>
    <row r="263" spans="1:11" x14ac:dyDescent="0.2">
      <c r="B263" s="172" t="s">
        <v>5658</v>
      </c>
      <c r="C263" s="172" t="s">
        <v>5632</v>
      </c>
      <c r="D263" s="244">
        <v>41029</v>
      </c>
      <c r="E263" s="172" t="s">
        <v>5659</v>
      </c>
      <c r="F263" s="172" t="s">
        <v>5634</v>
      </c>
      <c r="G263" s="172" t="s">
        <v>5646</v>
      </c>
      <c r="H263" s="172" t="s">
        <v>5660</v>
      </c>
      <c r="I263" s="172" t="s">
        <v>5637</v>
      </c>
      <c r="J263" s="172" t="s">
        <v>5638</v>
      </c>
      <c r="K263" s="254">
        <v>1302083.3500000001</v>
      </c>
    </row>
    <row r="264" spans="1:11" x14ac:dyDescent="0.2">
      <c r="B264" s="172"/>
      <c r="C264" s="172"/>
      <c r="D264" s="244"/>
      <c r="E264" s="172"/>
      <c r="F264" s="172"/>
      <c r="G264" s="172"/>
      <c r="H264" s="172"/>
      <c r="I264" s="172"/>
      <c r="J264" s="255" t="s">
        <v>5711</v>
      </c>
      <c r="K264" s="253">
        <f>SUM(K249:K263)</f>
        <v>15625000</v>
      </c>
    </row>
    <row r="265" spans="1:11" x14ac:dyDescent="0.2">
      <c r="B265" s="172"/>
      <c r="C265" s="172"/>
      <c r="D265" s="244"/>
      <c r="E265" s="172"/>
      <c r="F265" s="172"/>
      <c r="G265" s="172"/>
      <c r="H265" s="172"/>
      <c r="I265" s="172"/>
      <c r="J265" s="172"/>
      <c r="K265" s="240"/>
    </row>
    <row r="266" spans="1:11" x14ac:dyDescent="0.2">
      <c r="A266" s="256"/>
      <c r="B266" s="249"/>
      <c r="C266" s="249"/>
      <c r="D266" s="250"/>
      <c r="E266" s="249"/>
      <c r="F266" s="249"/>
      <c r="G266" s="249"/>
      <c r="H266" s="249"/>
      <c r="I266" s="249"/>
      <c r="J266" s="249"/>
      <c r="K266" s="251"/>
    </row>
    <row r="267" spans="1:11" x14ac:dyDescent="0.2">
      <c r="A267" s="26" t="s">
        <v>5749</v>
      </c>
      <c r="B267" s="172"/>
      <c r="C267" s="172"/>
      <c r="D267" s="244"/>
      <c r="E267" s="172"/>
      <c r="F267" s="172"/>
      <c r="G267" s="172"/>
      <c r="H267" s="172"/>
      <c r="I267" s="172"/>
      <c r="J267" s="172"/>
      <c r="K267" s="258"/>
    </row>
    <row r="268" spans="1:11" x14ac:dyDescent="0.2">
      <c r="A268" s="252" t="s">
        <v>5709</v>
      </c>
      <c r="C268" s="172"/>
      <c r="D268" s="244"/>
      <c r="E268" s="172"/>
      <c r="F268" s="172"/>
      <c r="G268" s="172"/>
      <c r="H268" s="172"/>
      <c r="I268" s="172"/>
      <c r="J268" s="172"/>
      <c r="K268" s="240"/>
    </row>
    <row r="269" spans="1:11" x14ac:dyDescent="0.2">
      <c r="A269" s="252" t="s">
        <v>5710</v>
      </c>
      <c r="C269" s="172"/>
      <c r="D269" s="244"/>
      <c r="E269" s="172"/>
      <c r="F269" s="172"/>
      <c r="G269" s="172"/>
      <c r="H269" s="172"/>
      <c r="I269" s="172"/>
      <c r="J269" s="172"/>
      <c r="K269" s="240"/>
    </row>
    <row r="270" spans="1:11" ht="15" hidden="1" x14ac:dyDescent="0.25">
      <c r="B270" s="248">
        <v>2011</v>
      </c>
      <c r="C270" s="248">
        <v>12</v>
      </c>
      <c r="D270" s="248" t="s">
        <v>5691</v>
      </c>
      <c r="E270" s="248" t="s">
        <v>1399</v>
      </c>
      <c r="F270" s="248" t="s">
        <v>5692</v>
      </c>
      <c r="G270" s="248">
        <v>99</v>
      </c>
      <c r="H270" s="248" t="s">
        <v>5693</v>
      </c>
      <c r="I270" s="248" t="s">
        <v>5694</v>
      </c>
      <c r="J270" s="248" t="s">
        <v>5695</v>
      </c>
      <c r="K270" s="247">
        <v>0.02</v>
      </c>
    </row>
    <row r="271" spans="1:11" ht="15" hidden="1" x14ac:dyDescent="0.25">
      <c r="B271" s="248">
        <v>2011</v>
      </c>
      <c r="C271" s="248">
        <v>12</v>
      </c>
      <c r="D271" s="248" t="s">
        <v>5691</v>
      </c>
      <c r="E271" s="248" t="s">
        <v>1399</v>
      </c>
      <c r="F271" s="248" t="s">
        <v>5692</v>
      </c>
      <c r="G271" s="248">
        <v>99</v>
      </c>
      <c r="H271" s="248" t="s">
        <v>5693</v>
      </c>
      <c r="I271" s="248" t="s">
        <v>5694</v>
      </c>
      <c r="J271" s="248" t="s">
        <v>5695</v>
      </c>
      <c r="K271" s="247">
        <v>1364583.33</v>
      </c>
    </row>
    <row r="272" spans="1:11" x14ac:dyDescent="0.2">
      <c r="B272" s="172" t="s">
        <v>5631</v>
      </c>
      <c r="C272" s="172" t="s">
        <v>5632</v>
      </c>
      <c r="D272" s="244">
        <v>40939</v>
      </c>
      <c r="E272" s="172" t="s">
        <v>5633</v>
      </c>
      <c r="F272" s="172" t="s">
        <v>5634</v>
      </c>
      <c r="G272" s="172" t="s">
        <v>5639</v>
      </c>
      <c r="H272" s="172" t="s">
        <v>5636</v>
      </c>
      <c r="I272" s="172" t="s">
        <v>5637</v>
      </c>
      <c r="J272" s="172" t="s">
        <v>5638</v>
      </c>
      <c r="K272" s="240">
        <v>1364583.33</v>
      </c>
    </row>
    <row r="273" spans="2:11" x14ac:dyDescent="0.2">
      <c r="B273" s="172" t="s">
        <v>5673</v>
      </c>
      <c r="C273" s="172" t="s">
        <v>5632</v>
      </c>
      <c r="D273" s="244">
        <v>41090</v>
      </c>
      <c r="E273" s="172" t="s">
        <v>5670</v>
      </c>
      <c r="F273" s="172" t="s">
        <v>5634</v>
      </c>
      <c r="G273" s="172" t="s">
        <v>5639</v>
      </c>
      <c r="H273" s="172" t="s">
        <v>5671</v>
      </c>
      <c r="I273" s="172" t="s">
        <v>5637</v>
      </c>
      <c r="J273" s="172" t="s">
        <v>5638</v>
      </c>
      <c r="K273" s="240">
        <v>-1364583.33</v>
      </c>
    </row>
    <row r="274" spans="2:11" x14ac:dyDescent="0.2">
      <c r="B274" s="172" t="s">
        <v>5654</v>
      </c>
      <c r="C274" s="172" t="s">
        <v>5632</v>
      </c>
      <c r="D274" s="244">
        <v>40968</v>
      </c>
      <c r="E274" s="172" t="s">
        <v>5652</v>
      </c>
      <c r="F274" s="172" t="s">
        <v>5634</v>
      </c>
      <c r="G274" s="172" t="s">
        <v>5639</v>
      </c>
      <c r="H274" s="172" t="s">
        <v>5653</v>
      </c>
      <c r="I274" s="172" t="s">
        <v>5637</v>
      </c>
      <c r="J274" s="172" t="s">
        <v>5638</v>
      </c>
      <c r="K274" s="240">
        <v>1364583.33</v>
      </c>
    </row>
    <row r="275" spans="2:11" x14ac:dyDescent="0.2">
      <c r="B275" s="172" t="s">
        <v>5655</v>
      </c>
      <c r="C275" s="172" t="s">
        <v>5632</v>
      </c>
      <c r="D275" s="244">
        <v>40999</v>
      </c>
      <c r="E275" s="172" t="s">
        <v>5656</v>
      </c>
      <c r="F275" s="172" t="s">
        <v>5634</v>
      </c>
      <c r="G275" s="172" t="s">
        <v>5639</v>
      </c>
      <c r="H275" s="172" t="s">
        <v>5657</v>
      </c>
      <c r="I275" s="172" t="s">
        <v>5637</v>
      </c>
      <c r="J275" s="172" t="s">
        <v>5638</v>
      </c>
      <c r="K275" s="240">
        <v>1364583.33</v>
      </c>
    </row>
    <row r="276" spans="2:11" x14ac:dyDescent="0.2">
      <c r="B276" s="172" t="s">
        <v>5658</v>
      </c>
      <c r="C276" s="172" t="s">
        <v>5632</v>
      </c>
      <c r="D276" s="244">
        <v>41029</v>
      </c>
      <c r="E276" s="172" t="s">
        <v>5659</v>
      </c>
      <c r="F276" s="172" t="s">
        <v>5634</v>
      </c>
      <c r="G276" s="172" t="s">
        <v>5639</v>
      </c>
      <c r="H276" s="172" t="s">
        <v>5660</v>
      </c>
      <c r="I276" s="172" t="s">
        <v>5637</v>
      </c>
      <c r="J276" s="172" t="s">
        <v>5638</v>
      </c>
      <c r="K276" s="240">
        <v>1364583.33</v>
      </c>
    </row>
    <row r="277" spans="2:11" x14ac:dyDescent="0.2">
      <c r="B277" s="172" t="s">
        <v>5669</v>
      </c>
      <c r="C277" s="172" t="s">
        <v>5632</v>
      </c>
      <c r="D277" s="244">
        <v>41090</v>
      </c>
      <c r="E277" s="172" t="s">
        <v>5670</v>
      </c>
      <c r="F277" s="172" t="s">
        <v>5634</v>
      </c>
      <c r="G277" s="172" t="s">
        <v>5639</v>
      </c>
      <c r="H277" s="172" t="s">
        <v>5671</v>
      </c>
      <c r="I277" s="172" t="s">
        <v>5637</v>
      </c>
      <c r="J277" s="172" t="s">
        <v>5638</v>
      </c>
      <c r="K277" s="240">
        <v>1364583.33</v>
      </c>
    </row>
    <row r="278" spans="2:11" x14ac:dyDescent="0.2">
      <c r="B278" s="172" t="s">
        <v>5674</v>
      </c>
      <c r="C278" s="172" t="s">
        <v>5632</v>
      </c>
      <c r="D278" s="244">
        <v>41090</v>
      </c>
      <c r="E278" s="172" t="s">
        <v>5670</v>
      </c>
      <c r="F278" s="172" t="s">
        <v>5634</v>
      </c>
      <c r="G278" s="172" t="s">
        <v>5639</v>
      </c>
      <c r="H278" s="172" t="s">
        <v>5671</v>
      </c>
      <c r="I278" s="172" t="s">
        <v>5637</v>
      </c>
      <c r="J278" s="172" t="s">
        <v>5638</v>
      </c>
      <c r="K278" s="240">
        <v>1364583.33</v>
      </c>
    </row>
    <row r="279" spans="2:11" x14ac:dyDescent="0.2">
      <c r="B279" s="172" t="s">
        <v>5665</v>
      </c>
      <c r="C279" s="172" t="s">
        <v>5666</v>
      </c>
      <c r="D279" s="244">
        <v>41113</v>
      </c>
      <c r="E279" s="172" t="s">
        <v>5667</v>
      </c>
      <c r="F279" s="172" t="s">
        <v>5634</v>
      </c>
      <c r="G279" s="172"/>
      <c r="H279" s="172" t="s">
        <v>5668</v>
      </c>
      <c r="I279" s="172" t="s">
        <v>5585</v>
      </c>
      <c r="J279" s="172"/>
      <c r="K279" s="240">
        <v>1364583.33</v>
      </c>
    </row>
    <row r="280" spans="2:11" x14ac:dyDescent="0.2">
      <c r="B280" s="172" t="s">
        <v>5675</v>
      </c>
      <c r="C280" s="172" t="s">
        <v>5666</v>
      </c>
      <c r="D280" s="244">
        <v>41152</v>
      </c>
      <c r="E280" s="172" t="s">
        <v>5667</v>
      </c>
      <c r="F280" s="172" t="s">
        <v>5634</v>
      </c>
      <c r="G280" s="172"/>
      <c r="H280" s="172" t="s">
        <v>5676</v>
      </c>
      <c r="I280" s="172" t="s">
        <v>5585</v>
      </c>
      <c r="J280" s="172"/>
      <c r="K280" s="240">
        <v>1364583.33</v>
      </c>
    </row>
    <row r="281" spans="2:11" x14ac:dyDescent="0.2">
      <c r="B281" s="172" t="s">
        <v>5677</v>
      </c>
      <c r="C281" s="172" t="s">
        <v>5666</v>
      </c>
      <c r="D281" s="244">
        <v>41179</v>
      </c>
      <c r="E281" s="172" t="s">
        <v>5667</v>
      </c>
      <c r="F281" s="172" t="s">
        <v>5634</v>
      </c>
      <c r="G281" s="172"/>
      <c r="H281" s="172" t="s">
        <v>5678</v>
      </c>
      <c r="I281" s="172" t="s">
        <v>5585</v>
      </c>
      <c r="J281" s="172"/>
      <c r="K281" s="240">
        <v>1364583.33</v>
      </c>
    </row>
    <row r="282" spans="2:11" x14ac:dyDescent="0.2">
      <c r="B282" s="172" t="s">
        <v>5679</v>
      </c>
      <c r="C282" s="172" t="s">
        <v>5666</v>
      </c>
      <c r="D282" s="244">
        <v>41213</v>
      </c>
      <c r="E282" s="172" t="s">
        <v>5667</v>
      </c>
      <c r="F282" s="172" t="s">
        <v>5634</v>
      </c>
      <c r="G282" s="172"/>
      <c r="H282" s="172" t="s">
        <v>5680</v>
      </c>
      <c r="I282" s="172" t="s">
        <v>5585</v>
      </c>
      <c r="J282" s="172"/>
      <c r="K282" s="240">
        <v>1364583.33</v>
      </c>
    </row>
    <row r="283" spans="2:11" x14ac:dyDescent="0.2">
      <c r="B283" s="172" t="s">
        <v>5683</v>
      </c>
      <c r="C283" s="172" t="s">
        <v>5666</v>
      </c>
      <c r="D283" s="244">
        <v>41243</v>
      </c>
      <c r="E283" s="172" t="s">
        <v>5667</v>
      </c>
      <c r="F283" s="172" t="s">
        <v>5634</v>
      </c>
      <c r="G283" s="172"/>
      <c r="H283" s="172" t="s">
        <v>5684</v>
      </c>
      <c r="I283" s="172" t="s">
        <v>5585</v>
      </c>
      <c r="J283" s="172"/>
      <c r="K283" s="240">
        <v>1364583.33</v>
      </c>
    </row>
    <row r="284" spans="2:11" x14ac:dyDescent="0.2">
      <c r="B284" s="172" t="s">
        <v>5685</v>
      </c>
      <c r="C284" s="172" t="s">
        <v>5666</v>
      </c>
      <c r="D284" s="244">
        <v>41274</v>
      </c>
      <c r="E284" s="172" t="s">
        <v>5667</v>
      </c>
      <c r="F284" s="172" t="s">
        <v>5634</v>
      </c>
      <c r="G284" s="172"/>
      <c r="H284" s="172" t="s">
        <v>5686</v>
      </c>
      <c r="I284" s="172" t="s">
        <v>5585</v>
      </c>
      <c r="J284" s="172"/>
      <c r="K284" s="240">
        <v>1364583.33</v>
      </c>
    </row>
    <row r="285" spans="2:11" x14ac:dyDescent="0.2">
      <c r="B285" s="172" t="s">
        <v>5683</v>
      </c>
      <c r="C285" s="172" t="s">
        <v>5666</v>
      </c>
      <c r="D285" s="244">
        <v>41243</v>
      </c>
      <c r="E285" s="172" t="s">
        <v>5667</v>
      </c>
      <c r="F285" s="172" t="s">
        <v>5634</v>
      </c>
      <c r="G285" s="172"/>
      <c r="H285" s="172" t="s">
        <v>5684</v>
      </c>
      <c r="I285" s="172" t="s">
        <v>5585</v>
      </c>
      <c r="J285" s="172"/>
      <c r="K285" s="240">
        <v>0.02</v>
      </c>
    </row>
    <row r="286" spans="2:11" x14ac:dyDescent="0.2">
      <c r="B286" s="172" t="s">
        <v>5661</v>
      </c>
      <c r="C286" s="172" t="s">
        <v>5632</v>
      </c>
      <c r="D286" s="244">
        <v>41060</v>
      </c>
      <c r="E286" s="172" t="s">
        <v>5662</v>
      </c>
      <c r="F286" s="172" t="s">
        <v>5634</v>
      </c>
      <c r="G286" s="172" t="s">
        <v>5639</v>
      </c>
      <c r="H286" s="172" t="s">
        <v>5663</v>
      </c>
      <c r="I286" s="172" t="s">
        <v>5637</v>
      </c>
      <c r="J286" s="172" t="s">
        <v>5638</v>
      </c>
      <c r="K286" s="254">
        <v>1364583.35</v>
      </c>
    </row>
    <row r="287" spans="2:11" x14ac:dyDescent="0.2">
      <c r="B287" s="172"/>
      <c r="C287" s="172"/>
      <c r="D287" s="244"/>
      <c r="E287" s="172"/>
      <c r="F287" s="172"/>
      <c r="G287" s="172"/>
      <c r="H287" s="172"/>
      <c r="I287" s="172"/>
      <c r="J287" s="255" t="s">
        <v>5711</v>
      </c>
      <c r="K287" s="253">
        <f>SUM(K272:K286)</f>
        <v>16375000</v>
      </c>
    </row>
    <row r="288" spans="2:11" x14ac:dyDescent="0.2">
      <c r="B288" s="172"/>
      <c r="C288" s="172"/>
      <c r="D288" s="244"/>
      <c r="E288" s="172"/>
      <c r="F288" s="172"/>
      <c r="G288" s="172"/>
      <c r="H288" s="172"/>
      <c r="I288" s="172"/>
      <c r="J288" s="172"/>
      <c r="K288" s="240"/>
    </row>
    <row r="289" spans="2:11" x14ac:dyDescent="0.2">
      <c r="B289" s="172"/>
      <c r="C289" s="172"/>
      <c r="D289" s="244"/>
      <c r="E289" s="172"/>
      <c r="F289" s="172"/>
      <c r="G289" s="172"/>
      <c r="H289" s="172"/>
      <c r="I289" s="172"/>
      <c r="J289" s="172"/>
      <c r="K289" s="240"/>
    </row>
    <row r="290" spans="2:11" x14ac:dyDescent="0.2">
      <c r="B290" s="172"/>
      <c r="C290" s="172"/>
      <c r="D290" s="244"/>
      <c r="E290" s="172"/>
      <c r="F290" s="172"/>
      <c r="G290" s="172"/>
      <c r="H290" s="172"/>
      <c r="I290" s="172"/>
      <c r="J290" s="172"/>
      <c r="K290" s="240"/>
    </row>
    <row r="292" spans="2:11" ht="15" x14ac:dyDescent="0.25">
      <c r="B292" s="245"/>
      <c r="C292" s="245"/>
      <c r="D292" s="246"/>
      <c r="E292" s="246"/>
      <c r="F292" s="246"/>
      <c r="G292" s="245"/>
      <c r="H292" s="246"/>
      <c r="I292" s="260"/>
      <c r="J292" s="259" t="s">
        <v>5737</v>
      </c>
      <c r="K292" s="257">
        <f>K287+K264+K242+K225+K204+K182+K161+K145+K130+K122+K102+K84+K62+K39+K19+K26</f>
        <v>100019152.48</v>
      </c>
    </row>
  </sheetData>
  <pageMargins left="0.7" right="0.7" top="0.75" bottom="0.75" header="0.3" footer="0.3"/>
  <pageSetup scale="50" fitToHeight="5" orientation="portrait" r:id="rId1"/>
  <rowBreaks count="2" manualBreakCount="2">
    <brk id="105" max="16383" man="1"/>
    <brk id="205" max="16383" man="1"/>
  </rowBreaks>
  <customProperties>
    <customPr name="_pios_id" r:id="rId2"/>
    <customPr name="EpmWorksheetKeyString_GUID" r:id="rId3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FF00"/>
  </sheetPr>
  <dimension ref="A1:M137"/>
  <sheetViews>
    <sheetView topLeftCell="A115" workbookViewId="0">
      <selection activeCell="M143" sqref="M143"/>
    </sheetView>
  </sheetViews>
  <sheetFormatPr defaultRowHeight="12.75" x14ac:dyDescent="0.2"/>
  <cols>
    <col min="1" max="1" width="5.5703125" customWidth="1"/>
    <col min="2" max="2" width="11.42578125" customWidth="1"/>
    <col min="3" max="3" width="4.140625" customWidth="1"/>
    <col min="4" max="4" width="13.28515625" bestFit="1" customWidth="1"/>
    <col min="5" max="5" width="9" customWidth="1"/>
    <col min="6" max="6" width="26.5703125" customWidth="1"/>
    <col min="7" max="7" width="5.28515625" customWidth="1"/>
    <col min="8" max="10" width="9" customWidth="1"/>
    <col min="11" max="12" width="12.5703125" bestFit="1" customWidth="1"/>
    <col min="13" max="13" width="13.85546875" bestFit="1" customWidth="1"/>
  </cols>
  <sheetData>
    <row r="1" spans="1:13" x14ac:dyDescent="0.2">
      <c r="A1" s="292" t="s">
        <v>10399</v>
      </c>
      <c r="B1" s="292" t="s">
        <v>5764</v>
      </c>
      <c r="C1" s="292" t="s">
        <v>5765</v>
      </c>
      <c r="D1" s="292" t="s">
        <v>5766</v>
      </c>
      <c r="E1" s="292" t="s">
        <v>5767</v>
      </c>
      <c r="F1" s="292" t="s">
        <v>5768</v>
      </c>
      <c r="G1" s="292" t="s">
        <v>10400</v>
      </c>
      <c r="H1" s="292" t="s">
        <v>5769</v>
      </c>
      <c r="I1" s="292" t="s">
        <v>5770</v>
      </c>
      <c r="J1" s="292" t="s">
        <v>10401</v>
      </c>
      <c r="K1" s="292" t="s">
        <v>10402</v>
      </c>
      <c r="L1" s="249" t="s">
        <v>5771</v>
      </c>
      <c r="M1" s="249" t="s">
        <v>6429</v>
      </c>
    </row>
    <row r="2" spans="1:13" x14ac:dyDescent="0.2">
      <c r="A2" s="293" t="s">
        <v>10403</v>
      </c>
      <c r="B2" s="293" t="s">
        <v>10404</v>
      </c>
      <c r="C2" s="293" t="s">
        <v>5666</v>
      </c>
      <c r="D2" s="293" t="s">
        <v>10405</v>
      </c>
      <c r="E2" s="293" t="s">
        <v>5634</v>
      </c>
      <c r="F2" s="293" t="s">
        <v>10406</v>
      </c>
      <c r="G2" s="293" t="s">
        <v>5088</v>
      </c>
      <c r="H2" s="293" t="s">
        <v>7966</v>
      </c>
      <c r="I2" s="293" t="s">
        <v>5585</v>
      </c>
      <c r="J2" s="293" t="s">
        <v>5088</v>
      </c>
      <c r="K2" s="293" t="s">
        <v>10407</v>
      </c>
      <c r="L2" s="294">
        <v>43496</v>
      </c>
      <c r="M2" s="295">
        <v>1364583.33</v>
      </c>
    </row>
    <row r="3" spans="1:13" x14ac:dyDescent="0.2">
      <c r="A3" s="293" t="s">
        <v>10403</v>
      </c>
      <c r="B3" s="293" t="s">
        <v>9518</v>
      </c>
      <c r="C3" s="293" t="s">
        <v>5666</v>
      </c>
      <c r="D3" s="293" t="s">
        <v>10405</v>
      </c>
      <c r="E3" s="293" t="s">
        <v>5634</v>
      </c>
      <c r="F3" s="293" t="s">
        <v>10406</v>
      </c>
      <c r="G3" s="293" t="s">
        <v>5088</v>
      </c>
      <c r="H3" s="293" t="s">
        <v>7987</v>
      </c>
      <c r="I3" s="293" t="s">
        <v>5585</v>
      </c>
      <c r="J3" s="293" t="s">
        <v>5088</v>
      </c>
      <c r="K3" s="293" t="s">
        <v>10407</v>
      </c>
      <c r="L3" s="294">
        <v>43524</v>
      </c>
      <c r="M3" s="295">
        <v>1364583.33</v>
      </c>
    </row>
    <row r="4" spans="1:13" x14ac:dyDescent="0.2">
      <c r="A4" s="293" t="s">
        <v>10403</v>
      </c>
      <c r="B4" s="293" t="s">
        <v>10444</v>
      </c>
      <c r="C4" s="293" t="s">
        <v>5666</v>
      </c>
      <c r="D4" s="293" t="s">
        <v>10405</v>
      </c>
      <c r="E4" s="293" t="s">
        <v>5634</v>
      </c>
      <c r="F4" s="293" t="s">
        <v>10406</v>
      </c>
      <c r="G4" s="293" t="s">
        <v>5088</v>
      </c>
      <c r="H4" s="293" t="s">
        <v>8007</v>
      </c>
      <c r="I4" s="293" t="s">
        <v>5585</v>
      </c>
      <c r="J4" s="293" t="s">
        <v>5088</v>
      </c>
      <c r="K4" s="293" t="s">
        <v>10407</v>
      </c>
      <c r="L4" s="294">
        <v>43555</v>
      </c>
      <c r="M4" s="295">
        <v>1364583.33</v>
      </c>
    </row>
    <row r="5" spans="1:13" x14ac:dyDescent="0.2">
      <c r="A5" s="293" t="s">
        <v>10403</v>
      </c>
      <c r="B5" s="293" t="s">
        <v>10452</v>
      </c>
      <c r="C5" s="293" t="s">
        <v>5666</v>
      </c>
      <c r="D5" s="293" t="s">
        <v>10405</v>
      </c>
      <c r="E5" s="293" t="s">
        <v>5634</v>
      </c>
      <c r="F5" s="293" t="s">
        <v>10406</v>
      </c>
      <c r="G5" s="293" t="s">
        <v>5088</v>
      </c>
      <c r="H5" s="293" t="s">
        <v>8018</v>
      </c>
      <c r="I5" s="293" t="s">
        <v>5585</v>
      </c>
      <c r="J5" s="293" t="s">
        <v>5088</v>
      </c>
      <c r="K5" s="293" t="s">
        <v>10407</v>
      </c>
      <c r="L5" s="294">
        <v>43585</v>
      </c>
      <c r="M5" s="295">
        <v>1364583.33</v>
      </c>
    </row>
    <row r="6" spans="1:13" x14ac:dyDescent="0.2">
      <c r="A6" s="293" t="s">
        <v>10403</v>
      </c>
      <c r="B6" s="293" t="s">
        <v>10461</v>
      </c>
      <c r="C6" s="293" t="s">
        <v>5666</v>
      </c>
      <c r="D6" s="293" t="s">
        <v>10405</v>
      </c>
      <c r="E6" s="293" t="s">
        <v>5634</v>
      </c>
      <c r="F6" s="293" t="s">
        <v>10406</v>
      </c>
      <c r="G6" s="293" t="s">
        <v>5088</v>
      </c>
      <c r="H6" s="293" t="s">
        <v>8037</v>
      </c>
      <c r="I6" s="293" t="s">
        <v>5585</v>
      </c>
      <c r="J6" s="293" t="s">
        <v>5088</v>
      </c>
      <c r="K6" s="293" t="s">
        <v>10407</v>
      </c>
      <c r="L6" s="294">
        <v>43616</v>
      </c>
      <c r="M6" s="295">
        <v>1364583.33</v>
      </c>
    </row>
    <row r="7" spans="1:13" x14ac:dyDescent="0.2">
      <c r="A7" s="293" t="s">
        <v>10403</v>
      </c>
      <c r="B7" s="293" t="s">
        <v>10470</v>
      </c>
      <c r="C7" s="293" t="s">
        <v>5666</v>
      </c>
      <c r="D7" s="293" t="s">
        <v>10405</v>
      </c>
      <c r="E7" s="293" t="s">
        <v>5634</v>
      </c>
      <c r="F7" s="293" t="s">
        <v>10406</v>
      </c>
      <c r="G7" s="293" t="s">
        <v>5088</v>
      </c>
      <c r="H7" s="293" t="s">
        <v>8053</v>
      </c>
      <c r="I7" s="293" t="s">
        <v>5585</v>
      </c>
      <c r="J7" s="293" t="s">
        <v>5088</v>
      </c>
      <c r="K7" s="293" t="s">
        <v>10407</v>
      </c>
      <c r="L7" s="294">
        <v>43646</v>
      </c>
      <c r="M7" s="295">
        <v>1364583.33</v>
      </c>
    </row>
    <row r="8" spans="1:13" x14ac:dyDescent="0.2">
      <c r="A8" s="293" t="s">
        <v>10403</v>
      </c>
      <c r="B8" s="293" t="s">
        <v>10479</v>
      </c>
      <c r="C8" s="293" t="s">
        <v>5666</v>
      </c>
      <c r="D8" s="293" t="s">
        <v>10405</v>
      </c>
      <c r="E8" s="293" t="s">
        <v>5634</v>
      </c>
      <c r="F8" s="293" t="s">
        <v>10406</v>
      </c>
      <c r="G8" s="293" t="s">
        <v>5088</v>
      </c>
      <c r="H8" s="293" t="s">
        <v>8087</v>
      </c>
      <c r="I8" s="293" t="s">
        <v>5585</v>
      </c>
      <c r="J8" s="293" t="s">
        <v>5088</v>
      </c>
      <c r="K8" s="293" t="s">
        <v>10407</v>
      </c>
      <c r="L8" s="294">
        <v>43677</v>
      </c>
      <c r="M8" s="295">
        <v>1364583.33</v>
      </c>
    </row>
    <row r="9" spans="1:13" x14ac:dyDescent="0.2">
      <c r="A9" s="293" t="s">
        <v>10403</v>
      </c>
      <c r="B9" s="293" t="s">
        <v>10492</v>
      </c>
      <c r="C9" s="293" t="s">
        <v>5666</v>
      </c>
      <c r="D9" s="293" t="s">
        <v>10405</v>
      </c>
      <c r="E9" s="293" t="s">
        <v>5634</v>
      </c>
      <c r="F9" s="293" t="s">
        <v>10406</v>
      </c>
      <c r="G9" s="293" t="s">
        <v>5088</v>
      </c>
      <c r="H9" s="293" t="s">
        <v>8131</v>
      </c>
      <c r="I9" s="293" t="s">
        <v>5585</v>
      </c>
      <c r="J9" s="293" t="s">
        <v>5088</v>
      </c>
      <c r="K9" s="293" t="s">
        <v>10407</v>
      </c>
      <c r="L9" s="294">
        <v>43708</v>
      </c>
      <c r="M9" s="295">
        <v>1364583.33</v>
      </c>
    </row>
    <row r="10" spans="1:13" x14ac:dyDescent="0.2">
      <c r="A10" s="293" t="s">
        <v>10403</v>
      </c>
      <c r="B10" s="293" t="s">
        <v>10504</v>
      </c>
      <c r="C10" s="293" t="s">
        <v>5666</v>
      </c>
      <c r="D10" s="293" t="s">
        <v>10405</v>
      </c>
      <c r="E10" s="293" t="s">
        <v>5634</v>
      </c>
      <c r="F10" s="293" t="s">
        <v>10406</v>
      </c>
      <c r="G10" s="293" t="s">
        <v>5088</v>
      </c>
      <c r="H10" s="293" t="s">
        <v>8158</v>
      </c>
      <c r="I10" s="293" t="s">
        <v>5585</v>
      </c>
      <c r="J10" s="293" t="s">
        <v>5088</v>
      </c>
      <c r="K10" s="293" t="s">
        <v>10407</v>
      </c>
      <c r="L10" s="294">
        <v>43738</v>
      </c>
      <c r="M10" s="295">
        <v>1364583.33</v>
      </c>
    </row>
    <row r="11" spans="1:13" x14ac:dyDescent="0.2">
      <c r="A11" s="293" t="s">
        <v>10403</v>
      </c>
      <c r="B11" s="293" t="s">
        <v>10512</v>
      </c>
      <c r="C11" s="293" t="s">
        <v>5666</v>
      </c>
      <c r="D11" s="293" t="s">
        <v>10405</v>
      </c>
      <c r="E11" s="293" t="s">
        <v>5634</v>
      </c>
      <c r="F11" s="293" t="s">
        <v>10406</v>
      </c>
      <c r="G11" s="293" t="s">
        <v>5088</v>
      </c>
      <c r="H11" s="293" t="s">
        <v>8171</v>
      </c>
      <c r="I11" s="293" t="s">
        <v>5585</v>
      </c>
      <c r="J11" s="293" t="s">
        <v>5088</v>
      </c>
      <c r="K11" s="293" t="s">
        <v>10407</v>
      </c>
      <c r="L11" s="294">
        <v>43769</v>
      </c>
      <c r="M11" s="295">
        <v>1364583.33</v>
      </c>
    </row>
    <row r="12" spans="1:13" x14ac:dyDescent="0.2">
      <c r="A12" s="293" t="s">
        <v>10403</v>
      </c>
      <c r="B12" s="293" t="s">
        <v>10522</v>
      </c>
      <c r="C12" s="293" t="s">
        <v>5666</v>
      </c>
      <c r="D12" s="293" t="s">
        <v>10405</v>
      </c>
      <c r="E12" s="293" t="s">
        <v>5634</v>
      </c>
      <c r="F12" s="293" t="s">
        <v>10406</v>
      </c>
      <c r="G12" s="293" t="s">
        <v>5088</v>
      </c>
      <c r="H12" s="293" t="s">
        <v>8188</v>
      </c>
      <c r="I12" s="293" t="s">
        <v>5585</v>
      </c>
      <c r="J12" s="293" t="s">
        <v>5088</v>
      </c>
      <c r="K12" s="293" t="s">
        <v>10407</v>
      </c>
      <c r="L12" s="294">
        <v>43799</v>
      </c>
      <c r="M12" s="295">
        <v>1364583.33</v>
      </c>
    </row>
    <row r="13" spans="1:13" x14ac:dyDescent="0.2">
      <c r="A13" s="293" t="s">
        <v>10403</v>
      </c>
      <c r="B13" s="293" t="s">
        <v>10532</v>
      </c>
      <c r="C13" s="293" t="s">
        <v>5666</v>
      </c>
      <c r="D13" s="293" t="s">
        <v>10405</v>
      </c>
      <c r="E13" s="293" t="s">
        <v>5634</v>
      </c>
      <c r="F13" s="293" t="s">
        <v>10406</v>
      </c>
      <c r="G13" s="293" t="s">
        <v>5088</v>
      </c>
      <c r="H13" s="293" t="s">
        <v>8204</v>
      </c>
      <c r="I13" s="293" t="s">
        <v>5585</v>
      </c>
      <c r="J13" s="293" t="s">
        <v>5088</v>
      </c>
      <c r="K13" s="293" t="s">
        <v>10407</v>
      </c>
      <c r="L13" s="294">
        <v>43830</v>
      </c>
      <c r="M13" s="296">
        <v>1364583.33</v>
      </c>
    </row>
    <row r="14" spans="1:13" x14ac:dyDescent="0.2">
      <c r="A14" s="293"/>
      <c r="B14" s="293"/>
      <c r="C14" s="293"/>
      <c r="D14" s="293"/>
      <c r="E14" s="293"/>
      <c r="F14" s="293"/>
      <c r="G14" s="293"/>
      <c r="H14" s="293"/>
      <c r="I14" s="293"/>
      <c r="J14" s="293"/>
      <c r="K14" s="293"/>
      <c r="L14" s="255" t="s">
        <v>5739</v>
      </c>
      <c r="M14" s="295">
        <f>SUM(M2:M13)</f>
        <v>16374999.960000001</v>
      </c>
    </row>
    <row r="15" spans="1:13" x14ac:dyDescent="0.2">
      <c r="A15" s="293"/>
      <c r="B15" s="293"/>
      <c r="C15" s="293"/>
      <c r="D15" s="293"/>
      <c r="E15" s="293"/>
      <c r="F15" s="293"/>
      <c r="G15" s="293"/>
      <c r="H15" s="293"/>
      <c r="I15" s="293"/>
      <c r="J15" s="293"/>
      <c r="K15" s="293"/>
      <c r="L15" s="294"/>
      <c r="M15" s="295"/>
    </row>
    <row r="16" spans="1:13" x14ac:dyDescent="0.2">
      <c r="A16" s="293" t="s">
        <v>10403</v>
      </c>
      <c r="B16" s="293" t="s">
        <v>10416</v>
      </c>
      <c r="C16" s="293" t="s">
        <v>5666</v>
      </c>
      <c r="D16" s="293" t="s">
        <v>10417</v>
      </c>
      <c r="E16" s="293" t="s">
        <v>5634</v>
      </c>
      <c r="F16" s="293" t="s">
        <v>10418</v>
      </c>
      <c r="G16" s="293" t="s">
        <v>5088</v>
      </c>
      <c r="H16" s="293" t="s">
        <v>7966</v>
      </c>
      <c r="I16" s="293" t="s">
        <v>5592</v>
      </c>
      <c r="J16" s="293" t="s">
        <v>5088</v>
      </c>
      <c r="K16" s="293" t="s">
        <v>10419</v>
      </c>
      <c r="L16" s="294">
        <v>43496</v>
      </c>
      <c r="M16" s="295">
        <v>1042786.44</v>
      </c>
    </row>
    <row r="17" spans="1:13" x14ac:dyDescent="0.2">
      <c r="A17" s="293" t="s">
        <v>10403</v>
      </c>
      <c r="B17" s="293" t="s">
        <v>9521</v>
      </c>
      <c r="C17" s="293" t="s">
        <v>5666</v>
      </c>
      <c r="D17" s="293" t="s">
        <v>10417</v>
      </c>
      <c r="E17" s="293" t="s">
        <v>5634</v>
      </c>
      <c r="F17" s="293" t="s">
        <v>10418</v>
      </c>
      <c r="G17" s="293" t="s">
        <v>5088</v>
      </c>
      <c r="H17" s="293" t="s">
        <v>7987</v>
      </c>
      <c r="I17" s="293" t="s">
        <v>5592</v>
      </c>
      <c r="J17" s="293" t="s">
        <v>5088</v>
      </c>
      <c r="K17" s="293" t="s">
        <v>10419</v>
      </c>
      <c r="L17" s="294">
        <v>43524</v>
      </c>
      <c r="M17" s="295">
        <v>1042786.44</v>
      </c>
    </row>
    <row r="18" spans="1:13" x14ac:dyDescent="0.2">
      <c r="A18" s="293" t="s">
        <v>10403</v>
      </c>
      <c r="B18" s="293" t="s">
        <v>10447</v>
      </c>
      <c r="C18" s="293" t="s">
        <v>5666</v>
      </c>
      <c r="D18" s="293" t="s">
        <v>10417</v>
      </c>
      <c r="E18" s="293" t="s">
        <v>5634</v>
      </c>
      <c r="F18" s="293" t="s">
        <v>10418</v>
      </c>
      <c r="G18" s="293" t="s">
        <v>5088</v>
      </c>
      <c r="H18" s="293" t="s">
        <v>8007</v>
      </c>
      <c r="I18" s="293" t="s">
        <v>5592</v>
      </c>
      <c r="J18" s="293" t="s">
        <v>5088</v>
      </c>
      <c r="K18" s="293" t="s">
        <v>10419</v>
      </c>
      <c r="L18" s="294">
        <v>43555</v>
      </c>
      <c r="M18" s="295">
        <v>1042786.44</v>
      </c>
    </row>
    <row r="19" spans="1:13" x14ac:dyDescent="0.2">
      <c r="A19" s="293" t="s">
        <v>10403</v>
      </c>
      <c r="B19" s="293" t="s">
        <v>10455</v>
      </c>
      <c r="C19" s="293" t="s">
        <v>5666</v>
      </c>
      <c r="D19" s="293" t="s">
        <v>10417</v>
      </c>
      <c r="E19" s="293" t="s">
        <v>5634</v>
      </c>
      <c r="F19" s="293" t="s">
        <v>10418</v>
      </c>
      <c r="G19" s="293" t="s">
        <v>5088</v>
      </c>
      <c r="H19" s="293" t="s">
        <v>8018</v>
      </c>
      <c r="I19" s="293" t="s">
        <v>5592</v>
      </c>
      <c r="J19" s="293" t="s">
        <v>5088</v>
      </c>
      <c r="K19" s="293" t="s">
        <v>10419</v>
      </c>
      <c r="L19" s="294">
        <v>43585</v>
      </c>
      <c r="M19" s="295">
        <v>1042786.44</v>
      </c>
    </row>
    <row r="20" spans="1:13" x14ac:dyDescent="0.2">
      <c r="A20" s="293" t="s">
        <v>10403</v>
      </c>
      <c r="B20" s="293" t="s">
        <v>10464</v>
      </c>
      <c r="C20" s="293" t="s">
        <v>5666</v>
      </c>
      <c r="D20" s="293" t="s">
        <v>10417</v>
      </c>
      <c r="E20" s="293" t="s">
        <v>5634</v>
      </c>
      <c r="F20" s="293" t="s">
        <v>10418</v>
      </c>
      <c r="G20" s="293" t="s">
        <v>5088</v>
      </c>
      <c r="H20" s="293" t="s">
        <v>8037</v>
      </c>
      <c r="I20" s="293" t="s">
        <v>5592</v>
      </c>
      <c r="J20" s="293" t="s">
        <v>5088</v>
      </c>
      <c r="K20" s="293" t="s">
        <v>10419</v>
      </c>
      <c r="L20" s="294">
        <v>43616</v>
      </c>
      <c r="M20" s="295">
        <v>1042786.44</v>
      </c>
    </row>
    <row r="21" spans="1:13" x14ac:dyDescent="0.2">
      <c r="A21" s="293" t="s">
        <v>10403</v>
      </c>
      <c r="B21" s="293" t="s">
        <v>10473</v>
      </c>
      <c r="C21" s="293" t="s">
        <v>5666</v>
      </c>
      <c r="D21" s="293" t="s">
        <v>10417</v>
      </c>
      <c r="E21" s="293" t="s">
        <v>5634</v>
      </c>
      <c r="F21" s="293" t="s">
        <v>10418</v>
      </c>
      <c r="G21" s="293" t="s">
        <v>5088</v>
      </c>
      <c r="H21" s="293" t="s">
        <v>8053</v>
      </c>
      <c r="I21" s="293" t="s">
        <v>5592</v>
      </c>
      <c r="J21" s="293" t="s">
        <v>5088</v>
      </c>
      <c r="K21" s="293" t="s">
        <v>10419</v>
      </c>
      <c r="L21" s="294">
        <v>43646</v>
      </c>
      <c r="M21" s="295">
        <v>1042786.44</v>
      </c>
    </row>
    <row r="22" spans="1:13" x14ac:dyDescent="0.2">
      <c r="A22" s="293" t="s">
        <v>10403</v>
      </c>
      <c r="B22" s="293" t="s">
        <v>10482</v>
      </c>
      <c r="C22" s="293" t="s">
        <v>5666</v>
      </c>
      <c r="D22" s="293" t="s">
        <v>10417</v>
      </c>
      <c r="E22" s="293" t="s">
        <v>5634</v>
      </c>
      <c r="F22" s="293" t="s">
        <v>10418</v>
      </c>
      <c r="G22" s="293" t="s">
        <v>5088</v>
      </c>
      <c r="H22" s="293" t="s">
        <v>8087</v>
      </c>
      <c r="I22" s="293" t="s">
        <v>5592</v>
      </c>
      <c r="J22" s="293" t="s">
        <v>5088</v>
      </c>
      <c r="K22" s="293" t="s">
        <v>10419</v>
      </c>
      <c r="L22" s="294">
        <v>43677</v>
      </c>
      <c r="M22" s="295">
        <v>1042786.44</v>
      </c>
    </row>
    <row r="23" spans="1:13" x14ac:dyDescent="0.2">
      <c r="A23" s="293" t="s">
        <v>10403</v>
      </c>
      <c r="B23" s="293" t="s">
        <v>10495</v>
      </c>
      <c r="C23" s="293" t="s">
        <v>5666</v>
      </c>
      <c r="D23" s="293" t="s">
        <v>10417</v>
      </c>
      <c r="E23" s="293" t="s">
        <v>5634</v>
      </c>
      <c r="F23" s="293" t="s">
        <v>10418</v>
      </c>
      <c r="G23" s="293" t="s">
        <v>5088</v>
      </c>
      <c r="H23" s="293" t="s">
        <v>8131</v>
      </c>
      <c r="I23" s="293" t="s">
        <v>5592</v>
      </c>
      <c r="J23" s="293" t="s">
        <v>5088</v>
      </c>
      <c r="K23" s="293" t="s">
        <v>10419</v>
      </c>
      <c r="L23" s="294">
        <v>43708</v>
      </c>
      <c r="M23" s="295">
        <v>1042786.44</v>
      </c>
    </row>
    <row r="24" spans="1:13" x14ac:dyDescent="0.2">
      <c r="A24" s="293" t="s">
        <v>10403</v>
      </c>
      <c r="B24" s="293" t="s">
        <v>10507</v>
      </c>
      <c r="C24" s="293" t="s">
        <v>5666</v>
      </c>
      <c r="D24" s="293" t="s">
        <v>10417</v>
      </c>
      <c r="E24" s="293" t="s">
        <v>5634</v>
      </c>
      <c r="F24" s="293" t="s">
        <v>10418</v>
      </c>
      <c r="G24" s="293" t="s">
        <v>5088</v>
      </c>
      <c r="H24" s="293" t="s">
        <v>8158</v>
      </c>
      <c r="I24" s="293" t="s">
        <v>5592</v>
      </c>
      <c r="J24" s="293" t="s">
        <v>5088</v>
      </c>
      <c r="K24" s="293" t="s">
        <v>10419</v>
      </c>
      <c r="L24" s="294">
        <v>43738</v>
      </c>
      <c r="M24" s="295">
        <v>1042786.44</v>
      </c>
    </row>
    <row r="25" spans="1:13" x14ac:dyDescent="0.2">
      <c r="A25" s="293" t="s">
        <v>10403</v>
      </c>
      <c r="B25" s="293" t="s">
        <v>10515</v>
      </c>
      <c r="C25" s="293" t="s">
        <v>5666</v>
      </c>
      <c r="D25" s="293" t="s">
        <v>10417</v>
      </c>
      <c r="E25" s="293" t="s">
        <v>5634</v>
      </c>
      <c r="F25" s="293" t="s">
        <v>10418</v>
      </c>
      <c r="G25" s="293" t="s">
        <v>5088</v>
      </c>
      <c r="H25" s="293" t="s">
        <v>8171</v>
      </c>
      <c r="I25" s="293" t="s">
        <v>5592</v>
      </c>
      <c r="J25" s="293" t="s">
        <v>5088</v>
      </c>
      <c r="K25" s="293" t="s">
        <v>10419</v>
      </c>
      <c r="L25" s="294">
        <v>43769</v>
      </c>
      <c r="M25" s="295">
        <v>1042786.44</v>
      </c>
    </row>
    <row r="26" spans="1:13" x14ac:dyDescent="0.2">
      <c r="A26" s="293" t="s">
        <v>10403</v>
      </c>
      <c r="B26" s="293" t="s">
        <v>10525</v>
      </c>
      <c r="C26" s="293" t="s">
        <v>5666</v>
      </c>
      <c r="D26" s="293" t="s">
        <v>10417</v>
      </c>
      <c r="E26" s="293" t="s">
        <v>5634</v>
      </c>
      <c r="F26" s="293" t="s">
        <v>10418</v>
      </c>
      <c r="G26" s="293" t="s">
        <v>5088</v>
      </c>
      <c r="H26" s="293" t="s">
        <v>8188</v>
      </c>
      <c r="I26" s="293" t="s">
        <v>5592</v>
      </c>
      <c r="J26" s="293" t="s">
        <v>5088</v>
      </c>
      <c r="K26" s="293" t="s">
        <v>10419</v>
      </c>
      <c r="L26" s="294">
        <v>43799</v>
      </c>
      <c r="M26" s="295">
        <v>1042786.44</v>
      </c>
    </row>
    <row r="27" spans="1:13" x14ac:dyDescent="0.2">
      <c r="A27" s="293" t="s">
        <v>10403</v>
      </c>
      <c r="B27" s="293" t="s">
        <v>10535</v>
      </c>
      <c r="C27" s="293" t="s">
        <v>5666</v>
      </c>
      <c r="D27" s="293" t="s">
        <v>10417</v>
      </c>
      <c r="E27" s="293" t="s">
        <v>5634</v>
      </c>
      <c r="F27" s="293" t="s">
        <v>10418</v>
      </c>
      <c r="G27" s="293" t="s">
        <v>5088</v>
      </c>
      <c r="H27" s="293" t="s">
        <v>8204</v>
      </c>
      <c r="I27" s="293" t="s">
        <v>5592</v>
      </c>
      <c r="J27" s="293" t="s">
        <v>5088</v>
      </c>
      <c r="K27" s="293" t="s">
        <v>10419</v>
      </c>
      <c r="L27" s="294">
        <v>43830</v>
      </c>
      <c r="M27" s="296">
        <v>1042786.44</v>
      </c>
    </row>
    <row r="28" spans="1:13" x14ac:dyDescent="0.2">
      <c r="A28" s="293"/>
      <c r="B28" s="293"/>
      <c r="C28" s="293"/>
      <c r="D28" s="293"/>
      <c r="E28" s="293"/>
      <c r="F28" s="293"/>
      <c r="G28" s="293"/>
      <c r="H28" s="293"/>
      <c r="I28" s="293"/>
      <c r="J28" s="293"/>
      <c r="K28" s="293"/>
      <c r="L28" s="255" t="s">
        <v>5739</v>
      </c>
      <c r="M28" s="295">
        <f>SUM(M16:M27)</f>
        <v>12513437.279999996</v>
      </c>
    </row>
    <row r="29" spans="1:13" x14ac:dyDescent="0.2">
      <c r="A29" s="293"/>
      <c r="B29" s="293"/>
      <c r="C29" s="293"/>
      <c r="D29" s="293"/>
      <c r="E29" s="293"/>
      <c r="F29" s="293"/>
      <c r="G29" s="293"/>
      <c r="H29" s="293"/>
      <c r="I29" s="293"/>
      <c r="J29" s="293"/>
      <c r="K29" s="293"/>
      <c r="L29" s="294"/>
      <c r="M29" s="295"/>
    </row>
    <row r="30" spans="1:13" x14ac:dyDescent="0.2">
      <c r="A30" s="293" t="s">
        <v>10403</v>
      </c>
      <c r="B30" s="293" t="s">
        <v>10408</v>
      </c>
      <c r="C30" s="293" t="s">
        <v>5666</v>
      </c>
      <c r="D30" s="293" t="s">
        <v>10409</v>
      </c>
      <c r="E30" s="293" t="s">
        <v>5634</v>
      </c>
      <c r="F30" s="293" t="s">
        <v>10410</v>
      </c>
      <c r="G30" s="293" t="s">
        <v>5088</v>
      </c>
      <c r="H30" s="293" t="s">
        <v>7966</v>
      </c>
      <c r="I30" s="293" t="s">
        <v>5586</v>
      </c>
      <c r="J30" s="293" t="s">
        <v>5088</v>
      </c>
      <c r="K30" s="293" t="s">
        <v>10411</v>
      </c>
      <c r="L30" s="294">
        <v>43496</v>
      </c>
      <c r="M30" s="295">
        <v>973750</v>
      </c>
    </row>
    <row r="31" spans="1:13" x14ac:dyDescent="0.2">
      <c r="A31" s="293" t="s">
        <v>10403</v>
      </c>
      <c r="B31" s="293" t="s">
        <v>9519</v>
      </c>
      <c r="C31" s="293" t="s">
        <v>5666</v>
      </c>
      <c r="D31" s="293" t="s">
        <v>10409</v>
      </c>
      <c r="E31" s="293" t="s">
        <v>5634</v>
      </c>
      <c r="F31" s="293" t="s">
        <v>10410</v>
      </c>
      <c r="G31" s="293" t="s">
        <v>5088</v>
      </c>
      <c r="H31" s="293" t="s">
        <v>7987</v>
      </c>
      <c r="I31" s="293" t="s">
        <v>5586</v>
      </c>
      <c r="J31" s="293" t="s">
        <v>5088</v>
      </c>
      <c r="K31" s="293" t="s">
        <v>10411</v>
      </c>
      <c r="L31" s="294">
        <v>43524</v>
      </c>
      <c r="M31" s="295">
        <v>973750</v>
      </c>
    </row>
    <row r="32" spans="1:13" x14ac:dyDescent="0.2">
      <c r="A32" s="293" t="s">
        <v>10403</v>
      </c>
      <c r="B32" s="293" t="s">
        <v>10445</v>
      </c>
      <c r="C32" s="293" t="s">
        <v>5666</v>
      </c>
      <c r="D32" s="293" t="s">
        <v>10409</v>
      </c>
      <c r="E32" s="293" t="s">
        <v>5634</v>
      </c>
      <c r="F32" s="293" t="s">
        <v>10410</v>
      </c>
      <c r="G32" s="293" t="s">
        <v>5088</v>
      </c>
      <c r="H32" s="293" t="s">
        <v>8007</v>
      </c>
      <c r="I32" s="293" t="s">
        <v>5586</v>
      </c>
      <c r="J32" s="293" t="s">
        <v>5088</v>
      </c>
      <c r="K32" s="293" t="s">
        <v>10411</v>
      </c>
      <c r="L32" s="294">
        <v>43555</v>
      </c>
      <c r="M32" s="295">
        <v>973750</v>
      </c>
    </row>
    <row r="33" spans="1:13" x14ac:dyDescent="0.2">
      <c r="A33" s="293" t="s">
        <v>10403</v>
      </c>
      <c r="B33" s="293" t="s">
        <v>10453</v>
      </c>
      <c r="C33" s="293" t="s">
        <v>5666</v>
      </c>
      <c r="D33" s="293" t="s">
        <v>10409</v>
      </c>
      <c r="E33" s="293" t="s">
        <v>5634</v>
      </c>
      <c r="F33" s="293" t="s">
        <v>10410</v>
      </c>
      <c r="G33" s="293" t="s">
        <v>5088</v>
      </c>
      <c r="H33" s="293" t="s">
        <v>8018</v>
      </c>
      <c r="I33" s="293" t="s">
        <v>5586</v>
      </c>
      <c r="J33" s="293" t="s">
        <v>5088</v>
      </c>
      <c r="K33" s="293" t="s">
        <v>10411</v>
      </c>
      <c r="L33" s="294">
        <v>43585</v>
      </c>
      <c r="M33" s="295">
        <v>973750</v>
      </c>
    </row>
    <row r="34" spans="1:13" x14ac:dyDescent="0.2">
      <c r="A34" s="293" t="s">
        <v>10403</v>
      </c>
      <c r="B34" s="293" t="s">
        <v>10462</v>
      </c>
      <c r="C34" s="293" t="s">
        <v>5666</v>
      </c>
      <c r="D34" s="293" t="s">
        <v>10409</v>
      </c>
      <c r="E34" s="293" t="s">
        <v>5634</v>
      </c>
      <c r="F34" s="293" t="s">
        <v>10410</v>
      </c>
      <c r="G34" s="293" t="s">
        <v>5088</v>
      </c>
      <c r="H34" s="293" t="s">
        <v>8037</v>
      </c>
      <c r="I34" s="293" t="s">
        <v>5586</v>
      </c>
      <c r="J34" s="293" t="s">
        <v>5088</v>
      </c>
      <c r="K34" s="293" t="s">
        <v>10411</v>
      </c>
      <c r="L34" s="294">
        <v>43616</v>
      </c>
      <c r="M34" s="295">
        <v>973750</v>
      </c>
    </row>
    <row r="35" spans="1:13" x14ac:dyDescent="0.2">
      <c r="A35" s="293" t="s">
        <v>10403</v>
      </c>
      <c r="B35" s="293" t="s">
        <v>10471</v>
      </c>
      <c r="C35" s="293" t="s">
        <v>5666</v>
      </c>
      <c r="D35" s="293" t="s">
        <v>10409</v>
      </c>
      <c r="E35" s="293" t="s">
        <v>5634</v>
      </c>
      <c r="F35" s="293" t="s">
        <v>10410</v>
      </c>
      <c r="G35" s="293" t="s">
        <v>5088</v>
      </c>
      <c r="H35" s="293" t="s">
        <v>8053</v>
      </c>
      <c r="I35" s="293" t="s">
        <v>5586</v>
      </c>
      <c r="J35" s="293" t="s">
        <v>5088</v>
      </c>
      <c r="K35" s="293" t="s">
        <v>10411</v>
      </c>
      <c r="L35" s="294">
        <v>43646</v>
      </c>
      <c r="M35" s="295">
        <v>973750</v>
      </c>
    </row>
    <row r="36" spans="1:13" x14ac:dyDescent="0.2">
      <c r="A36" s="293" t="s">
        <v>10403</v>
      </c>
      <c r="B36" s="293" t="s">
        <v>10480</v>
      </c>
      <c r="C36" s="293" t="s">
        <v>5666</v>
      </c>
      <c r="D36" s="293" t="s">
        <v>10409</v>
      </c>
      <c r="E36" s="293" t="s">
        <v>5634</v>
      </c>
      <c r="F36" s="293" t="s">
        <v>10410</v>
      </c>
      <c r="G36" s="293" t="s">
        <v>5088</v>
      </c>
      <c r="H36" s="293" t="s">
        <v>8087</v>
      </c>
      <c r="I36" s="293" t="s">
        <v>5586</v>
      </c>
      <c r="J36" s="293" t="s">
        <v>5088</v>
      </c>
      <c r="K36" s="293" t="s">
        <v>10411</v>
      </c>
      <c r="L36" s="294">
        <v>43677</v>
      </c>
      <c r="M36" s="295">
        <v>973750</v>
      </c>
    </row>
    <row r="37" spans="1:13" x14ac:dyDescent="0.2">
      <c r="A37" s="293" t="s">
        <v>10403</v>
      </c>
      <c r="B37" s="293" t="s">
        <v>10493</v>
      </c>
      <c r="C37" s="293" t="s">
        <v>5666</v>
      </c>
      <c r="D37" s="293" t="s">
        <v>10409</v>
      </c>
      <c r="E37" s="293" t="s">
        <v>5634</v>
      </c>
      <c r="F37" s="293" t="s">
        <v>10410</v>
      </c>
      <c r="G37" s="293" t="s">
        <v>5088</v>
      </c>
      <c r="H37" s="293" t="s">
        <v>8131</v>
      </c>
      <c r="I37" s="293" t="s">
        <v>5586</v>
      </c>
      <c r="J37" s="293" t="s">
        <v>5088</v>
      </c>
      <c r="K37" s="293" t="s">
        <v>10411</v>
      </c>
      <c r="L37" s="294">
        <v>43708</v>
      </c>
      <c r="M37" s="295">
        <v>973750</v>
      </c>
    </row>
    <row r="38" spans="1:13" x14ac:dyDescent="0.2">
      <c r="A38" s="293" t="s">
        <v>10403</v>
      </c>
      <c r="B38" s="293" t="s">
        <v>10505</v>
      </c>
      <c r="C38" s="293" t="s">
        <v>5666</v>
      </c>
      <c r="D38" s="293" t="s">
        <v>10409</v>
      </c>
      <c r="E38" s="293" t="s">
        <v>5634</v>
      </c>
      <c r="F38" s="293" t="s">
        <v>10410</v>
      </c>
      <c r="G38" s="293" t="s">
        <v>5088</v>
      </c>
      <c r="H38" s="293" t="s">
        <v>8158</v>
      </c>
      <c r="I38" s="293" t="s">
        <v>5586</v>
      </c>
      <c r="J38" s="293" t="s">
        <v>5088</v>
      </c>
      <c r="K38" s="293" t="s">
        <v>10411</v>
      </c>
      <c r="L38" s="294">
        <v>43738</v>
      </c>
      <c r="M38" s="295">
        <v>973750</v>
      </c>
    </row>
    <row r="39" spans="1:13" x14ac:dyDescent="0.2">
      <c r="A39" s="293" t="s">
        <v>10403</v>
      </c>
      <c r="B39" s="293" t="s">
        <v>10513</v>
      </c>
      <c r="C39" s="293" t="s">
        <v>5666</v>
      </c>
      <c r="D39" s="293" t="s">
        <v>10409</v>
      </c>
      <c r="E39" s="293" t="s">
        <v>5634</v>
      </c>
      <c r="F39" s="293" t="s">
        <v>10410</v>
      </c>
      <c r="G39" s="293" t="s">
        <v>5088</v>
      </c>
      <c r="H39" s="293" t="s">
        <v>8171</v>
      </c>
      <c r="I39" s="293" t="s">
        <v>5586</v>
      </c>
      <c r="J39" s="293" t="s">
        <v>5088</v>
      </c>
      <c r="K39" s="293" t="s">
        <v>10411</v>
      </c>
      <c r="L39" s="294">
        <v>43769</v>
      </c>
      <c r="M39" s="295">
        <v>973750</v>
      </c>
    </row>
    <row r="40" spans="1:13" x14ac:dyDescent="0.2">
      <c r="A40" s="293" t="s">
        <v>10403</v>
      </c>
      <c r="B40" s="293" t="s">
        <v>10523</v>
      </c>
      <c r="C40" s="293" t="s">
        <v>5666</v>
      </c>
      <c r="D40" s="293" t="s">
        <v>10409</v>
      </c>
      <c r="E40" s="293" t="s">
        <v>5634</v>
      </c>
      <c r="F40" s="293" t="s">
        <v>10410</v>
      </c>
      <c r="G40" s="293" t="s">
        <v>5088</v>
      </c>
      <c r="H40" s="293" t="s">
        <v>8188</v>
      </c>
      <c r="I40" s="293" t="s">
        <v>5586</v>
      </c>
      <c r="J40" s="293" t="s">
        <v>5088</v>
      </c>
      <c r="K40" s="293" t="s">
        <v>10411</v>
      </c>
      <c r="L40" s="294">
        <v>43799</v>
      </c>
      <c r="M40" s="295">
        <v>973750</v>
      </c>
    </row>
    <row r="41" spans="1:13" x14ac:dyDescent="0.2">
      <c r="A41" s="293" t="s">
        <v>10403</v>
      </c>
      <c r="B41" s="293" t="s">
        <v>10533</v>
      </c>
      <c r="C41" s="293" t="s">
        <v>5666</v>
      </c>
      <c r="D41" s="293" t="s">
        <v>10409</v>
      </c>
      <c r="E41" s="293" t="s">
        <v>5634</v>
      </c>
      <c r="F41" s="293" t="s">
        <v>10410</v>
      </c>
      <c r="G41" s="293" t="s">
        <v>5088</v>
      </c>
      <c r="H41" s="293" t="s">
        <v>8204</v>
      </c>
      <c r="I41" s="293" t="s">
        <v>5586</v>
      </c>
      <c r="J41" s="293" t="s">
        <v>5088</v>
      </c>
      <c r="K41" s="293" t="s">
        <v>10411</v>
      </c>
      <c r="L41" s="294">
        <v>43830</v>
      </c>
      <c r="M41" s="296">
        <v>973750</v>
      </c>
    </row>
    <row r="42" spans="1:13" x14ac:dyDescent="0.2">
      <c r="A42" s="293"/>
      <c r="B42" s="293"/>
      <c r="C42" s="293"/>
      <c r="D42" s="293"/>
      <c r="E42" s="293"/>
      <c r="F42" s="293"/>
      <c r="G42" s="293"/>
      <c r="H42" s="293"/>
      <c r="I42" s="293"/>
      <c r="J42" s="293"/>
      <c r="K42" s="293"/>
      <c r="L42" s="255" t="s">
        <v>5739</v>
      </c>
      <c r="M42" s="295">
        <f>SUM(M30:M41)</f>
        <v>11685000</v>
      </c>
    </row>
    <row r="43" spans="1:13" x14ac:dyDescent="0.2">
      <c r="A43" s="293"/>
      <c r="B43" s="293"/>
      <c r="C43" s="293"/>
      <c r="D43" s="293"/>
      <c r="E43" s="293"/>
      <c r="F43" s="293"/>
      <c r="G43" s="293"/>
      <c r="H43" s="293"/>
      <c r="I43" s="293"/>
      <c r="J43" s="293"/>
      <c r="K43" s="293"/>
      <c r="L43" s="294"/>
      <c r="M43" s="295"/>
    </row>
    <row r="44" spans="1:13" x14ac:dyDescent="0.2">
      <c r="A44" s="293" t="s">
        <v>10403</v>
      </c>
      <c r="B44" s="293" t="s">
        <v>10412</v>
      </c>
      <c r="C44" s="293" t="s">
        <v>5666</v>
      </c>
      <c r="D44" s="293" t="s">
        <v>10413</v>
      </c>
      <c r="E44" s="293" t="s">
        <v>5634</v>
      </c>
      <c r="F44" s="293" t="s">
        <v>10414</v>
      </c>
      <c r="G44" s="293" t="s">
        <v>5088</v>
      </c>
      <c r="H44" s="293" t="s">
        <v>7966</v>
      </c>
      <c r="I44" s="293" t="s">
        <v>5589</v>
      </c>
      <c r="J44" s="293" t="s">
        <v>5088</v>
      </c>
      <c r="K44" s="293" t="s">
        <v>10415</v>
      </c>
      <c r="L44" s="294">
        <v>43496</v>
      </c>
      <c r="M44" s="295">
        <v>854166.67</v>
      </c>
    </row>
    <row r="45" spans="1:13" x14ac:dyDescent="0.2">
      <c r="A45" s="293" t="s">
        <v>10403</v>
      </c>
      <c r="B45" s="293" t="s">
        <v>9520</v>
      </c>
      <c r="C45" s="293" t="s">
        <v>5666</v>
      </c>
      <c r="D45" s="293" t="s">
        <v>10413</v>
      </c>
      <c r="E45" s="293" t="s">
        <v>5634</v>
      </c>
      <c r="F45" s="293" t="s">
        <v>10414</v>
      </c>
      <c r="G45" s="293" t="s">
        <v>5088</v>
      </c>
      <c r="H45" s="293" t="s">
        <v>7987</v>
      </c>
      <c r="I45" s="293" t="s">
        <v>5589</v>
      </c>
      <c r="J45" s="293" t="s">
        <v>5088</v>
      </c>
      <c r="K45" s="293" t="s">
        <v>10415</v>
      </c>
      <c r="L45" s="294">
        <v>43524</v>
      </c>
      <c r="M45" s="295">
        <v>854166.67</v>
      </c>
    </row>
    <row r="46" spans="1:13" x14ac:dyDescent="0.2">
      <c r="A46" s="293" t="s">
        <v>10403</v>
      </c>
      <c r="B46" s="293" t="s">
        <v>10446</v>
      </c>
      <c r="C46" s="293" t="s">
        <v>5666</v>
      </c>
      <c r="D46" s="293" t="s">
        <v>10413</v>
      </c>
      <c r="E46" s="293" t="s">
        <v>5634</v>
      </c>
      <c r="F46" s="293" t="s">
        <v>10414</v>
      </c>
      <c r="G46" s="293" t="s">
        <v>5088</v>
      </c>
      <c r="H46" s="293" t="s">
        <v>8007</v>
      </c>
      <c r="I46" s="293" t="s">
        <v>5589</v>
      </c>
      <c r="J46" s="293" t="s">
        <v>5088</v>
      </c>
      <c r="K46" s="293" t="s">
        <v>10415</v>
      </c>
      <c r="L46" s="294">
        <v>43555</v>
      </c>
      <c r="M46" s="295">
        <v>854166.67</v>
      </c>
    </row>
    <row r="47" spans="1:13" x14ac:dyDescent="0.2">
      <c r="A47" s="293" t="s">
        <v>10403</v>
      </c>
      <c r="B47" s="293" t="s">
        <v>10454</v>
      </c>
      <c r="C47" s="293" t="s">
        <v>5666</v>
      </c>
      <c r="D47" s="293" t="s">
        <v>10413</v>
      </c>
      <c r="E47" s="293" t="s">
        <v>5634</v>
      </c>
      <c r="F47" s="293" t="s">
        <v>10414</v>
      </c>
      <c r="G47" s="293" t="s">
        <v>5088</v>
      </c>
      <c r="H47" s="293" t="s">
        <v>8018</v>
      </c>
      <c r="I47" s="293" t="s">
        <v>5589</v>
      </c>
      <c r="J47" s="293" t="s">
        <v>5088</v>
      </c>
      <c r="K47" s="293" t="s">
        <v>10415</v>
      </c>
      <c r="L47" s="294">
        <v>43585</v>
      </c>
      <c r="M47" s="295">
        <v>854166.67</v>
      </c>
    </row>
    <row r="48" spans="1:13" x14ac:dyDescent="0.2">
      <c r="A48" s="293" t="s">
        <v>10403</v>
      </c>
      <c r="B48" s="293" t="s">
        <v>10463</v>
      </c>
      <c r="C48" s="293" t="s">
        <v>5666</v>
      </c>
      <c r="D48" s="293" t="s">
        <v>10413</v>
      </c>
      <c r="E48" s="293" t="s">
        <v>5634</v>
      </c>
      <c r="F48" s="293" t="s">
        <v>10414</v>
      </c>
      <c r="G48" s="293" t="s">
        <v>5088</v>
      </c>
      <c r="H48" s="293" t="s">
        <v>8037</v>
      </c>
      <c r="I48" s="293" t="s">
        <v>5589</v>
      </c>
      <c r="J48" s="293" t="s">
        <v>5088</v>
      </c>
      <c r="K48" s="293" t="s">
        <v>10415</v>
      </c>
      <c r="L48" s="294">
        <v>43616</v>
      </c>
      <c r="M48" s="295">
        <v>854166.67</v>
      </c>
    </row>
    <row r="49" spans="1:13" x14ac:dyDescent="0.2">
      <c r="A49" s="293" t="s">
        <v>10403</v>
      </c>
      <c r="B49" s="293" t="s">
        <v>10472</v>
      </c>
      <c r="C49" s="293" t="s">
        <v>5666</v>
      </c>
      <c r="D49" s="293" t="s">
        <v>10413</v>
      </c>
      <c r="E49" s="293" t="s">
        <v>5634</v>
      </c>
      <c r="F49" s="293" t="s">
        <v>10414</v>
      </c>
      <c r="G49" s="293" t="s">
        <v>5088</v>
      </c>
      <c r="H49" s="293" t="s">
        <v>8053</v>
      </c>
      <c r="I49" s="293" t="s">
        <v>5589</v>
      </c>
      <c r="J49" s="293" t="s">
        <v>5088</v>
      </c>
      <c r="K49" s="293" t="s">
        <v>10415</v>
      </c>
      <c r="L49" s="294">
        <v>43646</v>
      </c>
      <c r="M49" s="295">
        <v>854166.67</v>
      </c>
    </row>
    <row r="50" spans="1:13" x14ac:dyDescent="0.2">
      <c r="A50" s="293" t="s">
        <v>10403</v>
      </c>
      <c r="B50" s="293" t="s">
        <v>10481</v>
      </c>
      <c r="C50" s="293" t="s">
        <v>5666</v>
      </c>
      <c r="D50" s="293" t="s">
        <v>10413</v>
      </c>
      <c r="E50" s="293" t="s">
        <v>5634</v>
      </c>
      <c r="F50" s="293" t="s">
        <v>10414</v>
      </c>
      <c r="G50" s="293" t="s">
        <v>5088</v>
      </c>
      <c r="H50" s="293" t="s">
        <v>8087</v>
      </c>
      <c r="I50" s="293" t="s">
        <v>5589</v>
      </c>
      <c r="J50" s="293" t="s">
        <v>5088</v>
      </c>
      <c r="K50" s="293" t="s">
        <v>10415</v>
      </c>
      <c r="L50" s="294">
        <v>43677</v>
      </c>
      <c r="M50" s="295">
        <v>854166.67</v>
      </c>
    </row>
    <row r="51" spans="1:13" x14ac:dyDescent="0.2">
      <c r="A51" s="293" t="s">
        <v>10403</v>
      </c>
      <c r="B51" s="293" t="s">
        <v>10494</v>
      </c>
      <c r="C51" s="293" t="s">
        <v>5666</v>
      </c>
      <c r="D51" s="293" t="s">
        <v>10413</v>
      </c>
      <c r="E51" s="293" t="s">
        <v>5634</v>
      </c>
      <c r="F51" s="293" t="s">
        <v>10414</v>
      </c>
      <c r="G51" s="293" t="s">
        <v>5088</v>
      </c>
      <c r="H51" s="293" t="s">
        <v>8131</v>
      </c>
      <c r="I51" s="293" t="s">
        <v>5589</v>
      </c>
      <c r="J51" s="293" t="s">
        <v>5088</v>
      </c>
      <c r="K51" s="293" t="s">
        <v>10415</v>
      </c>
      <c r="L51" s="294">
        <v>43708</v>
      </c>
      <c r="M51" s="295">
        <v>854166.67</v>
      </c>
    </row>
    <row r="52" spans="1:13" x14ac:dyDescent="0.2">
      <c r="A52" s="293" t="s">
        <v>10403</v>
      </c>
      <c r="B52" s="293" t="s">
        <v>10506</v>
      </c>
      <c r="C52" s="293" t="s">
        <v>5666</v>
      </c>
      <c r="D52" s="293" t="s">
        <v>10413</v>
      </c>
      <c r="E52" s="293" t="s">
        <v>5634</v>
      </c>
      <c r="F52" s="293" t="s">
        <v>10414</v>
      </c>
      <c r="G52" s="293" t="s">
        <v>5088</v>
      </c>
      <c r="H52" s="293" t="s">
        <v>8158</v>
      </c>
      <c r="I52" s="293" t="s">
        <v>5589</v>
      </c>
      <c r="J52" s="293" t="s">
        <v>5088</v>
      </c>
      <c r="K52" s="293" t="s">
        <v>10415</v>
      </c>
      <c r="L52" s="294">
        <v>43738</v>
      </c>
      <c r="M52" s="295">
        <v>854166.67</v>
      </c>
    </row>
    <row r="53" spans="1:13" x14ac:dyDescent="0.2">
      <c r="A53" s="293" t="s">
        <v>10403</v>
      </c>
      <c r="B53" s="293" t="s">
        <v>10514</v>
      </c>
      <c r="C53" s="293" t="s">
        <v>5666</v>
      </c>
      <c r="D53" s="293" t="s">
        <v>10413</v>
      </c>
      <c r="E53" s="293" t="s">
        <v>5634</v>
      </c>
      <c r="F53" s="293" t="s">
        <v>10414</v>
      </c>
      <c r="G53" s="293" t="s">
        <v>5088</v>
      </c>
      <c r="H53" s="293" t="s">
        <v>8171</v>
      </c>
      <c r="I53" s="293" t="s">
        <v>5589</v>
      </c>
      <c r="J53" s="293" t="s">
        <v>5088</v>
      </c>
      <c r="K53" s="293" t="s">
        <v>10415</v>
      </c>
      <c r="L53" s="294">
        <v>43769</v>
      </c>
      <c r="M53" s="295">
        <v>854166.67</v>
      </c>
    </row>
    <row r="54" spans="1:13" x14ac:dyDescent="0.2">
      <c r="A54" s="293" t="s">
        <v>10403</v>
      </c>
      <c r="B54" s="293" t="s">
        <v>10524</v>
      </c>
      <c r="C54" s="293" t="s">
        <v>5666</v>
      </c>
      <c r="D54" s="293" t="s">
        <v>10413</v>
      </c>
      <c r="E54" s="293" t="s">
        <v>5634</v>
      </c>
      <c r="F54" s="293" t="s">
        <v>10414</v>
      </c>
      <c r="G54" s="293" t="s">
        <v>5088</v>
      </c>
      <c r="H54" s="293" t="s">
        <v>8188</v>
      </c>
      <c r="I54" s="293" t="s">
        <v>5589</v>
      </c>
      <c r="J54" s="293" t="s">
        <v>5088</v>
      </c>
      <c r="K54" s="293" t="s">
        <v>10415</v>
      </c>
      <c r="L54" s="294">
        <v>43799</v>
      </c>
      <c r="M54" s="295">
        <v>854166.67</v>
      </c>
    </row>
    <row r="55" spans="1:13" x14ac:dyDescent="0.2">
      <c r="A55" s="293" t="s">
        <v>10403</v>
      </c>
      <c r="B55" s="293" t="s">
        <v>10534</v>
      </c>
      <c r="C55" s="293" t="s">
        <v>5666</v>
      </c>
      <c r="D55" s="293" t="s">
        <v>10413</v>
      </c>
      <c r="E55" s="293" t="s">
        <v>5634</v>
      </c>
      <c r="F55" s="293" t="s">
        <v>10414</v>
      </c>
      <c r="G55" s="293" t="s">
        <v>5088</v>
      </c>
      <c r="H55" s="293" t="s">
        <v>8204</v>
      </c>
      <c r="I55" s="293" t="s">
        <v>5589</v>
      </c>
      <c r="J55" s="293" t="s">
        <v>5088</v>
      </c>
      <c r="K55" s="293" t="s">
        <v>10415</v>
      </c>
      <c r="L55" s="294">
        <v>43830</v>
      </c>
      <c r="M55" s="296">
        <v>854166.67</v>
      </c>
    </row>
    <row r="56" spans="1:13" x14ac:dyDescent="0.2">
      <c r="A56" s="293"/>
      <c r="B56" s="293"/>
      <c r="C56" s="293"/>
      <c r="D56" s="293"/>
      <c r="E56" s="293"/>
      <c r="F56" s="293"/>
      <c r="G56" s="293"/>
      <c r="H56" s="293"/>
      <c r="I56" s="293"/>
      <c r="J56" s="293"/>
      <c r="K56" s="293"/>
      <c r="L56" s="255" t="s">
        <v>5739</v>
      </c>
      <c r="M56" s="295">
        <f>SUM(M44:M55)</f>
        <v>10250000.040000001</v>
      </c>
    </row>
    <row r="57" spans="1:13" x14ac:dyDescent="0.2">
      <c r="A57" s="293"/>
      <c r="B57" s="293"/>
      <c r="C57" s="293"/>
      <c r="D57" s="293"/>
      <c r="E57" s="293"/>
      <c r="F57" s="293"/>
      <c r="G57" s="293"/>
      <c r="H57" s="293"/>
      <c r="I57" s="293"/>
      <c r="J57" s="293"/>
      <c r="K57" s="293"/>
      <c r="L57" s="294"/>
      <c r="M57" s="295"/>
    </row>
    <row r="58" spans="1:13" x14ac:dyDescent="0.2">
      <c r="A58" s="293" t="s">
        <v>10403</v>
      </c>
      <c r="B58" s="293" t="s">
        <v>10420</v>
      </c>
      <c r="C58" s="293" t="s">
        <v>5666</v>
      </c>
      <c r="D58" s="293" t="s">
        <v>10421</v>
      </c>
      <c r="E58" s="293" t="s">
        <v>5634</v>
      </c>
      <c r="F58" s="293" t="s">
        <v>10422</v>
      </c>
      <c r="G58" s="293" t="s">
        <v>5088</v>
      </c>
      <c r="H58" s="293" t="s">
        <v>7966</v>
      </c>
      <c r="I58" s="293" t="s">
        <v>5593</v>
      </c>
      <c r="J58" s="293" t="s">
        <v>5088</v>
      </c>
      <c r="K58" s="293" t="s">
        <v>10423</v>
      </c>
      <c r="L58" s="294">
        <v>43496</v>
      </c>
      <c r="M58" s="295">
        <v>487500</v>
      </c>
    </row>
    <row r="59" spans="1:13" x14ac:dyDescent="0.2">
      <c r="A59" s="293" t="s">
        <v>10403</v>
      </c>
      <c r="B59" s="293" t="s">
        <v>10335</v>
      </c>
      <c r="C59" s="293" t="s">
        <v>5666</v>
      </c>
      <c r="D59" s="293" t="s">
        <v>10421</v>
      </c>
      <c r="E59" s="293" t="s">
        <v>5634</v>
      </c>
      <c r="F59" s="293" t="s">
        <v>10422</v>
      </c>
      <c r="G59" s="293" t="s">
        <v>5088</v>
      </c>
      <c r="H59" s="293" t="s">
        <v>7987</v>
      </c>
      <c r="I59" s="293" t="s">
        <v>5593</v>
      </c>
      <c r="J59" s="293" t="s">
        <v>5088</v>
      </c>
      <c r="K59" s="293" t="s">
        <v>10423</v>
      </c>
      <c r="L59" s="294">
        <v>43524</v>
      </c>
      <c r="M59" s="295">
        <v>487500</v>
      </c>
    </row>
    <row r="60" spans="1:13" x14ac:dyDescent="0.2">
      <c r="A60" s="293" t="s">
        <v>10403</v>
      </c>
      <c r="B60" s="293" t="s">
        <v>10448</v>
      </c>
      <c r="C60" s="293" t="s">
        <v>5666</v>
      </c>
      <c r="D60" s="293" t="s">
        <v>10421</v>
      </c>
      <c r="E60" s="293" t="s">
        <v>5634</v>
      </c>
      <c r="F60" s="293" t="s">
        <v>10422</v>
      </c>
      <c r="G60" s="293" t="s">
        <v>5088</v>
      </c>
      <c r="H60" s="293" t="s">
        <v>8007</v>
      </c>
      <c r="I60" s="293" t="s">
        <v>5593</v>
      </c>
      <c r="J60" s="293" t="s">
        <v>5088</v>
      </c>
      <c r="K60" s="293" t="s">
        <v>10423</v>
      </c>
      <c r="L60" s="294">
        <v>43555</v>
      </c>
      <c r="M60" s="295">
        <v>487500</v>
      </c>
    </row>
    <row r="61" spans="1:13" x14ac:dyDescent="0.2">
      <c r="A61" s="293" t="s">
        <v>10403</v>
      </c>
      <c r="B61" s="293" t="s">
        <v>10456</v>
      </c>
      <c r="C61" s="293" t="s">
        <v>5666</v>
      </c>
      <c r="D61" s="293" t="s">
        <v>10421</v>
      </c>
      <c r="E61" s="293" t="s">
        <v>5634</v>
      </c>
      <c r="F61" s="293" t="s">
        <v>10422</v>
      </c>
      <c r="G61" s="293" t="s">
        <v>5088</v>
      </c>
      <c r="H61" s="293" t="s">
        <v>8018</v>
      </c>
      <c r="I61" s="293" t="s">
        <v>5593</v>
      </c>
      <c r="J61" s="293" t="s">
        <v>5088</v>
      </c>
      <c r="K61" s="293" t="s">
        <v>10423</v>
      </c>
      <c r="L61" s="294">
        <v>43585</v>
      </c>
      <c r="M61" s="295">
        <v>487500</v>
      </c>
    </row>
    <row r="62" spans="1:13" x14ac:dyDescent="0.2">
      <c r="A62" s="293" t="s">
        <v>10403</v>
      </c>
      <c r="B62" s="293" t="s">
        <v>10465</v>
      </c>
      <c r="C62" s="293" t="s">
        <v>5666</v>
      </c>
      <c r="D62" s="293" t="s">
        <v>10421</v>
      </c>
      <c r="E62" s="293" t="s">
        <v>5634</v>
      </c>
      <c r="F62" s="293" t="s">
        <v>10422</v>
      </c>
      <c r="G62" s="293" t="s">
        <v>5088</v>
      </c>
      <c r="H62" s="293" t="s">
        <v>8037</v>
      </c>
      <c r="I62" s="293" t="s">
        <v>5593</v>
      </c>
      <c r="J62" s="293" t="s">
        <v>5088</v>
      </c>
      <c r="K62" s="293" t="s">
        <v>10423</v>
      </c>
      <c r="L62" s="294">
        <v>43616</v>
      </c>
      <c r="M62" s="295">
        <v>487500</v>
      </c>
    </row>
    <row r="63" spans="1:13" x14ac:dyDescent="0.2">
      <c r="A63" s="293" t="s">
        <v>10403</v>
      </c>
      <c r="B63" s="293" t="s">
        <v>10474</v>
      </c>
      <c r="C63" s="293" t="s">
        <v>5666</v>
      </c>
      <c r="D63" s="293" t="s">
        <v>10421</v>
      </c>
      <c r="E63" s="293" t="s">
        <v>5634</v>
      </c>
      <c r="F63" s="293" t="s">
        <v>10422</v>
      </c>
      <c r="G63" s="293" t="s">
        <v>5088</v>
      </c>
      <c r="H63" s="293" t="s">
        <v>8053</v>
      </c>
      <c r="I63" s="293" t="s">
        <v>5593</v>
      </c>
      <c r="J63" s="293" t="s">
        <v>5088</v>
      </c>
      <c r="K63" s="293" t="s">
        <v>10423</v>
      </c>
      <c r="L63" s="294">
        <v>43646</v>
      </c>
      <c r="M63" s="295">
        <v>487500</v>
      </c>
    </row>
    <row r="64" spans="1:13" x14ac:dyDescent="0.2">
      <c r="A64" s="293" t="s">
        <v>10403</v>
      </c>
      <c r="B64" s="293" t="s">
        <v>10483</v>
      </c>
      <c r="C64" s="293" t="s">
        <v>5666</v>
      </c>
      <c r="D64" s="293" t="s">
        <v>10421</v>
      </c>
      <c r="E64" s="293" t="s">
        <v>5634</v>
      </c>
      <c r="F64" s="293" t="s">
        <v>10422</v>
      </c>
      <c r="G64" s="293" t="s">
        <v>5088</v>
      </c>
      <c r="H64" s="293" t="s">
        <v>8087</v>
      </c>
      <c r="I64" s="293" t="s">
        <v>5593</v>
      </c>
      <c r="J64" s="293" t="s">
        <v>5088</v>
      </c>
      <c r="K64" s="293" t="s">
        <v>10423</v>
      </c>
      <c r="L64" s="294">
        <v>43677</v>
      </c>
      <c r="M64" s="295">
        <v>487500</v>
      </c>
    </row>
    <row r="65" spans="1:13" x14ac:dyDescent="0.2">
      <c r="A65" s="293" t="s">
        <v>10403</v>
      </c>
      <c r="B65" s="293" t="s">
        <v>10496</v>
      </c>
      <c r="C65" s="293" t="s">
        <v>5666</v>
      </c>
      <c r="D65" s="293" t="s">
        <v>10421</v>
      </c>
      <c r="E65" s="293" t="s">
        <v>5634</v>
      </c>
      <c r="F65" s="293" t="s">
        <v>10422</v>
      </c>
      <c r="G65" s="293" t="s">
        <v>5088</v>
      </c>
      <c r="H65" s="293" t="s">
        <v>8131</v>
      </c>
      <c r="I65" s="293" t="s">
        <v>5593</v>
      </c>
      <c r="J65" s="293" t="s">
        <v>5088</v>
      </c>
      <c r="K65" s="293" t="s">
        <v>10423</v>
      </c>
      <c r="L65" s="294">
        <v>43708</v>
      </c>
      <c r="M65" s="295">
        <v>487500</v>
      </c>
    </row>
    <row r="66" spans="1:13" x14ac:dyDescent="0.2">
      <c r="A66" s="293" t="s">
        <v>10403</v>
      </c>
      <c r="B66" s="293" t="s">
        <v>10508</v>
      </c>
      <c r="C66" s="293" t="s">
        <v>5666</v>
      </c>
      <c r="D66" s="293" t="s">
        <v>10421</v>
      </c>
      <c r="E66" s="293" t="s">
        <v>5634</v>
      </c>
      <c r="F66" s="293" t="s">
        <v>10422</v>
      </c>
      <c r="G66" s="293" t="s">
        <v>5088</v>
      </c>
      <c r="H66" s="293" t="s">
        <v>8158</v>
      </c>
      <c r="I66" s="293" t="s">
        <v>5593</v>
      </c>
      <c r="J66" s="293" t="s">
        <v>5088</v>
      </c>
      <c r="K66" s="293" t="s">
        <v>10423</v>
      </c>
      <c r="L66" s="294">
        <v>43738</v>
      </c>
      <c r="M66" s="295">
        <v>487500</v>
      </c>
    </row>
    <row r="67" spans="1:13" x14ac:dyDescent="0.2">
      <c r="A67" s="293" t="s">
        <v>10403</v>
      </c>
      <c r="B67" s="293" t="s">
        <v>10516</v>
      </c>
      <c r="C67" s="293" t="s">
        <v>5666</v>
      </c>
      <c r="D67" s="293" t="s">
        <v>10421</v>
      </c>
      <c r="E67" s="293" t="s">
        <v>5634</v>
      </c>
      <c r="F67" s="293" t="s">
        <v>10422</v>
      </c>
      <c r="G67" s="293" t="s">
        <v>5088</v>
      </c>
      <c r="H67" s="293" t="s">
        <v>8171</v>
      </c>
      <c r="I67" s="293" t="s">
        <v>5593</v>
      </c>
      <c r="J67" s="293" t="s">
        <v>5088</v>
      </c>
      <c r="K67" s="293" t="s">
        <v>10423</v>
      </c>
      <c r="L67" s="294">
        <v>43769</v>
      </c>
      <c r="M67" s="295">
        <v>487500</v>
      </c>
    </row>
    <row r="68" spans="1:13" x14ac:dyDescent="0.2">
      <c r="A68" s="293" t="s">
        <v>10403</v>
      </c>
      <c r="B68" s="293" t="s">
        <v>10526</v>
      </c>
      <c r="C68" s="293" t="s">
        <v>5666</v>
      </c>
      <c r="D68" s="293" t="s">
        <v>10421</v>
      </c>
      <c r="E68" s="293" t="s">
        <v>5634</v>
      </c>
      <c r="F68" s="293" t="s">
        <v>10422</v>
      </c>
      <c r="G68" s="293" t="s">
        <v>5088</v>
      </c>
      <c r="H68" s="293" t="s">
        <v>8188</v>
      </c>
      <c r="I68" s="293" t="s">
        <v>5593</v>
      </c>
      <c r="J68" s="293" t="s">
        <v>5088</v>
      </c>
      <c r="K68" s="293" t="s">
        <v>10423</v>
      </c>
      <c r="L68" s="294">
        <v>43799</v>
      </c>
      <c r="M68" s="295">
        <v>487500</v>
      </c>
    </row>
    <row r="69" spans="1:13" x14ac:dyDescent="0.2">
      <c r="A69" s="293" t="s">
        <v>10403</v>
      </c>
      <c r="B69" s="293" t="s">
        <v>10536</v>
      </c>
      <c r="C69" s="293" t="s">
        <v>5666</v>
      </c>
      <c r="D69" s="293" t="s">
        <v>10421</v>
      </c>
      <c r="E69" s="293" t="s">
        <v>5634</v>
      </c>
      <c r="F69" s="293" t="s">
        <v>10422</v>
      </c>
      <c r="G69" s="293" t="s">
        <v>5088</v>
      </c>
      <c r="H69" s="293" t="s">
        <v>8204</v>
      </c>
      <c r="I69" s="293" t="s">
        <v>5593</v>
      </c>
      <c r="J69" s="293" t="s">
        <v>5088</v>
      </c>
      <c r="K69" s="293" t="s">
        <v>10423</v>
      </c>
      <c r="L69" s="294">
        <v>43830</v>
      </c>
      <c r="M69" s="296">
        <v>487500</v>
      </c>
    </row>
    <row r="70" spans="1:13" x14ac:dyDescent="0.2">
      <c r="A70" s="293"/>
      <c r="B70" s="293"/>
      <c r="C70" s="293"/>
      <c r="D70" s="293"/>
      <c r="E70" s="293"/>
      <c r="F70" s="293"/>
      <c r="G70" s="293"/>
      <c r="H70" s="293"/>
      <c r="I70" s="293"/>
      <c r="J70" s="293"/>
      <c r="K70" s="293"/>
      <c r="L70" s="255" t="s">
        <v>5739</v>
      </c>
      <c r="M70" s="295">
        <f>SUM(M58:M69)</f>
        <v>5850000</v>
      </c>
    </row>
    <row r="71" spans="1:13" x14ac:dyDescent="0.2">
      <c r="A71" s="293"/>
      <c r="B71" s="293"/>
      <c r="C71" s="293"/>
      <c r="D71" s="293"/>
      <c r="E71" s="293"/>
      <c r="F71" s="293"/>
      <c r="G71" s="293"/>
      <c r="H71" s="293"/>
      <c r="I71" s="293"/>
      <c r="J71" s="293"/>
      <c r="K71" s="293"/>
      <c r="L71" s="294"/>
      <c r="M71" s="295"/>
    </row>
    <row r="72" spans="1:13" x14ac:dyDescent="0.2">
      <c r="A72" s="293" t="s">
        <v>10403</v>
      </c>
      <c r="B72" s="293" t="s">
        <v>10424</v>
      </c>
      <c r="C72" s="293" t="s">
        <v>5666</v>
      </c>
      <c r="D72" s="293" t="s">
        <v>10425</v>
      </c>
      <c r="E72" s="293" t="s">
        <v>5634</v>
      </c>
      <c r="F72" s="293" t="s">
        <v>10426</v>
      </c>
      <c r="G72" s="293" t="s">
        <v>5088</v>
      </c>
      <c r="H72" s="293" t="s">
        <v>7966</v>
      </c>
      <c r="I72" s="293" t="s">
        <v>5754</v>
      </c>
      <c r="J72" s="293" t="s">
        <v>5088</v>
      </c>
      <c r="K72" s="293" t="s">
        <v>10427</v>
      </c>
      <c r="L72" s="294">
        <v>43496</v>
      </c>
      <c r="M72" s="295">
        <v>1051250</v>
      </c>
    </row>
    <row r="73" spans="1:13" x14ac:dyDescent="0.2">
      <c r="A73" s="293" t="s">
        <v>10403</v>
      </c>
      <c r="B73" s="293" t="s">
        <v>10440</v>
      </c>
      <c r="C73" s="293" t="s">
        <v>5666</v>
      </c>
      <c r="D73" s="293" t="s">
        <v>10425</v>
      </c>
      <c r="E73" s="293" t="s">
        <v>5634</v>
      </c>
      <c r="F73" s="293" t="s">
        <v>10426</v>
      </c>
      <c r="G73" s="293" t="s">
        <v>5088</v>
      </c>
      <c r="H73" s="293" t="s">
        <v>7987</v>
      </c>
      <c r="I73" s="293" t="s">
        <v>5754</v>
      </c>
      <c r="J73" s="293" t="s">
        <v>5088</v>
      </c>
      <c r="K73" s="293" t="s">
        <v>10427</v>
      </c>
      <c r="L73" s="294">
        <v>43524</v>
      </c>
      <c r="M73" s="295">
        <v>1051250</v>
      </c>
    </row>
    <row r="74" spans="1:13" x14ac:dyDescent="0.2">
      <c r="A74" s="293" t="s">
        <v>10403</v>
      </c>
      <c r="B74" s="293" t="s">
        <v>10337</v>
      </c>
      <c r="C74" s="293" t="s">
        <v>5666</v>
      </c>
      <c r="D74" s="293" t="s">
        <v>10425</v>
      </c>
      <c r="E74" s="293" t="s">
        <v>5634</v>
      </c>
      <c r="F74" s="293" t="s">
        <v>10426</v>
      </c>
      <c r="G74" s="293" t="s">
        <v>5088</v>
      </c>
      <c r="H74" s="293" t="s">
        <v>8007</v>
      </c>
      <c r="I74" s="293" t="s">
        <v>5754</v>
      </c>
      <c r="J74" s="293" t="s">
        <v>5088</v>
      </c>
      <c r="K74" s="293" t="s">
        <v>10427</v>
      </c>
      <c r="L74" s="294">
        <v>43555</v>
      </c>
      <c r="M74" s="295">
        <v>1051250</v>
      </c>
    </row>
    <row r="75" spans="1:13" x14ac:dyDescent="0.2">
      <c r="A75" s="293" t="s">
        <v>10403</v>
      </c>
      <c r="B75" s="293" t="s">
        <v>10457</v>
      </c>
      <c r="C75" s="293" t="s">
        <v>5666</v>
      </c>
      <c r="D75" s="293" t="s">
        <v>10425</v>
      </c>
      <c r="E75" s="293" t="s">
        <v>5634</v>
      </c>
      <c r="F75" s="293" t="s">
        <v>10426</v>
      </c>
      <c r="G75" s="293" t="s">
        <v>5088</v>
      </c>
      <c r="H75" s="293" t="s">
        <v>8018</v>
      </c>
      <c r="I75" s="293" t="s">
        <v>5754</v>
      </c>
      <c r="J75" s="293" t="s">
        <v>5088</v>
      </c>
      <c r="K75" s="293" t="s">
        <v>10427</v>
      </c>
      <c r="L75" s="294">
        <v>43585</v>
      </c>
      <c r="M75" s="295">
        <v>1051250</v>
      </c>
    </row>
    <row r="76" spans="1:13" x14ac:dyDescent="0.2">
      <c r="A76" s="293" t="s">
        <v>10403</v>
      </c>
      <c r="B76" s="293" t="s">
        <v>10466</v>
      </c>
      <c r="C76" s="293" t="s">
        <v>5666</v>
      </c>
      <c r="D76" s="293" t="s">
        <v>10425</v>
      </c>
      <c r="E76" s="293" t="s">
        <v>5634</v>
      </c>
      <c r="F76" s="293" t="s">
        <v>10426</v>
      </c>
      <c r="G76" s="293" t="s">
        <v>5088</v>
      </c>
      <c r="H76" s="293" t="s">
        <v>8037</v>
      </c>
      <c r="I76" s="293" t="s">
        <v>5754</v>
      </c>
      <c r="J76" s="293" t="s">
        <v>5088</v>
      </c>
      <c r="K76" s="293" t="s">
        <v>10427</v>
      </c>
      <c r="L76" s="294">
        <v>43616</v>
      </c>
      <c r="M76" s="295">
        <v>1051250</v>
      </c>
    </row>
    <row r="77" spans="1:13" x14ac:dyDescent="0.2">
      <c r="A77" s="293" t="s">
        <v>10403</v>
      </c>
      <c r="B77" s="293" t="s">
        <v>10475</v>
      </c>
      <c r="C77" s="293" t="s">
        <v>5666</v>
      </c>
      <c r="D77" s="293" t="s">
        <v>10425</v>
      </c>
      <c r="E77" s="293" t="s">
        <v>5634</v>
      </c>
      <c r="F77" s="293" t="s">
        <v>10426</v>
      </c>
      <c r="G77" s="293" t="s">
        <v>5088</v>
      </c>
      <c r="H77" s="293" t="s">
        <v>8053</v>
      </c>
      <c r="I77" s="293" t="s">
        <v>5754</v>
      </c>
      <c r="J77" s="293" t="s">
        <v>5088</v>
      </c>
      <c r="K77" s="293" t="s">
        <v>10427</v>
      </c>
      <c r="L77" s="294">
        <v>43646</v>
      </c>
      <c r="M77" s="295">
        <v>1051250</v>
      </c>
    </row>
    <row r="78" spans="1:13" x14ac:dyDescent="0.2">
      <c r="A78" s="293" t="s">
        <v>10403</v>
      </c>
      <c r="B78" s="293" t="s">
        <v>10484</v>
      </c>
      <c r="C78" s="293" t="s">
        <v>5666</v>
      </c>
      <c r="D78" s="293" t="s">
        <v>10425</v>
      </c>
      <c r="E78" s="293" t="s">
        <v>5634</v>
      </c>
      <c r="F78" s="293" t="s">
        <v>10426</v>
      </c>
      <c r="G78" s="293" t="s">
        <v>5088</v>
      </c>
      <c r="H78" s="293" t="s">
        <v>8087</v>
      </c>
      <c r="I78" s="293" t="s">
        <v>5754</v>
      </c>
      <c r="J78" s="293" t="s">
        <v>5088</v>
      </c>
      <c r="K78" s="293" t="s">
        <v>10427</v>
      </c>
      <c r="L78" s="294">
        <v>43677</v>
      </c>
      <c r="M78" s="295">
        <v>1051250</v>
      </c>
    </row>
    <row r="79" spans="1:13" x14ac:dyDescent="0.2">
      <c r="A79" s="293" t="s">
        <v>10403</v>
      </c>
      <c r="B79" s="293" t="s">
        <v>10497</v>
      </c>
      <c r="C79" s="293" t="s">
        <v>5666</v>
      </c>
      <c r="D79" s="293" t="s">
        <v>10425</v>
      </c>
      <c r="E79" s="293" t="s">
        <v>5634</v>
      </c>
      <c r="F79" s="293" t="s">
        <v>10426</v>
      </c>
      <c r="G79" s="293" t="s">
        <v>5088</v>
      </c>
      <c r="H79" s="293" t="s">
        <v>8131</v>
      </c>
      <c r="I79" s="293" t="s">
        <v>5754</v>
      </c>
      <c r="J79" s="293" t="s">
        <v>5088</v>
      </c>
      <c r="K79" s="293" t="s">
        <v>10427</v>
      </c>
      <c r="L79" s="294">
        <v>43708</v>
      </c>
      <c r="M79" s="295">
        <v>1051250</v>
      </c>
    </row>
    <row r="80" spans="1:13" x14ac:dyDescent="0.2">
      <c r="A80" s="293" t="s">
        <v>10403</v>
      </c>
      <c r="B80" s="293" t="s">
        <v>8915</v>
      </c>
      <c r="C80" s="293" t="s">
        <v>5666</v>
      </c>
      <c r="D80" s="293" t="s">
        <v>10425</v>
      </c>
      <c r="E80" s="293" t="s">
        <v>5634</v>
      </c>
      <c r="F80" s="293" t="s">
        <v>10426</v>
      </c>
      <c r="G80" s="293" t="s">
        <v>5088</v>
      </c>
      <c r="H80" s="293" t="s">
        <v>8158</v>
      </c>
      <c r="I80" s="293" t="s">
        <v>5754</v>
      </c>
      <c r="J80" s="293" t="s">
        <v>5088</v>
      </c>
      <c r="K80" s="293" t="s">
        <v>10427</v>
      </c>
      <c r="L80" s="294">
        <v>43738</v>
      </c>
      <c r="M80" s="295">
        <v>1051250</v>
      </c>
    </row>
    <row r="81" spans="1:13" x14ac:dyDescent="0.2">
      <c r="A81" s="293" t="s">
        <v>10403</v>
      </c>
      <c r="B81" s="293" t="s">
        <v>10517</v>
      </c>
      <c r="C81" s="293" t="s">
        <v>5666</v>
      </c>
      <c r="D81" s="293" t="s">
        <v>10425</v>
      </c>
      <c r="E81" s="293" t="s">
        <v>5634</v>
      </c>
      <c r="F81" s="293" t="s">
        <v>10426</v>
      </c>
      <c r="G81" s="293" t="s">
        <v>5088</v>
      </c>
      <c r="H81" s="293" t="s">
        <v>8171</v>
      </c>
      <c r="I81" s="293" t="s">
        <v>5754</v>
      </c>
      <c r="J81" s="293" t="s">
        <v>5088</v>
      </c>
      <c r="K81" s="293" t="s">
        <v>10427</v>
      </c>
      <c r="L81" s="294">
        <v>43769</v>
      </c>
      <c r="M81" s="295">
        <v>1051250</v>
      </c>
    </row>
    <row r="82" spans="1:13" x14ac:dyDescent="0.2">
      <c r="A82" s="293" t="s">
        <v>10403</v>
      </c>
      <c r="B82" s="293" t="s">
        <v>10527</v>
      </c>
      <c r="C82" s="293" t="s">
        <v>5666</v>
      </c>
      <c r="D82" s="293" t="s">
        <v>10425</v>
      </c>
      <c r="E82" s="293" t="s">
        <v>5634</v>
      </c>
      <c r="F82" s="293" t="s">
        <v>10426</v>
      </c>
      <c r="G82" s="293" t="s">
        <v>5088</v>
      </c>
      <c r="H82" s="293" t="s">
        <v>8188</v>
      </c>
      <c r="I82" s="293" t="s">
        <v>5754</v>
      </c>
      <c r="J82" s="293" t="s">
        <v>5088</v>
      </c>
      <c r="K82" s="293" t="s">
        <v>10427</v>
      </c>
      <c r="L82" s="294">
        <v>43799</v>
      </c>
      <c r="M82" s="295">
        <v>1051250</v>
      </c>
    </row>
    <row r="83" spans="1:13" x14ac:dyDescent="0.2">
      <c r="A83" s="293" t="s">
        <v>10403</v>
      </c>
      <c r="B83" s="293" t="s">
        <v>10537</v>
      </c>
      <c r="C83" s="293" t="s">
        <v>5666</v>
      </c>
      <c r="D83" s="293" t="s">
        <v>10425</v>
      </c>
      <c r="E83" s="293" t="s">
        <v>5634</v>
      </c>
      <c r="F83" s="293" t="s">
        <v>10426</v>
      </c>
      <c r="G83" s="293" t="s">
        <v>5088</v>
      </c>
      <c r="H83" s="293" t="s">
        <v>8204</v>
      </c>
      <c r="I83" s="293" t="s">
        <v>5754</v>
      </c>
      <c r="J83" s="293" t="s">
        <v>5088</v>
      </c>
      <c r="K83" s="293" t="s">
        <v>10427</v>
      </c>
      <c r="L83" s="294">
        <v>43830</v>
      </c>
      <c r="M83" s="296">
        <v>1051250</v>
      </c>
    </row>
    <row r="84" spans="1:13" x14ac:dyDescent="0.2">
      <c r="A84" s="293"/>
      <c r="B84" s="293"/>
      <c r="C84" s="293"/>
      <c r="D84" s="293"/>
      <c r="E84" s="293"/>
      <c r="F84" s="293"/>
      <c r="G84" s="293"/>
      <c r="H84" s="293"/>
      <c r="I84" s="293"/>
      <c r="J84" s="293"/>
      <c r="K84" s="293"/>
      <c r="L84" s="255" t="s">
        <v>5739</v>
      </c>
      <c r="M84" s="295">
        <f>SUM(M72:M83)</f>
        <v>12615000</v>
      </c>
    </row>
    <row r="85" spans="1:13" x14ac:dyDescent="0.2">
      <c r="A85" s="293"/>
      <c r="B85" s="293"/>
      <c r="C85" s="293"/>
      <c r="D85" s="293"/>
      <c r="E85" s="293"/>
      <c r="F85" s="293"/>
      <c r="G85" s="293"/>
      <c r="H85" s="293"/>
      <c r="I85" s="293"/>
      <c r="J85" s="293"/>
      <c r="K85" s="293"/>
      <c r="L85" s="294"/>
      <c r="M85" s="295"/>
    </row>
    <row r="86" spans="1:13" x14ac:dyDescent="0.2">
      <c r="A86" s="293" t="s">
        <v>10403</v>
      </c>
      <c r="B86" s="293" t="s">
        <v>10428</v>
      </c>
      <c r="C86" s="293" t="s">
        <v>5666</v>
      </c>
      <c r="D86" s="293" t="s">
        <v>10429</v>
      </c>
      <c r="E86" s="293" t="s">
        <v>5634</v>
      </c>
      <c r="F86" s="293" t="s">
        <v>10430</v>
      </c>
      <c r="G86" s="293" t="s">
        <v>5088</v>
      </c>
      <c r="H86" s="293" t="s">
        <v>7966</v>
      </c>
      <c r="I86" s="293" t="s">
        <v>5755</v>
      </c>
      <c r="J86" s="293" t="s">
        <v>5088</v>
      </c>
      <c r="K86" s="293" t="s">
        <v>10431</v>
      </c>
      <c r="L86" s="294">
        <v>43496</v>
      </c>
      <c r="M86" s="295">
        <v>805000</v>
      </c>
    </row>
    <row r="87" spans="1:13" x14ac:dyDescent="0.2">
      <c r="A87" s="293" t="s">
        <v>10403</v>
      </c>
      <c r="B87" s="293" t="s">
        <v>10441</v>
      </c>
      <c r="C87" s="293" t="s">
        <v>5666</v>
      </c>
      <c r="D87" s="293" t="s">
        <v>10429</v>
      </c>
      <c r="E87" s="293" t="s">
        <v>5634</v>
      </c>
      <c r="F87" s="293" t="s">
        <v>10430</v>
      </c>
      <c r="G87" s="293" t="s">
        <v>5088</v>
      </c>
      <c r="H87" s="293" t="s">
        <v>7987</v>
      </c>
      <c r="I87" s="293" t="s">
        <v>5755</v>
      </c>
      <c r="J87" s="293" t="s">
        <v>5088</v>
      </c>
      <c r="K87" s="293" t="s">
        <v>10431</v>
      </c>
      <c r="L87" s="294">
        <v>43524</v>
      </c>
      <c r="M87" s="295">
        <v>805000</v>
      </c>
    </row>
    <row r="88" spans="1:13" x14ac:dyDescent="0.2">
      <c r="A88" s="293" t="s">
        <v>10403</v>
      </c>
      <c r="B88" s="293" t="s">
        <v>10449</v>
      </c>
      <c r="C88" s="293" t="s">
        <v>5666</v>
      </c>
      <c r="D88" s="293" t="s">
        <v>10429</v>
      </c>
      <c r="E88" s="293" t="s">
        <v>5634</v>
      </c>
      <c r="F88" s="293" t="s">
        <v>10430</v>
      </c>
      <c r="G88" s="293" t="s">
        <v>5088</v>
      </c>
      <c r="H88" s="293" t="s">
        <v>8007</v>
      </c>
      <c r="I88" s="293" t="s">
        <v>5755</v>
      </c>
      <c r="J88" s="293" t="s">
        <v>5088</v>
      </c>
      <c r="K88" s="293" t="s">
        <v>10431</v>
      </c>
      <c r="L88" s="294">
        <v>43555</v>
      </c>
      <c r="M88" s="295">
        <v>805000</v>
      </c>
    </row>
    <row r="89" spans="1:13" x14ac:dyDescent="0.2">
      <c r="A89" s="293" t="s">
        <v>10403</v>
      </c>
      <c r="B89" s="293" t="s">
        <v>10458</v>
      </c>
      <c r="C89" s="293" t="s">
        <v>5666</v>
      </c>
      <c r="D89" s="293" t="s">
        <v>10429</v>
      </c>
      <c r="E89" s="293" t="s">
        <v>5634</v>
      </c>
      <c r="F89" s="293" t="s">
        <v>10430</v>
      </c>
      <c r="G89" s="293" t="s">
        <v>5088</v>
      </c>
      <c r="H89" s="293" t="s">
        <v>8018</v>
      </c>
      <c r="I89" s="293" t="s">
        <v>5755</v>
      </c>
      <c r="J89" s="293" t="s">
        <v>5088</v>
      </c>
      <c r="K89" s="293" t="s">
        <v>10431</v>
      </c>
      <c r="L89" s="294">
        <v>43585</v>
      </c>
      <c r="M89" s="295">
        <v>805000</v>
      </c>
    </row>
    <row r="90" spans="1:13" x14ac:dyDescent="0.2">
      <c r="A90" s="293" t="s">
        <v>10403</v>
      </c>
      <c r="B90" s="293" t="s">
        <v>10467</v>
      </c>
      <c r="C90" s="293" t="s">
        <v>5666</v>
      </c>
      <c r="D90" s="293" t="s">
        <v>10429</v>
      </c>
      <c r="E90" s="293" t="s">
        <v>5634</v>
      </c>
      <c r="F90" s="293" t="s">
        <v>10430</v>
      </c>
      <c r="G90" s="293" t="s">
        <v>5088</v>
      </c>
      <c r="H90" s="293" t="s">
        <v>8037</v>
      </c>
      <c r="I90" s="293" t="s">
        <v>5755</v>
      </c>
      <c r="J90" s="293" t="s">
        <v>5088</v>
      </c>
      <c r="K90" s="293" t="s">
        <v>10431</v>
      </c>
      <c r="L90" s="294">
        <v>43616</v>
      </c>
      <c r="M90" s="295">
        <v>805000</v>
      </c>
    </row>
    <row r="91" spans="1:13" x14ac:dyDescent="0.2">
      <c r="A91" s="293" t="s">
        <v>10403</v>
      </c>
      <c r="B91" s="293" t="s">
        <v>10476</v>
      </c>
      <c r="C91" s="293" t="s">
        <v>5666</v>
      </c>
      <c r="D91" s="293" t="s">
        <v>10429</v>
      </c>
      <c r="E91" s="293" t="s">
        <v>5634</v>
      </c>
      <c r="F91" s="293" t="s">
        <v>10430</v>
      </c>
      <c r="G91" s="293" t="s">
        <v>5088</v>
      </c>
      <c r="H91" s="293" t="s">
        <v>8053</v>
      </c>
      <c r="I91" s="293" t="s">
        <v>5755</v>
      </c>
      <c r="J91" s="293" t="s">
        <v>5088</v>
      </c>
      <c r="K91" s="293" t="s">
        <v>10431</v>
      </c>
      <c r="L91" s="294">
        <v>43646</v>
      </c>
      <c r="M91" s="295">
        <v>805000</v>
      </c>
    </row>
    <row r="92" spans="1:13" x14ac:dyDescent="0.2">
      <c r="A92" s="293" t="s">
        <v>10403</v>
      </c>
      <c r="B92" s="293" t="s">
        <v>10485</v>
      </c>
      <c r="C92" s="293" t="s">
        <v>5666</v>
      </c>
      <c r="D92" s="293" t="s">
        <v>10429</v>
      </c>
      <c r="E92" s="293" t="s">
        <v>5634</v>
      </c>
      <c r="F92" s="293" t="s">
        <v>10430</v>
      </c>
      <c r="G92" s="293" t="s">
        <v>5088</v>
      </c>
      <c r="H92" s="293" t="s">
        <v>8087</v>
      </c>
      <c r="I92" s="293" t="s">
        <v>5755</v>
      </c>
      <c r="J92" s="293" t="s">
        <v>5088</v>
      </c>
      <c r="K92" s="293" t="s">
        <v>10431</v>
      </c>
      <c r="L92" s="294">
        <v>43677</v>
      </c>
      <c r="M92" s="295">
        <v>805000</v>
      </c>
    </row>
    <row r="93" spans="1:13" x14ac:dyDescent="0.2">
      <c r="A93" s="293" t="s">
        <v>10403</v>
      </c>
      <c r="B93" s="293" t="s">
        <v>10498</v>
      </c>
      <c r="C93" s="293" t="s">
        <v>5666</v>
      </c>
      <c r="D93" s="293" t="s">
        <v>10429</v>
      </c>
      <c r="E93" s="293" t="s">
        <v>5634</v>
      </c>
      <c r="F93" s="293" t="s">
        <v>10430</v>
      </c>
      <c r="G93" s="293" t="s">
        <v>5088</v>
      </c>
      <c r="H93" s="293" t="s">
        <v>8131</v>
      </c>
      <c r="I93" s="293" t="s">
        <v>5755</v>
      </c>
      <c r="J93" s="293" t="s">
        <v>5088</v>
      </c>
      <c r="K93" s="293" t="s">
        <v>10431</v>
      </c>
      <c r="L93" s="294">
        <v>43708</v>
      </c>
      <c r="M93" s="295">
        <v>805000</v>
      </c>
    </row>
    <row r="94" spans="1:13" x14ac:dyDescent="0.2">
      <c r="A94" s="293" t="s">
        <v>10403</v>
      </c>
      <c r="B94" s="293" t="s">
        <v>8916</v>
      </c>
      <c r="C94" s="293" t="s">
        <v>5666</v>
      </c>
      <c r="D94" s="293" t="s">
        <v>10429</v>
      </c>
      <c r="E94" s="293" t="s">
        <v>5634</v>
      </c>
      <c r="F94" s="293" t="s">
        <v>10430</v>
      </c>
      <c r="G94" s="293" t="s">
        <v>5088</v>
      </c>
      <c r="H94" s="293" t="s">
        <v>8158</v>
      </c>
      <c r="I94" s="293" t="s">
        <v>5755</v>
      </c>
      <c r="J94" s="293" t="s">
        <v>5088</v>
      </c>
      <c r="K94" s="293" t="s">
        <v>10431</v>
      </c>
      <c r="L94" s="294">
        <v>43738</v>
      </c>
      <c r="M94" s="295">
        <v>805000</v>
      </c>
    </row>
    <row r="95" spans="1:13" x14ac:dyDescent="0.2">
      <c r="A95" s="293" t="s">
        <v>10403</v>
      </c>
      <c r="B95" s="293" t="s">
        <v>10518</v>
      </c>
      <c r="C95" s="293" t="s">
        <v>5666</v>
      </c>
      <c r="D95" s="293" t="s">
        <v>10429</v>
      </c>
      <c r="E95" s="293" t="s">
        <v>5634</v>
      </c>
      <c r="F95" s="293" t="s">
        <v>10430</v>
      </c>
      <c r="G95" s="293" t="s">
        <v>5088</v>
      </c>
      <c r="H95" s="293" t="s">
        <v>8171</v>
      </c>
      <c r="I95" s="293" t="s">
        <v>5755</v>
      </c>
      <c r="J95" s="293" t="s">
        <v>5088</v>
      </c>
      <c r="K95" s="293" t="s">
        <v>10431</v>
      </c>
      <c r="L95" s="294">
        <v>43769</v>
      </c>
      <c r="M95" s="295">
        <v>805000</v>
      </c>
    </row>
    <row r="96" spans="1:13" x14ac:dyDescent="0.2">
      <c r="A96" s="293" t="s">
        <v>10403</v>
      </c>
      <c r="B96" s="293" t="s">
        <v>10528</v>
      </c>
      <c r="C96" s="293" t="s">
        <v>5666</v>
      </c>
      <c r="D96" s="293" t="s">
        <v>10429</v>
      </c>
      <c r="E96" s="293" t="s">
        <v>5634</v>
      </c>
      <c r="F96" s="293" t="s">
        <v>10430</v>
      </c>
      <c r="G96" s="293" t="s">
        <v>5088</v>
      </c>
      <c r="H96" s="293" t="s">
        <v>8188</v>
      </c>
      <c r="I96" s="293" t="s">
        <v>5755</v>
      </c>
      <c r="J96" s="293" t="s">
        <v>5088</v>
      </c>
      <c r="K96" s="293" t="s">
        <v>10431</v>
      </c>
      <c r="L96" s="294">
        <v>43799</v>
      </c>
      <c r="M96" s="295">
        <v>805000</v>
      </c>
    </row>
    <row r="97" spans="1:13" x14ac:dyDescent="0.2">
      <c r="A97" s="293" t="s">
        <v>10403</v>
      </c>
      <c r="B97" s="293" t="s">
        <v>10538</v>
      </c>
      <c r="C97" s="293" t="s">
        <v>5666</v>
      </c>
      <c r="D97" s="293" t="s">
        <v>10429</v>
      </c>
      <c r="E97" s="293" t="s">
        <v>5634</v>
      </c>
      <c r="F97" s="293" t="s">
        <v>10430</v>
      </c>
      <c r="G97" s="293" t="s">
        <v>5088</v>
      </c>
      <c r="H97" s="293" t="s">
        <v>8204</v>
      </c>
      <c r="I97" s="293" t="s">
        <v>5755</v>
      </c>
      <c r="J97" s="293" t="s">
        <v>5088</v>
      </c>
      <c r="K97" s="293" t="s">
        <v>10431</v>
      </c>
      <c r="L97" s="294">
        <v>43830</v>
      </c>
      <c r="M97" s="296">
        <v>805000</v>
      </c>
    </row>
    <row r="98" spans="1:13" x14ac:dyDescent="0.2">
      <c r="A98" s="293"/>
      <c r="B98" s="293"/>
      <c r="C98" s="293"/>
      <c r="D98" s="293"/>
      <c r="E98" s="293"/>
      <c r="F98" s="293"/>
      <c r="G98" s="293"/>
      <c r="H98" s="293"/>
      <c r="I98" s="293"/>
      <c r="J98" s="293"/>
      <c r="K98" s="293"/>
      <c r="L98" s="255" t="s">
        <v>5739</v>
      </c>
      <c r="M98" s="295">
        <f>SUM(M86:M97)</f>
        <v>9660000</v>
      </c>
    </row>
    <row r="99" spans="1:13" x14ac:dyDescent="0.2">
      <c r="A99" s="293"/>
      <c r="B99" s="293"/>
      <c r="C99" s="293"/>
      <c r="D99" s="293"/>
      <c r="E99" s="293"/>
      <c r="F99" s="293"/>
      <c r="G99" s="293"/>
      <c r="H99" s="293"/>
      <c r="I99" s="293"/>
      <c r="J99" s="293"/>
      <c r="K99" s="293"/>
      <c r="L99" s="294"/>
      <c r="M99" s="295"/>
    </row>
    <row r="100" spans="1:13" x14ac:dyDescent="0.2">
      <c r="A100" s="293" t="s">
        <v>10403</v>
      </c>
      <c r="B100" s="293" t="s">
        <v>10432</v>
      </c>
      <c r="C100" s="293" t="s">
        <v>5666</v>
      </c>
      <c r="D100" s="293" t="s">
        <v>10433</v>
      </c>
      <c r="E100" s="293" t="s">
        <v>5634</v>
      </c>
      <c r="F100" s="293" t="s">
        <v>10434</v>
      </c>
      <c r="G100" s="293" t="s">
        <v>5088</v>
      </c>
      <c r="H100" s="293" t="s">
        <v>7966</v>
      </c>
      <c r="I100" s="293" t="s">
        <v>7245</v>
      </c>
      <c r="J100" s="293" t="s">
        <v>5088</v>
      </c>
      <c r="K100" s="293" t="s">
        <v>10435</v>
      </c>
      <c r="L100" s="294">
        <v>43496</v>
      </c>
      <c r="M100" s="295">
        <v>985416.67</v>
      </c>
    </row>
    <row r="101" spans="1:13" x14ac:dyDescent="0.2">
      <c r="A101" s="293" t="s">
        <v>10403</v>
      </c>
      <c r="B101" s="293" t="s">
        <v>10442</v>
      </c>
      <c r="C101" s="293" t="s">
        <v>5666</v>
      </c>
      <c r="D101" s="293" t="s">
        <v>10433</v>
      </c>
      <c r="E101" s="293" t="s">
        <v>5634</v>
      </c>
      <c r="F101" s="293" t="s">
        <v>10434</v>
      </c>
      <c r="G101" s="293" t="s">
        <v>5088</v>
      </c>
      <c r="H101" s="293" t="s">
        <v>7987</v>
      </c>
      <c r="I101" s="293" t="s">
        <v>7245</v>
      </c>
      <c r="J101" s="293" t="s">
        <v>5088</v>
      </c>
      <c r="K101" s="293" t="s">
        <v>10435</v>
      </c>
      <c r="L101" s="294">
        <v>43524</v>
      </c>
      <c r="M101" s="295">
        <v>985416.67</v>
      </c>
    </row>
    <row r="102" spans="1:13" x14ac:dyDescent="0.2">
      <c r="A102" s="293" t="s">
        <v>10403</v>
      </c>
      <c r="B102" s="293" t="s">
        <v>10450</v>
      </c>
      <c r="C102" s="293" t="s">
        <v>5666</v>
      </c>
      <c r="D102" s="293" t="s">
        <v>10433</v>
      </c>
      <c r="E102" s="293" t="s">
        <v>5634</v>
      </c>
      <c r="F102" s="293" t="s">
        <v>10434</v>
      </c>
      <c r="G102" s="293" t="s">
        <v>5088</v>
      </c>
      <c r="H102" s="293" t="s">
        <v>8007</v>
      </c>
      <c r="I102" s="293" t="s">
        <v>7245</v>
      </c>
      <c r="J102" s="293" t="s">
        <v>5088</v>
      </c>
      <c r="K102" s="293" t="s">
        <v>10435</v>
      </c>
      <c r="L102" s="294">
        <v>43555</v>
      </c>
      <c r="M102" s="295">
        <v>985416.67</v>
      </c>
    </row>
    <row r="103" spans="1:13" x14ac:dyDescent="0.2">
      <c r="A103" s="293" t="s">
        <v>10403</v>
      </c>
      <c r="B103" s="293" t="s">
        <v>10459</v>
      </c>
      <c r="C103" s="293" t="s">
        <v>5666</v>
      </c>
      <c r="D103" s="293" t="s">
        <v>10433</v>
      </c>
      <c r="E103" s="293" t="s">
        <v>5634</v>
      </c>
      <c r="F103" s="293" t="s">
        <v>10434</v>
      </c>
      <c r="G103" s="293" t="s">
        <v>5088</v>
      </c>
      <c r="H103" s="293" t="s">
        <v>8018</v>
      </c>
      <c r="I103" s="293" t="s">
        <v>7245</v>
      </c>
      <c r="J103" s="293" t="s">
        <v>5088</v>
      </c>
      <c r="K103" s="293" t="s">
        <v>10435</v>
      </c>
      <c r="L103" s="294">
        <v>43585</v>
      </c>
      <c r="M103" s="295">
        <v>985416.67</v>
      </c>
    </row>
    <row r="104" spans="1:13" x14ac:dyDescent="0.2">
      <c r="A104" s="293" t="s">
        <v>10403</v>
      </c>
      <c r="B104" s="293" t="s">
        <v>10468</v>
      </c>
      <c r="C104" s="293" t="s">
        <v>5666</v>
      </c>
      <c r="D104" s="293" t="s">
        <v>10433</v>
      </c>
      <c r="E104" s="293" t="s">
        <v>5634</v>
      </c>
      <c r="F104" s="293" t="s">
        <v>10434</v>
      </c>
      <c r="G104" s="293" t="s">
        <v>5088</v>
      </c>
      <c r="H104" s="293" t="s">
        <v>8037</v>
      </c>
      <c r="I104" s="293" t="s">
        <v>7245</v>
      </c>
      <c r="J104" s="293" t="s">
        <v>5088</v>
      </c>
      <c r="K104" s="293" t="s">
        <v>10435</v>
      </c>
      <c r="L104" s="294">
        <v>43616</v>
      </c>
      <c r="M104" s="295">
        <v>985416.67</v>
      </c>
    </row>
    <row r="105" spans="1:13" x14ac:dyDescent="0.2">
      <c r="A105" s="293" t="s">
        <v>10403</v>
      </c>
      <c r="B105" s="293" t="s">
        <v>10477</v>
      </c>
      <c r="C105" s="293" t="s">
        <v>5666</v>
      </c>
      <c r="D105" s="293" t="s">
        <v>10433</v>
      </c>
      <c r="E105" s="293" t="s">
        <v>5634</v>
      </c>
      <c r="F105" s="293" t="s">
        <v>10434</v>
      </c>
      <c r="G105" s="293" t="s">
        <v>5088</v>
      </c>
      <c r="H105" s="293" t="s">
        <v>8053</v>
      </c>
      <c r="I105" s="293" t="s">
        <v>7245</v>
      </c>
      <c r="J105" s="293" t="s">
        <v>5088</v>
      </c>
      <c r="K105" s="293" t="s">
        <v>10435</v>
      </c>
      <c r="L105" s="294">
        <v>43646</v>
      </c>
      <c r="M105" s="295">
        <v>985416.67</v>
      </c>
    </row>
    <row r="106" spans="1:13" x14ac:dyDescent="0.2">
      <c r="A106" s="293" t="s">
        <v>10403</v>
      </c>
      <c r="B106" s="293" t="s">
        <v>10486</v>
      </c>
      <c r="C106" s="293" t="s">
        <v>5666</v>
      </c>
      <c r="D106" s="293" t="s">
        <v>10433</v>
      </c>
      <c r="E106" s="293" t="s">
        <v>5634</v>
      </c>
      <c r="F106" s="293" t="s">
        <v>10434</v>
      </c>
      <c r="G106" s="293" t="s">
        <v>5088</v>
      </c>
      <c r="H106" s="293" t="s">
        <v>8087</v>
      </c>
      <c r="I106" s="293" t="s">
        <v>7245</v>
      </c>
      <c r="J106" s="293" t="s">
        <v>5088</v>
      </c>
      <c r="K106" s="293" t="s">
        <v>10435</v>
      </c>
      <c r="L106" s="294">
        <v>43677</v>
      </c>
      <c r="M106" s="295">
        <v>985416.67</v>
      </c>
    </row>
    <row r="107" spans="1:13" x14ac:dyDescent="0.2">
      <c r="A107" s="293" t="s">
        <v>10403</v>
      </c>
      <c r="B107" s="293" t="s">
        <v>10499</v>
      </c>
      <c r="C107" s="293" t="s">
        <v>5666</v>
      </c>
      <c r="D107" s="293" t="s">
        <v>10433</v>
      </c>
      <c r="E107" s="293" t="s">
        <v>5634</v>
      </c>
      <c r="F107" s="293" t="s">
        <v>10434</v>
      </c>
      <c r="G107" s="293" t="s">
        <v>5088</v>
      </c>
      <c r="H107" s="293" t="s">
        <v>8131</v>
      </c>
      <c r="I107" s="293" t="s">
        <v>7245</v>
      </c>
      <c r="J107" s="293" t="s">
        <v>5088</v>
      </c>
      <c r="K107" s="293" t="s">
        <v>10435</v>
      </c>
      <c r="L107" s="294">
        <v>43708</v>
      </c>
      <c r="M107" s="295">
        <v>985416.67</v>
      </c>
    </row>
    <row r="108" spans="1:13" x14ac:dyDescent="0.2">
      <c r="A108" s="293" t="s">
        <v>10403</v>
      </c>
      <c r="B108" s="293" t="s">
        <v>10509</v>
      </c>
      <c r="C108" s="293" t="s">
        <v>5666</v>
      </c>
      <c r="D108" s="293" t="s">
        <v>10433</v>
      </c>
      <c r="E108" s="293" t="s">
        <v>5634</v>
      </c>
      <c r="F108" s="293" t="s">
        <v>10434</v>
      </c>
      <c r="G108" s="293" t="s">
        <v>5088</v>
      </c>
      <c r="H108" s="293" t="s">
        <v>8158</v>
      </c>
      <c r="I108" s="293" t="s">
        <v>7245</v>
      </c>
      <c r="J108" s="293" t="s">
        <v>5088</v>
      </c>
      <c r="K108" s="293" t="s">
        <v>10435</v>
      </c>
      <c r="L108" s="294">
        <v>43738</v>
      </c>
      <c r="M108" s="295">
        <v>985416.67</v>
      </c>
    </row>
    <row r="109" spans="1:13" x14ac:dyDescent="0.2">
      <c r="A109" s="293" t="s">
        <v>10403</v>
      </c>
      <c r="B109" s="293" t="s">
        <v>10519</v>
      </c>
      <c r="C109" s="293" t="s">
        <v>5666</v>
      </c>
      <c r="D109" s="293" t="s">
        <v>10433</v>
      </c>
      <c r="E109" s="293" t="s">
        <v>5634</v>
      </c>
      <c r="F109" s="293" t="s">
        <v>10434</v>
      </c>
      <c r="G109" s="293" t="s">
        <v>5088</v>
      </c>
      <c r="H109" s="293" t="s">
        <v>8171</v>
      </c>
      <c r="I109" s="293" t="s">
        <v>7245</v>
      </c>
      <c r="J109" s="293" t="s">
        <v>5088</v>
      </c>
      <c r="K109" s="293" t="s">
        <v>10435</v>
      </c>
      <c r="L109" s="294">
        <v>43769</v>
      </c>
      <c r="M109" s="295">
        <v>985416.67</v>
      </c>
    </row>
    <row r="110" spans="1:13" x14ac:dyDescent="0.2">
      <c r="A110" s="293" t="s">
        <v>10403</v>
      </c>
      <c r="B110" s="293" t="s">
        <v>10529</v>
      </c>
      <c r="C110" s="293" t="s">
        <v>5666</v>
      </c>
      <c r="D110" s="293" t="s">
        <v>10433</v>
      </c>
      <c r="E110" s="293" t="s">
        <v>5634</v>
      </c>
      <c r="F110" s="293" t="s">
        <v>10434</v>
      </c>
      <c r="G110" s="293" t="s">
        <v>5088</v>
      </c>
      <c r="H110" s="293" t="s">
        <v>8188</v>
      </c>
      <c r="I110" s="293" t="s">
        <v>7245</v>
      </c>
      <c r="J110" s="293" t="s">
        <v>5088</v>
      </c>
      <c r="K110" s="293" t="s">
        <v>10435</v>
      </c>
      <c r="L110" s="294">
        <v>43799</v>
      </c>
      <c r="M110" s="295">
        <v>985416.67</v>
      </c>
    </row>
    <row r="111" spans="1:13" x14ac:dyDescent="0.2">
      <c r="A111" s="293" t="s">
        <v>10403</v>
      </c>
      <c r="B111" s="293" t="s">
        <v>10539</v>
      </c>
      <c r="C111" s="293" t="s">
        <v>5666</v>
      </c>
      <c r="D111" s="293" t="s">
        <v>10433</v>
      </c>
      <c r="E111" s="293" t="s">
        <v>5634</v>
      </c>
      <c r="F111" s="293" t="s">
        <v>10434</v>
      </c>
      <c r="G111" s="293" t="s">
        <v>5088</v>
      </c>
      <c r="H111" s="293" t="s">
        <v>8204</v>
      </c>
      <c r="I111" s="293" t="s">
        <v>7245</v>
      </c>
      <c r="J111" s="293" t="s">
        <v>5088</v>
      </c>
      <c r="K111" s="293" t="s">
        <v>10435</v>
      </c>
      <c r="L111" s="294">
        <v>43830</v>
      </c>
      <c r="M111" s="296">
        <v>985416.67</v>
      </c>
    </row>
    <row r="112" spans="1:13" x14ac:dyDescent="0.2">
      <c r="A112" s="293"/>
      <c r="B112" s="293"/>
      <c r="C112" s="293"/>
      <c r="D112" s="293"/>
      <c r="E112" s="293"/>
      <c r="F112" s="293"/>
      <c r="G112" s="293"/>
      <c r="H112" s="293"/>
      <c r="I112" s="293"/>
      <c r="J112" s="293"/>
      <c r="K112" s="293"/>
      <c r="L112" s="255" t="s">
        <v>5739</v>
      </c>
      <c r="M112" s="295">
        <f>SUM(M100:M111)</f>
        <v>11825000.040000001</v>
      </c>
    </row>
    <row r="113" spans="1:13" x14ac:dyDescent="0.2">
      <c r="A113" s="293"/>
      <c r="B113" s="293"/>
      <c r="C113" s="293"/>
      <c r="D113" s="293"/>
      <c r="E113" s="293"/>
      <c r="F113" s="293"/>
      <c r="G113" s="293"/>
      <c r="H113" s="293"/>
      <c r="I113" s="293"/>
      <c r="J113" s="293"/>
      <c r="K113" s="293"/>
      <c r="L113" s="294"/>
      <c r="M113" s="295"/>
    </row>
    <row r="114" spans="1:13" x14ac:dyDescent="0.2">
      <c r="A114" s="293" t="s">
        <v>10403</v>
      </c>
      <c r="B114" s="293" t="s">
        <v>10436</v>
      </c>
      <c r="C114" s="293" t="s">
        <v>5666</v>
      </c>
      <c r="D114" s="293" t="s">
        <v>10437</v>
      </c>
      <c r="E114" s="293" t="s">
        <v>5634</v>
      </c>
      <c r="F114" s="293" t="s">
        <v>10438</v>
      </c>
      <c r="G114" s="293" t="s">
        <v>5088</v>
      </c>
      <c r="H114" s="293" t="s">
        <v>7966</v>
      </c>
      <c r="I114" s="293" t="s">
        <v>7887</v>
      </c>
      <c r="J114" s="293" t="s">
        <v>5088</v>
      </c>
      <c r="K114" s="293" t="s">
        <v>10439</v>
      </c>
      <c r="L114" s="294">
        <v>43496</v>
      </c>
      <c r="M114" s="295">
        <v>1297916.67</v>
      </c>
    </row>
    <row r="115" spans="1:13" x14ac:dyDescent="0.2">
      <c r="A115" s="293" t="s">
        <v>10403</v>
      </c>
      <c r="B115" s="293" t="s">
        <v>10443</v>
      </c>
      <c r="C115" s="293" t="s">
        <v>5666</v>
      </c>
      <c r="D115" s="293" t="s">
        <v>10437</v>
      </c>
      <c r="E115" s="293" t="s">
        <v>5634</v>
      </c>
      <c r="F115" s="293" t="s">
        <v>10438</v>
      </c>
      <c r="G115" s="293" t="s">
        <v>5088</v>
      </c>
      <c r="H115" s="293" t="s">
        <v>7987</v>
      </c>
      <c r="I115" s="293" t="s">
        <v>7887</v>
      </c>
      <c r="J115" s="293" t="s">
        <v>5088</v>
      </c>
      <c r="K115" s="293" t="s">
        <v>10439</v>
      </c>
      <c r="L115" s="294">
        <v>43524</v>
      </c>
      <c r="M115" s="295">
        <v>1297916.67</v>
      </c>
    </row>
    <row r="116" spans="1:13" x14ac:dyDescent="0.2">
      <c r="A116" s="293" t="s">
        <v>10403</v>
      </c>
      <c r="B116" s="293" t="s">
        <v>10451</v>
      </c>
      <c r="C116" s="293" t="s">
        <v>5666</v>
      </c>
      <c r="D116" s="293" t="s">
        <v>10437</v>
      </c>
      <c r="E116" s="293" t="s">
        <v>5634</v>
      </c>
      <c r="F116" s="293" t="s">
        <v>10438</v>
      </c>
      <c r="G116" s="293" t="s">
        <v>5088</v>
      </c>
      <c r="H116" s="293" t="s">
        <v>8007</v>
      </c>
      <c r="I116" s="293" t="s">
        <v>7887</v>
      </c>
      <c r="J116" s="293" t="s">
        <v>5088</v>
      </c>
      <c r="K116" s="293" t="s">
        <v>10439</v>
      </c>
      <c r="L116" s="294">
        <v>43555</v>
      </c>
      <c r="M116" s="295">
        <v>1297916.67</v>
      </c>
    </row>
    <row r="117" spans="1:13" x14ac:dyDescent="0.2">
      <c r="A117" s="293" t="s">
        <v>10403</v>
      </c>
      <c r="B117" s="293" t="s">
        <v>10460</v>
      </c>
      <c r="C117" s="293" t="s">
        <v>5666</v>
      </c>
      <c r="D117" s="293" t="s">
        <v>10437</v>
      </c>
      <c r="E117" s="293" t="s">
        <v>5634</v>
      </c>
      <c r="F117" s="293" t="s">
        <v>10438</v>
      </c>
      <c r="G117" s="293" t="s">
        <v>5088</v>
      </c>
      <c r="H117" s="293" t="s">
        <v>8018</v>
      </c>
      <c r="I117" s="293" t="s">
        <v>7887</v>
      </c>
      <c r="J117" s="293" t="s">
        <v>5088</v>
      </c>
      <c r="K117" s="293" t="s">
        <v>10439</v>
      </c>
      <c r="L117" s="294">
        <v>43585</v>
      </c>
      <c r="M117" s="295">
        <v>1297916.67</v>
      </c>
    </row>
    <row r="118" spans="1:13" x14ac:dyDescent="0.2">
      <c r="A118" s="293" t="s">
        <v>10403</v>
      </c>
      <c r="B118" s="293" t="s">
        <v>10469</v>
      </c>
      <c r="C118" s="293" t="s">
        <v>5666</v>
      </c>
      <c r="D118" s="293" t="s">
        <v>10437</v>
      </c>
      <c r="E118" s="293" t="s">
        <v>5634</v>
      </c>
      <c r="F118" s="293" t="s">
        <v>10438</v>
      </c>
      <c r="G118" s="293" t="s">
        <v>5088</v>
      </c>
      <c r="H118" s="293" t="s">
        <v>8037</v>
      </c>
      <c r="I118" s="293" t="s">
        <v>7887</v>
      </c>
      <c r="J118" s="293" t="s">
        <v>5088</v>
      </c>
      <c r="K118" s="293" t="s">
        <v>10439</v>
      </c>
      <c r="L118" s="294">
        <v>43616</v>
      </c>
      <c r="M118" s="295">
        <v>1297916.67</v>
      </c>
    </row>
    <row r="119" spans="1:13" x14ac:dyDescent="0.2">
      <c r="A119" s="293" t="s">
        <v>10403</v>
      </c>
      <c r="B119" s="293" t="s">
        <v>10478</v>
      </c>
      <c r="C119" s="293" t="s">
        <v>5666</v>
      </c>
      <c r="D119" s="293" t="s">
        <v>10437</v>
      </c>
      <c r="E119" s="293" t="s">
        <v>5634</v>
      </c>
      <c r="F119" s="293" t="s">
        <v>10438</v>
      </c>
      <c r="G119" s="293" t="s">
        <v>5088</v>
      </c>
      <c r="H119" s="293" t="s">
        <v>8053</v>
      </c>
      <c r="I119" s="293" t="s">
        <v>7887</v>
      </c>
      <c r="J119" s="293" t="s">
        <v>5088</v>
      </c>
      <c r="K119" s="293" t="s">
        <v>10439</v>
      </c>
      <c r="L119" s="294">
        <v>43646</v>
      </c>
      <c r="M119" s="295">
        <v>1297916.67</v>
      </c>
    </row>
    <row r="120" spans="1:13" x14ac:dyDescent="0.2">
      <c r="A120" s="293" t="s">
        <v>10403</v>
      </c>
      <c r="B120" s="293" t="s">
        <v>10487</v>
      </c>
      <c r="C120" s="293" t="s">
        <v>5666</v>
      </c>
      <c r="D120" s="293" t="s">
        <v>10437</v>
      </c>
      <c r="E120" s="293" t="s">
        <v>5634</v>
      </c>
      <c r="F120" s="293" t="s">
        <v>10438</v>
      </c>
      <c r="G120" s="293" t="s">
        <v>5088</v>
      </c>
      <c r="H120" s="293" t="s">
        <v>8087</v>
      </c>
      <c r="I120" s="293" t="s">
        <v>7887</v>
      </c>
      <c r="J120" s="293" t="s">
        <v>5088</v>
      </c>
      <c r="K120" s="293" t="s">
        <v>10439</v>
      </c>
      <c r="L120" s="294">
        <v>43677</v>
      </c>
      <c r="M120" s="295">
        <v>1297916.67</v>
      </c>
    </row>
    <row r="121" spans="1:13" x14ac:dyDescent="0.2">
      <c r="A121" s="293" t="s">
        <v>10403</v>
      </c>
      <c r="B121" s="293" t="s">
        <v>10500</v>
      </c>
      <c r="C121" s="293" t="s">
        <v>5666</v>
      </c>
      <c r="D121" s="293" t="s">
        <v>10437</v>
      </c>
      <c r="E121" s="293" t="s">
        <v>5634</v>
      </c>
      <c r="F121" s="293" t="s">
        <v>10438</v>
      </c>
      <c r="G121" s="293" t="s">
        <v>5088</v>
      </c>
      <c r="H121" s="293" t="s">
        <v>8131</v>
      </c>
      <c r="I121" s="293" t="s">
        <v>7887</v>
      </c>
      <c r="J121" s="293" t="s">
        <v>5088</v>
      </c>
      <c r="K121" s="293" t="s">
        <v>10439</v>
      </c>
      <c r="L121" s="294">
        <v>43708</v>
      </c>
      <c r="M121" s="295">
        <v>1297916.67</v>
      </c>
    </row>
    <row r="122" spans="1:13" x14ac:dyDescent="0.2">
      <c r="A122" s="293" t="s">
        <v>10403</v>
      </c>
      <c r="B122" s="293" t="s">
        <v>10510</v>
      </c>
      <c r="C122" s="293" t="s">
        <v>5666</v>
      </c>
      <c r="D122" s="293" t="s">
        <v>10437</v>
      </c>
      <c r="E122" s="293" t="s">
        <v>5634</v>
      </c>
      <c r="F122" s="293" t="s">
        <v>10438</v>
      </c>
      <c r="G122" s="293" t="s">
        <v>5088</v>
      </c>
      <c r="H122" s="293" t="s">
        <v>8158</v>
      </c>
      <c r="I122" s="293" t="s">
        <v>7887</v>
      </c>
      <c r="J122" s="293" t="s">
        <v>5088</v>
      </c>
      <c r="K122" s="293" t="s">
        <v>10439</v>
      </c>
      <c r="L122" s="294">
        <v>43738</v>
      </c>
      <c r="M122" s="295">
        <v>1297916.67</v>
      </c>
    </row>
    <row r="123" spans="1:13" x14ac:dyDescent="0.2">
      <c r="A123" s="293" t="s">
        <v>10403</v>
      </c>
      <c r="B123" s="293" t="s">
        <v>10520</v>
      </c>
      <c r="C123" s="293" t="s">
        <v>5666</v>
      </c>
      <c r="D123" s="293" t="s">
        <v>10437</v>
      </c>
      <c r="E123" s="293" t="s">
        <v>5634</v>
      </c>
      <c r="F123" s="293" t="s">
        <v>10438</v>
      </c>
      <c r="G123" s="293" t="s">
        <v>5088</v>
      </c>
      <c r="H123" s="293" t="s">
        <v>8171</v>
      </c>
      <c r="I123" s="293" t="s">
        <v>7887</v>
      </c>
      <c r="J123" s="293" t="s">
        <v>5088</v>
      </c>
      <c r="K123" s="293" t="s">
        <v>10439</v>
      </c>
      <c r="L123" s="294">
        <v>43769</v>
      </c>
      <c r="M123" s="295">
        <v>1297916.67</v>
      </c>
    </row>
    <row r="124" spans="1:13" x14ac:dyDescent="0.2">
      <c r="A124" s="293" t="s">
        <v>10403</v>
      </c>
      <c r="B124" s="293" t="s">
        <v>10530</v>
      </c>
      <c r="C124" s="293" t="s">
        <v>5666</v>
      </c>
      <c r="D124" s="293" t="s">
        <v>10437</v>
      </c>
      <c r="E124" s="293" t="s">
        <v>5634</v>
      </c>
      <c r="F124" s="293" t="s">
        <v>10438</v>
      </c>
      <c r="G124" s="293" t="s">
        <v>5088</v>
      </c>
      <c r="H124" s="293" t="s">
        <v>8188</v>
      </c>
      <c r="I124" s="293" t="s">
        <v>7887</v>
      </c>
      <c r="J124" s="293" t="s">
        <v>5088</v>
      </c>
      <c r="K124" s="293" t="s">
        <v>10439</v>
      </c>
      <c r="L124" s="294">
        <v>43799</v>
      </c>
      <c r="M124" s="295">
        <v>1297916.67</v>
      </c>
    </row>
    <row r="125" spans="1:13" x14ac:dyDescent="0.2">
      <c r="A125" s="293" t="s">
        <v>10403</v>
      </c>
      <c r="B125" s="293" t="s">
        <v>10540</v>
      </c>
      <c r="C125" s="293" t="s">
        <v>5666</v>
      </c>
      <c r="D125" s="293" t="s">
        <v>10437</v>
      </c>
      <c r="E125" s="293" t="s">
        <v>5634</v>
      </c>
      <c r="F125" s="293" t="s">
        <v>10438</v>
      </c>
      <c r="G125" s="293" t="s">
        <v>5088</v>
      </c>
      <c r="H125" s="293" t="s">
        <v>8204</v>
      </c>
      <c r="I125" s="293" t="s">
        <v>7887</v>
      </c>
      <c r="J125" s="293" t="s">
        <v>5088</v>
      </c>
      <c r="K125" s="293" t="s">
        <v>10439</v>
      </c>
      <c r="L125" s="294">
        <v>43830</v>
      </c>
      <c r="M125" s="296">
        <v>1297916.67</v>
      </c>
    </row>
    <row r="126" spans="1:13" x14ac:dyDescent="0.2">
      <c r="A126" s="293"/>
      <c r="B126" s="293"/>
      <c r="C126" s="293"/>
      <c r="D126" s="293"/>
      <c r="E126" s="293"/>
      <c r="F126" s="293"/>
      <c r="G126" s="293"/>
      <c r="H126" s="293"/>
      <c r="I126" s="293"/>
      <c r="J126" s="293"/>
      <c r="K126" s="293"/>
      <c r="L126" s="255" t="s">
        <v>5739</v>
      </c>
      <c r="M126" s="295">
        <f>SUM(M114:M125)</f>
        <v>15575000.039999999</v>
      </c>
    </row>
    <row r="127" spans="1:13" x14ac:dyDescent="0.2">
      <c r="A127" s="293"/>
      <c r="B127" s="293"/>
      <c r="C127" s="293"/>
      <c r="D127" s="293"/>
      <c r="E127" s="293"/>
      <c r="F127" s="293"/>
      <c r="G127" s="293"/>
      <c r="H127" s="293"/>
      <c r="I127" s="293"/>
      <c r="J127" s="293"/>
      <c r="K127" s="293"/>
      <c r="L127" s="294"/>
      <c r="M127" s="295"/>
    </row>
    <row r="128" spans="1:13" x14ac:dyDescent="0.2">
      <c r="A128" s="293" t="s">
        <v>10403</v>
      </c>
      <c r="B128" s="293" t="s">
        <v>10488</v>
      </c>
      <c r="C128" s="293" t="s">
        <v>6010</v>
      </c>
      <c r="D128" s="293" t="s">
        <v>10489</v>
      </c>
      <c r="E128" s="293" t="s">
        <v>5634</v>
      </c>
      <c r="F128" s="293" t="s">
        <v>10490</v>
      </c>
      <c r="G128" s="293" t="s">
        <v>5088</v>
      </c>
      <c r="H128" s="293" t="s">
        <v>8087</v>
      </c>
      <c r="I128" s="293" t="s">
        <v>8006</v>
      </c>
      <c r="J128" s="293" t="s">
        <v>5088</v>
      </c>
      <c r="K128" s="293" t="s">
        <v>10491</v>
      </c>
      <c r="L128" s="294">
        <v>43677</v>
      </c>
      <c r="M128" s="295">
        <v>221527.78</v>
      </c>
    </row>
    <row r="129" spans="1:13" x14ac:dyDescent="0.2">
      <c r="A129" s="293" t="s">
        <v>10403</v>
      </c>
      <c r="B129" s="293" t="s">
        <v>10501</v>
      </c>
      <c r="C129" s="293" t="s">
        <v>5666</v>
      </c>
      <c r="D129" s="293" t="s">
        <v>10502</v>
      </c>
      <c r="E129" s="293" t="s">
        <v>5634</v>
      </c>
      <c r="F129" s="293" t="s">
        <v>10503</v>
      </c>
      <c r="G129" s="293" t="s">
        <v>5088</v>
      </c>
      <c r="H129" s="293" t="s">
        <v>8131</v>
      </c>
      <c r="I129" s="293" t="s">
        <v>8006</v>
      </c>
      <c r="J129" s="293" t="s">
        <v>5088</v>
      </c>
      <c r="K129" s="293" t="s">
        <v>10491</v>
      </c>
      <c r="L129" s="294">
        <v>43708</v>
      </c>
      <c r="M129" s="295">
        <v>830729.17</v>
      </c>
    </row>
    <row r="130" spans="1:13" x14ac:dyDescent="0.2">
      <c r="A130" s="293" t="s">
        <v>10403</v>
      </c>
      <c r="B130" s="293" t="s">
        <v>10511</v>
      </c>
      <c r="C130" s="293" t="s">
        <v>5666</v>
      </c>
      <c r="D130" s="293" t="s">
        <v>10502</v>
      </c>
      <c r="E130" s="293" t="s">
        <v>5634</v>
      </c>
      <c r="F130" s="293" t="s">
        <v>10503</v>
      </c>
      <c r="G130" s="293" t="s">
        <v>5088</v>
      </c>
      <c r="H130" s="293" t="s">
        <v>8158</v>
      </c>
      <c r="I130" s="293" t="s">
        <v>8006</v>
      </c>
      <c r="J130" s="293" t="s">
        <v>5088</v>
      </c>
      <c r="K130" s="293" t="s">
        <v>10491</v>
      </c>
      <c r="L130" s="294">
        <v>43738</v>
      </c>
      <c r="M130" s="295">
        <v>830729.17</v>
      </c>
    </row>
    <row r="131" spans="1:13" x14ac:dyDescent="0.2">
      <c r="A131" s="293" t="s">
        <v>10403</v>
      </c>
      <c r="B131" s="293" t="s">
        <v>10521</v>
      </c>
      <c r="C131" s="293" t="s">
        <v>5666</v>
      </c>
      <c r="D131" s="293" t="s">
        <v>10502</v>
      </c>
      <c r="E131" s="293" t="s">
        <v>5634</v>
      </c>
      <c r="F131" s="293" t="s">
        <v>10503</v>
      </c>
      <c r="G131" s="293" t="s">
        <v>5088</v>
      </c>
      <c r="H131" s="293" t="s">
        <v>8171</v>
      </c>
      <c r="I131" s="293" t="s">
        <v>8006</v>
      </c>
      <c r="J131" s="293" t="s">
        <v>5088</v>
      </c>
      <c r="K131" s="293" t="s">
        <v>10491</v>
      </c>
      <c r="L131" s="294">
        <v>43769</v>
      </c>
      <c r="M131" s="295">
        <v>830729.17</v>
      </c>
    </row>
    <row r="132" spans="1:13" x14ac:dyDescent="0.2">
      <c r="A132" s="293" t="s">
        <v>10403</v>
      </c>
      <c r="B132" s="293" t="s">
        <v>10531</v>
      </c>
      <c r="C132" s="293" t="s">
        <v>5666</v>
      </c>
      <c r="D132" s="293" t="s">
        <v>10502</v>
      </c>
      <c r="E132" s="293" t="s">
        <v>5634</v>
      </c>
      <c r="F132" s="293" t="s">
        <v>10503</v>
      </c>
      <c r="G132" s="293" t="s">
        <v>5088</v>
      </c>
      <c r="H132" s="293" t="s">
        <v>8188</v>
      </c>
      <c r="I132" s="293" t="s">
        <v>8006</v>
      </c>
      <c r="J132" s="293" t="s">
        <v>5088</v>
      </c>
      <c r="K132" s="293" t="s">
        <v>10491</v>
      </c>
      <c r="L132" s="294">
        <v>43799</v>
      </c>
      <c r="M132" s="295">
        <v>830729.17</v>
      </c>
    </row>
    <row r="133" spans="1:13" x14ac:dyDescent="0.2">
      <c r="A133" s="293" t="s">
        <v>10403</v>
      </c>
      <c r="B133" s="293" t="s">
        <v>10541</v>
      </c>
      <c r="C133" s="293" t="s">
        <v>5666</v>
      </c>
      <c r="D133" s="293" t="s">
        <v>10502</v>
      </c>
      <c r="E133" s="293" t="s">
        <v>5634</v>
      </c>
      <c r="F133" s="293" t="s">
        <v>10503</v>
      </c>
      <c r="G133" s="293" t="s">
        <v>5088</v>
      </c>
      <c r="H133" s="293" t="s">
        <v>8204</v>
      </c>
      <c r="I133" s="293" t="s">
        <v>8006</v>
      </c>
      <c r="J133" s="293" t="s">
        <v>5088</v>
      </c>
      <c r="K133" s="293" t="s">
        <v>10491</v>
      </c>
      <c r="L133" s="294">
        <v>43830</v>
      </c>
      <c r="M133" s="296">
        <v>830729.17</v>
      </c>
    </row>
    <row r="134" spans="1:13" x14ac:dyDescent="0.2">
      <c r="L134" s="255" t="s">
        <v>5739</v>
      </c>
      <c r="M134" s="297">
        <f>SUM(M128:M133)</f>
        <v>4375173.63</v>
      </c>
    </row>
    <row r="137" spans="1:13" x14ac:dyDescent="0.2">
      <c r="L137" s="60" t="s">
        <v>5737</v>
      </c>
      <c r="M137" s="295">
        <f>+M14+M28+M42+M56+M70+M84+M98+M112+M126+M134</f>
        <v>110723610.99000001</v>
      </c>
    </row>
  </sheetData>
  <pageMargins left="0.7" right="0.7" top="0.75" bottom="0.75" header="0.3" footer="0.3"/>
  <customProperties>
    <customPr name="_pios_id" r:id="rId1"/>
    <customPr name="EpmWorksheetKeyString_GUID" r:id="rId2"/>
  </customProperties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FF00"/>
  </sheetPr>
  <dimension ref="A1:M1574"/>
  <sheetViews>
    <sheetView workbookViewId="0">
      <selection sqref="A1:XFD1048576"/>
    </sheetView>
  </sheetViews>
  <sheetFormatPr defaultRowHeight="12.75" x14ac:dyDescent="0.2"/>
  <cols>
    <col min="1" max="1" width="11.7109375" bestFit="1" customWidth="1"/>
    <col min="3" max="3" width="13.7109375" bestFit="1" customWidth="1"/>
    <col min="4" max="4" width="8" bestFit="1" customWidth="1"/>
    <col min="5" max="5" width="49.7109375" bestFit="1" customWidth="1"/>
    <col min="6" max="6" width="10.85546875" bestFit="1" customWidth="1"/>
    <col min="7" max="7" width="8.28515625" bestFit="1" customWidth="1"/>
    <col min="8" max="8" width="10.28515625" bestFit="1" customWidth="1"/>
    <col min="9" max="9" width="17.85546875" style="284" bestFit="1" customWidth="1"/>
    <col min="11" max="11" width="26.85546875" bestFit="1" customWidth="1"/>
    <col min="12" max="12" width="11.28515625" customWidth="1"/>
    <col min="13" max="13" width="13.5703125" bestFit="1" customWidth="1"/>
  </cols>
  <sheetData>
    <row r="1" spans="1:13" x14ac:dyDescent="0.2">
      <c r="A1" s="292" t="s">
        <v>5764</v>
      </c>
      <c r="B1" s="292" t="s">
        <v>5765</v>
      </c>
      <c r="C1" s="292" t="s">
        <v>5766</v>
      </c>
      <c r="D1" s="292" t="s">
        <v>5767</v>
      </c>
      <c r="E1" s="292" t="s">
        <v>5768</v>
      </c>
      <c r="F1" s="292" t="s">
        <v>5769</v>
      </c>
      <c r="G1" s="292" t="s">
        <v>5770</v>
      </c>
      <c r="H1" s="249" t="s">
        <v>5771</v>
      </c>
      <c r="I1" s="249" t="s">
        <v>6429</v>
      </c>
    </row>
    <row r="2" spans="1:13" x14ac:dyDescent="0.2">
      <c r="A2" s="293" t="s">
        <v>5772</v>
      </c>
      <c r="B2" s="293" t="s">
        <v>5632</v>
      </c>
      <c r="C2" s="293" t="s">
        <v>5773</v>
      </c>
      <c r="D2" s="293" t="s">
        <v>5774</v>
      </c>
      <c r="E2" s="293" t="s">
        <v>5775</v>
      </c>
      <c r="F2" s="293" t="s">
        <v>5776</v>
      </c>
      <c r="G2" s="293" t="s">
        <v>5637</v>
      </c>
      <c r="H2" s="294">
        <v>40543</v>
      </c>
      <c r="I2" s="295">
        <v>1922955.15</v>
      </c>
    </row>
    <row r="3" spans="1:13" x14ac:dyDescent="0.2">
      <c r="A3" s="293" t="s">
        <v>5777</v>
      </c>
      <c r="B3" s="293" t="s">
        <v>5632</v>
      </c>
      <c r="C3" s="293" t="s">
        <v>5773</v>
      </c>
      <c r="D3" s="293" t="s">
        <v>5774</v>
      </c>
      <c r="E3" s="293" t="s">
        <v>5775</v>
      </c>
      <c r="F3" s="293" t="s">
        <v>5776</v>
      </c>
      <c r="G3" s="293" t="s">
        <v>5637</v>
      </c>
      <c r="H3" s="294">
        <v>40543</v>
      </c>
      <c r="I3" s="295">
        <v>1922955.15</v>
      </c>
    </row>
    <row r="4" spans="1:13" x14ac:dyDescent="0.2">
      <c r="A4" s="293" t="s">
        <v>5778</v>
      </c>
      <c r="B4" s="293" t="s">
        <v>5632</v>
      </c>
      <c r="C4" s="293" t="s">
        <v>5773</v>
      </c>
      <c r="D4" s="293" t="s">
        <v>5774</v>
      </c>
      <c r="E4" s="293" t="s">
        <v>5775</v>
      </c>
      <c r="F4" s="293" t="s">
        <v>5776</v>
      </c>
      <c r="G4" s="293" t="s">
        <v>5637</v>
      </c>
      <c r="H4" s="294">
        <v>40543</v>
      </c>
      <c r="I4" s="295">
        <v>-1922955.15</v>
      </c>
    </row>
    <row r="5" spans="1:13" x14ac:dyDescent="0.2">
      <c r="A5" s="293" t="s">
        <v>5779</v>
      </c>
      <c r="B5" s="293" t="s">
        <v>5632</v>
      </c>
      <c r="C5" s="293" t="s">
        <v>5780</v>
      </c>
      <c r="D5" s="293" t="s">
        <v>5774</v>
      </c>
      <c r="E5" s="293" t="s">
        <v>5781</v>
      </c>
      <c r="F5" s="293" t="s">
        <v>5636</v>
      </c>
      <c r="G5" s="293" t="s">
        <v>5637</v>
      </c>
      <c r="H5" s="294">
        <v>40574</v>
      </c>
      <c r="I5" s="295">
        <v>-21728.31</v>
      </c>
    </row>
    <row r="6" spans="1:13" x14ac:dyDescent="0.2">
      <c r="A6" s="293" t="s">
        <v>5782</v>
      </c>
      <c r="B6" s="293" t="s">
        <v>5632</v>
      </c>
      <c r="C6" s="293" t="s">
        <v>5783</v>
      </c>
      <c r="D6" s="293" t="s">
        <v>5774</v>
      </c>
      <c r="E6" s="293" t="s">
        <v>5781</v>
      </c>
      <c r="F6" s="293" t="s">
        <v>5636</v>
      </c>
      <c r="G6" s="293" t="s">
        <v>5637</v>
      </c>
      <c r="H6" s="294">
        <v>40602</v>
      </c>
      <c r="I6" s="295">
        <v>-21728.31</v>
      </c>
    </row>
    <row r="7" spans="1:13" x14ac:dyDescent="0.2">
      <c r="A7" s="293" t="s">
        <v>5784</v>
      </c>
      <c r="B7" s="293" t="s">
        <v>5632</v>
      </c>
      <c r="C7" s="293" t="s">
        <v>5785</v>
      </c>
      <c r="D7" s="293" t="s">
        <v>5774</v>
      </c>
      <c r="E7" s="293" t="s">
        <v>5781</v>
      </c>
      <c r="F7" s="293" t="s">
        <v>5636</v>
      </c>
      <c r="G7" s="293" t="s">
        <v>5637</v>
      </c>
      <c r="H7" s="294">
        <v>40633</v>
      </c>
      <c r="I7" s="295">
        <v>-21728.31</v>
      </c>
    </row>
    <row r="8" spans="1:13" x14ac:dyDescent="0.2">
      <c r="A8" s="293" t="s">
        <v>5786</v>
      </c>
      <c r="B8" s="293" t="s">
        <v>5632</v>
      </c>
      <c r="C8" s="293" t="s">
        <v>5787</v>
      </c>
      <c r="D8" s="293" t="s">
        <v>5774</v>
      </c>
      <c r="E8" s="293" t="s">
        <v>5781</v>
      </c>
      <c r="F8" s="293" t="s">
        <v>5636</v>
      </c>
      <c r="G8" s="293" t="s">
        <v>5637</v>
      </c>
      <c r="H8" s="294">
        <v>40663</v>
      </c>
      <c r="I8" s="295">
        <v>-21728.31</v>
      </c>
    </row>
    <row r="9" spans="1:13" x14ac:dyDescent="0.2">
      <c r="A9" s="293" t="s">
        <v>5788</v>
      </c>
      <c r="B9" s="293" t="s">
        <v>5632</v>
      </c>
      <c r="C9" s="293" t="s">
        <v>5789</v>
      </c>
      <c r="D9" s="293" t="s">
        <v>5774</v>
      </c>
      <c r="E9" s="293" t="s">
        <v>5781</v>
      </c>
      <c r="F9" s="293" t="s">
        <v>5636</v>
      </c>
      <c r="G9" s="293" t="s">
        <v>5637</v>
      </c>
      <c r="H9" s="294">
        <v>40694</v>
      </c>
      <c r="I9" s="295">
        <v>-21728.31</v>
      </c>
    </row>
    <row r="10" spans="1:13" x14ac:dyDescent="0.2">
      <c r="A10" s="293" t="s">
        <v>5790</v>
      </c>
      <c r="B10" s="293" t="s">
        <v>5632</v>
      </c>
      <c r="C10" s="293" t="s">
        <v>5791</v>
      </c>
      <c r="D10" s="293" t="s">
        <v>5774</v>
      </c>
      <c r="E10" s="293" t="s">
        <v>5781</v>
      </c>
      <c r="F10" s="293" t="s">
        <v>5636</v>
      </c>
      <c r="G10" s="293" t="s">
        <v>5637</v>
      </c>
      <c r="H10" s="294">
        <v>40724</v>
      </c>
      <c r="I10" s="295">
        <v>-21728.31</v>
      </c>
    </row>
    <row r="11" spans="1:13" x14ac:dyDescent="0.2">
      <c r="A11" s="293" t="s">
        <v>5792</v>
      </c>
      <c r="B11" s="293" t="s">
        <v>5632</v>
      </c>
      <c r="C11" s="293" t="s">
        <v>5793</v>
      </c>
      <c r="D11" s="293" t="s">
        <v>5774</v>
      </c>
      <c r="E11" s="293" t="s">
        <v>5781</v>
      </c>
      <c r="F11" s="293" t="s">
        <v>5636</v>
      </c>
      <c r="G11" s="293" t="s">
        <v>5637</v>
      </c>
      <c r="H11" s="294">
        <v>40755</v>
      </c>
      <c r="I11" s="295">
        <v>-21728.31</v>
      </c>
      <c r="K11" s="285" t="s">
        <v>9904</v>
      </c>
    </row>
    <row r="12" spans="1:13" x14ac:dyDescent="0.2">
      <c r="A12" s="293" t="s">
        <v>5794</v>
      </c>
      <c r="B12" s="293" t="s">
        <v>5632</v>
      </c>
      <c r="C12" s="293" t="s">
        <v>5795</v>
      </c>
      <c r="D12" s="293" t="s">
        <v>5774</v>
      </c>
      <c r="E12" s="293" t="s">
        <v>5781</v>
      </c>
      <c r="F12" s="293" t="s">
        <v>5636</v>
      </c>
      <c r="G12" s="293" t="s">
        <v>5637</v>
      </c>
      <c r="H12" s="294">
        <v>40786</v>
      </c>
      <c r="I12" s="295">
        <v>-21728.31</v>
      </c>
      <c r="K12" s="285" t="s">
        <v>5767</v>
      </c>
      <c r="L12" s="285" t="s">
        <v>5770</v>
      </c>
      <c r="M12" t="s">
        <v>3622</v>
      </c>
    </row>
    <row r="13" spans="1:13" x14ac:dyDescent="0.2">
      <c r="A13" s="293" t="s">
        <v>5796</v>
      </c>
      <c r="B13" s="293" t="s">
        <v>5632</v>
      </c>
      <c r="C13" s="293" t="s">
        <v>5797</v>
      </c>
      <c r="D13" s="293" t="s">
        <v>5774</v>
      </c>
      <c r="E13" s="293" t="s">
        <v>5781</v>
      </c>
      <c r="F13" s="293" t="s">
        <v>5636</v>
      </c>
      <c r="G13" s="293" t="s">
        <v>5637</v>
      </c>
      <c r="H13" s="294">
        <v>40816</v>
      </c>
      <c r="I13" s="295">
        <v>-21728.31</v>
      </c>
      <c r="K13" t="s">
        <v>5774</v>
      </c>
      <c r="L13" t="s">
        <v>5637</v>
      </c>
      <c r="M13" s="46">
        <v>9.9999999074498191E-2</v>
      </c>
    </row>
    <row r="14" spans="1:13" x14ac:dyDescent="0.2">
      <c r="A14" s="293" t="s">
        <v>5798</v>
      </c>
      <c r="B14" s="293" t="s">
        <v>5632</v>
      </c>
      <c r="C14" s="293" t="s">
        <v>5799</v>
      </c>
      <c r="D14" s="293" t="s">
        <v>5774</v>
      </c>
      <c r="E14" s="293" t="s">
        <v>5781</v>
      </c>
      <c r="F14" s="293" t="s">
        <v>5636</v>
      </c>
      <c r="G14" s="293" t="s">
        <v>5637</v>
      </c>
      <c r="H14" s="294">
        <v>40847</v>
      </c>
      <c r="I14" s="295">
        <v>-21728.31</v>
      </c>
      <c r="L14" t="s">
        <v>5591</v>
      </c>
      <c r="M14" s="46">
        <v>143411.63000000056</v>
      </c>
    </row>
    <row r="15" spans="1:13" x14ac:dyDescent="0.2">
      <c r="A15" s="293" t="s">
        <v>5800</v>
      </c>
      <c r="B15" s="293" t="s">
        <v>5632</v>
      </c>
      <c r="C15" s="293" t="s">
        <v>5801</v>
      </c>
      <c r="D15" s="293" t="s">
        <v>5774</v>
      </c>
      <c r="E15" s="293" t="s">
        <v>5781</v>
      </c>
      <c r="F15" s="293" t="s">
        <v>5636</v>
      </c>
      <c r="G15" s="293" t="s">
        <v>5637</v>
      </c>
      <c r="H15" s="294">
        <v>40877</v>
      </c>
      <c r="I15" s="295">
        <v>-21728.31</v>
      </c>
      <c r="L15" t="s">
        <v>5589</v>
      </c>
      <c r="M15" s="46">
        <v>1726663.0599999984</v>
      </c>
    </row>
    <row r="16" spans="1:13" x14ac:dyDescent="0.2">
      <c r="A16" s="293" t="s">
        <v>5802</v>
      </c>
      <c r="B16" s="293" t="s">
        <v>5632</v>
      </c>
      <c r="C16" s="293" t="s">
        <v>5803</v>
      </c>
      <c r="D16" s="293" t="s">
        <v>5774</v>
      </c>
      <c r="E16" s="293" t="s">
        <v>5781</v>
      </c>
      <c r="F16" s="293" t="s">
        <v>5636</v>
      </c>
      <c r="G16" s="293" t="s">
        <v>5637</v>
      </c>
      <c r="H16" s="294">
        <v>40908</v>
      </c>
      <c r="I16" s="295">
        <v>-21728.31</v>
      </c>
      <c r="L16" t="s">
        <v>5754</v>
      </c>
      <c r="M16" s="46">
        <v>84539.669999999795</v>
      </c>
    </row>
    <row r="17" spans="1:13" x14ac:dyDescent="0.2">
      <c r="A17" s="293" t="s">
        <v>5631</v>
      </c>
      <c r="B17" s="293" t="s">
        <v>5632</v>
      </c>
      <c r="C17" s="293" t="s">
        <v>5633</v>
      </c>
      <c r="D17" s="293" t="s">
        <v>5774</v>
      </c>
      <c r="E17" s="293" t="s">
        <v>5781</v>
      </c>
      <c r="F17" s="293" t="s">
        <v>5636</v>
      </c>
      <c r="G17" s="293" t="s">
        <v>5637</v>
      </c>
      <c r="H17" s="294">
        <v>40939</v>
      </c>
      <c r="I17" s="295">
        <v>-21728.31</v>
      </c>
      <c r="L17" t="s">
        <v>5755</v>
      </c>
      <c r="M17" s="46">
        <v>-1171142.1300000011</v>
      </c>
    </row>
    <row r="18" spans="1:13" x14ac:dyDescent="0.2">
      <c r="A18" s="293" t="s">
        <v>5651</v>
      </c>
      <c r="B18" s="293" t="s">
        <v>5632</v>
      </c>
      <c r="C18" s="293" t="s">
        <v>5652</v>
      </c>
      <c r="D18" s="293" t="s">
        <v>5774</v>
      </c>
      <c r="E18" s="293" t="s">
        <v>5781</v>
      </c>
      <c r="F18" s="293" t="s">
        <v>5653</v>
      </c>
      <c r="G18" s="293" t="s">
        <v>5637</v>
      </c>
      <c r="H18" s="294">
        <v>40968</v>
      </c>
      <c r="I18" s="295">
        <v>-21728.31</v>
      </c>
      <c r="K18" t="s">
        <v>5855</v>
      </c>
      <c r="M18" s="46">
        <v>783472.32999999681</v>
      </c>
    </row>
    <row r="19" spans="1:13" x14ac:dyDescent="0.2">
      <c r="A19" s="293" t="s">
        <v>5804</v>
      </c>
      <c r="B19" s="293" t="s">
        <v>5632</v>
      </c>
      <c r="C19" s="293" t="s">
        <v>5656</v>
      </c>
      <c r="D19" s="293" t="s">
        <v>5774</v>
      </c>
      <c r="E19" s="293" t="s">
        <v>5781</v>
      </c>
      <c r="F19" s="293" t="s">
        <v>5657</v>
      </c>
      <c r="G19" s="293" t="s">
        <v>5637</v>
      </c>
      <c r="H19" s="294">
        <v>40999</v>
      </c>
      <c r="I19" s="295">
        <v>-21728.31</v>
      </c>
      <c r="K19" t="s">
        <v>5839</v>
      </c>
      <c r="L19" t="s">
        <v>5637</v>
      </c>
      <c r="M19" s="46">
        <v>2.0000000229629222E-2</v>
      </c>
    </row>
    <row r="20" spans="1:13" x14ac:dyDescent="0.2">
      <c r="A20" s="293" t="s">
        <v>5805</v>
      </c>
      <c r="B20" s="293" t="s">
        <v>5632</v>
      </c>
      <c r="C20" s="293" t="s">
        <v>5659</v>
      </c>
      <c r="D20" s="293" t="s">
        <v>5774</v>
      </c>
      <c r="E20" s="293" t="s">
        <v>5781</v>
      </c>
      <c r="F20" s="293" t="s">
        <v>5660</v>
      </c>
      <c r="G20" s="293" t="s">
        <v>5637</v>
      </c>
      <c r="H20" s="294">
        <v>41029</v>
      </c>
      <c r="I20" s="295">
        <v>186551.59</v>
      </c>
      <c r="L20" t="s">
        <v>5591</v>
      </c>
      <c r="M20" s="46">
        <v>0.87999999981047949</v>
      </c>
    </row>
    <row r="21" spans="1:13" x14ac:dyDescent="0.2">
      <c r="A21" s="293" t="s">
        <v>5661</v>
      </c>
      <c r="B21" s="293" t="s">
        <v>5632</v>
      </c>
      <c r="C21" s="293" t="s">
        <v>5662</v>
      </c>
      <c r="D21" s="293" t="s">
        <v>5774</v>
      </c>
      <c r="E21" s="293" t="s">
        <v>5781</v>
      </c>
      <c r="F21" s="293" t="s">
        <v>5663</v>
      </c>
      <c r="G21" s="293" t="s">
        <v>5637</v>
      </c>
      <c r="H21" s="294">
        <v>41060</v>
      </c>
      <c r="I21" s="295">
        <v>1963360.42</v>
      </c>
      <c r="L21" t="s">
        <v>5589</v>
      </c>
      <c r="M21" s="46">
        <v>272535.39000000089</v>
      </c>
    </row>
    <row r="22" spans="1:13" x14ac:dyDescent="0.2">
      <c r="A22" s="293" t="s">
        <v>5806</v>
      </c>
      <c r="B22" s="293" t="s">
        <v>5666</v>
      </c>
      <c r="C22" s="293" t="s">
        <v>5807</v>
      </c>
      <c r="D22" s="293" t="s">
        <v>5774</v>
      </c>
      <c r="E22" s="293" t="s">
        <v>5088</v>
      </c>
      <c r="F22" s="293" t="s">
        <v>5668</v>
      </c>
      <c r="G22" s="293" t="s">
        <v>5591</v>
      </c>
      <c r="H22" s="294">
        <v>41113</v>
      </c>
      <c r="I22" s="295">
        <v>-21728.31</v>
      </c>
      <c r="L22" t="s">
        <v>5754</v>
      </c>
      <c r="M22" s="46">
        <v>13397.380000000048</v>
      </c>
    </row>
    <row r="23" spans="1:13" x14ac:dyDescent="0.2">
      <c r="A23" s="293" t="s">
        <v>5806</v>
      </c>
      <c r="B23" s="293" t="s">
        <v>5666</v>
      </c>
      <c r="C23" s="293" t="s">
        <v>5807</v>
      </c>
      <c r="D23" s="293" t="s">
        <v>5774</v>
      </c>
      <c r="E23" s="293" t="s">
        <v>5088</v>
      </c>
      <c r="F23" s="293" t="s">
        <v>5668</v>
      </c>
      <c r="G23" s="293" t="s">
        <v>5589</v>
      </c>
      <c r="H23" s="294">
        <v>41113</v>
      </c>
      <c r="I23" s="295">
        <v>-6092.69</v>
      </c>
      <c r="L23" t="s">
        <v>5755</v>
      </c>
      <c r="M23" s="46">
        <v>-185967.69999999946</v>
      </c>
    </row>
    <row r="24" spans="1:13" x14ac:dyDescent="0.2">
      <c r="A24" s="293" t="s">
        <v>5808</v>
      </c>
      <c r="B24" s="293" t="s">
        <v>5632</v>
      </c>
      <c r="C24" s="293" t="s">
        <v>5670</v>
      </c>
      <c r="D24" s="293" t="s">
        <v>5774</v>
      </c>
      <c r="E24" s="293" t="s">
        <v>5781</v>
      </c>
      <c r="F24" s="293" t="s">
        <v>5671</v>
      </c>
      <c r="G24" s="293" t="s">
        <v>5637</v>
      </c>
      <c r="H24" s="294">
        <v>41090</v>
      </c>
      <c r="I24" s="295">
        <v>-27821</v>
      </c>
      <c r="K24" t="s">
        <v>5856</v>
      </c>
      <c r="M24" s="46">
        <v>99965.970000001515</v>
      </c>
    </row>
    <row r="25" spans="1:13" x14ac:dyDescent="0.2">
      <c r="A25" s="293" t="s">
        <v>5809</v>
      </c>
      <c r="B25" s="293" t="s">
        <v>5632</v>
      </c>
      <c r="C25" s="293" t="s">
        <v>5670</v>
      </c>
      <c r="D25" s="293" t="s">
        <v>5774</v>
      </c>
      <c r="E25" s="293" t="s">
        <v>5781</v>
      </c>
      <c r="F25" s="293" t="s">
        <v>5671</v>
      </c>
      <c r="G25" s="293" t="s">
        <v>5637</v>
      </c>
      <c r="H25" s="294">
        <v>41090</v>
      </c>
      <c r="I25" s="295">
        <v>27821</v>
      </c>
      <c r="K25" t="s">
        <v>5843</v>
      </c>
      <c r="L25" t="s">
        <v>5637</v>
      </c>
      <c r="M25" s="46">
        <v>9.3132257461547852E-10</v>
      </c>
    </row>
    <row r="26" spans="1:13" x14ac:dyDescent="0.2">
      <c r="A26" s="293" t="s">
        <v>5810</v>
      </c>
      <c r="B26" s="293" t="s">
        <v>5632</v>
      </c>
      <c r="C26" s="293" t="s">
        <v>5670</v>
      </c>
      <c r="D26" s="293" t="s">
        <v>5774</v>
      </c>
      <c r="E26" s="293" t="s">
        <v>5781</v>
      </c>
      <c r="F26" s="293" t="s">
        <v>5671</v>
      </c>
      <c r="G26" s="293" t="s">
        <v>5637</v>
      </c>
      <c r="H26" s="294">
        <v>41090</v>
      </c>
      <c r="I26" s="295">
        <v>-27821</v>
      </c>
      <c r="L26" t="s">
        <v>5591</v>
      </c>
      <c r="M26" s="46">
        <v>5.2241375669836998E-9</v>
      </c>
    </row>
    <row r="27" spans="1:13" x14ac:dyDescent="0.2">
      <c r="A27" s="293" t="s">
        <v>5811</v>
      </c>
      <c r="B27" s="293" t="s">
        <v>5666</v>
      </c>
      <c r="C27" s="293" t="s">
        <v>5812</v>
      </c>
      <c r="D27" s="293" t="s">
        <v>5774</v>
      </c>
      <c r="E27" s="293" t="s">
        <v>5813</v>
      </c>
      <c r="F27" s="293" t="s">
        <v>5814</v>
      </c>
      <c r="G27" s="293" t="s">
        <v>5589</v>
      </c>
      <c r="H27" s="294">
        <v>41152</v>
      </c>
      <c r="I27" s="295">
        <v>-6092.69</v>
      </c>
      <c r="L27" t="s">
        <v>5589</v>
      </c>
      <c r="M27" s="46">
        <v>4955204.4699999942</v>
      </c>
    </row>
    <row r="28" spans="1:13" x14ac:dyDescent="0.2">
      <c r="A28" s="293" t="s">
        <v>5815</v>
      </c>
      <c r="B28" s="293" t="s">
        <v>5666</v>
      </c>
      <c r="C28" s="293" t="s">
        <v>5816</v>
      </c>
      <c r="D28" s="293" t="s">
        <v>5774</v>
      </c>
      <c r="E28" s="293" t="s">
        <v>5817</v>
      </c>
      <c r="F28" s="293" t="s">
        <v>5814</v>
      </c>
      <c r="G28" s="293" t="s">
        <v>5591</v>
      </c>
      <c r="H28" s="294">
        <v>41152</v>
      </c>
      <c r="I28" s="295">
        <v>-21728.31</v>
      </c>
      <c r="L28" t="s">
        <v>5754</v>
      </c>
      <c r="M28" s="46">
        <v>243586.39999999927</v>
      </c>
    </row>
    <row r="29" spans="1:13" x14ac:dyDescent="0.2">
      <c r="A29" s="293" t="s">
        <v>5818</v>
      </c>
      <c r="B29" s="293" t="s">
        <v>5666</v>
      </c>
      <c r="C29" s="293" t="s">
        <v>5812</v>
      </c>
      <c r="D29" s="293" t="s">
        <v>5774</v>
      </c>
      <c r="E29" s="293" t="s">
        <v>5813</v>
      </c>
      <c r="F29" s="293" t="s">
        <v>5819</v>
      </c>
      <c r="G29" s="293" t="s">
        <v>5589</v>
      </c>
      <c r="H29" s="294">
        <v>41182</v>
      </c>
      <c r="I29" s="295">
        <v>-6092.69</v>
      </c>
      <c r="L29" t="s">
        <v>5755</v>
      </c>
      <c r="M29" s="46">
        <v>-3381230</v>
      </c>
    </row>
    <row r="30" spans="1:13" x14ac:dyDescent="0.2">
      <c r="A30" s="293" t="s">
        <v>5820</v>
      </c>
      <c r="B30" s="293" t="s">
        <v>5666</v>
      </c>
      <c r="C30" s="293" t="s">
        <v>5816</v>
      </c>
      <c r="D30" s="293" t="s">
        <v>5774</v>
      </c>
      <c r="E30" s="293" t="s">
        <v>5817</v>
      </c>
      <c r="F30" s="293" t="s">
        <v>5819</v>
      </c>
      <c r="G30" s="293" t="s">
        <v>5591</v>
      </c>
      <c r="H30" s="294">
        <v>41182</v>
      </c>
      <c r="I30" s="295">
        <v>-21728.31</v>
      </c>
      <c r="K30" t="s">
        <v>5857</v>
      </c>
      <c r="M30" s="46">
        <v>1817560.87</v>
      </c>
    </row>
    <row r="31" spans="1:13" x14ac:dyDescent="0.2">
      <c r="A31" s="293" t="s">
        <v>5821</v>
      </c>
      <c r="B31" s="293" t="s">
        <v>5666</v>
      </c>
      <c r="C31" s="293" t="s">
        <v>5812</v>
      </c>
      <c r="D31" s="293" t="s">
        <v>5774</v>
      </c>
      <c r="E31" s="293" t="s">
        <v>5813</v>
      </c>
      <c r="F31" s="293" t="s">
        <v>5822</v>
      </c>
      <c r="G31" s="293" t="s">
        <v>5589</v>
      </c>
      <c r="H31" s="294">
        <v>41213</v>
      </c>
      <c r="I31" s="295">
        <v>-6092.69</v>
      </c>
      <c r="K31" t="s">
        <v>5850</v>
      </c>
      <c r="L31" t="s">
        <v>5637</v>
      </c>
      <c r="M31" s="46">
        <v>-0.12000000000261934</v>
      </c>
    </row>
    <row r="32" spans="1:13" x14ac:dyDescent="0.2">
      <c r="A32" s="293" t="s">
        <v>5823</v>
      </c>
      <c r="B32" s="293" t="s">
        <v>5666</v>
      </c>
      <c r="C32" s="293" t="s">
        <v>5816</v>
      </c>
      <c r="D32" s="293" t="s">
        <v>5774</v>
      </c>
      <c r="E32" s="293" t="s">
        <v>5817</v>
      </c>
      <c r="F32" s="293" t="s">
        <v>5822</v>
      </c>
      <c r="G32" s="293" t="s">
        <v>5591</v>
      </c>
      <c r="H32" s="294">
        <v>41213</v>
      </c>
      <c r="I32" s="295">
        <v>-21728.31</v>
      </c>
      <c r="L32" t="s">
        <v>5591</v>
      </c>
      <c r="M32" s="46">
        <v>-143412.50999999902</v>
      </c>
    </row>
    <row r="33" spans="1:13" x14ac:dyDescent="0.2">
      <c r="A33" s="293" t="s">
        <v>5824</v>
      </c>
      <c r="B33" s="293" t="s">
        <v>5825</v>
      </c>
      <c r="C33" s="293" t="s">
        <v>5812</v>
      </c>
      <c r="D33" s="293" t="s">
        <v>5774</v>
      </c>
      <c r="E33" s="293" t="s">
        <v>5813</v>
      </c>
      <c r="F33" s="293" t="s">
        <v>5822</v>
      </c>
      <c r="G33" s="293" t="s">
        <v>5589</v>
      </c>
      <c r="H33" s="294">
        <v>41213</v>
      </c>
      <c r="I33" s="295">
        <v>6092.69</v>
      </c>
      <c r="L33" t="s">
        <v>5589</v>
      </c>
      <c r="M33" s="46">
        <v>-1999198.4500000025</v>
      </c>
    </row>
    <row r="34" spans="1:13" x14ac:dyDescent="0.2">
      <c r="A34" s="293" t="s">
        <v>5826</v>
      </c>
      <c r="B34" s="293" t="s">
        <v>5825</v>
      </c>
      <c r="C34" s="293" t="s">
        <v>5816</v>
      </c>
      <c r="D34" s="293" t="s">
        <v>5774</v>
      </c>
      <c r="E34" s="293" t="s">
        <v>5817</v>
      </c>
      <c r="F34" s="293" t="s">
        <v>5822</v>
      </c>
      <c r="G34" s="293" t="s">
        <v>5591</v>
      </c>
      <c r="H34" s="294">
        <v>41213</v>
      </c>
      <c r="I34" s="295">
        <v>21728.31</v>
      </c>
      <c r="L34" t="s">
        <v>5754</v>
      </c>
      <c r="M34" s="46">
        <v>-97937.050000000439</v>
      </c>
    </row>
    <row r="35" spans="1:13" x14ac:dyDescent="0.2">
      <c r="A35" s="293" t="s">
        <v>5827</v>
      </c>
      <c r="B35" s="293" t="s">
        <v>5666</v>
      </c>
      <c r="C35" s="293" t="s">
        <v>5816</v>
      </c>
      <c r="D35" s="293" t="s">
        <v>5774</v>
      </c>
      <c r="E35" s="293" t="s">
        <v>5828</v>
      </c>
      <c r="F35" s="293" t="s">
        <v>5822</v>
      </c>
      <c r="G35" s="293" t="s">
        <v>5591</v>
      </c>
      <c r="H35" s="294">
        <v>41213</v>
      </c>
      <c r="I35" s="295">
        <v>-21728.31</v>
      </c>
      <c r="L35" t="s">
        <v>5755</v>
      </c>
      <c r="M35" s="46">
        <v>1357109.8300000022</v>
      </c>
    </row>
    <row r="36" spans="1:13" x14ac:dyDescent="0.2">
      <c r="A36" s="293" t="s">
        <v>5829</v>
      </c>
      <c r="B36" s="293" t="s">
        <v>5666</v>
      </c>
      <c r="C36" s="293" t="s">
        <v>5812</v>
      </c>
      <c r="D36" s="293" t="s">
        <v>5774</v>
      </c>
      <c r="E36" s="293" t="s">
        <v>5830</v>
      </c>
      <c r="F36" s="293" t="s">
        <v>5822</v>
      </c>
      <c r="G36" s="293" t="s">
        <v>5589</v>
      </c>
      <c r="H36" s="294">
        <v>41213</v>
      </c>
      <c r="I36" s="295">
        <v>-6092.69</v>
      </c>
      <c r="K36" t="s">
        <v>5858</v>
      </c>
      <c r="M36" s="46">
        <v>-883438.29999999958</v>
      </c>
    </row>
    <row r="37" spans="1:13" x14ac:dyDescent="0.2">
      <c r="A37" s="293" t="s">
        <v>5831</v>
      </c>
      <c r="B37" s="293" t="s">
        <v>5666</v>
      </c>
      <c r="C37" s="293" t="s">
        <v>5816</v>
      </c>
      <c r="D37" s="293" t="s">
        <v>5774</v>
      </c>
      <c r="E37" s="293" t="s">
        <v>5828</v>
      </c>
      <c r="F37" s="293" t="s">
        <v>5832</v>
      </c>
      <c r="G37" s="293" t="s">
        <v>5591</v>
      </c>
      <c r="H37" s="294">
        <v>41243</v>
      </c>
      <c r="I37" s="295">
        <v>-21728.31</v>
      </c>
      <c r="K37" t="s">
        <v>9905</v>
      </c>
      <c r="L37" t="s">
        <v>9905</v>
      </c>
      <c r="M37" s="46"/>
    </row>
    <row r="38" spans="1:13" x14ac:dyDescent="0.2">
      <c r="A38" s="293" t="s">
        <v>5833</v>
      </c>
      <c r="B38" s="293" t="s">
        <v>5666</v>
      </c>
      <c r="C38" s="293" t="s">
        <v>5812</v>
      </c>
      <c r="D38" s="293" t="s">
        <v>5774</v>
      </c>
      <c r="E38" s="293" t="s">
        <v>5830</v>
      </c>
      <c r="F38" s="293" t="s">
        <v>5832</v>
      </c>
      <c r="G38" s="293" t="s">
        <v>5589</v>
      </c>
      <c r="H38" s="294">
        <v>41243</v>
      </c>
      <c r="I38" s="295">
        <v>-6092.69</v>
      </c>
      <c r="K38" t="s">
        <v>9906</v>
      </c>
      <c r="M38" s="46"/>
    </row>
    <row r="39" spans="1:13" x14ac:dyDescent="0.2">
      <c r="A39" s="293" t="s">
        <v>5834</v>
      </c>
      <c r="B39" s="293" t="s">
        <v>5666</v>
      </c>
      <c r="C39" s="293" t="s">
        <v>5835</v>
      </c>
      <c r="D39" s="293" t="s">
        <v>5774</v>
      </c>
      <c r="E39" s="293" t="s">
        <v>5088</v>
      </c>
      <c r="F39" s="293" t="s">
        <v>5686</v>
      </c>
      <c r="G39" s="293" t="s">
        <v>5589</v>
      </c>
      <c r="H39" s="294">
        <v>41274</v>
      </c>
      <c r="I39" s="295">
        <v>2193368.63</v>
      </c>
      <c r="K39" t="s">
        <v>5737</v>
      </c>
      <c r="M39" s="46">
        <v>1817560.8699999982</v>
      </c>
    </row>
    <row r="40" spans="1:13" x14ac:dyDescent="0.2">
      <c r="A40" s="293" t="s">
        <v>5834</v>
      </c>
      <c r="B40" s="293" t="s">
        <v>5666</v>
      </c>
      <c r="C40" s="293" t="s">
        <v>5835</v>
      </c>
      <c r="D40" s="293" t="s">
        <v>5774</v>
      </c>
      <c r="E40" s="293" t="s">
        <v>5088</v>
      </c>
      <c r="F40" s="293" t="s">
        <v>5686</v>
      </c>
      <c r="G40" s="293" t="s">
        <v>5591</v>
      </c>
      <c r="H40" s="294">
        <v>41274</v>
      </c>
      <c r="I40" s="295">
        <v>1922955.15</v>
      </c>
    </row>
    <row r="41" spans="1:13" x14ac:dyDescent="0.2">
      <c r="A41" s="293" t="s">
        <v>5834</v>
      </c>
      <c r="B41" s="293" t="s">
        <v>5666</v>
      </c>
      <c r="C41" s="293" t="s">
        <v>5835</v>
      </c>
      <c r="D41" s="293" t="s">
        <v>5774</v>
      </c>
      <c r="E41" s="293" t="s">
        <v>5088</v>
      </c>
      <c r="F41" s="293" t="s">
        <v>5686</v>
      </c>
      <c r="G41" s="293" t="s">
        <v>5637</v>
      </c>
      <c r="H41" s="294">
        <v>41274</v>
      </c>
      <c r="I41" s="295">
        <v>397202.27</v>
      </c>
    </row>
    <row r="42" spans="1:13" x14ac:dyDescent="0.2">
      <c r="A42" s="293" t="s">
        <v>5834</v>
      </c>
      <c r="B42" s="293" t="s">
        <v>5666</v>
      </c>
      <c r="C42" s="293" t="s">
        <v>5835</v>
      </c>
      <c r="D42" s="293" t="s">
        <v>5774</v>
      </c>
      <c r="E42" s="293" t="s">
        <v>5088</v>
      </c>
      <c r="F42" s="293" t="s">
        <v>5686</v>
      </c>
      <c r="G42" s="293" t="s">
        <v>5589</v>
      </c>
      <c r="H42" s="294">
        <v>41274</v>
      </c>
      <c r="I42" s="295">
        <v>-6092.69</v>
      </c>
    </row>
    <row r="43" spans="1:13" x14ac:dyDescent="0.2">
      <c r="A43" s="293" t="s">
        <v>5834</v>
      </c>
      <c r="B43" s="293" t="s">
        <v>5666</v>
      </c>
      <c r="C43" s="293" t="s">
        <v>5835</v>
      </c>
      <c r="D43" s="293" t="s">
        <v>5774</v>
      </c>
      <c r="E43" s="293" t="s">
        <v>5088</v>
      </c>
      <c r="F43" s="293" t="s">
        <v>5686</v>
      </c>
      <c r="G43" s="293" t="s">
        <v>5591</v>
      </c>
      <c r="H43" s="294">
        <v>41274</v>
      </c>
      <c r="I43" s="295">
        <v>-391109.58</v>
      </c>
      <c r="K43" s="60" t="s">
        <v>10592</v>
      </c>
    </row>
    <row r="44" spans="1:13" x14ac:dyDescent="0.2">
      <c r="A44" s="293" t="s">
        <v>5834</v>
      </c>
      <c r="B44" s="293" t="s">
        <v>5666</v>
      </c>
      <c r="C44" s="293" t="s">
        <v>5835</v>
      </c>
      <c r="D44" s="293" t="s">
        <v>5774</v>
      </c>
      <c r="E44" s="293" t="s">
        <v>5088</v>
      </c>
      <c r="F44" s="293" t="s">
        <v>5686</v>
      </c>
      <c r="G44" s="293" t="s">
        <v>5637</v>
      </c>
      <c r="H44" s="294">
        <v>41274</v>
      </c>
      <c r="I44" s="295">
        <v>-4116323.78</v>
      </c>
    </row>
    <row r="45" spans="1:13" x14ac:dyDescent="0.2">
      <c r="A45" s="293" t="s">
        <v>5836</v>
      </c>
      <c r="B45" s="293" t="s">
        <v>5666</v>
      </c>
      <c r="C45" s="293" t="s">
        <v>5816</v>
      </c>
      <c r="D45" s="293" t="s">
        <v>5774</v>
      </c>
      <c r="E45" s="293" t="s">
        <v>5828</v>
      </c>
      <c r="F45" s="293" t="s">
        <v>5837</v>
      </c>
      <c r="G45" s="293" t="s">
        <v>5591</v>
      </c>
      <c r="H45" s="294">
        <v>41274</v>
      </c>
      <c r="I45" s="295">
        <v>-21728.31</v>
      </c>
    </row>
    <row r="46" spans="1:13" x14ac:dyDescent="0.2">
      <c r="A46" s="293" t="s">
        <v>5838</v>
      </c>
      <c r="B46" s="293" t="s">
        <v>5666</v>
      </c>
      <c r="C46" s="293" t="s">
        <v>5812</v>
      </c>
      <c r="D46" s="293" t="s">
        <v>5774</v>
      </c>
      <c r="E46" s="293" t="s">
        <v>5830</v>
      </c>
      <c r="F46" s="293" t="s">
        <v>5837</v>
      </c>
      <c r="G46" s="293" t="s">
        <v>5589</v>
      </c>
      <c r="H46" s="294">
        <v>41274</v>
      </c>
      <c r="I46" s="295">
        <v>-6092.69</v>
      </c>
    </row>
    <row r="47" spans="1:13" x14ac:dyDescent="0.2">
      <c r="A47" s="293" t="s">
        <v>9907</v>
      </c>
      <c r="B47" s="293" t="s">
        <v>5666</v>
      </c>
      <c r="C47" s="293" t="s">
        <v>5816</v>
      </c>
      <c r="D47" s="293" t="s">
        <v>5774</v>
      </c>
      <c r="E47" s="293" t="s">
        <v>5828</v>
      </c>
      <c r="F47" s="293" t="s">
        <v>6436</v>
      </c>
      <c r="G47" s="293" t="s">
        <v>5591</v>
      </c>
      <c r="H47" s="294">
        <v>41305</v>
      </c>
      <c r="I47" s="295">
        <v>-21728.31</v>
      </c>
    </row>
    <row r="48" spans="1:13" x14ac:dyDescent="0.2">
      <c r="A48" s="293" t="s">
        <v>9908</v>
      </c>
      <c r="B48" s="293" t="s">
        <v>5666</v>
      </c>
      <c r="C48" s="293" t="s">
        <v>5812</v>
      </c>
      <c r="D48" s="293" t="s">
        <v>5774</v>
      </c>
      <c r="E48" s="293" t="s">
        <v>5830</v>
      </c>
      <c r="F48" s="293" t="s">
        <v>6436</v>
      </c>
      <c r="G48" s="293" t="s">
        <v>5589</v>
      </c>
      <c r="H48" s="294">
        <v>41305</v>
      </c>
      <c r="I48" s="295">
        <v>-6092.69</v>
      </c>
    </row>
    <row r="49" spans="1:9" x14ac:dyDescent="0.2">
      <c r="A49" s="293" t="s">
        <v>9909</v>
      </c>
      <c r="B49" s="293" t="s">
        <v>5666</v>
      </c>
      <c r="C49" s="293" t="s">
        <v>5816</v>
      </c>
      <c r="D49" s="293" t="s">
        <v>5774</v>
      </c>
      <c r="E49" s="293" t="s">
        <v>5828</v>
      </c>
      <c r="F49" s="293" t="s">
        <v>6455</v>
      </c>
      <c r="G49" s="293" t="s">
        <v>5591</v>
      </c>
      <c r="H49" s="294">
        <v>41333</v>
      </c>
      <c r="I49" s="295">
        <v>-21728.31</v>
      </c>
    </row>
    <row r="50" spans="1:9" x14ac:dyDescent="0.2">
      <c r="A50" s="293" t="s">
        <v>7237</v>
      </c>
      <c r="B50" s="293" t="s">
        <v>5666</v>
      </c>
      <c r="C50" s="293" t="s">
        <v>5812</v>
      </c>
      <c r="D50" s="293" t="s">
        <v>5774</v>
      </c>
      <c r="E50" s="293" t="s">
        <v>5830</v>
      </c>
      <c r="F50" s="293" t="s">
        <v>6455</v>
      </c>
      <c r="G50" s="293" t="s">
        <v>5589</v>
      </c>
      <c r="H50" s="294">
        <v>41333</v>
      </c>
      <c r="I50" s="295">
        <v>-6092.69</v>
      </c>
    </row>
    <row r="51" spans="1:9" x14ac:dyDescent="0.2">
      <c r="A51" s="293" t="s">
        <v>9910</v>
      </c>
      <c r="B51" s="293" t="s">
        <v>5666</v>
      </c>
      <c r="C51" s="293" t="s">
        <v>5816</v>
      </c>
      <c r="D51" s="293" t="s">
        <v>5774</v>
      </c>
      <c r="E51" s="293" t="s">
        <v>5828</v>
      </c>
      <c r="F51" s="293" t="s">
        <v>6476</v>
      </c>
      <c r="G51" s="293" t="s">
        <v>5591</v>
      </c>
      <c r="H51" s="294">
        <v>41364</v>
      </c>
      <c r="I51" s="295">
        <v>-21728.31</v>
      </c>
    </row>
    <row r="52" spans="1:9" x14ac:dyDescent="0.2">
      <c r="A52" s="293" t="s">
        <v>9911</v>
      </c>
      <c r="B52" s="293" t="s">
        <v>5666</v>
      </c>
      <c r="C52" s="293" t="s">
        <v>5812</v>
      </c>
      <c r="D52" s="293" t="s">
        <v>5774</v>
      </c>
      <c r="E52" s="293" t="s">
        <v>5830</v>
      </c>
      <c r="F52" s="293" t="s">
        <v>6476</v>
      </c>
      <c r="G52" s="293" t="s">
        <v>5589</v>
      </c>
      <c r="H52" s="294">
        <v>41364</v>
      </c>
      <c r="I52" s="295">
        <v>-6092.69</v>
      </c>
    </row>
    <row r="53" spans="1:9" x14ac:dyDescent="0.2">
      <c r="A53" s="293" t="s">
        <v>9912</v>
      </c>
      <c r="B53" s="293" t="s">
        <v>5666</v>
      </c>
      <c r="C53" s="293" t="s">
        <v>5816</v>
      </c>
      <c r="D53" s="293" t="s">
        <v>5774</v>
      </c>
      <c r="E53" s="293" t="s">
        <v>5828</v>
      </c>
      <c r="F53" s="293" t="s">
        <v>6496</v>
      </c>
      <c r="G53" s="293" t="s">
        <v>5591</v>
      </c>
      <c r="H53" s="294">
        <v>41394</v>
      </c>
      <c r="I53" s="295">
        <v>-21728.31</v>
      </c>
    </row>
    <row r="54" spans="1:9" x14ac:dyDescent="0.2">
      <c r="A54" s="293" t="s">
        <v>9913</v>
      </c>
      <c r="B54" s="293" t="s">
        <v>5666</v>
      </c>
      <c r="C54" s="293" t="s">
        <v>5812</v>
      </c>
      <c r="D54" s="293" t="s">
        <v>5774</v>
      </c>
      <c r="E54" s="293" t="s">
        <v>5830</v>
      </c>
      <c r="F54" s="293" t="s">
        <v>6496</v>
      </c>
      <c r="G54" s="293" t="s">
        <v>5589</v>
      </c>
      <c r="H54" s="294">
        <v>41394</v>
      </c>
      <c r="I54" s="295">
        <v>-6092.69</v>
      </c>
    </row>
    <row r="55" spans="1:9" x14ac:dyDescent="0.2">
      <c r="A55" s="293" t="s">
        <v>9914</v>
      </c>
      <c r="B55" s="293" t="s">
        <v>5666</v>
      </c>
      <c r="C55" s="293" t="s">
        <v>5816</v>
      </c>
      <c r="D55" s="293" t="s">
        <v>5774</v>
      </c>
      <c r="E55" s="293" t="s">
        <v>5828</v>
      </c>
      <c r="F55" s="293" t="s">
        <v>6514</v>
      </c>
      <c r="G55" s="293" t="s">
        <v>5591</v>
      </c>
      <c r="H55" s="294">
        <v>41425</v>
      </c>
      <c r="I55" s="295">
        <v>-21728.31</v>
      </c>
    </row>
    <row r="56" spans="1:9" x14ac:dyDescent="0.2">
      <c r="A56" s="293" t="s">
        <v>9915</v>
      </c>
      <c r="B56" s="293" t="s">
        <v>5666</v>
      </c>
      <c r="C56" s="293" t="s">
        <v>5812</v>
      </c>
      <c r="D56" s="293" t="s">
        <v>5774</v>
      </c>
      <c r="E56" s="293" t="s">
        <v>5830</v>
      </c>
      <c r="F56" s="293" t="s">
        <v>6514</v>
      </c>
      <c r="G56" s="293" t="s">
        <v>5589</v>
      </c>
      <c r="H56" s="294">
        <v>41425</v>
      </c>
      <c r="I56" s="295">
        <v>-6092.69</v>
      </c>
    </row>
    <row r="57" spans="1:9" x14ac:dyDescent="0.2">
      <c r="A57" s="293" t="s">
        <v>9916</v>
      </c>
      <c r="B57" s="293" t="s">
        <v>5666</v>
      </c>
      <c r="C57" s="293" t="s">
        <v>5816</v>
      </c>
      <c r="D57" s="293" t="s">
        <v>5774</v>
      </c>
      <c r="E57" s="293" t="s">
        <v>5828</v>
      </c>
      <c r="F57" s="293" t="s">
        <v>6537</v>
      </c>
      <c r="G57" s="293" t="s">
        <v>5591</v>
      </c>
      <c r="H57" s="294">
        <v>41455</v>
      </c>
      <c r="I57" s="295">
        <v>-21728.31</v>
      </c>
    </row>
    <row r="58" spans="1:9" x14ac:dyDescent="0.2">
      <c r="A58" s="293" t="s">
        <v>9917</v>
      </c>
      <c r="B58" s="293" t="s">
        <v>5666</v>
      </c>
      <c r="C58" s="293" t="s">
        <v>5812</v>
      </c>
      <c r="D58" s="293" t="s">
        <v>5774</v>
      </c>
      <c r="E58" s="293" t="s">
        <v>5830</v>
      </c>
      <c r="F58" s="293" t="s">
        <v>6537</v>
      </c>
      <c r="G58" s="293" t="s">
        <v>5589</v>
      </c>
      <c r="H58" s="294">
        <v>41455</v>
      </c>
      <c r="I58" s="295">
        <v>-6092.69</v>
      </c>
    </row>
    <row r="59" spans="1:9" x14ac:dyDescent="0.2">
      <c r="A59" s="293" t="s">
        <v>9918</v>
      </c>
      <c r="B59" s="293" t="s">
        <v>5666</v>
      </c>
      <c r="C59" s="293" t="s">
        <v>9919</v>
      </c>
      <c r="D59" s="293" t="s">
        <v>5774</v>
      </c>
      <c r="E59" s="293" t="s">
        <v>5088</v>
      </c>
      <c r="F59" s="293" t="s">
        <v>6537</v>
      </c>
      <c r="G59" s="293" t="s">
        <v>5637</v>
      </c>
      <c r="H59" s="294">
        <v>41455</v>
      </c>
      <c r="I59" s="295">
        <v>166926</v>
      </c>
    </row>
    <row r="60" spans="1:9" x14ac:dyDescent="0.2">
      <c r="A60" s="293" t="s">
        <v>9920</v>
      </c>
      <c r="B60" s="293" t="s">
        <v>5666</v>
      </c>
      <c r="C60" s="293" t="s">
        <v>9921</v>
      </c>
      <c r="D60" s="293" t="s">
        <v>5774</v>
      </c>
      <c r="E60" s="293" t="s">
        <v>9922</v>
      </c>
      <c r="F60" s="293" t="s">
        <v>6556</v>
      </c>
      <c r="G60" s="293" t="s">
        <v>5637</v>
      </c>
      <c r="H60" s="294">
        <v>41486</v>
      </c>
      <c r="I60" s="295">
        <v>27821.01</v>
      </c>
    </row>
    <row r="61" spans="1:9" x14ac:dyDescent="0.2">
      <c r="A61" s="293" t="s">
        <v>9923</v>
      </c>
      <c r="B61" s="293" t="s">
        <v>9924</v>
      </c>
      <c r="C61" s="293" t="s">
        <v>9925</v>
      </c>
      <c r="D61" s="293" t="s">
        <v>5774</v>
      </c>
      <c r="E61" s="293" t="s">
        <v>9925</v>
      </c>
      <c r="F61" s="293" t="s">
        <v>9926</v>
      </c>
      <c r="G61" s="293" t="s">
        <v>5637</v>
      </c>
      <c r="H61" s="294">
        <v>41455</v>
      </c>
      <c r="I61" s="295">
        <v>-166925.91</v>
      </c>
    </row>
    <row r="62" spans="1:9" x14ac:dyDescent="0.2">
      <c r="A62" s="293" t="s">
        <v>9927</v>
      </c>
      <c r="B62" s="293" t="s">
        <v>5666</v>
      </c>
      <c r="C62" s="293" t="s">
        <v>5816</v>
      </c>
      <c r="D62" s="293" t="s">
        <v>5774</v>
      </c>
      <c r="E62" s="293" t="s">
        <v>5828</v>
      </c>
      <c r="F62" s="293" t="s">
        <v>6561</v>
      </c>
      <c r="G62" s="293" t="s">
        <v>5591</v>
      </c>
      <c r="H62" s="294">
        <v>41486</v>
      </c>
      <c r="I62" s="295">
        <v>-21728.31</v>
      </c>
    </row>
    <row r="63" spans="1:9" x14ac:dyDescent="0.2">
      <c r="A63" s="293" t="s">
        <v>9928</v>
      </c>
      <c r="B63" s="293" t="s">
        <v>5666</v>
      </c>
      <c r="C63" s="293" t="s">
        <v>5812</v>
      </c>
      <c r="D63" s="293" t="s">
        <v>5774</v>
      </c>
      <c r="E63" s="293" t="s">
        <v>5830</v>
      </c>
      <c r="F63" s="293" t="s">
        <v>6561</v>
      </c>
      <c r="G63" s="293" t="s">
        <v>5589</v>
      </c>
      <c r="H63" s="294">
        <v>41486</v>
      </c>
      <c r="I63" s="295">
        <v>-6092.69</v>
      </c>
    </row>
    <row r="64" spans="1:9" x14ac:dyDescent="0.2">
      <c r="A64" s="293" t="s">
        <v>9929</v>
      </c>
      <c r="B64" s="293" t="s">
        <v>9924</v>
      </c>
      <c r="C64" s="293" t="s">
        <v>9925</v>
      </c>
      <c r="D64" s="293" t="s">
        <v>5774</v>
      </c>
      <c r="E64" s="293" t="s">
        <v>9925</v>
      </c>
      <c r="F64" s="293" t="s">
        <v>9930</v>
      </c>
      <c r="G64" s="293" t="s">
        <v>5637</v>
      </c>
      <c r="H64" s="294">
        <v>41486</v>
      </c>
      <c r="I64" s="295">
        <v>-27821</v>
      </c>
    </row>
    <row r="65" spans="1:9" x14ac:dyDescent="0.2">
      <c r="A65" s="293" t="s">
        <v>9931</v>
      </c>
      <c r="B65" s="293" t="s">
        <v>9924</v>
      </c>
      <c r="C65" s="293" t="s">
        <v>9925</v>
      </c>
      <c r="D65" s="293" t="s">
        <v>5774</v>
      </c>
      <c r="E65" s="293" t="s">
        <v>9925</v>
      </c>
      <c r="F65" s="293" t="s">
        <v>9932</v>
      </c>
      <c r="G65" s="293" t="s">
        <v>5591</v>
      </c>
      <c r="H65" s="294">
        <v>41517</v>
      </c>
      <c r="I65" s="295">
        <v>-21728.2</v>
      </c>
    </row>
    <row r="66" spans="1:9" x14ac:dyDescent="0.2">
      <c r="A66" s="293" t="s">
        <v>9931</v>
      </c>
      <c r="B66" s="293" t="s">
        <v>9924</v>
      </c>
      <c r="C66" s="293" t="s">
        <v>9925</v>
      </c>
      <c r="D66" s="293" t="s">
        <v>5774</v>
      </c>
      <c r="E66" s="293" t="s">
        <v>9925</v>
      </c>
      <c r="F66" s="293" t="s">
        <v>9932</v>
      </c>
      <c r="G66" s="293" t="s">
        <v>5589</v>
      </c>
      <c r="H66" s="294">
        <v>41517</v>
      </c>
      <c r="I66" s="295">
        <v>-6092.8</v>
      </c>
    </row>
    <row r="67" spans="1:9" x14ac:dyDescent="0.2">
      <c r="A67" s="293" t="s">
        <v>9933</v>
      </c>
      <c r="B67" s="293" t="s">
        <v>9924</v>
      </c>
      <c r="C67" s="293" t="s">
        <v>9925</v>
      </c>
      <c r="D67" s="293" t="s">
        <v>5774</v>
      </c>
      <c r="E67" s="293" t="s">
        <v>9925</v>
      </c>
      <c r="F67" s="293" t="s">
        <v>9932</v>
      </c>
      <c r="G67" s="293" t="s">
        <v>5591</v>
      </c>
      <c r="H67" s="294">
        <v>41517</v>
      </c>
      <c r="I67" s="295">
        <v>-21728.2</v>
      </c>
    </row>
    <row r="68" spans="1:9" x14ac:dyDescent="0.2">
      <c r="A68" s="293" t="s">
        <v>9933</v>
      </c>
      <c r="B68" s="293" t="s">
        <v>9924</v>
      </c>
      <c r="C68" s="293" t="s">
        <v>9925</v>
      </c>
      <c r="D68" s="293" t="s">
        <v>5774</v>
      </c>
      <c r="E68" s="293" t="s">
        <v>9925</v>
      </c>
      <c r="F68" s="293" t="s">
        <v>9932</v>
      </c>
      <c r="G68" s="293" t="s">
        <v>5589</v>
      </c>
      <c r="H68" s="294">
        <v>41517</v>
      </c>
      <c r="I68" s="295">
        <v>-6092.8</v>
      </c>
    </row>
    <row r="69" spans="1:9" x14ac:dyDescent="0.2">
      <c r="A69" s="293" t="s">
        <v>9934</v>
      </c>
      <c r="B69" s="293" t="s">
        <v>9924</v>
      </c>
      <c r="C69" s="293" t="s">
        <v>9925</v>
      </c>
      <c r="D69" s="293" t="s">
        <v>5774</v>
      </c>
      <c r="E69" s="293" t="s">
        <v>9925</v>
      </c>
      <c r="F69" s="293" t="s">
        <v>9932</v>
      </c>
      <c r="G69" s="293" t="s">
        <v>5591</v>
      </c>
      <c r="H69" s="294">
        <v>41517</v>
      </c>
      <c r="I69" s="295">
        <v>21728.2</v>
      </c>
    </row>
    <row r="70" spans="1:9" x14ac:dyDescent="0.2">
      <c r="A70" s="293" t="s">
        <v>9934</v>
      </c>
      <c r="B70" s="293" t="s">
        <v>9924</v>
      </c>
      <c r="C70" s="293" t="s">
        <v>9925</v>
      </c>
      <c r="D70" s="293" t="s">
        <v>5774</v>
      </c>
      <c r="E70" s="293" t="s">
        <v>9925</v>
      </c>
      <c r="F70" s="293" t="s">
        <v>9932</v>
      </c>
      <c r="G70" s="293" t="s">
        <v>5589</v>
      </c>
      <c r="H70" s="294">
        <v>41517</v>
      </c>
      <c r="I70" s="295">
        <v>6092.8</v>
      </c>
    </row>
    <row r="71" spans="1:9" x14ac:dyDescent="0.2">
      <c r="A71" s="293" t="s">
        <v>9935</v>
      </c>
      <c r="B71" s="293" t="s">
        <v>9924</v>
      </c>
      <c r="C71" s="293" t="s">
        <v>9925</v>
      </c>
      <c r="D71" s="293" t="s">
        <v>5774</v>
      </c>
      <c r="E71" s="293" t="s">
        <v>9925</v>
      </c>
      <c r="F71" s="293" t="s">
        <v>9936</v>
      </c>
      <c r="G71" s="293" t="s">
        <v>5591</v>
      </c>
      <c r="H71" s="294">
        <v>41547</v>
      </c>
      <c r="I71" s="295">
        <v>-43456.4</v>
      </c>
    </row>
    <row r="72" spans="1:9" x14ac:dyDescent="0.2">
      <c r="A72" s="293" t="s">
        <v>9935</v>
      </c>
      <c r="B72" s="293" t="s">
        <v>9924</v>
      </c>
      <c r="C72" s="293" t="s">
        <v>9925</v>
      </c>
      <c r="D72" s="293" t="s">
        <v>5774</v>
      </c>
      <c r="E72" s="293" t="s">
        <v>9925</v>
      </c>
      <c r="F72" s="293" t="s">
        <v>9936</v>
      </c>
      <c r="G72" s="293" t="s">
        <v>5589</v>
      </c>
      <c r="H72" s="294">
        <v>41547</v>
      </c>
      <c r="I72" s="295">
        <v>-12185.6</v>
      </c>
    </row>
    <row r="73" spans="1:9" x14ac:dyDescent="0.2">
      <c r="A73" s="293" t="s">
        <v>9937</v>
      </c>
      <c r="B73" s="293" t="s">
        <v>9924</v>
      </c>
      <c r="C73" s="293" t="s">
        <v>9925</v>
      </c>
      <c r="D73" s="293" t="s">
        <v>5774</v>
      </c>
      <c r="E73" s="293" t="s">
        <v>9925</v>
      </c>
      <c r="F73" s="293" t="s">
        <v>9936</v>
      </c>
      <c r="G73" s="293" t="s">
        <v>5591</v>
      </c>
      <c r="H73" s="294">
        <v>41547</v>
      </c>
      <c r="I73" s="295">
        <v>-21728.2</v>
      </c>
    </row>
    <row r="74" spans="1:9" x14ac:dyDescent="0.2">
      <c r="A74" s="293" t="s">
        <v>9937</v>
      </c>
      <c r="B74" s="293" t="s">
        <v>9924</v>
      </c>
      <c r="C74" s="293" t="s">
        <v>9925</v>
      </c>
      <c r="D74" s="293" t="s">
        <v>5774</v>
      </c>
      <c r="E74" s="293" t="s">
        <v>9925</v>
      </c>
      <c r="F74" s="293" t="s">
        <v>9936</v>
      </c>
      <c r="G74" s="293" t="s">
        <v>5589</v>
      </c>
      <c r="H74" s="294">
        <v>41547</v>
      </c>
      <c r="I74" s="295">
        <v>-6092.8</v>
      </c>
    </row>
    <row r="75" spans="1:9" x14ac:dyDescent="0.2">
      <c r="A75" s="293" t="s">
        <v>9938</v>
      </c>
      <c r="B75" s="293" t="s">
        <v>9924</v>
      </c>
      <c r="C75" s="293" t="s">
        <v>9939</v>
      </c>
      <c r="D75" s="293" t="s">
        <v>5774</v>
      </c>
      <c r="E75" s="293" t="s">
        <v>9939</v>
      </c>
      <c r="F75" s="293" t="s">
        <v>9936</v>
      </c>
      <c r="G75" s="293" t="s">
        <v>5591</v>
      </c>
      <c r="H75" s="294">
        <v>41547</v>
      </c>
      <c r="I75" s="295">
        <v>43456.4</v>
      </c>
    </row>
    <row r="76" spans="1:9" x14ac:dyDescent="0.2">
      <c r="A76" s="293" t="s">
        <v>9938</v>
      </c>
      <c r="B76" s="293" t="s">
        <v>9924</v>
      </c>
      <c r="C76" s="293" t="s">
        <v>9939</v>
      </c>
      <c r="D76" s="293" t="s">
        <v>5774</v>
      </c>
      <c r="E76" s="293" t="s">
        <v>9939</v>
      </c>
      <c r="F76" s="293" t="s">
        <v>9936</v>
      </c>
      <c r="G76" s="293" t="s">
        <v>5589</v>
      </c>
      <c r="H76" s="294">
        <v>41547</v>
      </c>
      <c r="I76" s="295">
        <v>12185.6</v>
      </c>
    </row>
    <row r="77" spans="1:9" x14ac:dyDescent="0.2">
      <c r="A77" s="293" t="s">
        <v>9940</v>
      </c>
      <c r="B77" s="293" t="s">
        <v>9924</v>
      </c>
      <c r="C77" s="293" t="s">
        <v>9925</v>
      </c>
      <c r="D77" s="293" t="s">
        <v>5774</v>
      </c>
      <c r="E77" s="293" t="s">
        <v>9925</v>
      </c>
      <c r="F77" s="293" t="s">
        <v>9941</v>
      </c>
      <c r="G77" s="293" t="s">
        <v>5591</v>
      </c>
      <c r="H77" s="294">
        <v>41578</v>
      </c>
      <c r="I77" s="295">
        <v>-21728.19</v>
      </c>
    </row>
    <row r="78" spans="1:9" x14ac:dyDescent="0.2">
      <c r="A78" s="293" t="s">
        <v>9940</v>
      </c>
      <c r="B78" s="293" t="s">
        <v>9924</v>
      </c>
      <c r="C78" s="293" t="s">
        <v>9925</v>
      </c>
      <c r="D78" s="293" t="s">
        <v>5774</v>
      </c>
      <c r="E78" s="293" t="s">
        <v>9925</v>
      </c>
      <c r="F78" s="293" t="s">
        <v>9941</v>
      </c>
      <c r="G78" s="293" t="s">
        <v>5589</v>
      </c>
      <c r="H78" s="294">
        <v>41578</v>
      </c>
      <c r="I78" s="295">
        <v>-6092.8</v>
      </c>
    </row>
    <row r="79" spans="1:9" x14ac:dyDescent="0.2">
      <c r="A79" s="293" t="s">
        <v>9942</v>
      </c>
      <c r="B79" s="293" t="s">
        <v>9924</v>
      </c>
      <c r="C79" s="293" t="s">
        <v>9925</v>
      </c>
      <c r="D79" s="293" t="s">
        <v>5774</v>
      </c>
      <c r="E79" s="293" t="s">
        <v>9925</v>
      </c>
      <c r="F79" s="293" t="s">
        <v>9943</v>
      </c>
      <c r="G79" s="293" t="s">
        <v>5589</v>
      </c>
      <c r="H79" s="294">
        <v>41608</v>
      </c>
      <c r="I79" s="295">
        <v>-6092.79</v>
      </c>
    </row>
    <row r="80" spans="1:9" x14ac:dyDescent="0.2">
      <c r="A80" s="293" t="s">
        <v>9942</v>
      </c>
      <c r="B80" s="293" t="s">
        <v>9924</v>
      </c>
      <c r="C80" s="293" t="s">
        <v>9925</v>
      </c>
      <c r="D80" s="293" t="s">
        <v>5774</v>
      </c>
      <c r="E80" s="293" t="s">
        <v>9925</v>
      </c>
      <c r="F80" s="293" t="s">
        <v>9943</v>
      </c>
      <c r="G80" s="293" t="s">
        <v>5591</v>
      </c>
      <c r="H80" s="294">
        <v>41608</v>
      </c>
      <c r="I80" s="295">
        <v>-21728.19</v>
      </c>
    </row>
    <row r="81" spans="1:9" x14ac:dyDescent="0.2">
      <c r="A81" s="293" t="s">
        <v>9944</v>
      </c>
      <c r="B81" s="293" t="s">
        <v>9924</v>
      </c>
      <c r="C81" s="293" t="s">
        <v>9925</v>
      </c>
      <c r="D81" s="293" t="s">
        <v>5774</v>
      </c>
      <c r="E81" s="293" t="s">
        <v>9925</v>
      </c>
      <c r="F81" s="293" t="s">
        <v>9945</v>
      </c>
      <c r="G81" s="293" t="s">
        <v>5589</v>
      </c>
      <c r="H81" s="294">
        <v>41639</v>
      </c>
      <c r="I81" s="295">
        <v>-6092.8</v>
      </c>
    </row>
    <row r="82" spans="1:9" x14ac:dyDescent="0.2">
      <c r="A82" s="293" t="s">
        <v>9944</v>
      </c>
      <c r="B82" s="293" t="s">
        <v>9924</v>
      </c>
      <c r="C82" s="293" t="s">
        <v>9925</v>
      </c>
      <c r="D82" s="293" t="s">
        <v>5774</v>
      </c>
      <c r="E82" s="293" t="s">
        <v>9925</v>
      </c>
      <c r="F82" s="293" t="s">
        <v>9945</v>
      </c>
      <c r="G82" s="293" t="s">
        <v>5591</v>
      </c>
      <c r="H82" s="294">
        <v>41639</v>
      </c>
      <c r="I82" s="295">
        <v>-21728.2</v>
      </c>
    </row>
    <row r="83" spans="1:9" x14ac:dyDescent="0.2">
      <c r="A83" s="293" t="s">
        <v>9946</v>
      </c>
      <c r="B83" s="293" t="s">
        <v>9924</v>
      </c>
      <c r="C83" s="293" t="s">
        <v>9925</v>
      </c>
      <c r="D83" s="293" t="s">
        <v>5774</v>
      </c>
      <c r="E83" s="293" t="s">
        <v>9925</v>
      </c>
      <c r="F83" s="293" t="s">
        <v>9945</v>
      </c>
      <c r="G83" s="293" t="s">
        <v>5591</v>
      </c>
      <c r="H83" s="294">
        <v>41639</v>
      </c>
      <c r="I83" s="295">
        <v>-21728.2</v>
      </c>
    </row>
    <row r="84" spans="1:9" x14ac:dyDescent="0.2">
      <c r="A84" s="293" t="s">
        <v>9946</v>
      </c>
      <c r="B84" s="293" t="s">
        <v>9924</v>
      </c>
      <c r="C84" s="293" t="s">
        <v>9925</v>
      </c>
      <c r="D84" s="293" t="s">
        <v>5774</v>
      </c>
      <c r="E84" s="293" t="s">
        <v>9925</v>
      </c>
      <c r="F84" s="293" t="s">
        <v>9945</v>
      </c>
      <c r="G84" s="293" t="s">
        <v>5589</v>
      </c>
      <c r="H84" s="294">
        <v>41639</v>
      </c>
      <c r="I84" s="295">
        <v>-6092.8</v>
      </c>
    </row>
    <row r="85" spans="1:9" x14ac:dyDescent="0.2">
      <c r="A85" s="293" t="s">
        <v>9947</v>
      </c>
      <c r="B85" s="293" t="s">
        <v>9924</v>
      </c>
      <c r="C85" s="293" t="s">
        <v>9939</v>
      </c>
      <c r="D85" s="293" t="s">
        <v>5774</v>
      </c>
      <c r="E85" s="293" t="s">
        <v>9939</v>
      </c>
      <c r="F85" s="293" t="s">
        <v>9945</v>
      </c>
      <c r="G85" s="293" t="s">
        <v>5589</v>
      </c>
      <c r="H85" s="294">
        <v>41639</v>
      </c>
      <c r="I85" s="295">
        <v>6092.8</v>
      </c>
    </row>
    <row r="86" spans="1:9" x14ac:dyDescent="0.2">
      <c r="A86" s="293" t="s">
        <v>9947</v>
      </c>
      <c r="B86" s="293" t="s">
        <v>9924</v>
      </c>
      <c r="C86" s="293" t="s">
        <v>9939</v>
      </c>
      <c r="D86" s="293" t="s">
        <v>5774</v>
      </c>
      <c r="E86" s="293" t="s">
        <v>9939</v>
      </c>
      <c r="F86" s="293" t="s">
        <v>9945</v>
      </c>
      <c r="G86" s="293" t="s">
        <v>5591</v>
      </c>
      <c r="H86" s="294">
        <v>41639</v>
      </c>
      <c r="I86" s="295">
        <v>21728.2</v>
      </c>
    </row>
    <row r="87" spans="1:9" x14ac:dyDescent="0.2">
      <c r="A87" s="293" t="s">
        <v>9948</v>
      </c>
      <c r="B87" s="293" t="s">
        <v>9924</v>
      </c>
      <c r="C87" s="293" t="s">
        <v>9925</v>
      </c>
      <c r="D87" s="293" t="s">
        <v>5774</v>
      </c>
      <c r="E87" s="293" t="s">
        <v>9925</v>
      </c>
      <c r="F87" s="293" t="s">
        <v>9949</v>
      </c>
      <c r="G87" s="293" t="s">
        <v>5589</v>
      </c>
      <c r="H87" s="294">
        <v>41639</v>
      </c>
      <c r="I87" s="295">
        <v>-6092.8</v>
      </c>
    </row>
    <row r="88" spans="1:9" x14ac:dyDescent="0.2">
      <c r="A88" s="293" t="s">
        <v>9948</v>
      </c>
      <c r="B88" s="293" t="s">
        <v>9924</v>
      </c>
      <c r="C88" s="293" t="s">
        <v>9925</v>
      </c>
      <c r="D88" s="293" t="s">
        <v>5774</v>
      </c>
      <c r="E88" s="293" t="s">
        <v>9925</v>
      </c>
      <c r="F88" s="293" t="s">
        <v>9949</v>
      </c>
      <c r="G88" s="293" t="s">
        <v>5591</v>
      </c>
      <c r="H88" s="294">
        <v>41639</v>
      </c>
      <c r="I88" s="295">
        <v>-21728.2</v>
      </c>
    </row>
    <row r="89" spans="1:9" x14ac:dyDescent="0.2">
      <c r="A89" s="293" t="s">
        <v>9950</v>
      </c>
      <c r="B89" s="293" t="s">
        <v>9924</v>
      </c>
      <c r="C89" s="293" t="s">
        <v>9939</v>
      </c>
      <c r="D89" s="293" t="s">
        <v>5774</v>
      </c>
      <c r="E89" s="293" t="s">
        <v>9939</v>
      </c>
      <c r="F89" s="293" t="s">
        <v>9949</v>
      </c>
      <c r="G89" s="293" t="s">
        <v>5589</v>
      </c>
      <c r="H89" s="294">
        <v>41639</v>
      </c>
      <c r="I89" s="295">
        <v>6092.8</v>
      </c>
    </row>
    <row r="90" spans="1:9" x14ac:dyDescent="0.2">
      <c r="A90" s="293" t="s">
        <v>9950</v>
      </c>
      <c r="B90" s="293" t="s">
        <v>9924</v>
      </c>
      <c r="C90" s="293" t="s">
        <v>9939</v>
      </c>
      <c r="D90" s="293" t="s">
        <v>5774</v>
      </c>
      <c r="E90" s="293" t="s">
        <v>9939</v>
      </c>
      <c r="F90" s="293" t="s">
        <v>9949</v>
      </c>
      <c r="G90" s="293" t="s">
        <v>5591</v>
      </c>
      <c r="H90" s="294">
        <v>41639</v>
      </c>
      <c r="I90" s="295">
        <v>21728.2</v>
      </c>
    </row>
    <row r="91" spans="1:9" x14ac:dyDescent="0.2">
      <c r="A91" s="293" t="s">
        <v>9951</v>
      </c>
      <c r="B91" s="293" t="s">
        <v>9924</v>
      </c>
      <c r="C91" s="293" t="s">
        <v>9925</v>
      </c>
      <c r="D91" s="293" t="s">
        <v>5774</v>
      </c>
      <c r="E91" s="293" t="s">
        <v>9925</v>
      </c>
      <c r="F91" s="293" t="s">
        <v>9952</v>
      </c>
      <c r="G91" s="293" t="s">
        <v>5591</v>
      </c>
      <c r="H91" s="294">
        <v>41670</v>
      </c>
      <c r="I91" s="295">
        <v>-21728.2</v>
      </c>
    </row>
    <row r="92" spans="1:9" x14ac:dyDescent="0.2">
      <c r="A92" s="293" t="s">
        <v>9951</v>
      </c>
      <c r="B92" s="293" t="s">
        <v>9924</v>
      </c>
      <c r="C92" s="293" t="s">
        <v>9925</v>
      </c>
      <c r="D92" s="293" t="s">
        <v>5774</v>
      </c>
      <c r="E92" s="293" t="s">
        <v>9925</v>
      </c>
      <c r="F92" s="293" t="s">
        <v>9952</v>
      </c>
      <c r="G92" s="293" t="s">
        <v>5589</v>
      </c>
      <c r="H92" s="294">
        <v>41670</v>
      </c>
      <c r="I92" s="295">
        <v>-6092.8</v>
      </c>
    </row>
    <row r="93" spans="1:9" x14ac:dyDescent="0.2">
      <c r="A93" s="293" t="s">
        <v>9953</v>
      </c>
      <c r="B93" s="293" t="s">
        <v>9924</v>
      </c>
      <c r="C93" s="293" t="s">
        <v>9925</v>
      </c>
      <c r="D93" s="293" t="s">
        <v>5774</v>
      </c>
      <c r="E93" s="293" t="s">
        <v>9925</v>
      </c>
      <c r="F93" s="293" t="s">
        <v>9954</v>
      </c>
      <c r="G93" s="293" t="s">
        <v>5591</v>
      </c>
      <c r="H93" s="294">
        <v>41698</v>
      </c>
      <c r="I93" s="295">
        <v>-21728.2</v>
      </c>
    </row>
    <row r="94" spans="1:9" x14ac:dyDescent="0.2">
      <c r="A94" s="293" t="s">
        <v>9953</v>
      </c>
      <c r="B94" s="293" t="s">
        <v>9924</v>
      </c>
      <c r="C94" s="293" t="s">
        <v>9925</v>
      </c>
      <c r="D94" s="293" t="s">
        <v>5774</v>
      </c>
      <c r="E94" s="293" t="s">
        <v>9925</v>
      </c>
      <c r="F94" s="293" t="s">
        <v>9954</v>
      </c>
      <c r="G94" s="293" t="s">
        <v>5589</v>
      </c>
      <c r="H94" s="294">
        <v>41698</v>
      </c>
      <c r="I94" s="295">
        <v>-6092.8</v>
      </c>
    </row>
    <row r="95" spans="1:9" x14ac:dyDescent="0.2">
      <c r="A95" s="293" t="s">
        <v>9955</v>
      </c>
      <c r="B95" s="293" t="s">
        <v>9924</v>
      </c>
      <c r="C95" s="293" t="s">
        <v>9925</v>
      </c>
      <c r="D95" s="293" t="s">
        <v>5774</v>
      </c>
      <c r="E95" s="293" t="s">
        <v>9925</v>
      </c>
      <c r="F95" s="293" t="s">
        <v>9956</v>
      </c>
      <c r="G95" s="293" t="s">
        <v>5589</v>
      </c>
      <c r="H95" s="294">
        <v>41729</v>
      </c>
      <c r="I95" s="295">
        <v>-6092.8</v>
      </c>
    </row>
    <row r="96" spans="1:9" x14ac:dyDescent="0.2">
      <c r="A96" s="293" t="s">
        <v>9955</v>
      </c>
      <c r="B96" s="293" t="s">
        <v>9924</v>
      </c>
      <c r="C96" s="293" t="s">
        <v>9925</v>
      </c>
      <c r="D96" s="293" t="s">
        <v>5774</v>
      </c>
      <c r="E96" s="293" t="s">
        <v>9925</v>
      </c>
      <c r="F96" s="293" t="s">
        <v>9956</v>
      </c>
      <c r="G96" s="293" t="s">
        <v>5591</v>
      </c>
      <c r="H96" s="294">
        <v>41729</v>
      </c>
      <c r="I96" s="295">
        <v>-21728.2</v>
      </c>
    </row>
    <row r="97" spans="1:9" x14ac:dyDescent="0.2">
      <c r="A97" s="293" t="s">
        <v>9957</v>
      </c>
      <c r="B97" s="293" t="s">
        <v>9924</v>
      </c>
      <c r="C97" s="293" t="s">
        <v>9925</v>
      </c>
      <c r="D97" s="293" t="s">
        <v>5774</v>
      </c>
      <c r="E97" s="293" t="s">
        <v>9925</v>
      </c>
      <c r="F97" s="293" t="s">
        <v>9958</v>
      </c>
      <c r="G97" s="293" t="s">
        <v>5591</v>
      </c>
      <c r="H97" s="294">
        <v>41759</v>
      </c>
      <c r="I97" s="295">
        <v>-21728.53</v>
      </c>
    </row>
    <row r="98" spans="1:9" x14ac:dyDescent="0.2">
      <c r="A98" s="293" t="s">
        <v>9957</v>
      </c>
      <c r="B98" s="293" t="s">
        <v>9924</v>
      </c>
      <c r="C98" s="293" t="s">
        <v>9925</v>
      </c>
      <c r="D98" s="293" t="s">
        <v>5774</v>
      </c>
      <c r="E98" s="293" t="s">
        <v>9925</v>
      </c>
      <c r="F98" s="293" t="s">
        <v>9958</v>
      </c>
      <c r="G98" s="293" t="s">
        <v>5754</v>
      </c>
      <c r="H98" s="294">
        <v>41759</v>
      </c>
      <c r="I98" s="295">
        <v>-22863.360000000001</v>
      </c>
    </row>
    <row r="99" spans="1:9" x14ac:dyDescent="0.2">
      <c r="A99" s="293" t="s">
        <v>9957</v>
      </c>
      <c r="B99" s="293" t="s">
        <v>9924</v>
      </c>
      <c r="C99" s="293" t="s">
        <v>9925</v>
      </c>
      <c r="D99" s="293" t="s">
        <v>5774</v>
      </c>
      <c r="E99" s="293" t="s">
        <v>9925</v>
      </c>
      <c r="F99" s="293" t="s">
        <v>9958</v>
      </c>
      <c r="G99" s="293" t="s">
        <v>5589</v>
      </c>
      <c r="H99" s="294">
        <v>41759</v>
      </c>
      <c r="I99" s="295">
        <v>-6092.81</v>
      </c>
    </row>
    <row r="100" spans="1:9" x14ac:dyDescent="0.2">
      <c r="A100" s="293" t="s">
        <v>9959</v>
      </c>
      <c r="B100" s="293" t="s">
        <v>9924</v>
      </c>
      <c r="C100" s="293" t="s">
        <v>9925</v>
      </c>
      <c r="D100" s="293" t="s">
        <v>5774</v>
      </c>
      <c r="E100" s="293" t="s">
        <v>9925</v>
      </c>
      <c r="F100" s="293" t="s">
        <v>9960</v>
      </c>
      <c r="G100" s="293" t="s">
        <v>5591</v>
      </c>
      <c r="H100" s="294">
        <v>41790</v>
      </c>
      <c r="I100" s="295">
        <v>-21728.21</v>
      </c>
    </row>
    <row r="101" spans="1:9" x14ac:dyDescent="0.2">
      <c r="A101" s="293" t="s">
        <v>9959</v>
      </c>
      <c r="B101" s="293" t="s">
        <v>9924</v>
      </c>
      <c r="C101" s="293" t="s">
        <v>9925</v>
      </c>
      <c r="D101" s="293" t="s">
        <v>5774</v>
      </c>
      <c r="E101" s="293" t="s">
        <v>9925</v>
      </c>
      <c r="F101" s="293" t="s">
        <v>9960</v>
      </c>
      <c r="G101" s="293" t="s">
        <v>5754</v>
      </c>
      <c r="H101" s="294">
        <v>41790</v>
      </c>
      <c r="I101" s="295">
        <v>121915.99</v>
      </c>
    </row>
    <row r="102" spans="1:9" x14ac:dyDescent="0.2">
      <c r="A102" s="293" t="s">
        <v>9959</v>
      </c>
      <c r="B102" s="293" t="s">
        <v>9924</v>
      </c>
      <c r="C102" s="293" t="s">
        <v>9925</v>
      </c>
      <c r="D102" s="293" t="s">
        <v>5774</v>
      </c>
      <c r="E102" s="293" t="s">
        <v>9925</v>
      </c>
      <c r="F102" s="293" t="s">
        <v>9960</v>
      </c>
      <c r="G102" s="293" t="s">
        <v>5589</v>
      </c>
      <c r="H102" s="294">
        <v>41790</v>
      </c>
      <c r="I102" s="295">
        <v>-6092.8</v>
      </c>
    </row>
    <row r="103" spans="1:9" x14ac:dyDescent="0.2">
      <c r="A103" s="293" t="s">
        <v>9961</v>
      </c>
      <c r="B103" s="293" t="s">
        <v>9924</v>
      </c>
      <c r="C103" s="293" t="s">
        <v>9925</v>
      </c>
      <c r="D103" s="293" t="s">
        <v>5774</v>
      </c>
      <c r="E103" s="293" t="s">
        <v>9925</v>
      </c>
      <c r="F103" s="293" t="s">
        <v>9962</v>
      </c>
      <c r="G103" s="293" t="s">
        <v>5589</v>
      </c>
      <c r="H103" s="294">
        <v>41820</v>
      </c>
      <c r="I103" s="295">
        <v>-6092.8</v>
      </c>
    </row>
    <row r="104" spans="1:9" x14ac:dyDescent="0.2">
      <c r="A104" s="293" t="s">
        <v>9961</v>
      </c>
      <c r="B104" s="293" t="s">
        <v>9924</v>
      </c>
      <c r="C104" s="293" t="s">
        <v>9925</v>
      </c>
      <c r="D104" s="293" t="s">
        <v>5774</v>
      </c>
      <c r="E104" s="293" t="s">
        <v>9925</v>
      </c>
      <c r="F104" s="293" t="s">
        <v>9962</v>
      </c>
      <c r="G104" s="293" t="s">
        <v>5591</v>
      </c>
      <c r="H104" s="294">
        <v>41820</v>
      </c>
      <c r="I104" s="295">
        <v>-21728.2</v>
      </c>
    </row>
    <row r="105" spans="1:9" x14ac:dyDescent="0.2">
      <c r="A105" s="293" t="s">
        <v>9961</v>
      </c>
      <c r="B105" s="293" t="s">
        <v>9924</v>
      </c>
      <c r="C105" s="293" t="s">
        <v>9925</v>
      </c>
      <c r="D105" s="293" t="s">
        <v>5774</v>
      </c>
      <c r="E105" s="293" t="s">
        <v>9925</v>
      </c>
      <c r="F105" s="293" t="s">
        <v>9962</v>
      </c>
      <c r="G105" s="293" t="s">
        <v>5754</v>
      </c>
      <c r="H105" s="294">
        <v>41820</v>
      </c>
      <c r="I105" s="295">
        <v>-275.91000000000003</v>
      </c>
    </row>
    <row r="106" spans="1:9" x14ac:dyDescent="0.2">
      <c r="A106" s="293" t="s">
        <v>9963</v>
      </c>
      <c r="B106" s="293" t="s">
        <v>9924</v>
      </c>
      <c r="C106" s="293" t="s">
        <v>9925</v>
      </c>
      <c r="D106" s="293" t="s">
        <v>5774</v>
      </c>
      <c r="E106" s="293" t="s">
        <v>9925</v>
      </c>
      <c r="F106" s="293" t="s">
        <v>9964</v>
      </c>
      <c r="G106" s="293" t="s">
        <v>5591</v>
      </c>
      <c r="H106" s="294">
        <v>41851</v>
      </c>
      <c r="I106" s="295">
        <v>-21728.2</v>
      </c>
    </row>
    <row r="107" spans="1:9" x14ac:dyDescent="0.2">
      <c r="A107" s="293" t="s">
        <v>9963</v>
      </c>
      <c r="B107" s="293" t="s">
        <v>9924</v>
      </c>
      <c r="C107" s="293" t="s">
        <v>9925</v>
      </c>
      <c r="D107" s="293" t="s">
        <v>5774</v>
      </c>
      <c r="E107" s="293" t="s">
        <v>9925</v>
      </c>
      <c r="F107" s="293" t="s">
        <v>9964</v>
      </c>
      <c r="G107" s="293" t="s">
        <v>5754</v>
      </c>
      <c r="H107" s="294">
        <v>41851</v>
      </c>
      <c r="I107" s="295">
        <v>-275.91000000000003</v>
      </c>
    </row>
    <row r="108" spans="1:9" x14ac:dyDescent="0.2">
      <c r="A108" s="293" t="s">
        <v>9963</v>
      </c>
      <c r="B108" s="293" t="s">
        <v>9924</v>
      </c>
      <c r="C108" s="293" t="s">
        <v>9925</v>
      </c>
      <c r="D108" s="293" t="s">
        <v>5774</v>
      </c>
      <c r="E108" s="293" t="s">
        <v>9925</v>
      </c>
      <c r="F108" s="293" t="s">
        <v>9964</v>
      </c>
      <c r="G108" s="293" t="s">
        <v>5589</v>
      </c>
      <c r="H108" s="294">
        <v>41851</v>
      </c>
      <c r="I108" s="295">
        <v>-6092.8</v>
      </c>
    </row>
    <row r="109" spans="1:9" x14ac:dyDescent="0.2">
      <c r="A109" s="293" t="s">
        <v>9965</v>
      </c>
      <c r="B109" s="293" t="s">
        <v>9924</v>
      </c>
      <c r="C109" s="293" t="s">
        <v>9925</v>
      </c>
      <c r="D109" s="293" t="s">
        <v>5774</v>
      </c>
      <c r="E109" s="293" t="s">
        <v>9925</v>
      </c>
      <c r="F109" s="293" t="s">
        <v>9966</v>
      </c>
      <c r="G109" s="293" t="s">
        <v>5589</v>
      </c>
      <c r="H109" s="294">
        <v>41882</v>
      </c>
      <c r="I109" s="295">
        <v>-6092.8</v>
      </c>
    </row>
    <row r="110" spans="1:9" x14ac:dyDescent="0.2">
      <c r="A110" s="293" t="s">
        <v>9965</v>
      </c>
      <c r="B110" s="293" t="s">
        <v>9924</v>
      </c>
      <c r="C110" s="293" t="s">
        <v>9925</v>
      </c>
      <c r="D110" s="293" t="s">
        <v>5774</v>
      </c>
      <c r="E110" s="293" t="s">
        <v>9925</v>
      </c>
      <c r="F110" s="293" t="s">
        <v>9966</v>
      </c>
      <c r="G110" s="293" t="s">
        <v>5754</v>
      </c>
      <c r="H110" s="294">
        <v>41882</v>
      </c>
      <c r="I110" s="295">
        <v>-275.91000000000003</v>
      </c>
    </row>
    <row r="111" spans="1:9" x14ac:dyDescent="0.2">
      <c r="A111" s="293" t="s">
        <v>9965</v>
      </c>
      <c r="B111" s="293" t="s">
        <v>9924</v>
      </c>
      <c r="C111" s="293" t="s">
        <v>9925</v>
      </c>
      <c r="D111" s="293" t="s">
        <v>5774</v>
      </c>
      <c r="E111" s="293" t="s">
        <v>9925</v>
      </c>
      <c r="F111" s="293" t="s">
        <v>9966</v>
      </c>
      <c r="G111" s="293" t="s">
        <v>5591</v>
      </c>
      <c r="H111" s="294">
        <v>41882</v>
      </c>
      <c r="I111" s="295">
        <v>-21728.2</v>
      </c>
    </row>
    <row r="112" spans="1:9" x14ac:dyDescent="0.2">
      <c r="A112" s="293" t="s">
        <v>9967</v>
      </c>
      <c r="B112" s="293" t="s">
        <v>9924</v>
      </c>
      <c r="C112" s="293" t="s">
        <v>9925</v>
      </c>
      <c r="D112" s="293" t="s">
        <v>5774</v>
      </c>
      <c r="E112" s="293" t="s">
        <v>9925</v>
      </c>
      <c r="F112" s="293" t="s">
        <v>9968</v>
      </c>
      <c r="G112" s="293" t="s">
        <v>5754</v>
      </c>
      <c r="H112" s="294">
        <v>41912</v>
      </c>
      <c r="I112" s="295">
        <v>-275.91000000000003</v>
      </c>
    </row>
    <row r="113" spans="1:9" x14ac:dyDescent="0.2">
      <c r="A113" s="293" t="s">
        <v>9967</v>
      </c>
      <c r="B113" s="293" t="s">
        <v>9924</v>
      </c>
      <c r="C113" s="293" t="s">
        <v>9925</v>
      </c>
      <c r="D113" s="293" t="s">
        <v>5774</v>
      </c>
      <c r="E113" s="293" t="s">
        <v>9925</v>
      </c>
      <c r="F113" s="293" t="s">
        <v>9968</v>
      </c>
      <c r="G113" s="293" t="s">
        <v>5591</v>
      </c>
      <c r="H113" s="294">
        <v>41912</v>
      </c>
      <c r="I113" s="295">
        <v>-21728.19</v>
      </c>
    </row>
    <row r="114" spans="1:9" x14ac:dyDescent="0.2">
      <c r="A114" s="293" t="s">
        <v>9967</v>
      </c>
      <c r="B114" s="293" t="s">
        <v>9924</v>
      </c>
      <c r="C114" s="293" t="s">
        <v>9925</v>
      </c>
      <c r="D114" s="293" t="s">
        <v>5774</v>
      </c>
      <c r="E114" s="293" t="s">
        <v>9925</v>
      </c>
      <c r="F114" s="293" t="s">
        <v>9968</v>
      </c>
      <c r="G114" s="293" t="s">
        <v>5589</v>
      </c>
      <c r="H114" s="294">
        <v>41912</v>
      </c>
      <c r="I114" s="295">
        <v>-6092.8</v>
      </c>
    </row>
    <row r="115" spans="1:9" x14ac:dyDescent="0.2">
      <c r="A115" s="293" t="s">
        <v>9969</v>
      </c>
      <c r="B115" s="293" t="s">
        <v>9924</v>
      </c>
      <c r="C115" s="293" t="s">
        <v>9925</v>
      </c>
      <c r="D115" s="293" t="s">
        <v>5774</v>
      </c>
      <c r="E115" s="293" t="s">
        <v>9925</v>
      </c>
      <c r="F115" s="293" t="s">
        <v>9970</v>
      </c>
      <c r="G115" s="293" t="s">
        <v>5589</v>
      </c>
      <c r="H115" s="294">
        <v>41943</v>
      </c>
      <c r="I115" s="295">
        <v>-6092.8</v>
      </c>
    </row>
    <row r="116" spans="1:9" x14ac:dyDescent="0.2">
      <c r="A116" s="293" t="s">
        <v>9969</v>
      </c>
      <c r="B116" s="293" t="s">
        <v>9924</v>
      </c>
      <c r="C116" s="293" t="s">
        <v>9925</v>
      </c>
      <c r="D116" s="293" t="s">
        <v>5774</v>
      </c>
      <c r="E116" s="293" t="s">
        <v>9925</v>
      </c>
      <c r="F116" s="293" t="s">
        <v>9970</v>
      </c>
      <c r="G116" s="293" t="s">
        <v>5591</v>
      </c>
      <c r="H116" s="294">
        <v>41943</v>
      </c>
      <c r="I116" s="295">
        <v>-21728.2</v>
      </c>
    </row>
    <row r="117" spans="1:9" x14ac:dyDescent="0.2">
      <c r="A117" s="293" t="s">
        <v>9969</v>
      </c>
      <c r="B117" s="293" t="s">
        <v>9924</v>
      </c>
      <c r="C117" s="293" t="s">
        <v>9925</v>
      </c>
      <c r="D117" s="293" t="s">
        <v>5774</v>
      </c>
      <c r="E117" s="293" t="s">
        <v>9925</v>
      </c>
      <c r="F117" s="293" t="s">
        <v>9970</v>
      </c>
      <c r="G117" s="293" t="s">
        <v>5754</v>
      </c>
      <c r="H117" s="294">
        <v>41943</v>
      </c>
      <c r="I117" s="295">
        <v>-275.91000000000003</v>
      </c>
    </row>
    <row r="118" spans="1:9" x14ac:dyDescent="0.2">
      <c r="A118" s="293" t="s">
        <v>9971</v>
      </c>
      <c r="B118" s="293" t="s">
        <v>9924</v>
      </c>
      <c r="C118" s="293" t="s">
        <v>9925</v>
      </c>
      <c r="D118" s="293" t="s">
        <v>5774</v>
      </c>
      <c r="E118" s="293" t="s">
        <v>9925</v>
      </c>
      <c r="F118" s="293" t="s">
        <v>9972</v>
      </c>
      <c r="G118" s="293" t="s">
        <v>5591</v>
      </c>
      <c r="H118" s="294">
        <v>41973</v>
      </c>
      <c r="I118" s="295">
        <v>-21728.2</v>
      </c>
    </row>
    <row r="119" spans="1:9" x14ac:dyDescent="0.2">
      <c r="A119" s="293" t="s">
        <v>9971</v>
      </c>
      <c r="B119" s="293" t="s">
        <v>9924</v>
      </c>
      <c r="C119" s="293" t="s">
        <v>9925</v>
      </c>
      <c r="D119" s="293" t="s">
        <v>5774</v>
      </c>
      <c r="E119" s="293" t="s">
        <v>9925</v>
      </c>
      <c r="F119" s="293" t="s">
        <v>9972</v>
      </c>
      <c r="G119" s="293" t="s">
        <v>5754</v>
      </c>
      <c r="H119" s="294">
        <v>41973</v>
      </c>
      <c r="I119" s="295">
        <v>-275.91000000000003</v>
      </c>
    </row>
    <row r="120" spans="1:9" x14ac:dyDescent="0.2">
      <c r="A120" s="293" t="s">
        <v>9971</v>
      </c>
      <c r="B120" s="293" t="s">
        <v>9924</v>
      </c>
      <c r="C120" s="293" t="s">
        <v>9925</v>
      </c>
      <c r="D120" s="293" t="s">
        <v>5774</v>
      </c>
      <c r="E120" s="293" t="s">
        <v>9925</v>
      </c>
      <c r="F120" s="293" t="s">
        <v>9972</v>
      </c>
      <c r="G120" s="293" t="s">
        <v>5589</v>
      </c>
      <c r="H120" s="294">
        <v>41973</v>
      </c>
      <c r="I120" s="295">
        <v>-6092.8</v>
      </c>
    </row>
    <row r="121" spans="1:9" x14ac:dyDescent="0.2">
      <c r="A121" s="293" t="s">
        <v>9973</v>
      </c>
      <c r="B121" s="293" t="s">
        <v>9924</v>
      </c>
      <c r="C121" s="293" t="s">
        <v>9925</v>
      </c>
      <c r="D121" s="293" t="s">
        <v>5774</v>
      </c>
      <c r="E121" s="293" t="s">
        <v>9925</v>
      </c>
      <c r="F121" s="293" t="s">
        <v>9974</v>
      </c>
      <c r="G121" s="293" t="s">
        <v>5754</v>
      </c>
      <c r="H121" s="294">
        <v>42004</v>
      </c>
      <c r="I121" s="295">
        <v>-275.91000000000003</v>
      </c>
    </row>
    <row r="122" spans="1:9" x14ac:dyDescent="0.2">
      <c r="A122" s="293" t="s">
        <v>9973</v>
      </c>
      <c r="B122" s="293" t="s">
        <v>9924</v>
      </c>
      <c r="C122" s="293" t="s">
        <v>9925</v>
      </c>
      <c r="D122" s="293" t="s">
        <v>5774</v>
      </c>
      <c r="E122" s="293" t="s">
        <v>9925</v>
      </c>
      <c r="F122" s="293" t="s">
        <v>9974</v>
      </c>
      <c r="G122" s="293" t="s">
        <v>5589</v>
      </c>
      <c r="H122" s="294">
        <v>42004</v>
      </c>
      <c r="I122" s="295">
        <v>-6092.8</v>
      </c>
    </row>
    <row r="123" spans="1:9" x14ac:dyDescent="0.2">
      <c r="A123" s="293" t="s">
        <v>9973</v>
      </c>
      <c r="B123" s="293" t="s">
        <v>9924</v>
      </c>
      <c r="C123" s="293" t="s">
        <v>9925</v>
      </c>
      <c r="D123" s="293" t="s">
        <v>5774</v>
      </c>
      <c r="E123" s="293" t="s">
        <v>9925</v>
      </c>
      <c r="F123" s="293" t="s">
        <v>9974</v>
      </c>
      <c r="G123" s="293" t="s">
        <v>5591</v>
      </c>
      <c r="H123" s="294">
        <v>42004</v>
      </c>
      <c r="I123" s="295">
        <v>-21728.2</v>
      </c>
    </row>
    <row r="124" spans="1:9" x14ac:dyDescent="0.2">
      <c r="A124" s="293" t="s">
        <v>9975</v>
      </c>
      <c r="B124" s="293" t="s">
        <v>9924</v>
      </c>
      <c r="C124" s="293" t="s">
        <v>9925</v>
      </c>
      <c r="D124" s="293" t="s">
        <v>5774</v>
      </c>
      <c r="E124" s="293" t="s">
        <v>9925</v>
      </c>
      <c r="F124" s="293" t="s">
        <v>9976</v>
      </c>
      <c r="G124" s="293" t="s">
        <v>5589</v>
      </c>
      <c r="H124" s="294">
        <v>42004</v>
      </c>
      <c r="I124" s="295">
        <v>-6092.8</v>
      </c>
    </row>
    <row r="125" spans="1:9" x14ac:dyDescent="0.2">
      <c r="A125" s="293" t="s">
        <v>9975</v>
      </c>
      <c r="B125" s="293" t="s">
        <v>9924</v>
      </c>
      <c r="C125" s="293" t="s">
        <v>9925</v>
      </c>
      <c r="D125" s="293" t="s">
        <v>5774</v>
      </c>
      <c r="E125" s="293" t="s">
        <v>9925</v>
      </c>
      <c r="F125" s="293" t="s">
        <v>9976</v>
      </c>
      <c r="G125" s="293" t="s">
        <v>5754</v>
      </c>
      <c r="H125" s="294">
        <v>42004</v>
      </c>
      <c r="I125" s="295">
        <v>-275.91000000000003</v>
      </c>
    </row>
    <row r="126" spans="1:9" x14ac:dyDescent="0.2">
      <c r="A126" s="293" t="s">
        <v>9975</v>
      </c>
      <c r="B126" s="293" t="s">
        <v>9924</v>
      </c>
      <c r="C126" s="293" t="s">
        <v>9925</v>
      </c>
      <c r="D126" s="293" t="s">
        <v>5774</v>
      </c>
      <c r="E126" s="293" t="s">
        <v>9925</v>
      </c>
      <c r="F126" s="293" t="s">
        <v>9976</v>
      </c>
      <c r="G126" s="293" t="s">
        <v>5591</v>
      </c>
      <c r="H126" s="294">
        <v>42004</v>
      </c>
      <c r="I126" s="295">
        <v>-21728.2</v>
      </c>
    </row>
    <row r="127" spans="1:9" x14ac:dyDescent="0.2">
      <c r="A127" s="293" t="s">
        <v>9977</v>
      </c>
      <c r="B127" s="293" t="s">
        <v>9924</v>
      </c>
      <c r="C127" s="293" t="s">
        <v>9939</v>
      </c>
      <c r="D127" s="293" t="s">
        <v>5774</v>
      </c>
      <c r="E127" s="293" t="s">
        <v>9939</v>
      </c>
      <c r="F127" s="293" t="s">
        <v>9976</v>
      </c>
      <c r="G127" s="293" t="s">
        <v>5591</v>
      </c>
      <c r="H127" s="294">
        <v>42004</v>
      </c>
      <c r="I127" s="295">
        <v>21728.2</v>
      </c>
    </row>
    <row r="128" spans="1:9" x14ac:dyDescent="0.2">
      <c r="A128" s="293" t="s">
        <v>9977</v>
      </c>
      <c r="B128" s="293" t="s">
        <v>9924</v>
      </c>
      <c r="C128" s="293" t="s">
        <v>9939</v>
      </c>
      <c r="D128" s="293" t="s">
        <v>5774</v>
      </c>
      <c r="E128" s="293" t="s">
        <v>9939</v>
      </c>
      <c r="F128" s="293" t="s">
        <v>9976</v>
      </c>
      <c r="G128" s="293" t="s">
        <v>5589</v>
      </c>
      <c r="H128" s="294">
        <v>42004</v>
      </c>
      <c r="I128" s="295">
        <v>6092.8</v>
      </c>
    </row>
    <row r="129" spans="1:9" x14ac:dyDescent="0.2">
      <c r="A129" s="293" t="s">
        <v>9977</v>
      </c>
      <c r="B129" s="293" t="s">
        <v>9924</v>
      </c>
      <c r="C129" s="293" t="s">
        <v>9939</v>
      </c>
      <c r="D129" s="293" t="s">
        <v>5774</v>
      </c>
      <c r="E129" s="293" t="s">
        <v>9939</v>
      </c>
      <c r="F129" s="293" t="s">
        <v>9976</v>
      </c>
      <c r="G129" s="293" t="s">
        <v>5754</v>
      </c>
      <c r="H129" s="294">
        <v>42004</v>
      </c>
      <c r="I129" s="295">
        <v>275.91000000000003</v>
      </c>
    </row>
    <row r="130" spans="1:9" x14ac:dyDescent="0.2">
      <c r="A130" s="293" t="s">
        <v>9978</v>
      </c>
      <c r="B130" s="293" t="s">
        <v>9924</v>
      </c>
      <c r="C130" s="293" t="s">
        <v>9925</v>
      </c>
      <c r="D130" s="293" t="s">
        <v>5774</v>
      </c>
      <c r="E130" s="293" t="s">
        <v>9925</v>
      </c>
      <c r="F130" s="293" t="s">
        <v>9979</v>
      </c>
      <c r="G130" s="293" t="s">
        <v>5591</v>
      </c>
      <c r="H130" s="294">
        <v>42035</v>
      </c>
      <c r="I130" s="295">
        <v>-21728.2</v>
      </c>
    </row>
    <row r="131" spans="1:9" x14ac:dyDescent="0.2">
      <c r="A131" s="293" t="s">
        <v>9978</v>
      </c>
      <c r="B131" s="293" t="s">
        <v>9924</v>
      </c>
      <c r="C131" s="293" t="s">
        <v>9925</v>
      </c>
      <c r="D131" s="293" t="s">
        <v>5774</v>
      </c>
      <c r="E131" s="293" t="s">
        <v>9925</v>
      </c>
      <c r="F131" s="293" t="s">
        <v>9979</v>
      </c>
      <c r="G131" s="293" t="s">
        <v>5754</v>
      </c>
      <c r="H131" s="294">
        <v>42035</v>
      </c>
      <c r="I131" s="295">
        <v>-275.91000000000003</v>
      </c>
    </row>
    <row r="132" spans="1:9" x14ac:dyDescent="0.2">
      <c r="A132" s="293" t="s">
        <v>9978</v>
      </c>
      <c r="B132" s="293" t="s">
        <v>9924</v>
      </c>
      <c r="C132" s="293" t="s">
        <v>9925</v>
      </c>
      <c r="D132" s="293" t="s">
        <v>5774</v>
      </c>
      <c r="E132" s="293" t="s">
        <v>9925</v>
      </c>
      <c r="F132" s="293" t="s">
        <v>9979</v>
      </c>
      <c r="G132" s="293" t="s">
        <v>5589</v>
      </c>
      <c r="H132" s="294">
        <v>42035</v>
      </c>
      <c r="I132" s="295">
        <v>-6092.8</v>
      </c>
    </row>
    <row r="133" spans="1:9" x14ac:dyDescent="0.2">
      <c r="A133" s="293" t="s">
        <v>9980</v>
      </c>
      <c r="B133" s="293" t="s">
        <v>9924</v>
      </c>
      <c r="C133" s="293" t="s">
        <v>9925</v>
      </c>
      <c r="D133" s="293" t="s">
        <v>5774</v>
      </c>
      <c r="E133" s="293" t="s">
        <v>9925</v>
      </c>
      <c r="F133" s="293" t="s">
        <v>9981</v>
      </c>
      <c r="G133" s="293" t="s">
        <v>5589</v>
      </c>
      <c r="H133" s="294">
        <v>42063</v>
      </c>
      <c r="I133" s="295">
        <v>-6092.8</v>
      </c>
    </row>
    <row r="134" spans="1:9" x14ac:dyDescent="0.2">
      <c r="A134" s="293" t="s">
        <v>9980</v>
      </c>
      <c r="B134" s="293" t="s">
        <v>9924</v>
      </c>
      <c r="C134" s="293" t="s">
        <v>9925</v>
      </c>
      <c r="D134" s="293" t="s">
        <v>5774</v>
      </c>
      <c r="E134" s="293" t="s">
        <v>9925</v>
      </c>
      <c r="F134" s="293" t="s">
        <v>9981</v>
      </c>
      <c r="G134" s="293" t="s">
        <v>5754</v>
      </c>
      <c r="H134" s="294">
        <v>42063</v>
      </c>
      <c r="I134" s="295">
        <v>-275.91000000000003</v>
      </c>
    </row>
    <row r="135" spans="1:9" x14ac:dyDescent="0.2">
      <c r="A135" s="293" t="s">
        <v>9980</v>
      </c>
      <c r="B135" s="293" t="s">
        <v>9924</v>
      </c>
      <c r="C135" s="293" t="s">
        <v>9925</v>
      </c>
      <c r="D135" s="293" t="s">
        <v>5774</v>
      </c>
      <c r="E135" s="293" t="s">
        <v>9925</v>
      </c>
      <c r="F135" s="293" t="s">
        <v>9981</v>
      </c>
      <c r="G135" s="293" t="s">
        <v>5591</v>
      </c>
      <c r="H135" s="294">
        <v>42063</v>
      </c>
      <c r="I135" s="295">
        <v>-21728.2</v>
      </c>
    </row>
    <row r="136" spans="1:9" x14ac:dyDescent="0.2">
      <c r="A136" s="293" t="s">
        <v>9982</v>
      </c>
      <c r="B136" s="293" t="s">
        <v>9924</v>
      </c>
      <c r="C136" s="293" t="s">
        <v>9925</v>
      </c>
      <c r="D136" s="293" t="s">
        <v>5774</v>
      </c>
      <c r="E136" s="293" t="s">
        <v>9925</v>
      </c>
      <c r="F136" s="293" t="s">
        <v>9983</v>
      </c>
      <c r="G136" s="293" t="s">
        <v>5754</v>
      </c>
      <c r="H136" s="294">
        <v>42094</v>
      </c>
      <c r="I136" s="295">
        <v>-275.91000000000003</v>
      </c>
    </row>
    <row r="137" spans="1:9" x14ac:dyDescent="0.2">
      <c r="A137" s="293" t="s">
        <v>9982</v>
      </c>
      <c r="B137" s="293" t="s">
        <v>9924</v>
      </c>
      <c r="C137" s="293" t="s">
        <v>9925</v>
      </c>
      <c r="D137" s="293" t="s">
        <v>5774</v>
      </c>
      <c r="E137" s="293" t="s">
        <v>9925</v>
      </c>
      <c r="F137" s="293" t="s">
        <v>9983</v>
      </c>
      <c r="G137" s="293" t="s">
        <v>5589</v>
      </c>
      <c r="H137" s="294">
        <v>42094</v>
      </c>
      <c r="I137" s="295">
        <v>-6092.8</v>
      </c>
    </row>
    <row r="138" spans="1:9" x14ac:dyDescent="0.2">
      <c r="A138" s="293" t="s">
        <v>9982</v>
      </c>
      <c r="B138" s="293" t="s">
        <v>9924</v>
      </c>
      <c r="C138" s="293" t="s">
        <v>9925</v>
      </c>
      <c r="D138" s="293" t="s">
        <v>5774</v>
      </c>
      <c r="E138" s="293" t="s">
        <v>9925</v>
      </c>
      <c r="F138" s="293" t="s">
        <v>9983</v>
      </c>
      <c r="G138" s="293" t="s">
        <v>5755</v>
      </c>
      <c r="H138" s="294">
        <v>42094</v>
      </c>
      <c r="I138" s="295">
        <v>-104690.67</v>
      </c>
    </row>
    <row r="139" spans="1:9" x14ac:dyDescent="0.2">
      <c r="A139" s="293" t="s">
        <v>9982</v>
      </c>
      <c r="B139" s="293" t="s">
        <v>9924</v>
      </c>
      <c r="C139" s="293" t="s">
        <v>9925</v>
      </c>
      <c r="D139" s="293" t="s">
        <v>5774</v>
      </c>
      <c r="E139" s="293" t="s">
        <v>9925</v>
      </c>
      <c r="F139" s="293" t="s">
        <v>9983</v>
      </c>
      <c r="G139" s="293" t="s">
        <v>5591</v>
      </c>
      <c r="H139" s="294">
        <v>42094</v>
      </c>
      <c r="I139" s="295">
        <v>-21728.2</v>
      </c>
    </row>
    <row r="140" spans="1:9" x14ac:dyDescent="0.2">
      <c r="A140" s="293" t="s">
        <v>9984</v>
      </c>
      <c r="B140" s="293" t="s">
        <v>9924</v>
      </c>
      <c r="C140" s="293" t="s">
        <v>9925</v>
      </c>
      <c r="D140" s="293" t="s">
        <v>5774</v>
      </c>
      <c r="E140" s="293" t="s">
        <v>9925</v>
      </c>
      <c r="F140" s="293" t="s">
        <v>9985</v>
      </c>
      <c r="G140" s="293" t="s">
        <v>5591</v>
      </c>
      <c r="H140" s="294">
        <v>42124</v>
      </c>
      <c r="I140" s="295">
        <v>-21728.2</v>
      </c>
    </row>
    <row r="141" spans="1:9" x14ac:dyDescent="0.2">
      <c r="A141" s="293" t="s">
        <v>9984</v>
      </c>
      <c r="B141" s="293" t="s">
        <v>9924</v>
      </c>
      <c r="C141" s="293" t="s">
        <v>9925</v>
      </c>
      <c r="D141" s="293" t="s">
        <v>5774</v>
      </c>
      <c r="E141" s="293" t="s">
        <v>9925</v>
      </c>
      <c r="F141" s="293" t="s">
        <v>9985</v>
      </c>
      <c r="G141" s="293" t="s">
        <v>5589</v>
      </c>
      <c r="H141" s="294">
        <v>42124</v>
      </c>
      <c r="I141" s="295">
        <v>-6092.8</v>
      </c>
    </row>
    <row r="142" spans="1:9" x14ac:dyDescent="0.2">
      <c r="A142" s="293" t="s">
        <v>9984</v>
      </c>
      <c r="B142" s="293" t="s">
        <v>9924</v>
      </c>
      <c r="C142" s="293" t="s">
        <v>9925</v>
      </c>
      <c r="D142" s="293" t="s">
        <v>5774</v>
      </c>
      <c r="E142" s="293" t="s">
        <v>9925</v>
      </c>
      <c r="F142" s="293" t="s">
        <v>9985</v>
      </c>
      <c r="G142" s="293" t="s">
        <v>5754</v>
      </c>
      <c r="H142" s="294">
        <v>42124</v>
      </c>
      <c r="I142" s="295">
        <v>-275.91000000000003</v>
      </c>
    </row>
    <row r="143" spans="1:9" x14ac:dyDescent="0.2">
      <c r="A143" s="293" t="s">
        <v>9984</v>
      </c>
      <c r="B143" s="293" t="s">
        <v>9924</v>
      </c>
      <c r="C143" s="293" t="s">
        <v>9925</v>
      </c>
      <c r="D143" s="293" t="s">
        <v>5774</v>
      </c>
      <c r="E143" s="293" t="s">
        <v>9925</v>
      </c>
      <c r="F143" s="293" t="s">
        <v>9985</v>
      </c>
      <c r="G143" s="293" t="s">
        <v>5755</v>
      </c>
      <c r="H143" s="294">
        <v>42124</v>
      </c>
      <c r="I143" s="295">
        <v>-609584.15</v>
      </c>
    </row>
    <row r="144" spans="1:9" x14ac:dyDescent="0.2">
      <c r="A144" s="293" t="s">
        <v>9986</v>
      </c>
      <c r="B144" s="293" t="s">
        <v>9924</v>
      </c>
      <c r="C144" s="293" t="s">
        <v>9925</v>
      </c>
      <c r="D144" s="293" t="s">
        <v>5774</v>
      </c>
      <c r="E144" s="293" t="s">
        <v>9925</v>
      </c>
      <c r="F144" s="293" t="s">
        <v>9987</v>
      </c>
      <c r="G144" s="293" t="s">
        <v>5754</v>
      </c>
      <c r="H144" s="294">
        <v>42155</v>
      </c>
      <c r="I144" s="295">
        <v>-275.91000000000003</v>
      </c>
    </row>
    <row r="145" spans="1:9" x14ac:dyDescent="0.2">
      <c r="A145" s="293" t="s">
        <v>9986</v>
      </c>
      <c r="B145" s="293" t="s">
        <v>9924</v>
      </c>
      <c r="C145" s="293" t="s">
        <v>9925</v>
      </c>
      <c r="D145" s="293" t="s">
        <v>5774</v>
      </c>
      <c r="E145" s="293" t="s">
        <v>9925</v>
      </c>
      <c r="F145" s="293" t="s">
        <v>9987</v>
      </c>
      <c r="G145" s="293" t="s">
        <v>5589</v>
      </c>
      <c r="H145" s="294">
        <v>42155</v>
      </c>
      <c r="I145" s="295">
        <v>-6092.8</v>
      </c>
    </row>
    <row r="146" spans="1:9" x14ac:dyDescent="0.2">
      <c r="A146" s="293" t="s">
        <v>9986</v>
      </c>
      <c r="B146" s="293" t="s">
        <v>9924</v>
      </c>
      <c r="C146" s="293" t="s">
        <v>9925</v>
      </c>
      <c r="D146" s="293" t="s">
        <v>5774</v>
      </c>
      <c r="E146" s="293" t="s">
        <v>9925</v>
      </c>
      <c r="F146" s="293" t="s">
        <v>9987</v>
      </c>
      <c r="G146" s="293" t="s">
        <v>5591</v>
      </c>
      <c r="H146" s="294">
        <v>42155</v>
      </c>
      <c r="I146" s="295">
        <v>-21728.2</v>
      </c>
    </row>
    <row r="147" spans="1:9" x14ac:dyDescent="0.2">
      <c r="A147" s="293" t="s">
        <v>9986</v>
      </c>
      <c r="B147" s="293" t="s">
        <v>9924</v>
      </c>
      <c r="C147" s="293" t="s">
        <v>9925</v>
      </c>
      <c r="D147" s="293" t="s">
        <v>5774</v>
      </c>
      <c r="E147" s="293" t="s">
        <v>9925</v>
      </c>
      <c r="F147" s="293" t="s">
        <v>9987</v>
      </c>
      <c r="G147" s="293" t="s">
        <v>5755</v>
      </c>
      <c r="H147" s="294">
        <v>42155</v>
      </c>
      <c r="I147" s="295">
        <v>-605735.19999999995</v>
      </c>
    </row>
    <row r="148" spans="1:9" x14ac:dyDescent="0.2">
      <c r="A148" s="293" t="s">
        <v>9988</v>
      </c>
      <c r="B148" s="293" t="s">
        <v>9924</v>
      </c>
      <c r="C148" s="293" t="s">
        <v>9925</v>
      </c>
      <c r="D148" s="293" t="s">
        <v>5774</v>
      </c>
      <c r="E148" s="293" t="s">
        <v>9925</v>
      </c>
      <c r="F148" s="293" t="s">
        <v>9989</v>
      </c>
      <c r="G148" s="293" t="s">
        <v>5589</v>
      </c>
      <c r="H148" s="294">
        <v>42185</v>
      </c>
      <c r="I148" s="295">
        <v>-6092.8</v>
      </c>
    </row>
    <row r="149" spans="1:9" x14ac:dyDescent="0.2">
      <c r="A149" s="293" t="s">
        <v>9988</v>
      </c>
      <c r="B149" s="293" t="s">
        <v>9924</v>
      </c>
      <c r="C149" s="293" t="s">
        <v>9925</v>
      </c>
      <c r="D149" s="293" t="s">
        <v>5774</v>
      </c>
      <c r="E149" s="293" t="s">
        <v>9925</v>
      </c>
      <c r="F149" s="293" t="s">
        <v>9989</v>
      </c>
      <c r="G149" s="293" t="s">
        <v>5754</v>
      </c>
      <c r="H149" s="294">
        <v>42185</v>
      </c>
      <c r="I149" s="295">
        <v>-275.91000000000003</v>
      </c>
    </row>
    <row r="150" spans="1:9" x14ac:dyDescent="0.2">
      <c r="A150" s="293" t="s">
        <v>9988</v>
      </c>
      <c r="B150" s="293" t="s">
        <v>9924</v>
      </c>
      <c r="C150" s="293" t="s">
        <v>9925</v>
      </c>
      <c r="D150" s="293" t="s">
        <v>5774</v>
      </c>
      <c r="E150" s="293" t="s">
        <v>9925</v>
      </c>
      <c r="F150" s="293" t="s">
        <v>9989</v>
      </c>
      <c r="G150" s="293" t="s">
        <v>5755</v>
      </c>
      <c r="H150" s="294">
        <v>42185</v>
      </c>
      <c r="I150" s="295">
        <v>3666.7</v>
      </c>
    </row>
    <row r="151" spans="1:9" x14ac:dyDescent="0.2">
      <c r="A151" s="293" t="s">
        <v>9988</v>
      </c>
      <c r="B151" s="293" t="s">
        <v>9924</v>
      </c>
      <c r="C151" s="293" t="s">
        <v>9925</v>
      </c>
      <c r="D151" s="293" t="s">
        <v>5774</v>
      </c>
      <c r="E151" s="293" t="s">
        <v>9925</v>
      </c>
      <c r="F151" s="293" t="s">
        <v>9989</v>
      </c>
      <c r="G151" s="293" t="s">
        <v>5591</v>
      </c>
      <c r="H151" s="294">
        <v>42185</v>
      </c>
      <c r="I151" s="295">
        <v>-21728.2</v>
      </c>
    </row>
    <row r="152" spans="1:9" x14ac:dyDescent="0.2">
      <c r="A152" s="293" t="s">
        <v>9990</v>
      </c>
      <c r="B152" s="293" t="s">
        <v>9924</v>
      </c>
      <c r="C152" s="293" t="s">
        <v>9925</v>
      </c>
      <c r="D152" s="293" t="s">
        <v>5774</v>
      </c>
      <c r="E152" s="293" t="s">
        <v>9925</v>
      </c>
      <c r="F152" s="293" t="s">
        <v>9991</v>
      </c>
      <c r="G152" s="293" t="s">
        <v>5754</v>
      </c>
      <c r="H152" s="294">
        <v>42216</v>
      </c>
      <c r="I152" s="295">
        <v>-275.91000000000003</v>
      </c>
    </row>
    <row r="153" spans="1:9" x14ac:dyDescent="0.2">
      <c r="A153" s="293" t="s">
        <v>9990</v>
      </c>
      <c r="B153" s="293" t="s">
        <v>9924</v>
      </c>
      <c r="C153" s="293" t="s">
        <v>9925</v>
      </c>
      <c r="D153" s="293" t="s">
        <v>5774</v>
      </c>
      <c r="E153" s="293" t="s">
        <v>9925</v>
      </c>
      <c r="F153" s="293" t="s">
        <v>9991</v>
      </c>
      <c r="G153" s="293" t="s">
        <v>5589</v>
      </c>
      <c r="H153" s="294">
        <v>42216</v>
      </c>
      <c r="I153" s="295">
        <v>-6092.8</v>
      </c>
    </row>
    <row r="154" spans="1:9" x14ac:dyDescent="0.2">
      <c r="A154" s="293" t="s">
        <v>9990</v>
      </c>
      <c r="B154" s="293" t="s">
        <v>9924</v>
      </c>
      <c r="C154" s="293" t="s">
        <v>9925</v>
      </c>
      <c r="D154" s="293" t="s">
        <v>5774</v>
      </c>
      <c r="E154" s="293" t="s">
        <v>9925</v>
      </c>
      <c r="F154" s="293" t="s">
        <v>9991</v>
      </c>
      <c r="G154" s="293" t="s">
        <v>5755</v>
      </c>
      <c r="H154" s="294">
        <v>42216</v>
      </c>
      <c r="I154" s="295">
        <v>3666.7</v>
      </c>
    </row>
    <row r="155" spans="1:9" x14ac:dyDescent="0.2">
      <c r="A155" s="293" t="s">
        <v>9990</v>
      </c>
      <c r="B155" s="293" t="s">
        <v>9924</v>
      </c>
      <c r="C155" s="293" t="s">
        <v>9925</v>
      </c>
      <c r="D155" s="293" t="s">
        <v>5774</v>
      </c>
      <c r="E155" s="293" t="s">
        <v>9925</v>
      </c>
      <c r="F155" s="293" t="s">
        <v>9991</v>
      </c>
      <c r="G155" s="293" t="s">
        <v>5591</v>
      </c>
      <c r="H155" s="294">
        <v>42216</v>
      </c>
      <c r="I155" s="295">
        <v>-21728.2</v>
      </c>
    </row>
    <row r="156" spans="1:9" x14ac:dyDescent="0.2">
      <c r="A156" s="293" t="s">
        <v>9992</v>
      </c>
      <c r="B156" s="293" t="s">
        <v>9924</v>
      </c>
      <c r="C156" s="293" t="s">
        <v>9925</v>
      </c>
      <c r="D156" s="293" t="s">
        <v>5774</v>
      </c>
      <c r="E156" s="293" t="s">
        <v>9925</v>
      </c>
      <c r="F156" s="293" t="s">
        <v>9993</v>
      </c>
      <c r="G156" s="293" t="s">
        <v>5754</v>
      </c>
      <c r="H156" s="294">
        <v>42247</v>
      </c>
      <c r="I156" s="295">
        <v>-275.91000000000003</v>
      </c>
    </row>
    <row r="157" spans="1:9" x14ac:dyDescent="0.2">
      <c r="A157" s="293" t="s">
        <v>9992</v>
      </c>
      <c r="B157" s="293" t="s">
        <v>9924</v>
      </c>
      <c r="C157" s="293" t="s">
        <v>9925</v>
      </c>
      <c r="D157" s="293" t="s">
        <v>5774</v>
      </c>
      <c r="E157" s="293" t="s">
        <v>9925</v>
      </c>
      <c r="F157" s="293" t="s">
        <v>9993</v>
      </c>
      <c r="G157" s="293" t="s">
        <v>5589</v>
      </c>
      <c r="H157" s="294">
        <v>42247</v>
      </c>
      <c r="I157" s="295">
        <v>-6092.8</v>
      </c>
    </row>
    <row r="158" spans="1:9" x14ac:dyDescent="0.2">
      <c r="A158" s="293" t="s">
        <v>9992</v>
      </c>
      <c r="B158" s="293" t="s">
        <v>9924</v>
      </c>
      <c r="C158" s="293" t="s">
        <v>9925</v>
      </c>
      <c r="D158" s="293" t="s">
        <v>5774</v>
      </c>
      <c r="E158" s="293" t="s">
        <v>9925</v>
      </c>
      <c r="F158" s="293" t="s">
        <v>9993</v>
      </c>
      <c r="G158" s="293" t="s">
        <v>5591</v>
      </c>
      <c r="H158" s="294">
        <v>42247</v>
      </c>
      <c r="I158" s="295">
        <v>-21728.2</v>
      </c>
    </row>
    <row r="159" spans="1:9" x14ac:dyDescent="0.2">
      <c r="A159" s="293" t="s">
        <v>9992</v>
      </c>
      <c r="B159" s="293" t="s">
        <v>9924</v>
      </c>
      <c r="C159" s="293" t="s">
        <v>9925</v>
      </c>
      <c r="D159" s="293" t="s">
        <v>5774</v>
      </c>
      <c r="E159" s="293" t="s">
        <v>9925</v>
      </c>
      <c r="F159" s="293" t="s">
        <v>9993</v>
      </c>
      <c r="G159" s="293" t="s">
        <v>5755</v>
      </c>
      <c r="H159" s="294">
        <v>42247</v>
      </c>
      <c r="I159" s="295">
        <v>3666.7</v>
      </c>
    </row>
    <row r="160" spans="1:9" x14ac:dyDescent="0.2">
      <c r="A160" s="293" t="s">
        <v>9994</v>
      </c>
      <c r="B160" s="293" t="s">
        <v>9924</v>
      </c>
      <c r="C160" s="293" t="s">
        <v>9925</v>
      </c>
      <c r="D160" s="293" t="s">
        <v>5774</v>
      </c>
      <c r="E160" s="293" t="s">
        <v>9925</v>
      </c>
      <c r="F160" s="293" t="s">
        <v>9995</v>
      </c>
      <c r="G160" s="293" t="s">
        <v>5591</v>
      </c>
      <c r="H160" s="294">
        <v>42277</v>
      </c>
      <c r="I160" s="295">
        <v>-21728.21</v>
      </c>
    </row>
    <row r="161" spans="1:9" x14ac:dyDescent="0.2">
      <c r="A161" s="293" t="s">
        <v>9994</v>
      </c>
      <c r="B161" s="293" t="s">
        <v>9924</v>
      </c>
      <c r="C161" s="293" t="s">
        <v>9925</v>
      </c>
      <c r="D161" s="293" t="s">
        <v>5774</v>
      </c>
      <c r="E161" s="293" t="s">
        <v>9925</v>
      </c>
      <c r="F161" s="293" t="s">
        <v>9995</v>
      </c>
      <c r="G161" s="293" t="s">
        <v>5754</v>
      </c>
      <c r="H161" s="294">
        <v>42277</v>
      </c>
      <c r="I161" s="295">
        <v>-275.91000000000003</v>
      </c>
    </row>
    <row r="162" spans="1:9" x14ac:dyDescent="0.2">
      <c r="A162" s="293" t="s">
        <v>9994</v>
      </c>
      <c r="B162" s="293" t="s">
        <v>9924</v>
      </c>
      <c r="C162" s="293" t="s">
        <v>9925</v>
      </c>
      <c r="D162" s="293" t="s">
        <v>5774</v>
      </c>
      <c r="E162" s="293" t="s">
        <v>9925</v>
      </c>
      <c r="F162" s="293" t="s">
        <v>9995</v>
      </c>
      <c r="G162" s="293" t="s">
        <v>5589</v>
      </c>
      <c r="H162" s="294">
        <v>42277</v>
      </c>
      <c r="I162" s="295">
        <v>-6092.8</v>
      </c>
    </row>
    <row r="163" spans="1:9" x14ac:dyDescent="0.2">
      <c r="A163" s="293" t="s">
        <v>9994</v>
      </c>
      <c r="B163" s="293" t="s">
        <v>9924</v>
      </c>
      <c r="C163" s="293" t="s">
        <v>9925</v>
      </c>
      <c r="D163" s="293" t="s">
        <v>5774</v>
      </c>
      <c r="E163" s="293" t="s">
        <v>9925</v>
      </c>
      <c r="F163" s="293" t="s">
        <v>9995</v>
      </c>
      <c r="G163" s="293" t="s">
        <v>5755</v>
      </c>
      <c r="H163" s="294">
        <v>42277</v>
      </c>
      <c r="I163" s="295">
        <v>3666.7</v>
      </c>
    </row>
    <row r="164" spans="1:9" x14ac:dyDescent="0.2">
      <c r="A164" s="293" t="s">
        <v>9996</v>
      </c>
      <c r="B164" s="293" t="s">
        <v>9924</v>
      </c>
      <c r="C164" s="293" t="s">
        <v>9925</v>
      </c>
      <c r="D164" s="293" t="s">
        <v>5774</v>
      </c>
      <c r="E164" s="293" t="s">
        <v>9925</v>
      </c>
      <c r="F164" s="293" t="s">
        <v>9997</v>
      </c>
      <c r="G164" s="293" t="s">
        <v>5755</v>
      </c>
      <c r="H164" s="294">
        <v>42308</v>
      </c>
      <c r="I164" s="295">
        <v>3666.7</v>
      </c>
    </row>
    <row r="165" spans="1:9" x14ac:dyDescent="0.2">
      <c r="A165" s="293" t="s">
        <v>9996</v>
      </c>
      <c r="B165" s="293" t="s">
        <v>9924</v>
      </c>
      <c r="C165" s="293" t="s">
        <v>9925</v>
      </c>
      <c r="D165" s="293" t="s">
        <v>5774</v>
      </c>
      <c r="E165" s="293" t="s">
        <v>9925</v>
      </c>
      <c r="F165" s="293" t="s">
        <v>9997</v>
      </c>
      <c r="G165" s="293" t="s">
        <v>5591</v>
      </c>
      <c r="H165" s="294">
        <v>42308</v>
      </c>
      <c r="I165" s="295">
        <v>-21728.2</v>
      </c>
    </row>
    <row r="166" spans="1:9" x14ac:dyDescent="0.2">
      <c r="A166" s="293" t="s">
        <v>9996</v>
      </c>
      <c r="B166" s="293" t="s">
        <v>9924</v>
      </c>
      <c r="C166" s="293" t="s">
        <v>9925</v>
      </c>
      <c r="D166" s="293" t="s">
        <v>5774</v>
      </c>
      <c r="E166" s="293" t="s">
        <v>9925</v>
      </c>
      <c r="F166" s="293" t="s">
        <v>9997</v>
      </c>
      <c r="G166" s="293" t="s">
        <v>5589</v>
      </c>
      <c r="H166" s="294">
        <v>42308</v>
      </c>
      <c r="I166" s="295">
        <v>-6092.8</v>
      </c>
    </row>
    <row r="167" spans="1:9" x14ac:dyDescent="0.2">
      <c r="A167" s="293" t="s">
        <v>9996</v>
      </c>
      <c r="B167" s="293" t="s">
        <v>9924</v>
      </c>
      <c r="C167" s="293" t="s">
        <v>9925</v>
      </c>
      <c r="D167" s="293" t="s">
        <v>5774</v>
      </c>
      <c r="E167" s="293" t="s">
        <v>9925</v>
      </c>
      <c r="F167" s="293" t="s">
        <v>9997</v>
      </c>
      <c r="G167" s="293" t="s">
        <v>5754</v>
      </c>
      <c r="H167" s="294">
        <v>42308</v>
      </c>
      <c r="I167" s="295">
        <v>-275.91000000000003</v>
      </c>
    </row>
    <row r="168" spans="1:9" x14ac:dyDescent="0.2">
      <c r="A168" s="293" t="s">
        <v>9998</v>
      </c>
      <c r="B168" s="293" t="s">
        <v>9924</v>
      </c>
      <c r="C168" s="293" t="s">
        <v>9925</v>
      </c>
      <c r="D168" s="293" t="s">
        <v>5774</v>
      </c>
      <c r="E168" s="293" t="s">
        <v>9925</v>
      </c>
      <c r="F168" s="293" t="s">
        <v>9999</v>
      </c>
      <c r="G168" s="293" t="s">
        <v>5755</v>
      </c>
      <c r="H168" s="294">
        <v>42338</v>
      </c>
      <c r="I168" s="295">
        <v>3666.7</v>
      </c>
    </row>
    <row r="169" spans="1:9" x14ac:dyDescent="0.2">
      <c r="A169" s="293" t="s">
        <v>9998</v>
      </c>
      <c r="B169" s="293" t="s">
        <v>9924</v>
      </c>
      <c r="C169" s="293" t="s">
        <v>9925</v>
      </c>
      <c r="D169" s="293" t="s">
        <v>5774</v>
      </c>
      <c r="E169" s="293" t="s">
        <v>9925</v>
      </c>
      <c r="F169" s="293" t="s">
        <v>9999</v>
      </c>
      <c r="G169" s="293" t="s">
        <v>5591</v>
      </c>
      <c r="H169" s="294">
        <v>42338</v>
      </c>
      <c r="I169" s="295">
        <v>-21728.21</v>
      </c>
    </row>
    <row r="170" spans="1:9" x14ac:dyDescent="0.2">
      <c r="A170" s="293" t="s">
        <v>9998</v>
      </c>
      <c r="B170" s="293" t="s">
        <v>9924</v>
      </c>
      <c r="C170" s="293" t="s">
        <v>9925</v>
      </c>
      <c r="D170" s="293" t="s">
        <v>5774</v>
      </c>
      <c r="E170" s="293" t="s">
        <v>9925</v>
      </c>
      <c r="F170" s="293" t="s">
        <v>9999</v>
      </c>
      <c r="G170" s="293" t="s">
        <v>5589</v>
      </c>
      <c r="H170" s="294">
        <v>42338</v>
      </c>
      <c r="I170" s="295">
        <v>-6092.8</v>
      </c>
    </row>
    <row r="171" spans="1:9" x14ac:dyDescent="0.2">
      <c r="A171" s="293" t="s">
        <v>9998</v>
      </c>
      <c r="B171" s="293" t="s">
        <v>9924</v>
      </c>
      <c r="C171" s="293" t="s">
        <v>9925</v>
      </c>
      <c r="D171" s="293" t="s">
        <v>5774</v>
      </c>
      <c r="E171" s="293" t="s">
        <v>9925</v>
      </c>
      <c r="F171" s="293" t="s">
        <v>9999</v>
      </c>
      <c r="G171" s="293" t="s">
        <v>5754</v>
      </c>
      <c r="H171" s="294">
        <v>42338</v>
      </c>
      <c r="I171" s="295">
        <v>-275.91000000000003</v>
      </c>
    </row>
    <row r="172" spans="1:9" x14ac:dyDescent="0.2">
      <c r="A172" s="293" t="s">
        <v>10000</v>
      </c>
      <c r="B172" s="293" t="s">
        <v>9924</v>
      </c>
      <c r="C172" s="293" t="s">
        <v>9925</v>
      </c>
      <c r="D172" s="293" t="s">
        <v>5774</v>
      </c>
      <c r="E172" s="293" t="s">
        <v>9925</v>
      </c>
      <c r="F172" s="293" t="s">
        <v>10001</v>
      </c>
      <c r="G172" s="293" t="s">
        <v>5591</v>
      </c>
      <c r="H172" s="294">
        <v>42369</v>
      </c>
      <c r="I172" s="295">
        <v>-21728.2</v>
      </c>
    </row>
    <row r="173" spans="1:9" x14ac:dyDescent="0.2">
      <c r="A173" s="293" t="s">
        <v>10000</v>
      </c>
      <c r="B173" s="293" t="s">
        <v>9924</v>
      </c>
      <c r="C173" s="293" t="s">
        <v>9925</v>
      </c>
      <c r="D173" s="293" t="s">
        <v>5774</v>
      </c>
      <c r="E173" s="293" t="s">
        <v>9925</v>
      </c>
      <c r="F173" s="293" t="s">
        <v>10001</v>
      </c>
      <c r="G173" s="293" t="s">
        <v>5589</v>
      </c>
      <c r="H173" s="294">
        <v>42369</v>
      </c>
      <c r="I173" s="295">
        <v>-6092.8</v>
      </c>
    </row>
    <row r="174" spans="1:9" x14ac:dyDescent="0.2">
      <c r="A174" s="293" t="s">
        <v>10000</v>
      </c>
      <c r="B174" s="293" t="s">
        <v>9924</v>
      </c>
      <c r="C174" s="293" t="s">
        <v>9925</v>
      </c>
      <c r="D174" s="293" t="s">
        <v>5774</v>
      </c>
      <c r="E174" s="293" t="s">
        <v>9925</v>
      </c>
      <c r="F174" s="293" t="s">
        <v>10001</v>
      </c>
      <c r="G174" s="293" t="s">
        <v>5754</v>
      </c>
      <c r="H174" s="294">
        <v>42369</v>
      </c>
      <c r="I174" s="295">
        <v>-275.91000000000003</v>
      </c>
    </row>
    <row r="175" spans="1:9" x14ac:dyDescent="0.2">
      <c r="A175" s="293" t="s">
        <v>10000</v>
      </c>
      <c r="B175" s="293" t="s">
        <v>9924</v>
      </c>
      <c r="C175" s="293" t="s">
        <v>9925</v>
      </c>
      <c r="D175" s="293" t="s">
        <v>5774</v>
      </c>
      <c r="E175" s="293" t="s">
        <v>9925</v>
      </c>
      <c r="F175" s="293" t="s">
        <v>10001</v>
      </c>
      <c r="G175" s="293" t="s">
        <v>5755</v>
      </c>
      <c r="H175" s="294">
        <v>42369</v>
      </c>
      <c r="I175" s="295">
        <v>3666.7</v>
      </c>
    </row>
    <row r="176" spans="1:9" x14ac:dyDescent="0.2">
      <c r="A176" s="293" t="s">
        <v>10002</v>
      </c>
      <c r="B176" s="293" t="s">
        <v>9924</v>
      </c>
      <c r="C176" s="293" t="s">
        <v>9925</v>
      </c>
      <c r="D176" s="293" t="s">
        <v>5774</v>
      </c>
      <c r="E176" s="293" t="s">
        <v>9925</v>
      </c>
      <c r="F176" s="293" t="s">
        <v>10003</v>
      </c>
      <c r="G176" s="293" t="s">
        <v>5754</v>
      </c>
      <c r="H176" s="294">
        <v>42369</v>
      </c>
      <c r="I176" s="295">
        <v>-275.91000000000003</v>
      </c>
    </row>
    <row r="177" spans="1:9" x14ac:dyDescent="0.2">
      <c r="A177" s="293" t="s">
        <v>10002</v>
      </c>
      <c r="B177" s="293" t="s">
        <v>9924</v>
      </c>
      <c r="C177" s="293" t="s">
        <v>9925</v>
      </c>
      <c r="D177" s="293" t="s">
        <v>5774</v>
      </c>
      <c r="E177" s="293" t="s">
        <v>9925</v>
      </c>
      <c r="F177" s="293" t="s">
        <v>10003</v>
      </c>
      <c r="G177" s="293" t="s">
        <v>5755</v>
      </c>
      <c r="H177" s="294">
        <v>42369</v>
      </c>
      <c r="I177" s="295">
        <v>3666.7</v>
      </c>
    </row>
    <row r="178" spans="1:9" x14ac:dyDescent="0.2">
      <c r="A178" s="293" t="s">
        <v>10002</v>
      </c>
      <c r="B178" s="293" t="s">
        <v>9924</v>
      </c>
      <c r="C178" s="293" t="s">
        <v>9925</v>
      </c>
      <c r="D178" s="293" t="s">
        <v>5774</v>
      </c>
      <c r="E178" s="293" t="s">
        <v>9925</v>
      </c>
      <c r="F178" s="293" t="s">
        <v>10003</v>
      </c>
      <c r="G178" s="293" t="s">
        <v>5591</v>
      </c>
      <c r="H178" s="294">
        <v>42369</v>
      </c>
      <c r="I178" s="295">
        <v>-21728.2</v>
      </c>
    </row>
    <row r="179" spans="1:9" x14ac:dyDescent="0.2">
      <c r="A179" s="293" t="s">
        <v>10002</v>
      </c>
      <c r="B179" s="293" t="s">
        <v>9924</v>
      </c>
      <c r="C179" s="293" t="s">
        <v>9925</v>
      </c>
      <c r="D179" s="293" t="s">
        <v>5774</v>
      </c>
      <c r="E179" s="293" t="s">
        <v>9925</v>
      </c>
      <c r="F179" s="293" t="s">
        <v>10003</v>
      </c>
      <c r="G179" s="293" t="s">
        <v>5589</v>
      </c>
      <c r="H179" s="294">
        <v>42369</v>
      </c>
      <c r="I179" s="295">
        <v>-6092.8</v>
      </c>
    </row>
    <row r="180" spans="1:9" x14ac:dyDescent="0.2">
      <c r="A180" s="293" t="s">
        <v>10004</v>
      </c>
      <c r="B180" s="293" t="s">
        <v>9924</v>
      </c>
      <c r="C180" s="293" t="s">
        <v>9939</v>
      </c>
      <c r="D180" s="293" t="s">
        <v>5774</v>
      </c>
      <c r="E180" s="293" t="s">
        <v>9939</v>
      </c>
      <c r="F180" s="293" t="s">
        <v>10003</v>
      </c>
      <c r="G180" s="293" t="s">
        <v>5755</v>
      </c>
      <c r="H180" s="294">
        <v>42369</v>
      </c>
      <c r="I180" s="295">
        <v>-3666.7</v>
      </c>
    </row>
    <row r="181" spans="1:9" x14ac:dyDescent="0.2">
      <c r="A181" s="293" t="s">
        <v>10004</v>
      </c>
      <c r="B181" s="293" t="s">
        <v>9924</v>
      </c>
      <c r="C181" s="293" t="s">
        <v>9939</v>
      </c>
      <c r="D181" s="293" t="s">
        <v>5774</v>
      </c>
      <c r="E181" s="293" t="s">
        <v>9939</v>
      </c>
      <c r="F181" s="293" t="s">
        <v>10003</v>
      </c>
      <c r="G181" s="293" t="s">
        <v>5754</v>
      </c>
      <c r="H181" s="294">
        <v>42369</v>
      </c>
      <c r="I181" s="295">
        <v>275.91000000000003</v>
      </c>
    </row>
    <row r="182" spans="1:9" x14ac:dyDescent="0.2">
      <c r="A182" s="293" t="s">
        <v>10004</v>
      </c>
      <c r="B182" s="293" t="s">
        <v>9924</v>
      </c>
      <c r="C182" s="293" t="s">
        <v>9939</v>
      </c>
      <c r="D182" s="293" t="s">
        <v>5774</v>
      </c>
      <c r="E182" s="293" t="s">
        <v>9939</v>
      </c>
      <c r="F182" s="293" t="s">
        <v>10003</v>
      </c>
      <c r="G182" s="293" t="s">
        <v>5591</v>
      </c>
      <c r="H182" s="294">
        <v>42369</v>
      </c>
      <c r="I182" s="295">
        <v>21728.2</v>
      </c>
    </row>
    <row r="183" spans="1:9" x14ac:dyDescent="0.2">
      <c r="A183" s="293" t="s">
        <v>10004</v>
      </c>
      <c r="B183" s="293" t="s">
        <v>9924</v>
      </c>
      <c r="C183" s="293" t="s">
        <v>9939</v>
      </c>
      <c r="D183" s="293" t="s">
        <v>5774</v>
      </c>
      <c r="E183" s="293" t="s">
        <v>9939</v>
      </c>
      <c r="F183" s="293" t="s">
        <v>10003</v>
      </c>
      <c r="G183" s="293" t="s">
        <v>5589</v>
      </c>
      <c r="H183" s="294">
        <v>42369</v>
      </c>
      <c r="I183" s="295">
        <v>6092.8</v>
      </c>
    </row>
    <row r="184" spans="1:9" x14ac:dyDescent="0.2">
      <c r="A184" s="293" t="s">
        <v>10005</v>
      </c>
      <c r="B184" s="293" t="s">
        <v>9924</v>
      </c>
      <c r="C184" s="293" t="s">
        <v>9925</v>
      </c>
      <c r="D184" s="293" t="s">
        <v>5774</v>
      </c>
      <c r="E184" s="293" t="s">
        <v>9925</v>
      </c>
      <c r="F184" s="293" t="s">
        <v>10006</v>
      </c>
      <c r="G184" s="293" t="s">
        <v>5754</v>
      </c>
      <c r="H184" s="294">
        <v>42369</v>
      </c>
      <c r="I184" s="295">
        <v>-275.91000000000003</v>
      </c>
    </row>
    <row r="185" spans="1:9" x14ac:dyDescent="0.2">
      <c r="A185" s="293" t="s">
        <v>10005</v>
      </c>
      <c r="B185" s="293" t="s">
        <v>9924</v>
      </c>
      <c r="C185" s="293" t="s">
        <v>9925</v>
      </c>
      <c r="D185" s="293" t="s">
        <v>5774</v>
      </c>
      <c r="E185" s="293" t="s">
        <v>9925</v>
      </c>
      <c r="F185" s="293" t="s">
        <v>10006</v>
      </c>
      <c r="G185" s="293" t="s">
        <v>5589</v>
      </c>
      <c r="H185" s="294">
        <v>42369</v>
      </c>
      <c r="I185" s="295">
        <v>-6092.8</v>
      </c>
    </row>
    <row r="186" spans="1:9" x14ac:dyDescent="0.2">
      <c r="A186" s="293" t="s">
        <v>10005</v>
      </c>
      <c r="B186" s="293" t="s">
        <v>9924</v>
      </c>
      <c r="C186" s="293" t="s">
        <v>9925</v>
      </c>
      <c r="D186" s="293" t="s">
        <v>5774</v>
      </c>
      <c r="E186" s="293" t="s">
        <v>9925</v>
      </c>
      <c r="F186" s="293" t="s">
        <v>10006</v>
      </c>
      <c r="G186" s="293" t="s">
        <v>5591</v>
      </c>
      <c r="H186" s="294">
        <v>42369</v>
      </c>
      <c r="I186" s="295">
        <v>-21728.2</v>
      </c>
    </row>
    <row r="187" spans="1:9" x14ac:dyDescent="0.2">
      <c r="A187" s="293" t="s">
        <v>10005</v>
      </c>
      <c r="B187" s="293" t="s">
        <v>9924</v>
      </c>
      <c r="C187" s="293" t="s">
        <v>9925</v>
      </c>
      <c r="D187" s="293" t="s">
        <v>5774</v>
      </c>
      <c r="E187" s="293" t="s">
        <v>9925</v>
      </c>
      <c r="F187" s="293" t="s">
        <v>10006</v>
      </c>
      <c r="G187" s="293" t="s">
        <v>5755</v>
      </c>
      <c r="H187" s="294">
        <v>42369</v>
      </c>
      <c r="I187" s="295">
        <v>3666.7</v>
      </c>
    </row>
    <row r="188" spans="1:9" x14ac:dyDescent="0.2">
      <c r="A188" s="293" t="s">
        <v>10007</v>
      </c>
      <c r="B188" s="293" t="s">
        <v>9924</v>
      </c>
      <c r="C188" s="293" t="s">
        <v>9939</v>
      </c>
      <c r="D188" s="293" t="s">
        <v>5774</v>
      </c>
      <c r="E188" s="293" t="s">
        <v>9939</v>
      </c>
      <c r="F188" s="293" t="s">
        <v>10006</v>
      </c>
      <c r="G188" s="293" t="s">
        <v>5755</v>
      </c>
      <c r="H188" s="294">
        <v>42369</v>
      </c>
      <c r="I188" s="295">
        <v>-3666.7</v>
      </c>
    </row>
    <row r="189" spans="1:9" x14ac:dyDescent="0.2">
      <c r="A189" s="293" t="s">
        <v>10007</v>
      </c>
      <c r="B189" s="293" t="s">
        <v>9924</v>
      </c>
      <c r="C189" s="293" t="s">
        <v>9939</v>
      </c>
      <c r="D189" s="293" t="s">
        <v>5774</v>
      </c>
      <c r="E189" s="293" t="s">
        <v>9939</v>
      </c>
      <c r="F189" s="293" t="s">
        <v>10006</v>
      </c>
      <c r="G189" s="293" t="s">
        <v>5754</v>
      </c>
      <c r="H189" s="294">
        <v>42369</v>
      </c>
      <c r="I189" s="295">
        <v>275.91000000000003</v>
      </c>
    </row>
    <row r="190" spans="1:9" x14ac:dyDescent="0.2">
      <c r="A190" s="293" t="s">
        <v>10007</v>
      </c>
      <c r="B190" s="293" t="s">
        <v>9924</v>
      </c>
      <c r="C190" s="293" t="s">
        <v>9939</v>
      </c>
      <c r="D190" s="293" t="s">
        <v>5774</v>
      </c>
      <c r="E190" s="293" t="s">
        <v>9939</v>
      </c>
      <c r="F190" s="293" t="s">
        <v>10006</v>
      </c>
      <c r="G190" s="293" t="s">
        <v>5589</v>
      </c>
      <c r="H190" s="294">
        <v>42369</v>
      </c>
      <c r="I190" s="295">
        <v>6092.8</v>
      </c>
    </row>
    <row r="191" spans="1:9" x14ac:dyDescent="0.2">
      <c r="A191" s="293" t="s">
        <v>10007</v>
      </c>
      <c r="B191" s="293" t="s">
        <v>9924</v>
      </c>
      <c r="C191" s="293" t="s">
        <v>9939</v>
      </c>
      <c r="D191" s="293" t="s">
        <v>5774</v>
      </c>
      <c r="E191" s="293" t="s">
        <v>9939</v>
      </c>
      <c r="F191" s="293" t="s">
        <v>10006</v>
      </c>
      <c r="G191" s="293" t="s">
        <v>5591</v>
      </c>
      <c r="H191" s="294">
        <v>42369</v>
      </c>
      <c r="I191" s="295">
        <v>21728.2</v>
      </c>
    </row>
    <row r="192" spans="1:9" x14ac:dyDescent="0.2">
      <c r="A192" s="293" t="s">
        <v>10008</v>
      </c>
      <c r="B192" s="293" t="s">
        <v>9924</v>
      </c>
      <c r="C192" s="293" t="s">
        <v>9925</v>
      </c>
      <c r="D192" s="293" t="s">
        <v>5774</v>
      </c>
      <c r="E192" s="293" t="s">
        <v>9925</v>
      </c>
      <c r="F192" s="293" t="s">
        <v>10009</v>
      </c>
      <c r="G192" s="293" t="s">
        <v>5589</v>
      </c>
      <c r="H192" s="294">
        <v>42400</v>
      </c>
      <c r="I192" s="295">
        <v>-6092.8</v>
      </c>
    </row>
    <row r="193" spans="1:9" x14ac:dyDescent="0.2">
      <c r="A193" s="293" t="s">
        <v>10008</v>
      </c>
      <c r="B193" s="293" t="s">
        <v>9924</v>
      </c>
      <c r="C193" s="293" t="s">
        <v>9925</v>
      </c>
      <c r="D193" s="293" t="s">
        <v>5774</v>
      </c>
      <c r="E193" s="293" t="s">
        <v>9925</v>
      </c>
      <c r="F193" s="293" t="s">
        <v>10009</v>
      </c>
      <c r="G193" s="293" t="s">
        <v>5591</v>
      </c>
      <c r="H193" s="294">
        <v>42400</v>
      </c>
      <c r="I193" s="295">
        <v>-21728.2</v>
      </c>
    </row>
    <row r="194" spans="1:9" x14ac:dyDescent="0.2">
      <c r="A194" s="293" t="s">
        <v>10008</v>
      </c>
      <c r="B194" s="293" t="s">
        <v>9924</v>
      </c>
      <c r="C194" s="293" t="s">
        <v>9925</v>
      </c>
      <c r="D194" s="293" t="s">
        <v>5774</v>
      </c>
      <c r="E194" s="293" t="s">
        <v>9925</v>
      </c>
      <c r="F194" s="293" t="s">
        <v>10009</v>
      </c>
      <c r="G194" s="293" t="s">
        <v>5755</v>
      </c>
      <c r="H194" s="294">
        <v>42400</v>
      </c>
      <c r="I194" s="295">
        <v>3666.7</v>
      </c>
    </row>
    <row r="195" spans="1:9" x14ac:dyDescent="0.2">
      <c r="A195" s="293" t="s">
        <v>10008</v>
      </c>
      <c r="B195" s="293" t="s">
        <v>9924</v>
      </c>
      <c r="C195" s="293" t="s">
        <v>9925</v>
      </c>
      <c r="D195" s="293" t="s">
        <v>5774</v>
      </c>
      <c r="E195" s="293" t="s">
        <v>9925</v>
      </c>
      <c r="F195" s="293" t="s">
        <v>10009</v>
      </c>
      <c r="G195" s="293" t="s">
        <v>5754</v>
      </c>
      <c r="H195" s="294">
        <v>42400</v>
      </c>
      <c r="I195" s="295">
        <v>-275.91000000000003</v>
      </c>
    </row>
    <row r="196" spans="1:9" x14ac:dyDescent="0.2">
      <c r="A196" s="293" t="s">
        <v>10010</v>
      </c>
      <c r="B196" s="293" t="s">
        <v>9924</v>
      </c>
      <c r="C196" s="293" t="s">
        <v>9925</v>
      </c>
      <c r="D196" s="293" t="s">
        <v>5774</v>
      </c>
      <c r="E196" s="293" t="s">
        <v>9925</v>
      </c>
      <c r="F196" s="293" t="s">
        <v>10011</v>
      </c>
      <c r="G196" s="293" t="s">
        <v>5589</v>
      </c>
      <c r="H196" s="294">
        <v>42429</v>
      </c>
      <c r="I196" s="295">
        <v>-6092.8</v>
      </c>
    </row>
    <row r="197" spans="1:9" x14ac:dyDescent="0.2">
      <c r="A197" s="293" t="s">
        <v>10010</v>
      </c>
      <c r="B197" s="293" t="s">
        <v>9924</v>
      </c>
      <c r="C197" s="293" t="s">
        <v>9925</v>
      </c>
      <c r="D197" s="293" t="s">
        <v>5774</v>
      </c>
      <c r="E197" s="293" t="s">
        <v>9925</v>
      </c>
      <c r="F197" s="293" t="s">
        <v>10011</v>
      </c>
      <c r="G197" s="293" t="s">
        <v>5755</v>
      </c>
      <c r="H197" s="294">
        <v>42429</v>
      </c>
      <c r="I197" s="295">
        <v>3666.7</v>
      </c>
    </row>
    <row r="198" spans="1:9" x14ac:dyDescent="0.2">
      <c r="A198" s="293" t="s">
        <v>10010</v>
      </c>
      <c r="B198" s="293" t="s">
        <v>9924</v>
      </c>
      <c r="C198" s="293" t="s">
        <v>9925</v>
      </c>
      <c r="D198" s="293" t="s">
        <v>5774</v>
      </c>
      <c r="E198" s="293" t="s">
        <v>9925</v>
      </c>
      <c r="F198" s="293" t="s">
        <v>10011</v>
      </c>
      <c r="G198" s="293" t="s">
        <v>5754</v>
      </c>
      <c r="H198" s="294">
        <v>42429</v>
      </c>
      <c r="I198" s="295">
        <v>-275.91000000000003</v>
      </c>
    </row>
    <row r="199" spans="1:9" x14ac:dyDescent="0.2">
      <c r="A199" s="293" t="s">
        <v>10010</v>
      </c>
      <c r="B199" s="293" t="s">
        <v>9924</v>
      </c>
      <c r="C199" s="293" t="s">
        <v>9925</v>
      </c>
      <c r="D199" s="293" t="s">
        <v>5774</v>
      </c>
      <c r="E199" s="293" t="s">
        <v>9925</v>
      </c>
      <c r="F199" s="293" t="s">
        <v>10011</v>
      </c>
      <c r="G199" s="293" t="s">
        <v>5591</v>
      </c>
      <c r="H199" s="294">
        <v>42429</v>
      </c>
      <c r="I199" s="295">
        <v>-21728.21</v>
      </c>
    </row>
    <row r="200" spans="1:9" x14ac:dyDescent="0.2">
      <c r="A200" s="293" t="s">
        <v>10012</v>
      </c>
      <c r="B200" s="293" t="s">
        <v>9924</v>
      </c>
      <c r="C200" s="293" t="s">
        <v>9925</v>
      </c>
      <c r="D200" s="293" t="s">
        <v>5774</v>
      </c>
      <c r="E200" s="293" t="s">
        <v>9925</v>
      </c>
      <c r="F200" s="293" t="s">
        <v>10013</v>
      </c>
      <c r="G200" s="293" t="s">
        <v>5754</v>
      </c>
      <c r="H200" s="294">
        <v>42429</v>
      </c>
      <c r="I200" s="295">
        <v>-275.91000000000003</v>
      </c>
    </row>
    <row r="201" spans="1:9" x14ac:dyDescent="0.2">
      <c r="A201" s="293" t="s">
        <v>10012</v>
      </c>
      <c r="B201" s="293" t="s">
        <v>9924</v>
      </c>
      <c r="C201" s="293" t="s">
        <v>9925</v>
      </c>
      <c r="D201" s="293" t="s">
        <v>5774</v>
      </c>
      <c r="E201" s="293" t="s">
        <v>9925</v>
      </c>
      <c r="F201" s="293" t="s">
        <v>10013</v>
      </c>
      <c r="G201" s="293" t="s">
        <v>5589</v>
      </c>
      <c r="H201" s="294">
        <v>42429</v>
      </c>
      <c r="I201" s="295">
        <v>-6092.8</v>
      </c>
    </row>
    <row r="202" spans="1:9" x14ac:dyDescent="0.2">
      <c r="A202" s="293" t="s">
        <v>10012</v>
      </c>
      <c r="B202" s="293" t="s">
        <v>9924</v>
      </c>
      <c r="C202" s="293" t="s">
        <v>9925</v>
      </c>
      <c r="D202" s="293" t="s">
        <v>5774</v>
      </c>
      <c r="E202" s="293" t="s">
        <v>9925</v>
      </c>
      <c r="F202" s="293" t="s">
        <v>10013</v>
      </c>
      <c r="G202" s="293" t="s">
        <v>5755</v>
      </c>
      <c r="H202" s="294">
        <v>42429</v>
      </c>
      <c r="I202" s="295">
        <v>3666.7</v>
      </c>
    </row>
    <row r="203" spans="1:9" x14ac:dyDescent="0.2">
      <c r="A203" s="293" t="s">
        <v>10012</v>
      </c>
      <c r="B203" s="293" t="s">
        <v>9924</v>
      </c>
      <c r="C203" s="293" t="s">
        <v>9925</v>
      </c>
      <c r="D203" s="293" t="s">
        <v>5774</v>
      </c>
      <c r="E203" s="293" t="s">
        <v>9925</v>
      </c>
      <c r="F203" s="293" t="s">
        <v>10013</v>
      </c>
      <c r="G203" s="293" t="s">
        <v>5591</v>
      </c>
      <c r="H203" s="294">
        <v>42429</v>
      </c>
      <c r="I203" s="295">
        <v>-21728.21</v>
      </c>
    </row>
    <row r="204" spans="1:9" x14ac:dyDescent="0.2">
      <c r="A204" s="293" t="s">
        <v>10014</v>
      </c>
      <c r="B204" s="293" t="s">
        <v>9924</v>
      </c>
      <c r="C204" s="293" t="s">
        <v>9939</v>
      </c>
      <c r="D204" s="293" t="s">
        <v>5774</v>
      </c>
      <c r="E204" s="293" t="s">
        <v>9939</v>
      </c>
      <c r="F204" s="293" t="s">
        <v>10013</v>
      </c>
      <c r="G204" s="293" t="s">
        <v>5591</v>
      </c>
      <c r="H204" s="294">
        <v>42429</v>
      </c>
      <c r="I204" s="295">
        <v>21728.21</v>
      </c>
    </row>
    <row r="205" spans="1:9" x14ac:dyDescent="0.2">
      <c r="A205" s="293" t="s">
        <v>10014</v>
      </c>
      <c r="B205" s="293" t="s">
        <v>9924</v>
      </c>
      <c r="C205" s="293" t="s">
        <v>9939</v>
      </c>
      <c r="D205" s="293" t="s">
        <v>5774</v>
      </c>
      <c r="E205" s="293" t="s">
        <v>9939</v>
      </c>
      <c r="F205" s="293" t="s">
        <v>10013</v>
      </c>
      <c r="G205" s="293" t="s">
        <v>5754</v>
      </c>
      <c r="H205" s="294">
        <v>42429</v>
      </c>
      <c r="I205" s="295">
        <v>275.91000000000003</v>
      </c>
    </row>
    <row r="206" spans="1:9" x14ac:dyDescent="0.2">
      <c r="A206" s="293" t="s">
        <v>10014</v>
      </c>
      <c r="B206" s="293" t="s">
        <v>9924</v>
      </c>
      <c r="C206" s="293" t="s">
        <v>9939</v>
      </c>
      <c r="D206" s="293" t="s">
        <v>5774</v>
      </c>
      <c r="E206" s="293" t="s">
        <v>9939</v>
      </c>
      <c r="F206" s="293" t="s">
        <v>10013</v>
      </c>
      <c r="G206" s="293" t="s">
        <v>5755</v>
      </c>
      <c r="H206" s="294">
        <v>42429</v>
      </c>
      <c r="I206" s="295">
        <v>-3666.7</v>
      </c>
    </row>
    <row r="207" spans="1:9" x14ac:dyDescent="0.2">
      <c r="A207" s="293" t="s">
        <v>10014</v>
      </c>
      <c r="B207" s="293" t="s">
        <v>9924</v>
      </c>
      <c r="C207" s="293" t="s">
        <v>9939</v>
      </c>
      <c r="D207" s="293" t="s">
        <v>5774</v>
      </c>
      <c r="E207" s="293" t="s">
        <v>9939</v>
      </c>
      <c r="F207" s="293" t="s">
        <v>10013</v>
      </c>
      <c r="G207" s="293" t="s">
        <v>5589</v>
      </c>
      <c r="H207" s="294">
        <v>42429</v>
      </c>
      <c r="I207" s="295">
        <v>6092.8</v>
      </c>
    </row>
    <row r="208" spans="1:9" x14ac:dyDescent="0.2">
      <c r="A208" s="293" t="s">
        <v>10015</v>
      </c>
      <c r="B208" s="293" t="s">
        <v>9924</v>
      </c>
      <c r="C208" s="293" t="s">
        <v>9925</v>
      </c>
      <c r="D208" s="293" t="s">
        <v>5774</v>
      </c>
      <c r="E208" s="293" t="s">
        <v>9925</v>
      </c>
      <c r="F208" s="293" t="s">
        <v>10016</v>
      </c>
      <c r="G208" s="293" t="s">
        <v>5589</v>
      </c>
      <c r="H208" s="294">
        <v>42460</v>
      </c>
      <c r="I208" s="295">
        <v>-6092.8</v>
      </c>
    </row>
    <row r="209" spans="1:9" x14ac:dyDescent="0.2">
      <c r="A209" s="293" t="s">
        <v>10015</v>
      </c>
      <c r="B209" s="293" t="s">
        <v>9924</v>
      </c>
      <c r="C209" s="293" t="s">
        <v>9925</v>
      </c>
      <c r="D209" s="293" t="s">
        <v>5774</v>
      </c>
      <c r="E209" s="293" t="s">
        <v>9925</v>
      </c>
      <c r="F209" s="293" t="s">
        <v>10016</v>
      </c>
      <c r="G209" s="293" t="s">
        <v>5591</v>
      </c>
      <c r="H209" s="294">
        <v>42460</v>
      </c>
      <c r="I209" s="295">
        <v>-21728.2</v>
      </c>
    </row>
    <row r="210" spans="1:9" x14ac:dyDescent="0.2">
      <c r="A210" s="293" t="s">
        <v>10015</v>
      </c>
      <c r="B210" s="293" t="s">
        <v>9924</v>
      </c>
      <c r="C210" s="293" t="s">
        <v>9925</v>
      </c>
      <c r="D210" s="293" t="s">
        <v>5774</v>
      </c>
      <c r="E210" s="293" t="s">
        <v>9925</v>
      </c>
      <c r="F210" s="293" t="s">
        <v>10016</v>
      </c>
      <c r="G210" s="293" t="s">
        <v>5754</v>
      </c>
      <c r="H210" s="294">
        <v>42460</v>
      </c>
      <c r="I210" s="295">
        <v>-275.91000000000003</v>
      </c>
    </row>
    <row r="211" spans="1:9" x14ac:dyDescent="0.2">
      <c r="A211" s="293" t="s">
        <v>10015</v>
      </c>
      <c r="B211" s="293" t="s">
        <v>9924</v>
      </c>
      <c r="C211" s="293" t="s">
        <v>9925</v>
      </c>
      <c r="D211" s="293" t="s">
        <v>5774</v>
      </c>
      <c r="E211" s="293" t="s">
        <v>9925</v>
      </c>
      <c r="F211" s="293" t="s">
        <v>10016</v>
      </c>
      <c r="G211" s="293" t="s">
        <v>5755</v>
      </c>
      <c r="H211" s="294">
        <v>42460</v>
      </c>
      <c r="I211" s="295">
        <v>3666.7</v>
      </c>
    </row>
    <row r="212" spans="1:9" x14ac:dyDescent="0.2">
      <c r="A212" s="293" t="s">
        <v>10017</v>
      </c>
      <c r="B212" s="293" t="s">
        <v>9924</v>
      </c>
      <c r="C212" s="293" t="s">
        <v>9925</v>
      </c>
      <c r="D212" s="293" t="s">
        <v>5774</v>
      </c>
      <c r="E212" s="293" t="s">
        <v>9925</v>
      </c>
      <c r="F212" s="293" t="s">
        <v>10018</v>
      </c>
      <c r="G212" s="293" t="s">
        <v>5754</v>
      </c>
      <c r="H212" s="294">
        <v>42490</v>
      </c>
      <c r="I212" s="295">
        <v>-275.91000000000003</v>
      </c>
    </row>
    <row r="213" spans="1:9" x14ac:dyDescent="0.2">
      <c r="A213" s="293" t="s">
        <v>10017</v>
      </c>
      <c r="B213" s="293" t="s">
        <v>9924</v>
      </c>
      <c r="C213" s="293" t="s">
        <v>9925</v>
      </c>
      <c r="D213" s="293" t="s">
        <v>5774</v>
      </c>
      <c r="E213" s="293" t="s">
        <v>9925</v>
      </c>
      <c r="F213" s="293" t="s">
        <v>10018</v>
      </c>
      <c r="G213" s="293" t="s">
        <v>5591</v>
      </c>
      <c r="H213" s="294">
        <v>42490</v>
      </c>
      <c r="I213" s="295">
        <v>-21728.21</v>
      </c>
    </row>
    <row r="214" spans="1:9" x14ac:dyDescent="0.2">
      <c r="A214" s="293" t="s">
        <v>10017</v>
      </c>
      <c r="B214" s="293" t="s">
        <v>9924</v>
      </c>
      <c r="C214" s="293" t="s">
        <v>9925</v>
      </c>
      <c r="D214" s="293" t="s">
        <v>5774</v>
      </c>
      <c r="E214" s="293" t="s">
        <v>9925</v>
      </c>
      <c r="F214" s="293" t="s">
        <v>10018</v>
      </c>
      <c r="G214" s="293" t="s">
        <v>5755</v>
      </c>
      <c r="H214" s="294">
        <v>42490</v>
      </c>
      <c r="I214" s="295">
        <v>3666.7</v>
      </c>
    </row>
    <row r="215" spans="1:9" x14ac:dyDescent="0.2">
      <c r="A215" s="293" t="s">
        <v>10017</v>
      </c>
      <c r="B215" s="293" t="s">
        <v>9924</v>
      </c>
      <c r="C215" s="293" t="s">
        <v>9925</v>
      </c>
      <c r="D215" s="293" t="s">
        <v>5774</v>
      </c>
      <c r="E215" s="293" t="s">
        <v>9925</v>
      </c>
      <c r="F215" s="293" t="s">
        <v>10018</v>
      </c>
      <c r="G215" s="293" t="s">
        <v>5589</v>
      </c>
      <c r="H215" s="294">
        <v>42490</v>
      </c>
      <c r="I215" s="295">
        <v>-6092.8</v>
      </c>
    </row>
    <row r="216" spans="1:9" x14ac:dyDescent="0.2">
      <c r="A216" s="293" t="s">
        <v>10019</v>
      </c>
      <c r="B216" s="293" t="s">
        <v>9924</v>
      </c>
      <c r="C216" s="293" t="s">
        <v>9925</v>
      </c>
      <c r="D216" s="293" t="s">
        <v>5774</v>
      </c>
      <c r="E216" s="293" t="s">
        <v>9925</v>
      </c>
      <c r="F216" s="293" t="s">
        <v>10020</v>
      </c>
      <c r="G216" s="293" t="s">
        <v>5755</v>
      </c>
      <c r="H216" s="294">
        <v>42521</v>
      </c>
      <c r="I216" s="295">
        <v>3666.69</v>
      </c>
    </row>
    <row r="217" spans="1:9" x14ac:dyDescent="0.2">
      <c r="A217" s="293" t="s">
        <v>10019</v>
      </c>
      <c r="B217" s="293" t="s">
        <v>9924</v>
      </c>
      <c r="C217" s="293" t="s">
        <v>9925</v>
      </c>
      <c r="D217" s="293" t="s">
        <v>5774</v>
      </c>
      <c r="E217" s="293" t="s">
        <v>9925</v>
      </c>
      <c r="F217" s="293" t="s">
        <v>10020</v>
      </c>
      <c r="G217" s="293" t="s">
        <v>5754</v>
      </c>
      <c r="H217" s="294">
        <v>42521</v>
      </c>
      <c r="I217" s="295">
        <v>-275.91000000000003</v>
      </c>
    </row>
    <row r="218" spans="1:9" x14ac:dyDescent="0.2">
      <c r="A218" s="293" t="s">
        <v>10019</v>
      </c>
      <c r="B218" s="293" t="s">
        <v>9924</v>
      </c>
      <c r="C218" s="293" t="s">
        <v>9925</v>
      </c>
      <c r="D218" s="293" t="s">
        <v>5774</v>
      </c>
      <c r="E218" s="293" t="s">
        <v>9925</v>
      </c>
      <c r="F218" s="293" t="s">
        <v>10020</v>
      </c>
      <c r="G218" s="293" t="s">
        <v>5589</v>
      </c>
      <c r="H218" s="294">
        <v>42521</v>
      </c>
      <c r="I218" s="295">
        <v>-6092.79</v>
      </c>
    </row>
    <row r="219" spans="1:9" x14ac:dyDescent="0.2">
      <c r="A219" s="293" t="s">
        <v>10019</v>
      </c>
      <c r="B219" s="293" t="s">
        <v>9924</v>
      </c>
      <c r="C219" s="293" t="s">
        <v>9925</v>
      </c>
      <c r="D219" s="293" t="s">
        <v>5774</v>
      </c>
      <c r="E219" s="293" t="s">
        <v>9925</v>
      </c>
      <c r="F219" s="293" t="s">
        <v>10020</v>
      </c>
      <c r="G219" s="293" t="s">
        <v>5591</v>
      </c>
      <c r="H219" s="294">
        <v>42521</v>
      </c>
      <c r="I219" s="295">
        <v>-21728.19</v>
      </c>
    </row>
    <row r="220" spans="1:9" x14ac:dyDescent="0.2">
      <c r="A220" s="293" t="s">
        <v>10021</v>
      </c>
      <c r="B220" s="293" t="s">
        <v>9924</v>
      </c>
      <c r="C220" s="293" t="s">
        <v>9925</v>
      </c>
      <c r="D220" s="293" t="s">
        <v>5774</v>
      </c>
      <c r="E220" s="293" t="s">
        <v>9925</v>
      </c>
      <c r="F220" s="293" t="s">
        <v>10022</v>
      </c>
      <c r="G220" s="293" t="s">
        <v>5754</v>
      </c>
      <c r="H220" s="294">
        <v>42551</v>
      </c>
      <c r="I220" s="295">
        <v>-275.91000000000003</v>
      </c>
    </row>
    <row r="221" spans="1:9" x14ac:dyDescent="0.2">
      <c r="A221" s="293" t="s">
        <v>10021</v>
      </c>
      <c r="B221" s="293" t="s">
        <v>9924</v>
      </c>
      <c r="C221" s="293" t="s">
        <v>9925</v>
      </c>
      <c r="D221" s="293" t="s">
        <v>5774</v>
      </c>
      <c r="E221" s="293" t="s">
        <v>9925</v>
      </c>
      <c r="F221" s="293" t="s">
        <v>10022</v>
      </c>
      <c r="G221" s="293" t="s">
        <v>5755</v>
      </c>
      <c r="H221" s="294">
        <v>42551</v>
      </c>
      <c r="I221" s="295">
        <v>3666.7</v>
      </c>
    </row>
    <row r="222" spans="1:9" x14ac:dyDescent="0.2">
      <c r="A222" s="293" t="s">
        <v>10021</v>
      </c>
      <c r="B222" s="293" t="s">
        <v>9924</v>
      </c>
      <c r="C222" s="293" t="s">
        <v>9925</v>
      </c>
      <c r="D222" s="293" t="s">
        <v>5774</v>
      </c>
      <c r="E222" s="293" t="s">
        <v>9925</v>
      </c>
      <c r="F222" s="293" t="s">
        <v>10022</v>
      </c>
      <c r="G222" s="293" t="s">
        <v>5591</v>
      </c>
      <c r="H222" s="294">
        <v>42551</v>
      </c>
      <c r="I222" s="295">
        <v>-21728.21</v>
      </c>
    </row>
    <row r="223" spans="1:9" x14ac:dyDescent="0.2">
      <c r="A223" s="293" t="s">
        <v>10021</v>
      </c>
      <c r="B223" s="293" t="s">
        <v>9924</v>
      </c>
      <c r="C223" s="293" t="s">
        <v>9925</v>
      </c>
      <c r="D223" s="293" t="s">
        <v>5774</v>
      </c>
      <c r="E223" s="293" t="s">
        <v>9925</v>
      </c>
      <c r="F223" s="293" t="s">
        <v>10022</v>
      </c>
      <c r="G223" s="293" t="s">
        <v>5589</v>
      </c>
      <c r="H223" s="294">
        <v>42551</v>
      </c>
      <c r="I223" s="295">
        <v>-6092.8</v>
      </c>
    </row>
    <row r="224" spans="1:9" x14ac:dyDescent="0.2">
      <c r="A224" s="293" t="s">
        <v>10023</v>
      </c>
      <c r="B224" s="293" t="s">
        <v>9924</v>
      </c>
      <c r="C224" s="293" t="s">
        <v>9925</v>
      </c>
      <c r="D224" s="293" t="s">
        <v>5774</v>
      </c>
      <c r="E224" s="293" t="s">
        <v>9925</v>
      </c>
      <c r="F224" s="293" t="s">
        <v>10024</v>
      </c>
      <c r="G224" s="293" t="s">
        <v>5591</v>
      </c>
      <c r="H224" s="294">
        <v>42582</v>
      </c>
      <c r="I224" s="295">
        <v>-21728.21</v>
      </c>
    </row>
    <row r="225" spans="1:9" x14ac:dyDescent="0.2">
      <c r="A225" s="293" t="s">
        <v>10023</v>
      </c>
      <c r="B225" s="293" t="s">
        <v>9924</v>
      </c>
      <c r="C225" s="293" t="s">
        <v>9925</v>
      </c>
      <c r="D225" s="293" t="s">
        <v>5774</v>
      </c>
      <c r="E225" s="293" t="s">
        <v>9925</v>
      </c>
      <c r="F225" s="293" t="s">
        <v>10024</v>
      </c>
      <c r="G225" s="293" t="s">
        <v>5589</v>
      </c>
      <c r="H225" s="294">
        <v>42582</v>
      </c>
      <c r="I225" s="295">
        <v>-6092.8</v>
      </c>
    </row>
    <row r="226" spans="1:9" x14ac:dyDescent="0.2">
      <c r="A226" s="293" t="s">
        <v>10023</v>
      </c>
      <c r="B226" s="293" t="s">
        <v>9924</v>
      </c>
      <c r="C226" s="293" t="s">
        <v>9925</v>
      </c>
      <c r="D226" s="293" t="s">
        <v>5774</v>
      </c>
      <c r="E226" s="293" t="s">
        <v>9925</v>
      </c>
      <c r="F226" s="293" t="s">
        <v>10024</v>
      </c>
      <c r="G226" s="293" t="s">
        <v>5755</v>
      </c>
      <c r="H226" s="294">
        <v>42582</v>
      </c>
      <c r="I226" s="295">
        <v>3666.7</v>
      </c>
    </row>
    <row r="227" spans="1:9" x14ac:dyDescent="0.2">
      <c r="A227" s="293" t="s">
        <v>10023</v>
      </c>
      <c r="B227" s="293" t="s">
        <v>9924</v>
      </c>
      <c r="C227" s="293" t="s">
        <v>9925</v>
      </c>
      <c r="D227" s="293" t="s">
        <v>5774</v>
      </c>
      <c r="E227" s="293" t="s">
        <v>9925</v>
      </c>
      <c r="F227" s="293" t="s">
        <v>10024</v>
      </c>
      <c r="G227" s="293" t="s">
        <v>5754</v>
      </c>
      <c r="H227" s="294">
        <v>42582</v>
      </c>
      <c r="I227" s="295">
        <v>-275.91000000000003</v>
      </c>
    </row>
    <row r="228" spans="1:9" x14ac:dyDescent="0.2">
      <c r="A228" s="293" t="s">
        <v>10025</v>
      </c>
      <c r="B228" s="293" t="s">
        <v>9924</v>
      </c>
      <c r="C228" s="293" t="s">
        <v>9925</v>
      </c>
      <c r="D228" s="293" t="s">
        <v>5774</v>
      </c>
      <c r="E228" s="293" t="s">
        <v>9925</v>
      </c>
      <c r="F228" s="293" t="s">
        <v>10026</v>
      </c>
      <c r="G228" s="293" t="s">
        <v>5754</v>
      </c>
      <c r="H228" s="294">
        <v>42613</v>
      </c>
      <c r="I228" s="295">
        <v>-275.91000000000003</v>
      </c>
    </row>
    <row r="229" spans="1:9" x14ac:dyDescent="0.2">
      <c r="A229" s="293" t="s">
        <v>10025</v>
      </c>
      <c r="B229" s="293" t="s">
        <v>9924</v>
      </c>
      <c r="C229" s="293" t="s">
        <v>9925</v>
      </c>
      <c r="D229" s="293" t="s">
        <v>5774</v>
      </c>
      <c r="E229" s="293" t="s">
        <v>9925</v>
      </c>
      <c r="F229" s="293" t="s">
        <v>10026</v>
      </c>
      <c r="G229" s="293" t="s">
        <v>5589</v>
      </c>
      <c r="H229" s="294">
        <v>42613</v>
      </c>
      <c r="I229" s="295">
        <v>-6092.8</v>
      </c>
    </row>
    <row r="230" spans="1:9" x14ac:dyDescent="0.2">
      <c r="A230" s="293" t="s">
        <v>10025</v>
      </c>
      <c r="B230" s="293" t="s">
        <v>9924</v>
      </c>
      <c r="C230" s="293" t="s">
        <v>9925</v>
      </c>
      <c r="D230" s="293" t="s">
        <v>5774</v>
      </c>
      <c r="E230" s="293" t="s">
        <v>9925</v>
      </c>
      <c r="F230" s="293" t="s">
        <v>10026</v>
      </c>
      <c r="G230" s="293" t="s">
        <v>5591</v>
      </c>
      <c r="H230" s="294">
        <v>42613</v>
      </c>
      <c r="I230" s="295">
        <v>-21728.2</v>
      </c>
    </row>
    <row r="231" spans="1:9" x14ac:dyDescent="0.2">
      <c r="A231" s="293" t="s">
        <v>10025</v>
      </c>
      <c r="B231" s="293" t="s">
        <v>9924</v>
      </c>
      <c r="C231" s="293" t="s">
        <v>9925</v>
      </c>
      <c r="D231" s="293" t="s">
        <v>5774</v>
      </c>
      <c r="E231" s="293" t="s">
        <v>9925</v>
      </c>
      <c r="F231" s="293" t="s">
        <v>10026</v>
      </c>
      <c r="G231" s="293" t="s">
        <v>5755</v>
      </c>
      <c r="H231" s="294">
        <v>42613</v>
      </c>
      <c r="I231" s="295">
        <v>3666.7</v>
      </c>
    </row>
    <row r="232" spans="1:9" x14ac:dyDescent="0.2">
      <c r="A232" s="293" t="s">
        <v>10027</v>
      </c>
      <c r="B232" s="293" t="s">
        <v>9924</v>
      </c>
      <c r="C232" s="293" t="s">
        <v>9925</v>
      </c>
      <c r="D232" s="293" t="s">
        <v>5774</v>
      </c>
      <c r="E232" s="293" t="s">
        <v>9925</v>
      </c>
      <c r="F232" s="293" t="s">
        <v>10028</v>
      </c>
      <c r="G232" s="293" t="s">
        <v>5755</v>
      </c>
      <c r="H232" s="294">
        <v>42643</v>
      </c>
      <c r="I232" s="295">
        <v>3666.7</v>
      </c>
    </row>
    <row r="233" spans="1:9" x14ac:dyDescent="0.2">
      <c r="A233" s="293" t="s">
        <v>10027</v>
      </c>
      <c r="B233" s="293" t="s">
        <v>9924</v>
      </c>
      <c r="C233" s="293" t="s">
        <v>9925</v>
      </c>
      <c r="D233" s="293" t="s">
        <v>5774</v>
      </c>
      <c r="E233" s="293" t="s">
        <v>9925</v>
      </c>
      <c r="F233" s="293" t="s">
        <v>10028</v>
      </c>
      <c r="G233" s="293" t="s">
        <v>5754</v>
      </c>
      <c r="H233" s="294">
        <v>42643</v>
      </c>
      <c r="I233" s="295">
        <v>-275.91000000000003</v>
      </c>
    </row>
    <row r="234" spans="1:9" x14ac:dyDescent="0.2">
      <c r="A234" s="293" t="s">
        <v>10027</v>
      </c>
      <c r="B234" s="293" t="s">
        <v>9924</v>
      </c>
      <c r="C234" s="293" t="s">
        <v>9925</v>
      </c>
      <c r="D234" s="293" t="s">
        <v>5774</v>
      </c>
      <c r="E234" s="293" t="s">
        <v>9925</v>
      </c>
      <c r="F234" s="293" t="s">
        <v>10028</v>
      </c>
      <c r="G234" s="293" t="s">
        <v>5589</v>
      </c>
      <c r="H234" s="294">
        <v>42643</v>
      </c>
      <c r="I234" s="295">
        <v>-6092.8</v>
      </c>
    </row>
    <row r="235" spans="1:9" x14ac:dyDescent="0.2">
      <c r="A235" s="293" t="s">
        <v>10027</v>
      </c>
      <c r="B235" s="293" t="s">
        <v>9924</v>
      </c>
      <c r="C235" s="293" t="s">
        <v>9925</v>
      </c>
      <c r="D235" s="293" t="s">
        <v>5774</v>
      </c>
      <c r="E235" s="293" t="s">
        <v>9925</v>
      </c>
      <c r="F235" s="293" t="s">
        <v>10028</v>
      </c>
      <c r="G235" s="293" t="s">
        <v>5591</v>
      </c>
      <c r="H235" s="294">
        <v>42643</v>
      </c>
      <c r="I235" s="295">
        <v>-21728.21</v>
      </c>
    </row>
    <row r="236" spans="1:9" x14ac:dyDescent="0.2">
      <c r="A236" s="293" t="s">
        <v>10029</v>
      </c>
      <c r="B236" s="293" t="s">
        <v>9924</v>
      </c>
      <c r="C236" s="293" t="s">
        <v>9925</v>
      </c>
      <c r="D236" s="293" t="s">
        <v>5774</v>
      </c>
      <c r="E236" s="293" t="s">
        <v>9925</v>
      </c>
      <c r="F236" s="293" t="s">
        <v>10030</v>
      </c>
      <c r="G236" s="293" t="s">
        <v>5755</v>
      </c>
      <c r="H236" s="294">
        <v>42674</v>
      </c>
      <c r="I236" s="295">
        <v>3666.69</v>
      </c>
    </row>
    <row r="237" spans="1:9" x14ac:dyDescent="0.2">
      <c r="A237" s="293" t="s">
        <v>10029</v>
      </c>
      <c r="B237" s="293" t="s">
        <v>9924</v>
      </c>
      <c r="C237" s="293" t="s">
        <v>9925</v>
      </c>
      <c r="D237" s="293" t="s">
        <v>5774</v>
      </c>
      <c r="E237" s="293" t="s">
        <v>9925</v>
      </c>
      <c r="F237" s="293" t="s">
        <v>10030</v>
      </c>
      <c r="G237" s="293" t="s">
        <v>5591</v>
      </c>
      <c r="H237" s="294">
        <v>42674</v>
      </c>
      <c r="I237" s="295">
        <v>-21728.19</v>
      </c>
    </row>
    <row r="238" spans="1:9" x14ac:dyDescent="0.2">
      <c r="A238" s="293" t="s">
        <v>10029</v>
      </c>
      <c r="B238" s="293" t="s">
        <v>9924</v>
      </c>
      <c r="C238" s="293" t="s">
        <v>9925</v>
      </c>
      <c r="D238" s="293" t="s">
        <v>5774</v>
      </c>
      <c r="E238" s="293" t="s">
        <v>9925</v>
      </c>
      <c r="F238" s="293" t="s">
        <v>10030</v>
      </c>
      <c r="G238" s="293" t="s">
        <v>5589</v>
      </c>
      <c r="H238" s="294">
        <v>42674</v>
      </c>
      <c r="I238" s="295">
        <v>-6092.79</v>
      </c>
    </row>
    <row r="239" spans="1:9" x14ac:dyDescent="0.2">
      <c r="A239" s="293" t="s">
        <v>10029</v>
      </c>
      <c r="B239" s="293" t="s">
        <v>9924</v>
      </c>
      <c r="C239" s="293" t="s">
        <v>9925</v>
      </c>
      <c r="D239" s="293" t="s">
        <v>5774</v>
      </c>
      <c r="E239" s="293" t="s">
        <v>9925</v>
      </c>
      <c r="F239" s="293" t="s">
        <v>10030</v>
      </c>
      <c r="G239" s="293" t="s">
        <v>5754</v>
      </c>
      <c r="H239" s="294">
        <v>42674</v>
      </c>
      <c r="I239" s="295">
        <v>-275.91000000000003</v>
      </c>
    </row>
    <row r="240" spans="1:9" x14ac:dyDescent="0.2">
      <c r="A240" s="293" t="s">
        <v>10031</v>
      </c>
      <c r="B240" s="293" t="s">
        <v>9924</v>
      </c>
      <c r="C240" s="293" t="s">
        <v>9925</v>
      </c>
      <c r="D240" s="293" t="s">
        <v>5774</v>
      </c>
      <c r="E240" s="293" t="s">
        <v>9925</v>
      </c>
      <c r="F240" s="293" t="s">
        <v>10032</v>
      </c>
      <c r="G240" s="293" t="s">
        <v>5589</v>
      </c>
      <c r="H240" s="294">
        <v>42704</v>
      </c>
      <c r="I240" s="295">
        <v>-6092.8</v>
      </c>
    </row>
    <row r="241" spans="1:9" x14ac:dyDescent="0.2">
      <c r="A241" s="293" t="s">
        <v>10031</v>
      </c>
      <c r="B241" s="293" t="s">
        <v>9924</v>
      </c>
      <c r="C241" s="293" t="s">
        <v>9925</v>
      </c>
      <c r="D241" s="293" t="s">
        <v>5774</v>
      </c>
      <c r="E241" s="293" t="s">
        <v>9925</v>
      </c>
      <c r="F241" s="293" t="s">
        <v>10032</v>
      </c>
      <c r="G241" s="293" t="s">
        <v>5591</v>
      </c>
      <c r="H241" s="294">
        <v>42704</v>
      </c>
      <c r="I241" s="295">
        <v>-21728.21</v>
      </c>
    </row>
    <row r="242" spans="1:9" x14ac:dyDescent="0.2">
      <c r="A242" s="293" t="s">
        <v>10031</v>
      </c>
      <c r="B242" s="293" t="s">
        <v>9924</v>
      </c>
      <c r="C242" s="293" t="s">
        <v>9925</v>
      </c>
      <c r="D242" s="293" t="s">
        <v>5774</v>
      </c>
      <c r="E242" s="293" t="s">
        <v>9925</v>
      </c>
      <c r="F242" s="293" t="s">
        <v>10032</v>
      </c>
      <c r="G242" s="293" t="s">
        <v>5754</v>
      </c>
      <c r="H242" s="294">
        <v>42704</v>
      </c>
      <c r="I242" s="295">
        <v>-275.91000000000003</v>
      </c>
    </row>
    <row r="243" spans="1:9" x14ac:dyDescent="0.2">
      <c r="A243" s="293" t="s">
        <v>10031</v>
      </c>
      <c r="B243" s="293" t="s">
        <v>9924</v>
      </c>
      <c r="C243" s="293" t="s">
        <v>9925</v>
      </c>
      <c r="D243" s="293" t="s">
        <v>5774</v>
      </c>
      <c r="E243" s="293" t="s">
        <v>9925</v>
      </c>
      <c r="F243" s="293" t="s">
        <v>10032</v>
      </c>
      <c r="G243" s="293" t="s">
        <v>5755</v>
      </c>
      <c r="H243" s="294">
        <v>42704</v>
      </c>
      <c r="I243" s="295">
        <v>3666.7</v>
      </c>
    </row>
    <row r="244" spans="1:9" x14ac:dyDescent="0.2">
      <c r="A244" s="293" t="s">
        <v>10033</v>
      </c>
      <c r="B244" s="293" t="s">
        <v>9924</v>
      </c>
      <c r="C244" s="293" t="s">
        <v>9925</v>
      </c>
      <c r="D244" s="293" t="s">
        <v>5774</v>
      </c>
      <c r="E244" s="293" t="s">
        <v>9925</v>
      </c>
      <c r="F244" s="293" t="s">
        <v>10034</v>
      </c>
      <c r="G244" s="293" t="s">
        <v>5754</v>
      </c>
      <c r="H244" s="294">
        <v>42735</v>
      </c>
      <c r="I244" s="295">
        <v>-275.91000000000003</v>
      </c>
    </row>
    <row r="245" spans="1:9" x14ac:dyDescent="0.2">
      <c r="A245" s="293" t="s">
        <v>10033</v>
      </c>
      <c r="B245" s="293" t="s">
        <v>9924</v>
      </c>
      <c r="C245" s="293" t="s">
        <v>9925</v>
      </c>
      <c r="D245" s="293" t="s">
        <v>5774</v>
      </c>
      <c r="E245" s="293" t="s">
        <v>9925</v>
      </c>
      <c r="F245" s="293" t="s">
        <v>10034</v>
      </c>
      <c r="G245" s="293" t="s">
        <v>5591</v>
      </c>
      <c r="H245" s="294">
        <v>42735</v>
      </c>
      <c r="I245" s="295">
        <v>-21728.2</v>
      </c>
    </row>
    <row r="246" spans="1:9" x14ac:dyDescent="0.2">
      <c r="A246" s="293" t="s">
        <v>10033</v>
      </c>
      <c r="B246" s="293" t="s">
        <v>9924</v>
      </c>
      <c r="C246" s="293" t="s">
        <v>9925</v>
      </c>
      <c r="D246" s="293" t="s">
        <v>5774</v>
      </c>
      <c r="E246" s="293" t="s">
        <v>9925</v>
      </c>
      <c r="F246" s="293" t="s">
        <v>10034</v>
      </c>
      <c r="G246" s="293" t="s">
        <v>5589</v>
      </c>
      <c r="H246" s="294">
        <v>42735</v>
      </c>
      <c r="I246" s="295">
        <v>-6092.8</v>
      </c>
    </row>
    <row r="247" spans="1:9" x14ac:dyDescent="0.2">
      <c r="A247" s="293" t="s">
        <v>10033</v>
      </c>
      <c r="B247" s="293" t="s">
        <v>9924</v>
      </c>
      <c r="C247" s="293" t="s">
        <v>9925</v>
      </c>
      <c r="D247" s="293" t="s">
        <v>5774</v>
      </c>
      <c r="E247" s="293" t="s">
        <v>9925</v>
      </c>
      <c r="F247" s="293" t="s">
        <v>10034</v>
      </c>
      <c r="G247" s="293" t="s">
        <v>5755</v>
      </c>
      <c r="H247" s="294">
        <v>42735</v>
      </c>
      <c r="I247" s="295">
        <v>3666.7</v>
      </c>
    </row>
    <row r="248" spans="1:9" x14ac:dyDescent="0.2">
      <c r="A248" s="293" t="s">
        <v>10035</v>
      </c>
      <c r="B248" s="293" t="s">
        <v>9924</v>
      </c>
      <c r="C248" s="293" t="s">
        <v>9925</v>
      </c>
      <c r="D248" s="293" t="s">
        <v>5774</v>
      </c>
      <c r="E248" s="293" t="s">
        <v>9925</v>
      </c>
      <c r="F248" s="293" t="s">
        <v>10036</v>
      </c>
      <c r="G248" s="293" t="s">
        <v>5591</v>
      </c>
      <c r="H248" s="294">
        <v>42735</v>
      </c>
      <c r="I248" s="295">
        <v>-21728.2</v>
      </c>
    </row>
    <row r="249" spans="1:9" x14ac:dyDescent="0.2">
      <c r="A249" s="293" t="s">
        <v>10035</v>
      </c>
      <c r="B249" s="293" t="s">
        <v>9924</v>
      </c>
      <c r="C249" s="293" t="s">
        <v>9925</v>
      </c>
      <c r="D249" s="293" t="s">
        <v>5774</v>
      </c>
      <c r="E249" s="293" t="s">
        <v>9925</v>
      </c>
      <c r="F249" s="293" t="s">
        <v>10036</v>
      </c>
      <c r="G249" s="293" t="s">
        <v>5754</v>
      </c>
      <c r="H249" s="294">
        <v>42735</v>
      </c>
      <c r="I249" s="295">
        <v>-275.91000000000003</v>
      </c>
    </row>
    <row r="250" spans="1:9" x14ac:dyDescent="0.2">
      <c r="A250" s="293" t="s">
        <v>10035</v>
      </c>
      <c r="B250" s="293" t="s">
        <v>9924</v>
      </c>
      <c r="C250" s="293" t="s">
        <v>9925</v>
      </c>
      <c r="D250" s="293" t="s">
        <v>5774</v>
      </c>
      <c r="E250" s="293" t="s">
        <v>9925</v>
      </c>
      <c r="F250" s="293" t="s">
        <v>10036</v>
      </c>
      <c r="G250" s="293" t="s">
        <v>5589</v>
      </c>
      <c r="H250" s="294">
        <v>42735</v>
      </c>
      <c r="I250" s="295">
        <v>-6092.8</v>
      </c>
    </row>
    <row r="251" spans="1:9" x14ac:dyDescent="0.2">
      <c r="A251" s="293" t="s">
        <v>10035</v>
      </c>
      <c r="B251" s="293" t="s">
        <v>9924</v>
      </c>
      <c r="C251" s="293" t="s">
        <v>9925</v>
      </c>
      <c r="D251" s="293" t="s">
        <v>5774</v>
      </c>
      <c r="E251" s="293" t="s">
        <v>9925</v>
      </c>
      <c r="F251" s="293" t="s">
        <v>10036</v>
      </c>
      <c r="G251" s="293" t="s">
        <v>5755</v>
      </c>
      <c r="H251" s="294">
        <v>42735</v>
      </c>
      <c r="I251" s="295">
        <v>3666.7</v>
      </c>
    </row>
    <row r="252" spans="1:9" x14ac:dyDescent="0.2">
      <c r="A252" s="293" t="s">
        <v>10037</v>
      </c>
      <c r="B252" s="293" t="s">
        <v>9924</v>
      </c>
      <c r="C252" s="293" t="s">
        <v>9939</v>
      </c>
      <c r="D252" s="293" t="s">
        <v>5774</v>
      </c>
      <c r="E252" s="293" t="s">
        <v>9939</v>
      </c>
      <c r="F252" s="293" t="s">
        <v>10036</v>
      </c>
      <c r="G252" s="293" t="s">
        <v>5755</v>
      </c>
      <c r="H252" s="294">
        <v>42735</v>
      </c>
      <c r="I252" s="295">
        <v>-3666.7</v>
      </c>
    </row>
    <row r="253" spans="1:9" x14ac:dyDescent="0.2">
      <c r="A253" s="293" t="s">
        <v>10037</v>
      </c>
      <c r="B253" s="293" t="s">
        <v>9924</v>
      </c>
      <c r="C253" s="293" t="s">
        <v>9939</v>
      </c>
      <c r="D253" s="293" t="s">
        <v>5774</v>
      </c>
      <c r="E253" s="293" t="s">
        <v>9939</v>
      </c>
      <c r="F253" s="293" t="s">
        <v>10036</v>
      </c>
      <c r="G253" s="293" t="s">
        <v>5591</v>
      </c>
      <c r="H253" s="294">
        <v>42735</v>
      </c>
      <c r="I253" s="295">
        <v>21728.2</v>
      </c>
    </row>
    <row r="254" spans="1:9" x14ac:dyDescent="0.2">
      <c r="A254" s="293" t="s">
        <v>10037</v>
      </c>
      <c r="B254" s="293" t="s">
        <v>9924</v>
      </c>
      <c r="C254" s="293" t="s">
        <v>9939</v>
      </c>
      <c r="D254" s="293" t="s">
        <v>5774</v>
      </c>
      <c r="E254" s="293" t="s">
        <v>9939</v>
      </c>
      <c r="F254" s="293" t="s">
        <v>10036</v>
      </c>
      <c r="G254" s="293" t="s">
        <v>5754</v>
      </c>
      <c r="H254" s="294">
        <v>42735</v>
      </c>
      <c r="I254" s="295">
        <v>275.91000000000003</v>
      </c>
    </row>
    <row r="255" spans="1:9" x14ac:dyDescent="0.2">
      <c r="A255" s="293" t="s">
        <v>10037</v>
      </c>
      <c r="B255" s="293" t="s">
        <v>9924</v>
      </c>
      <c r="C255" s="293" t="s">
        <v>9939</v>
      </c>
      <c r="D255" s="293" t="s">
        <v>5774</v>
      </c>
      <c r="E255" s="293" t="s">
        <v>9939</v>
      </c>
      <c r="F255" s="293" t="s">
        <v>10036</v>
      </c>
      <c r="G255" s="293" t="s">
        <v>5589</v>
      </c>
      <c r="H255" s="294">
        <v>42735</v>
      </c>
      <c r="I255" s="295">
        <v>6092.8</v>
      </c>
    </row>
    <row r="256" spans="1:9" x14ac:dyDescent="0.2">
      <c r="A256" s="293" t="s">
        <v>10038</v>
      </c>
      <c r="B256" s="293" t="s">
        <v>9924</v>
      </c>
      <c r="C256" s="293" t="s">
        <v>9925</v>
      </c>
      <c r="D256" s="293" t="s">
        <v>5774</v>
      </c>
      <c r="E256" s="293" t="s">
        <v>9925</v>
      </c>
      <c r="F256" s="293" t="s">
        <v>10039</v>
      </c>
      <c r="G256" s="293" t="s">
        <v>5755</v>
      </c>
      <c r="H256" s="294">
        <v>42735</v>
      </c>
      <c r="I256" s="295">
        <v>3666.7</v>
      </c>
    </row>
    <row r="257" spans="1:9" x14ac:dyDescent="0.2">
      <c r="A257" s="293" t="s">
        <v>10038</v>
      </c>
      <c r="B257" s="293" t="s">
        <v>9924</v>
      </c>
      <c r="C257" s="293" t="s">
        <v>9925</v>
      </c>
      <c r="D257" s="293" t="s">
        <v>5774</v>
      </c>
      <c r="E257" s="293" t="s">
        <v>9925</v>
      </c>
      <c r="F257" s="293" t="s">
        <v>10039</v>
      </c>
      <c r="G257" s="293" t="s">
        <v>5754</v>
      </c>
      <c r="H257" s="294">
        <v>42735</v>
      </c>
      <c r="I257" s="295">
        <v>-275.91000000000003</v>
      </c>
    </row>
    <row r="258" spans="1:9" x14ac:dyDescent="0.2">
      <c r="A258" s="293" t="s">
        <v>10038</v>
      </c>
      <c r="B258" s="293" t="s">
        <v>9924</v>
      </c>
      <c r="C258" s="293" t="s">
        <v>9925</v>
      </c>
      <c r="D258" s="293" t="s">
        <v>5774</v>
      </c>
      <c r="E258" s="293" t="s">
        <v>9925</v>
      </c>
      <c r="F258" s="293" t="s">
        <v>10039</v>
      </c>
      <c r="G258" s="293" t="s">
        <v>5591</v>
      </c>
      <c r="H258" s="294">
        <v>42735</v>
      </c>
      <c r="I258" s="295">
        <v>-21728.2</v>
      </c>
    </row>
    <row r="259" spans="1:9" x14ac:dyDescent="0.2">
      <c r="A259" s="293" t="s">
        <v>10038</v>
      </c>
      <c r="B259" s="293" t="s">
        <v>9924</v>
      </c>
      <c r="C259" s="293" t="s">
        <v>9925</v>
      </c>
      <c r="D259" s="293" t="s">
        <v>5774</v>
      </c>
      <c r="E259" s="293" t="s">
        <v>9925</v>
      </c>
      <c r="F259" s="293" t="s">
        <v>10039</v>
      </c>
      <c r="G259" s="293" t="s">
        <v>5589</v>
      </c>
      <c r="H259" s="294">
        <v>42735</v>
      </c>
      <c r="I259" s="295">
        <v>-6092.8</v>
      </c>
    </row>
    <row r="260" spans="1:9" x14ac:dyDescent="0.2">
      <c r="A260" s="293" t="s">
        <v>10040</v>
      </c>
      <c r="B260" s="293" t="s">
        <v>9924</v>
      </c>
      <c r="C260" s="293" t="s">
        <v>9939</v>
      </c>
      <c r="D260" s="293" t="s">
        <v>5774</v>
      </c>
      <c r="E260" s="293" t="s">
        <v>9939</v>
      </c>
      <c r="F260" s="293" t="s">
        <v>10039</v>
      </c>
      <c r="G260" s="293" t="s">
        <v>5755</v>
      </c>
      <c r="H260" s="294">
        <v>42735</v>
      </c>
      <c r="I260" s="295">
        <v>-3666.7</v>
      </c>
    </row>
    <row r="261" spans="1:9" x14ac:dyDescent="0.2">
      <c r="A261" s="293" t="s">
        <v>10040</v>
      </c>
      <c r="B261" s="293" t="s">
        <v>9924</v>
      </c>
      <c r="C261" s="293" t="s">
        <v>9939</v>
      </c>
      <c r="D261" s="293" t="s">
        <v>5774</v>
      </c>
      <c r="E261" s="293" t="s">
        <v>9939</v>
      </c>
      <c r="F261" s="293" t="s">
        <v>10039</v>
      </c>
      <c r="G261" s="293" t="s">
        <v>5754</v>
      </c>
      <c r="H261" s="294">
        <v>42735</v>
      </c>
      <c r="I261" s="295">
        <v>275.91000000000003</v>
      </c>
    </row>
    <row r="262" spans="1:9" x14ac:dyDescent="0.2">
      <c r="A262" s="293" t="s">
        <v>10040</v>
      </c>
      <c r="B262" s="293" t="s">
        <v>9924</v>
      </c>
      <c r="C262" s="293" t="s">
        <v>9939</v>
      </c>
      <c r="D262" s="293" t="s">
        <v>5774</v>
      </c>
      <c r="E262" s="293" t="s">
        <v>9939</v>
      </c>
      <c r="F262" s="293" t="s">
        <v>10039</v>
      </c>
      <c r="G262" s="293" t="s">
        <v>5589</v>
      </c>
      <c r="H262" s="294">
        <v>42735</v>
      </c>
      <c r="I262" s="295">
        <v>6092.8</v>
      </c>
    </row>
    <row r="263" spans="1:9" x14ac:dyDescent="0.2">
      <c r="A263" s="293" t="s">
        <v>10040</v>
      </c>
      <c r="B263" s="293" t="s">
        <v>9924</v>
      </c>
      <c r="C263" s="293" t="s">
        <v>9939</v>
      </c>
      <c r="D263" s="293" t="s">
        <v>5774</v>
      </c>
      <c r="E263" s="293" t="s">
        <v>9939</v>
      </c>
      <c r="F263" s="293" t="s">
        <v>10039</v>
      </c>
      <c r="G263" s="293" t="s">
        <v>5591</v>
      </c>
      <c r="H263" s="294">
        <v>42735</v>
      </c>
      <c r="I263" s="295">
        <v>21728.2</v>
      </c>
    </row>
    <row r="264" spans="1:9" x14ac:dyDescent="0.2">
      <c r="A264" s="293" t="s">
        <v>10041</v>
      </c>
      <c r="B264" s="293" t="s">
        <v>9924</v>
      </c>
      <c r="C264" s="293" t="s">
        <v>9925</v>
      </c>
      <c r="D264" s="293" t="s">
        <v>5774</v>
      </c>
      <c r="E264" s="293" t="s">
        <v>9925</v>
      </c>
      <c r="F264" s="293" t="s">
        <v>10042</v>
      </c>
      <c r="G264" s="293" t="s">
        <v>5755</v>
      </c>
      <c r="H264" s="294">
        <v>42766</v>
      </c>
      <c r="I264" s="295">
        <v>3666.7</v>
      </c>
    </row>
    <row r="265" spans="1:9" x14ac:dyDescent="0.2">
      <c r="A265" s="293" t="s">
        <v>10041</v>
      </c>
      <c r="B265" s="293" t="s">
        <v>9924</v>
      </c>
      <c r="C265" s="293" t="s">
        <v>9925</v>
      </c>
      <c r="D265" s="293" t="s">
        <v>5774</v>
      </c>
      <c r="E265" s="293" t="s">
        <v>9925</v>
      </c>
      <c r="F265" s="293" t="s">
        <v>10042</v>
      </c>
      <c r="G265" s="293" t="s">
        <v>5589</v>
      </c>
      <c r="H265" s="294">
        <v>42766</v>
      </c>
      <c r="I265" s="295">
        <v>-6092.8</v>
      </c>
    </row>
    <row r="266" spans="1:9" x14ac:dyDescent="0.2">
      <c r="A266" s="293" t="s">
        <v>10041</v>
      </c>
      <c r="B266" s="293" t="s">
        <v>9924</v>
      </c>
      <c r="C266" s="293" t="s">
        <v>9925</v>
      </c>
      <c r="D266" s="293" t="s">
        <v>5774</v>
      </c>
      <c r="E266" s="293" t="s">
        <v>9925</v>
      </c>
      <c r="F266" s="293" t="s">
        <v>10042</v>
      </c>
      <c r="G266" s="293" t="s">
        <v>5754</v>
      </c>
      <c r="H266" s="294">
        <v>42766</v>
      </c>
      <c r="I266" s="295">
        <v>-275.91000000000003</v>
      </c>
    </row>
    <row r="267" spans="1:9" x14ac:dyDescent="0.2">
      <c r="A267" s="293" t="s">
        <v>10041</v>
      </c>
      <c r="B267" s="293" t="s">
        <v>9924</v>
      </c>
      <c r="C267" s="293" t="s">
        <v>9925</v>
      </c>
      <c r="D267" s="293" t="s">
        <v>5774</v>
      </c>
      <c r="E267" s="293" t="s">
        <v>9925</v>
      </c>
      <c r="F267" s="293" t="s">
        <v>10042</v>
      </c>
      <c r="G267" s="293" t="s">
        <v>5591</v>
      </c>
      <c r="H267" s="294">
        <v>42766</v>
      </c>
      <c r="I267" s="295">
        <v>-21728.21</v>
      </c>
    </row>
    <row r="268" spans="1:9" x14ac:dyDescent="0.2">
      <c r="A268" s="293" t="s">
        <v>10043</v>
      </c>
      <c r="B268" s="293" t="s">
        <v>9924</v>
      </c>
      <c r="C268" s="293" t="s">
        <v>9925</v>
      </c>
      <c r="D268" s="293" t="s">
        <v>5774</v>
      </c>
      <c r="E268" s="293" t="s">
        <v>9925</v>
      </c>
      <c r="F268" s="293" t="s">
        <v>10044</v>
      </c>
      <c r="G268" s="293" t="s">
        <v>5754</v>
      </c>
      <c r="H268" s="294">
        <v>42794</v>
      </c>
      <c r="I268" s="295">
        <v>-275.91000000000003</v>
      </c>
    </row>
    <row r="269" spans="1:9" x14ac:dyDescent="0.2">
      <c r="A269" s="293" t="s">
        <v>10043</v>
      </c>
      <c r="B269" s="293" t="s">
        <v>9924</v>
      </c>
      <c r="C269" s="293" t="s">
        <v>9925</v>
      </c>
      <c r="D269" s="293" t="s">
        <v>5774</v>
      </c>
      <c r="E269" s="293" t="s">
        <v>9925</v>
      </c>
      <c r="F269" s="293" t="s">
        <v>10044</v>
      </c>
      <c r="G269" s="293" t="s">
        <v>5755</v>
      </c>
      <c r="H269" s="294">
        <v>42794</v>
      </c>
      <c r="I269" s="295">
        <v>3666.7</v>
      </c>
    </row>
    <row r="270" spans="1:9" x14ac:dyDescent="0.2">
      <c r="A270" s="293" t="s">
        <v>10043</v>
      </c>
      <c r="B270" s="293" t="s">
        <v>9924</v>
      </c>
      <c r="C270" s="293" t="s">
        <v>9925</v>
      </c>
      <c r="D270" s="293" t="s">
        <v>5774</v>
      </c>
      <c r="E270" s="293" t="s">
        <v>9925</v>
      </c>
      <c r="F270" s="293" t="s">
        <v>10044</v>
      </c>
      <c r="G270" s="293" t="s">
        <v>5589</v>
      </c>
      <c r="H270" s="294">
        <v>42794</v>
      </c>
      <c r="I270" s="295">
        <v>-6092.8</v>
      </c>
    </row>
    <row r="271" spans="1:9" x14ac:dyDescent="0.2">
      <c r="A271" s="293" t="s">
        <v>10043</v>
      </c>
      <c r="B271" s="293" t="s">
        <v>9924</v>
      </c>
      <c r="C271" s="293" t="s">
        <v>9925</v>
      </c>
      <c r="D271" s="293" t="s">
        <v>5774</v>
      </c>
      <c r="E271" s="293" t="s">
        <v>9925</v>
      </c>
      <c r="F271" s="293" t="s">
        <v>10044</v>
      </c>
      <c r="G271" s="293" t="s">
        <v>5591</v>
      </c>
      <c r="H271" s="294">
        <v>42794</v>
      </c>
      <c r="I271" s="295">
        <v>-21728.21</v>
      </c>
    </row>
    <row r="272" spans="1:9" x14ac:dyDescent="0.2">
      <c r="A272" s="293" t="s">
        <v>10045</v>
      </c>
      <c r="B272" s="293" t="s">
        <v>9924</v>
      </c>
      <c r="C272" s="293" t="s">
        <v>9925</v>
      </c>
      <c r="D272" s="293" t="s">
        <v>5774</v>
      </c>
      <c r="E272" s="293" t="s">
        <v>9925</v>
      </c>
      <c r="F272" s="293" t="s">
        <v>10046</v>
      </c>
      <c r="G272" s="293" t="s">
        <v>5591</v>
      </c>
      <c r="H272" s="294">
        <v>42825</v>
      </c>
      <c r="I272" s="295">
        <v>-21728.19</v>
      </c>
    </row>
    <row r="273" spans="1:9" x14ac:dyDescent="0.2">
      <c r="A273" s="293" t="s">
        <v>10045</v>
      </c>
      <c r="B273" s="293" t="s">
        <v>9924</v>
      </c>
      <c r="C273" s="293" t="s">
        <v>9925</v>
      </c>
      <c r="D273" s="293" t="s">
        <v>5774</v>
      </c>
      <c r="E273" s="293" t="s">
        <v>9925</v>
      </c>
      <c r="F273" s="293" t="s">
        <v>10046</v>
      </c>
      <c r="G273" s="293" t="s">
        <v>5754</v>
      </c>
      <c r="H273" s="294">
        <v>42825</v>
      </c>
      <c r="I273" s="295">
        <v>-275.91000000000003</v>
      </c>
    </row>
    <row r="274" spans="1:9" x14ac:dyDescent="0.2">
      <c r="A274" s="293" t="s">
        <v>10045</v>
      </c>
      <c r="B274" s="293" t="s">
        <v>9924</v>
      </c>
      <c r="C274" s="293" t="s">
        <v>9925</v>
      </c>
      <c r="D274" s="293" t="s">
        <v>5774</v>
      </c>
      <c r="E274" s="293" t="s">
        <v>9925</v>
      </c>
      <c r="F274" s="293" t="s">
        <v>10046</v>
      </c>
      <c r="G274" s="293" t="s">
        <v>5755</v>
      </c>
      <c r="H274" s="294">
        <v>42825</v>
      </c>
      <c r="I274" s="295">
        <v>3666.69</v>
      </c>
    </row>
    <row r="275" spans="1:9" x14ac:dyDescent="0.2">
      <c r="A275" s="293" t="s">
        <v>10045</v>
      </c>
      <c r="B275" s="293" t="s">
        <v>9924</v>
      </c>
      <c r="C275" s="293" t="s">
        <v>9925</v>
      </c>
      <c r="D275" s="293" t="s">
        <v>5774</v>
      </c>
      <c r="E275" s="293" t="s">
        <v>9925</v>
      </c>
      <c r="F275" s="293" t="s">
        <v>10046</v>
      </c>
      <c r="G275" s="293" t="s">
        <v>5589</v>
      </c>
      <c r="H275" s="294">
        <v>42825</v>
      </c>
      <c r="I275" s="295">
        <v>-6092.79</v>
      </c>
    </row>
    <row r="276" spans="1:9" x14ac:dyDescent="0.2">
      <c r="A276" s="293" t="s">
        <v>10047</v>
      </c>
      <c r="B276" s="293" t="s">
        <v>9924</v>
      </c>
      <c r="C276" s="293" t="s">
        <v>9925</v>
      </c>
      <c r="D276" s="293" t="s">
        <v>5774</v>
      </c>
      <c r="E276" s="293" t="s">
        <v>9925</v>
      </c>
      <c r="F276" s="293" t="s">
        <v>10048</v>
      </c>
      <c r="G276" s="293" t="s">
        <v>5755</v>
      </c>
      <c r="H276" s="294">
        <v>42855</v>
      </c>
      <c r="I276" s="295">
        <v>3666.7</v>
      </c>
    </row>
    <row r="277" spans="1:9" x14ac:dyDescent="0.2">
      <c r="A277" s="293" t="s">
        <v>10047</v>
      </c>
      <c r="B277" s="293" t="s">
        <v>9924</v>
      </c>
      <c r="C277" s="293" t="s">
        <v>9925</v>
      </c>
      <c r="D277" s="293" t="s">
        <v>5774</v>
      </c>
      <c r="E277" s="293" t="s">
        <v>9925</v>
      </c>
      <c r="F277" s="293" t="s">
        <v>10048</v>
      </c>
      <c r="G277" s="293" t="s">
        <v>5754</v>
      </c>
      <c r="H277" s="294">
        <v>42855</v>
      </c>
      <c r="I277" s="295">
        <v>-275.91000000000003</v>
      </c>
    </row>
    <row r="278" spans="1:9" x14ac:dyDescent="0.2">
      <c r="A278" s="293" t="s">
        <v>10047</v>
      </c>
      <c r="B278" s="293" t="s">
        <v>9924</v>
      </c>
      <c r="C278" s="293" t="s">
        <v>9925</v>
      </c>
      <c r="D278" s="293" t="s">
        <v>5774</v>
      </c>
      <c r="E278" s="293" t="s">
        <v>9925</v>
      </c>
      <c r="F278" s="293" t="s">
        <v>10048</v>
      </c>
      <c r="G278" s="293" t="s">
        <v>5591</v>
      </c>
      <c r="H278" s="294">
        <v>42855</v>
      </c>
      <c r="I278" s="295">
        <v>-21728.21</v>
      </c>
    </row>
    <row r="279" spans="1:9" x14ac:dyDescent="0.2">
      <c r="A279" s="293" t="s">
        <v>10047</v>
      </c>
      <c r="B279" s="293" t="s">
        <v>9924</v>
      </c>
      <c r="C279" s="293" t="s">
        <v>9925</v>
      </c>
      <c r="D279" s="293" t="s">
        <v>5774</v>
      </c>
      <c r="E279" s="293" t="s">
        <v>9925</v>
      </c>
      <c r="F279" s="293" t="s">
        <v>10048</v>
      </c>
      <c r="G279" s="293" t="s">
        <v>5589</v>
      </c>
      <c r="H279" s="294">
        <v>42855</v>
      </c>
      <c r="I279" s="295">
        <v>-6092.8</v>
      </c>
    </row>
    <row r="280" spans="1:9" x14ac:dyDescent="0.2">
      <c r="A280" s="293" t="s">
        <v>10049</v>
      </c>
      <c r="B280" s="293" t="s">
        <v>9924</v>
      </c>
      <c r="C280" s="293" t="s">
        <v>9925</v>
      </c>
      <c r="D280" s="293" t="s">
        <v>5774</v>
      </c>
      <c r="E280" s="293" t="s">
        <v>9925</v>
      </c>
      <c r="F280" s="293" t="s">
        <v>10050</v>
      </c>
      <c r="G280" s="293" t="s">
        <v>5589</v>
      </c>
      <c r="H280" s="294">
        <v>42886</v>
      </c>
      <c r="I280" s="295">
        <v>-6092.8</v>
      </c>
    </row>
    <row r="281" spans="1:9" x14ac:dyDescent="0.2">
      <c r="A281" s="293" t="s">
        <v>10049</v>
      </c>
      <c r="B281" s="293" t="s">
        <v>9924</v>
      </c>
      <c r="C281" s="293" t="s">
        <v>9925</v>
      </c>
      <c r="D281" s="293" t="s">
        <v>5774</v>
      </c>
      <c r="E281" s="293" t="s">
        <v>9925</v>
      </c>
      <c r="F281" s="293" t="s">
        <v>10050</v>
      </c>
      <c r="G281" s="293" t="s">
        <v>5754</v>
      </c>
      <c r="H281" s="294">
        <v>42886</v>
      </c>
      <c r="I281" s="295">
        <v>-275.91000000000003</v>
      </c>
    </row>
    <row r="282" spans="1:9" x14ac:dyDescent="0.2">
      <c r="A282" s="293" t="s">
        <v>10049</v>
      </c>
      <c r="B282" s="293" t="s">
        <v>9924</v>
      </c>
      <c r="C282" s="293" t="s">
        <v>9925</v>
      </c>
      <c r="D282" s="293" t="s">
        <v>5774</v>
      </c>
      <c r="E282" s="293" t="s">
        <v>9925</v>
      </c>
      <c r="F282" s="293" t="s">
        <v>10050</v>
      </c>
      <c r="G282" s="293" t="s">
        <v>5755</v>
      </c>
      <c r="H282" s="294">
        <v>42886</v>
      </c>
      <c r="I282" s="295">
        <v>3666.7</v>
      </c>
    </row>
    <row r="283" spans="1:9" x14ac:dyDescent="0.2">
      <c r="A283" s="293" t="s">
        <v>10049</v>
      </c>
      <c r="B283" s="293" t="s">
        <v>9924</v>
      </c>
      <c r="C283" s="293" t="s">
        <v>9925</v>
      </c>
      <c r="D283" s="293" t="s">
        <v>5774</v>
      </c>
      <c r="E283" s="293" t="s">
        <v>9925</v>
      </c>
      <c r="F283" s="293" t="s">
        <v>10050</v>
      </c>
      <c r="G283" s="293" t="s">
        <v>5591</v>
      </c>
      <c r="H283" s="294">
        <v>42886</v>
      </c>
      <c r="I283" s="295">
        <v>-21728.2</v>
      </c>
    </row>
    <row r="284" spans="1:9" x14ac:dyDescent="0.2">
      <c r="A284" s="293" t="s">
        <v>10051</v>
      </c>
      <c r="B284" s="293" t="s">
        <v>9924</v>
      </c>
      <c r="C284" s="293" t="s">
        <v>9925</v>
      </c>
      <c r="D284" s="293" t="s">
        <v>5774</v>
      </c>
      <c r="E284" s="293" t="s">
        <v>9925</v>
      </c>
      <c r="F284" s="293" t="s">
        <v>10052</v>
      </c>
      <c r="G284" s="293" t="s">
        <v>5755</v>
      </c>
      <c r="H284" s="294">
        <v>42916</v>
      </c>
      <c r="I284" s="295">
        <v>3666.7</v>
      </c>
    </row>
    <row r="285" spans="1:9" x14ac:dyDescent="0.2">
      <c r="A285" s="293" t="s">
        <v>10051</v>
      </c>
      <c r="B285" s="293" t="s">
        <v>9924</v>
      </c>
      <c r="C285" s="293" t="s">
        <v>9925</v>
      </c>
      <c r="D285" s="293" t="s">
        <v>5774</v>
      </c>
      <c r="E285" s="293" t="s">
        <v>9925</v>
      </c>
      <c r="F285" s="293" t="s">
        <v>10052</v>
      </c>
      <c r="G285" s="293" t="s">
        <v>5754</v>
      </c>
      <c r="H285" s="294">
        <v>42916</v>
      </c>
      <c r="I285" s="295">
        <v>-275.91000000000003</v>
      </c>
    </row>
    <row r="286" spans="1:9" x14ac:dyDescent="0.2">
      <c r="A286" s="293" t="s">
        <v>10051</v>
      </c>
      <c r="B286" s="293" t="s">
        <v>9924</v>
      </c>
      <c r="C286" s="293" t="s">
        <v>9925</v>
      </c>
      <c r="D286" s="293" t="s">
        <v>5774</v>
      </c>
      <c r="E286" s="293" t="s">
        <v>9925</v>
      </c>
      <c r="F286" s="293" t="s">
        <v>10052</v>
      </c>
      <c r="G286" s="293" t="s">
        <v>5589</v>
      </c>
      <c r="H286" s="294">
        <v>42916</v>
      </c>
      <c r="I286" s="295">
        <v>-6092.8</v>
      </c>
    </row>
    <row r="287" spans="1:9" x14ac:dyDescent="0.2">
      <c r="A287" s="293" t="s">
        <v>10051</v>
      </c>
      <c r="B287" s="293" t="s">
        <v>9924</v>
      </c>
      <c r="C287" s="293" t="s">
        <v>9925</v>
      </c>
      <c r="D287" s="293" t="s">
        <v>5774</v>
      </c>
      <c r="E287" s="293" t="s">
        <v>9925</v>
      </c>
      <c r="F287" s="293" t="s">
        <v>10052</v>
      </c>
      <c r="G287" s="293" t="s">
        <v>5591</v>
      </c>
      <c r="H287" s="294">
        <v>42916</v>
      </c>
      <c r="I287" s="295">
        <v>-21728.21</v>
      </c>
    </row>
    <row r="288" spans="1:9" x14ac:dyDescent="0.2">
      <c r="A288" s="293" t="s">
        <v>10053</v>
      </c>
      <c r="B288" s="293" t="s">
        <v>9924</v>
      </c>
      <c r="C288" s="293" t="s">
        <v>9925</v>
      </c>
      <c r="D288" s="293" t="s">
        <v>5774</v>
      </c>
      <c r="E288" s="293" t="s">
        <v>9925</v>
      </c>
      <c r="F288" s="293" t="s">
        <v>10054</v>
      </c>
      <c r="G288" s="293" t="s">
        <v>5754</v>
      </c>
      <c r="H288" s="294">
        <v>42947</v>
      </c>
      <c r="I288" s="295">
        <v>-275.91000000000003</v>
      </c>
    </row>
    <row r="289" spans="1:9" x14ac:dyDescent="0.2">
      <c r="A289" s="293" t="s">
        <v>10053</v>
      </c>
      <c r="B289" s="293" t="s">
        <v>9924</v>
      </c>
      <c r="C289" s="293" t="s">
        <v>9925</v>
      </c>
      <c r="D289" s="293" t="s">
        <v>5774</v>
      </c>
      <c r="E289" s="293" t="s">
        <v>9925</v>
      </c>
      <c r="F289" s="293" t="s">
        <v>10054</v>
      </c>
      <c r="G289" s="293" t="s">
        <v>5591</v>
      </c>
      <c r="H289" s="294">
        <v>42947</v>
      </c>
      <c r="I289" s="295">
        <v>-21728.2</v>
      </c>
    </row>
    <row r="290" spans="1:9" x14ac:dyDescent="0.2">
      <c r="A290" s="293" t="s">
        <v>10053</v>
      </c>
      <c r="B290" s="293" t="s">
        <v>9924</v>
      </c>
      <c r="C290" s="293" t="s">
        <v>9925</v>
      </c>
      <c r="D290" s="293" t="s">
        <v>5774</v>
      </c>
      <c r="E290" s="293" t="s">
        <v>9925</v>
      </c>
      <c r="F290" s="293" t="s">
        <v>10054</v>
      </c>
      <c r="G290" s="293" t="s">
        <v>5589</v>
      </c>
      <c r="H290" s="294">
        <v>42947</v>
      </c>
      <c r="I290" s="295">
        <v>-6092.8</v>
      </c>
    </row>
    <row r="291" spans="1:9" x14ac:dyDescent="0.2">
      <c r="A291" s="293" t="s">
        <v>10053</v>
      </c>
      <c r="B291" s="293" t="s">
        <v>9924</v>
      </c>
      <c r="C291" s="293" t="s">
        <v>9925</v>
      </c>
      <c r="D291" s="293" t="s">
        <v>5774</v>
      </c>
      <c r="E291" s="293" t="s">
        <v>9925</v>
      </c>
      <c r="F291" s="293" t="s">
        <v>10054</v>
      </c>
      <c r="G291" s="293" t="s">
        <v>5755</v>
      </c>
      <c r="H291" s="294">
        <v>42947</v>
      </c>
      <c r="I291" s="295">
        <v>3666.7</v>
      </c>
    </row>
    <row r="292" spans="1:9" x14ac:dyDescent="0.2">
      <c r="A292" s="293" t="s">
        <v>10055</v>
      </c>
      <c r="B292" s="293" t="s">
        <v>9924</v>
      </c>
      <c r="C292" s="293" t="s">
        <v>9925</v>
      </c>
      <c r="D292" s="293" t="s">
        <v>5774</v>
      </c>
      <c r="E292" s="293" t="s">
        <v>9925</v>
      </c>
      <c r="F292" s="293" t="s">
        <v>10056</v>
      </c>
      <c r="G292" s="293" t="s">
        <v>5591</v>
      </c>
      <c r="H292" s="294">
        <v>42978</v>
      </c>
      <c r="I292" s="295">
        <v>-21728.2</v>
      </c>
    </row>
    <row r="293" spans="1:9" x14ac:dyDescent="0.2">
      <c r="A293" s="293" t="s">
        <v>10055</v>
      </c>
      <c r="B293" s="293" t="s">
        <v>9924</v>
      </c>
      <c r="C293" s="293" t="s">
        <v>9925</v>
      </c>
      <c r="D293" s="293" t="s">
        <v>5774</v>
      </c>
      <c r="E293" s="293" t="s">
        <v>9925</v>
      </c>
      <c r="F293" s="293" t="s">
        <v>10056</v>
      </c>
      <c r="G293" s="293" t="s">
        <v>5754</v>
      </c>
      <c r="H293" s="294">
        <v>42978</v>
      </c>
      <c r="I293" s="295">
        <v>-275.91000000000003</v>
      </c>
    </row>
    <row r="294" spans="1:9" x14ac:dyDescent="0.2">
      <c r="A294" s="293" t="s">
        <v>10055</v>
      </c>
      <c r="B294" s="293" t="s">
        <v>9924</v>
      </c>
      <c r="C294" s="293" t="s">
        <v>9925</v>
      </c>
      <c r="D294" s="293" t="s">
        <v>5774</v>
      </c>
      <c r="E294" s="293" t="s">
        <v>9925</v>
      </c>
      <c r="F294" s="293" t="s">
        <v>10056</v>
      </c>
      <c r="G294" s="293" t="s">
        <v>5589</v>
      </c>
      <c r="H294" s="294">
        <v>42978</v>
      </c>
      <c r="I294" s="295">
        <v>-6092.8</v>
      </c>
    </row>
    <row r="295" spans="1:9" x14ac:dyDescent="0.2">
      <c r="A295" s="293" t="s">
        <v>10055</v>
      </c>
      <c r="B295" s="293" t="s">
        <v>9924</v>
      </c>
      <c r="C295" s="293" t="s">
        <v>9925</v>
      </c>
      <c r="D295" s="293" t="s">
        <v>5774</v>
      </c>
      <c r="E295" s="293" t="s">
        <v>9925</v>
      </c>
      <c r="F295" s="293" t="s">
        <v>10056</v>
      </c>
      <c r="G295" s="293" t="s">
        <v>5755</v>
      </c>
      <c r="H295" s="294">
        <v>42978</v>
      </c>
      <c r="I295" s="295">
        <v>3666.7</v>
      </c>
    </row>
    <row r="296" spans="1:9" x14ac:dyDescent="0.2">
      <c r="A296" s="293" t="s">
        <v>10057</v>
      </c>
      <c r="B296" s="293" t="s">
        <v>9924</v>
      </c>
      <c r="C296" s="293" t="s">
        <v>9925</v>
      </c>
      <c r="D296" s="293" t="s">
        <v>5774</v>
      </c>
      <c r="E296" s="293" t="s">
        <v>9925</v>
      </c>
      <c r="F296" s="293" t="s">
        <v>10058</v>
      </c>
      <c r="G296" s="293" t="s">
        <v>5589</v>
      </c>
      <c r="H296" s="294">
        <v>43008</v>
      </c>
      <c r="I296" s="295">
        <v>-6092.8</v>
      </c>
    </row>
    <row r="297" spans="1:9" x14ac:dyDescent="0.2">
      <c r="A297" s="293" t="s">
        <v>10057</v>
      </c>
      <c r="B297" s="293" t="s">
        <v>9924</v>
      </c>
      <c r="C297" s="293" t="s">
        <v>9925</v>
      </c>
      <c r="D297" s="293" t="s">
        <v>5774</v>
      </c>
      <c r="E297" s="293" t="s">
        <v>9925</v>
      </c>
      <c r="F297" s="293" t="s">
        <v>10058</v>
      </c>
      <c r="G297" s="293" t="s">
        <v>5591</v>
      </c>
      <c r="H297" s="294">
        <v>43008</v>
      </c>
      <c r="I297" s="295">
        <v>-21728.21</v>
      </c>
    </row>
    <row r="298" spans="1:9" x14ac:dyDescent="0.2">
      <c r="A298" s="293" t="s">
        <v>10057</v>
      </c>
      <c r="B298" s="293" t="s">
        <v>9924</v>
      </c>
      <c r="C298" s="293" t="s">
        <v>9925</v>
      </c>
      <c r="D298" s="293" t="s">
        <v>5774</v>
      </c>
      <c r="E298" s="293" t="s">
        <v>9925</v>
      </c>
      <c r="F298" s="293" t="s">
        <v>10058</v>
      </c>
      <c r="G298" s="293" t="s">
        <v>5754</v>
      </c>
      <c r="H298" s="294">
        <v>43008</v>
      </c>
      <c r="I298" s="295">
        <v>-275.91000000000003</v>
      </c>
    </row>
    <row r="299" spans="1:9" x14ac:dyDescent="0.2">
      <c r="A299" s="293" t="s">
        <v>10057</v>
      </c>
      <c r="B299" s="293" t="s">
        <v>9924</v>
      </c>
      <c r="C299" s="293" t="s">
        <v>9925</v>
      </c>
      <c r="D299" s="293" t="s">
        <v>5774</v>
      </c>
      <c r="E299" s="293" t="s">
        <v>9925</v>
      </c>
      <c r="F299" s="293" t="s">
        <v>10058</v>
      </c>
      <c r="G299" s="293" t="s">
        <v>5755</v>
      </c>
      <c r="H299" s="294">
        <v>43008</v>
      </c>
      <c r="I299" s="295">
        <v>3666.7</v>
      </c>
    </row>
    <row r="300" spans="1:9" x14ac:dyDescent="0.2">
      <c r="A300" s="293" t="s">
        <v>10059</v>
      </c>
      <c r="B300" s="293" t="s">
        <v>9924</v>
      </c>
      <c r="C300" s="293" t="s">
        <v>9925</v>
      </c>
      <c r="D300" s="293" t="s">
        <v>5774</v>
      </c>
      <c r="E300" s="293" t="s">
        <v>9925</v>
      </c>
      <c r="F300" s="293" t="s">
        <v>10060</v>
      </c>
      <c r="G300" s="293" t="s">
        <v>5589</v>
      </c>
      <c r="H300" s="294">
        <v>43039</v>
      </c>
      <c r="I300" s="295">
        <v>-6092.8</v>
      </c>
    </row>
    <row r="301" spans="1:9" x14ac:dyDescent="0.2">
      <c r="A301" s="293" t="s">
        <v>10059</v>
      </c>
      <c r="B301" s="293" t="s">
        <v>9924</v>
      </c>
      <c r="C301" s="293" t="s">
        <v>9925</v>
      </c>
      <c r="D301" s="293" t="s">
        <v>5774</v>
      </c>
      <c r="E301" s="293" t="s">
        <v>9925</v>
      </c>
      <c r="F301" s="293" t="s">
        <v>10060</v>
      </c>
      <c r="G301" s="293" t="s">
        <v>5591</v>
      </c>
      <c r="H301" s="294">
        <v>43039</v>
      </c>
      <c r="I301" s="295">
        <v>-21728.2</v>
      </c>
    </row>
    <row r="302" spans="1:9" x14ac:dyDescent="0.2">
      <c r="A302" s="293" t="s">
        <v>10059</v>
      </c>
      <c r="B302" s="293" t="s">
        <v>9924</v>
      </c>
      <c r="C302" s="293" t="s">
        <v>9925</v>
      </c>
      <c r="D302" s="293" t="s">
        <v>5774</v>
      </c>
      <c r="E302" s="293" t="s">
        <v>9925</v>
      </c>
      <c r="F302" s="293" t="s">
        <v>10060</v>
      </c>
      <c r="G302" s="293" t="s">
        <v>5754</v>
      </c>
      <c r="H302" s="294">
        <v>43039</v>
      </c>
      <c r="I302" s="295">
        <v>-275.91000000000003</v>
      </c>
    </row>
    <row r="303" spans="1:9" x14ac:dyDescent="0.2">
      <c r="A303" s="293" t="s">
        <v>10059</v>
      </c>
      <c r="B303" s="293" t="s">
        <v>9924</v>
      </c>
      <c r="C303" s="293" t="s">
        <v>9925</v>
      </c>
      <c r="D303" s="293" t="s">
        <v>5774</v>
      </c>
      <c r="E303" s="293" t="s">
        <v>9925</v>
      </c>
      <c r="F303" s="293" t="s">
        <v>10060</v>
      </c>
      <c r="G303" s="293" t="s">
        <v>5755</v>
      </c>
      <c r="H303" s="294">
        <v>43039</v>
      </c>
      <c r="I303" s="295">
        <v>3666.7</v>
      </c>
    </row>
    <row r="304" spans="1:9" x14ac:dyDescent="0.2">
      <c r="A304" s="293" t="s">
        <v>10061</v>
      </c>
      <c r="B304" s="293" t="s">
        <v>9924</v>
      </c>
      <c r="C304" s="293" t="s">
        <v>9925</v>
      </c>
      <c r="D304" s="293" t="s">
        <v>5774</v>
      </c>
      <c r="E304" s="293" t="s">
        <v>9925</v>
      </c>
      <c r="F304" s="293" t="s">
        <v>10062</v>
      </c>
      <c r="G304" s="293" t="s">
        <v>5755</v>
      </c>
      <c r="H304" s="294">
        <v>43069</v>
      </c>
      <c r="I304" s="295">
        <v>3666.7</v>
      </c>
    </row>
    <row r="305" spans="1:9" x14ac:dyDescent="0.2">
      <c r="A305" s="293" t="s">
        <v>10061</v>
      </c>
      <c r="B305" s="293" t="s">
        <v>9924</v>
      </c>
      <c r="C305" s="293" t="s">
        <v>9925</v>
      </c>
      <c r="D305" s="293" t="s">
        <v>5774</v>
      </c>
      <c r="E305" s="293" t="s">
        <v>9925</v>
      </c>
      <c r="F305" s="293" t="s">
        <v>10062</v>
      </c>
      <c r="G305" s="293" t="s">
        <v>5754</v>
      </c>
      <c r="H305" s="294">
        <v>43069</v>
      </c>
      <c r="I305" s="295">
        <v>-275.91000000000003</v>
      </c>
    </row>
    <row r="306" spans="1:9" x14ac:dyDescent="0.2">
      <c r="A306" s="293" t="s">
        <v>10061</v>
      </c>
      <c r="B306" s="293" t="s">
        <v>9924</v>
      </c>
      <c r="C306" s="293" t="s">
        <v>9925</v>
      </c>
      <c r="D306" s="293" t="s">
        <v>5774</v>
      </c>
      <c r="E306" s="293" t="s">
        <v>9925</v>
      </c>
      <c r="F306" s="293" t="s">
        <v>10062</v>
      </c>
      <c r="G306" s="293" t="s">
        <v>5589</v>
      </c>
      <c r="H306" s="294">
        <v>43069</v>
      </c>
      <c r="I306" s="295">
        <v>-6092.8</v>
      </c>
    </row>
    <row r="307" spans="1:9" x14ac:dyDescent="0.2">
      <c r="A307" s="293" t="s">
        <v>10061</v>
      </c>
      <c r="B307" s="293" t="s">
        <v>9924</v>
      </c>
      <c r="C307" s="293" t="s">
        <v>9925</v>
      </c>
      <c r="D307" s="293" t="s">
        <v>5774</v>
      </c>
      <c r="E307" s="293" t="s">
        <v>9925</v>
      </c>
      <c r="F307" s="293" t="s">
        <v>10062</v>
      </c>
      <c r="G307" s="293" t="s">
        <v>5591</v>
      </c>
      <c r="H307" s="294">
        <v>43069</v>
      </c>
      <c r="I307" s="295">
        <v>-21728.21</v>
      </c>
    </row>
    <row r="308" spans="1:9" x14ac:dyDescent="0.2">
      <c r="A308" s="293" t="s">
        <v>10063</v>
      </c>
      <c r="B308" s="293" t="s">
        <v>9924</v>
      </c>
      <c r="C308" s="293" t="s">
        <v>9925</v>
      </c>
      <c r="D308" s="293" t="s">
        <v>5774</v>
      </c>
      <c r="E308" s="293" t="s">
        <v>9925</v>
      </c>
      <c r="F308" s="293" t="s">
        <v>10064</v>
      </c>
      <c r="G308" s="293" t="s">
        <v>5754</v>
      </c>
      <c r="H308" s="294">
        <v>43100</v>
      </c>
      <c r="I308" s="295">
        <v>1048.46</v>
      </c>
    </row>
    <row r="309" spans="1:9" x14ac:dyDescent="0.2">
      <c r="A309" s="293" t="s">
        <v>10063</v>
      </c>
      <c r="B309" s="293" t="s">
        <v>9924</v>
      </c>
      <c r="C309" s="293" t="s">
        <v>9925</v>
      </c>
      <c r="D309" s="293" t="s">
        <v>5774</v>
      </c>
      <c r="E309" s="293" t="s">
        <v>9925</v>
      </c>
      <c r="F309" s="293" t="s">
        <v>10064</v>
      </c>
      <c r="G309" s="293" t="s">
        <v>5755</v>
      </c>
      <c r="H309" s="294">
        <v>43100</v>
      </c>
      <c r="I309" s="295">
        <v>-13933.44</v>
      </c>
    </row>
    <row r="310" spans="1:9" x14ac:dyDescent="0.2">
      <c r="A310" s="293" t="s">
        <v>10063</v>
      </c>
      <c r="B310" s="293" t="s">
        <v>9924</v>
      </c>
      <c r="C310" s="293" t="s">
        <v>9925</v>
      </c>
      <c r="D310" s="293" t="s">
        <v>5774</v>
      </c>
      <c r="E310" s="293" t="s">
        <v>9925</v>
      </c>
      <c r="F310" s="293" t="s">
        <v>10064</v>
      </c>
      <c r="G310" s="293" t="s">
        <v>5589</v>
      </c>
      <c r="H310" s="294">
        <v>43100</v>
      </c>
      <c r="I310" s="295">
        <v>23152.62</v>
      </c>
    </row>
    <row r="311" spans="1:9" x14ac:dyDescent="0.2">
      <c r="A311" s="293" t="s">
        <v>10063</v>
      </c>
      <c r="B311" s="293" t="s">
        <v>9924</v>
      </c>
      <c r="C311" s="293" t="s">
        <v>9925</v>
      </c>
      <c r="D311" s="293" t="s">
        <v>5774</v>
      </c>
      <c r="E311" s="293" t="s">
        <v>9925</v>
      </c>
      <c r="F311" s="293" t="s">
        <v>10064</v>
      </c>
      <c r="G311" s="293" t="s">
        <v>5591</v>
      </c>
      <c r="H311" s="294">
        <v>43100</v>
      </c>
      <c r="I311" s="295">
        <v>82567.17</v>
      </c>
    </row>
    <row r="312" spans="1:9" x14ac:dyDescent="0.2">
      <c r="A312" s="293" t="s">
        <v>10065</v>
      </c>
      <c r="B312" s="293" t="s">
        <v>9924</v>
      </c>
      <c r="C312" s="293" t="s">
        <v>9925</v>
      </c>
      <c r="D312" s="293" t="s">
        <v>5774</v>
      </c>
      <c r="E312" s="293" t="s">
        <v>9925</v>
      </c>
      <c r="F312" s="293" t="s">
        <v>10066</v>
      </c>
      <c r="G312" s="293" t="s">
        <v>5754</v>
      </c>
      <c r="H312" s="294">
        <v>43100</v>
      </c>
      <c r="I312" s="295">
        <v>1048.46</v>
      </c>
    </row>
    <row r="313" spans="1:9" x14ac:dyDescent="0.2">
      <c r="A313" s="293" t="s">
        <v>10065</v>
      </c>
      <c r="B313" s="293" t="s">
        <v>9924</v>
      </c>
      <c r="C313" s="293" t="s">
        <v>9925</v>
      </c>
      <c r="D313" s="293" t="s">
        <v>5774</v>
      </c>
      <c r="E313" s="293" t="s">
        <v>9925</v>
      </c>
      <c r="F313" s="293" t="s">
        <v>10066</v>
      </c>
      <c r="G313" s="293" t="s">
        <v>5755</v>
      </c>
      <c r="H313" s="294">
        <v>43100</v>
      </c>
      <c r="I313" s="295">
        <v>-13933.44</v>
      </c>
    </row>
    <row r="314" spans="1:9" x14ac:dyDescent="0.2">
      <c r="A314" s="293" t="s">
        <v>10065</v>
      </c>
      <c r="B314" s="293" t="s">
        <v>9924</v>
      </c>
      <c r="C314" s="293" t="s">
        <v>9925</v>
      </c>
      <c r="D314" s="293" t="s">
        <v>5774</v>
      </c>
      <c r="E314" s="293" t="s">
        <v>9925</v>
      </c>
      <c r="F314" s="293" t="s">
        <v>10066</v>
      </c>
      <c r="G314" s="293" t="s">
        <v>5591</v>
      </c>
      <c r="H314" s="294">
        <v>43100</v>
      </c>
      <c r="I314" s="295">
        <v>82567.17</v>
      </c>
    </row>
    <row r="315" spans="1:9" x14ac:dyDescent="0.2">
      <c r="A315" s="293" t="s">
        <v>10065</v>
      </c>
      <c r="B315" s="293" t="s">
        <v>9924</v>
      </c>
      <c r="C315" s="293" t="s">
        <v>9925</v>
      </c>
      <c r="D315" s="293" t="s">
        <v>5774</v>
      </c>
      <c r="E315" s="293" t="s">
        <v>9925</v>
      </c>
      <c r="F315" s="293" t="s">
        <v>10066</v>
      </c>
      <c r="G315" s="293" t="s">
        <v>5589</v>
      </c>
      <c r="H315" s="294">
        <v>43100</v>
      </c>
      <c r="I315" s="295">
        <v>23152.62</v>
      </c>
    </row>
    <row r="316" spans="1:9" x14ac:dyDescent="0.2">
      <c r="A316" s="293" t="s">
        <v>10067</v>
      </c>
      <c r="B316" s="293" t="s">
        <v>9924</v>
      </c>
      <c r="C316" s="293" t="s">
        <v>9939</v>
      </c>
      <c r="D316" s="293" t="s">
        <v>5774</v>
      </c>
      <c r="E316" s="293" t="s">
        <v>9939</v>
      </c>
      <c r="F316" s="293" t="s">
        <v>10066</v>
      </c>
      <c r="G316" s="293" t="s">
        <v>5591</v>
      </c>
      <c r="H316" s="294">
        <v>43100</v>
      </c>
      <c r="I316" s="295">
        <v>-82567.17</v>
      </c>
    </row>
    <row r="317" spans="1:9" x14ac:dyDescent="0.2">
      <c r="A317" s="293" t="s">
        <v>10067</v>
      </c>
      <c r="B317" s="293" t="s">
        <v>9924</v>
      </c>
      <c r="C317" s="293" t="s">
        <v>9939</v>
      </c>
      <c r="D317" s="293" t="s">
        <v>5774</v>
      </c>
      <c r="E317" s="293" t="s">
        <v>9939</v>
      </c>
      <c r="F317" s="293" t="s">
        <v>10066</v>
      </c>
      <c r="G317" s="293" t="s">
        <v>5754</v>
      </c>
      <c r="H317" s="294">
        <v>43100</v>
      </c>
      <c r="I317" s="295">
        <v>-1048.46</v>
      </c>
    </row>
    <row r="318" spans="1:9" x14ac:dyDescent="0.2">
      <c r="A318" s="293" t="s">
        <v>10067</v>
      </c>
      <c r="B318" s="293" t="s">
        <v>9924</v>
      </c>
      <c r="C318" s="293" t="s">
        <v>9939</v>
      </c>
      <c r="D318" s="293" t="s">
        <v>5774</v>
      </c>
      <c r="E318" s="293" t="s">
        <v>9939</v>
      </c>
      <c r="F318" s="293" t="s">
        <v>10066</v>
      </c>
      <c r="G318" s="293" t="s">
        <v>5589</v>
      </c>
      <c r="H318" s="294">
        <v>43100</v>
      </c>
      <c r="I318" s="295">
        <v>-23152.62</v>
      </c>
    </row>
    <row r="319" spans="1:9" x14ac:dyDescent="0.2">
      <c r="A319" s="293" t="s">
        <v>10067</v>
      </c>
      <c r="B319" s="293" t="s">
        <v>9924</v>
      </c>
      <c r="C319" s="293" t="s">
        <v>9939</v>
      </c>
      <c r="D319" s="293" t="s">
        <v>5774</v>
      </c>
      <c r="E319" s="293" t="s">
        <v>9939</v>
      </c>
      <c r="F319" s="293" t="s">
        <v>10066</v>
      </c>
      <c r="G319" s="293" t="s">
        <v>5755</v>
      </c>
      <c r="H319" s="294">
        <v>43100</v>
      </c>
      <c r="I319" s="295">
        <v>13933.44</v>
      </c>
    </row>
    <row r="320" spans="1:9" x14ac:dyDescent="0.2">
      <c r="A320" s="293" t="s">
        <v>10068</v>
      </c>
      <c r="B320" s="293" t="s">
        <v>9924</v>
      </c>
      <c r="C320" s="293" t="s">
        <v>9925</v>
      </c>
      <c r="D320" s="293" t="s">
        <v>5774</v>
      </c>
      <c r="E320" s="293" t="s">
        <v>9925</v>
      </c>
      <c r="F320" s="293" t="s">
        <v>10069</v>
      </c>
      <c r="G320" s="293" t="s">
        <v>5755</v>
      </c>
      <c r="H320" s="294">
        <v>43131</v>
      </c>
      <c r="I320" s="295">
        <v>2200.02</v>
      </c>
    </row>
    <row r="321" spans="1:9" x14ac:dyDescent="0.2">
      <c r="A321" s="293" t="s">
        <v>10068</v>
      </c>
      <c r="B321" s="293" t="s">
        <v>9924</v>
      </c>
      <c r="C321" s="293" t="s">
        <v>9925</v>
      </c>
      <c r="D321" s="293" t="s">
        <v>5774</v>
      </c>
      <c r="E321" s="293" t="s">
        <v>9925</v>
      </c>
      <c r="F321" s="293" t="s">
        <v>10069</v>
      </c>
      <c r="G321" s="293" t="s">
        <v>5754</v>
      </c>
      <c r="H321" s="294">
        <v>43131</v>
      </c>
      <c r="I321" s="295">
        <v>-165.55</v>
      </c>
    </row>
    <row r="322" spans="1:9" x14ac:dyDescent="0.2">
      <c r="A322" s="293" t="s">
        <v>10068</v>
      </c>
      <c r="B322" s="293" t="s">
        <v>9924</v>
      </c>
      <c r="C322" s="293" t="s">
        <v>9925</v>
      </c>
      <c r="D322" s="293" t="s">
        <v>5774</v>
      </c>
      <c r="E322" s="293" t="s">
        <v>9925</v>
      </c>
      <c r="F322" s="293" t="s">
        <v>10069</v>
      </c>
      <c r="G322" s="293" t="s">
        <v>5589</v>
      </c>
      <c r="H322" s="294">
        <v>43131</v>
      </c>
      <c r="I322" s="295">
        <v>-3655.68</v>
      </c>
    </row>
    <row r="323" spans="1:9" x14ac:dyDescent="0.2">
      <c r="A323" s="293" t="s">
        <v>10068</v>
      </c>
      <c r="B323" s="293" t="s">
        <v>9924</v>
      </c>
      <c r="C323" s="293" t="s">
        <v>9925</v>
      </c>
      <c r="D323" s="293" t="s">
        <v>5774</v>
      </c>
      <c r="E323" s="293" t="s">
        <v>9925</v>
      </c>
      <c r="F323" s="293" t="s">
        <v>10069</v>
      </c>
      <c r="G323" s="293" t="s">
        <v>5591</v>
      </c>
      <c r="H323" s="294">
        <v>43131</v>
      </c>
      <c r="I323" s="295">
        <v>-13036.92</v>
      </c>
    </row>
    <row r="324" spans="1:9" x14ac:dyDescent="0.2">
      <c r="A324" s="293" t="s">
        <v>10070</v>
      </c>
      <c r="B324" s="293" t="s">
        <v>9924</v>
      </c>
      <c r="C324" s="293" t="s">
        <v>9925</v>
      </c>
      <c r="D324" s="293" t="s">
        <v>5774</v>
      </c>
      <c r="E324" s="293" t="s">
        <v>9925</v>
      </c>
      <c r="F324" s="293" t="s">
        <v>10071</v>
      </c>
      <c r="G324" s="293" t="s">
        <v>5754</v>
      </c>
      <c r="H324" s="294">
        <v>43159</v>
      </c>
      <c r="I324" s="295">
        <v>-165.55</v>
      </c>
    </row>
    <row r="325" spans="1:9" x14ac:dyDescent="0.2">
      <c r="A325" s="293" t="s">
        <v>10070</v>
      </c>
      <c r="B325" s="293" t="s">
        <v>9924</v>
      </c>
      <c r="C325" s="293" t="s">
        <v>9925</v>
      </c>
      <c r="D325" s="293" t="s">
        <v>5774</v>
      </c>
      <c r="E325" s="293" t="s">
        <v>9925</v>
      </c>
      <c r="F325" s="293" t="s">
        <v>10071</v>
      </c>
      <c r="G325" s="293" t="s">
        <v>5591</v>
      </c>
      <c r="H325" s="294">
        <v>43159</v>
      </c>
      <c r="I325" s="295">
        <v>-13036.92</v>
      </c>
    </row>
    <row r="326" spans="1:9" x14ac:dyDescent="0.2">
      <c r="A326" s="293" t="s">
        <v>10070</v>
      </c>
      <c r="B326" s="293" t="s">
        <v>9924</v>
      </c>
      <c r="C326" s="293" t="s">
        <v>9925</v>
      </c>
      <c r="D326" s="293" t="s">
        <v>5774</v>
      </c>
      <c r="E326" s="293" t="s">
        <v>9925</v>
      </c>
      <c r="F326" s="293" t="s">
        <v>10071</v>
      </c>
      <c r="G326" s="293" t="s">
        <v>5589</v>
      </c>
      <c r="H326" s="294">
        <v>43159</v>
      </c>
      <c r="I326" s="295">
        <v>-3655.68</v>
      </c>
    </row>
    <row r="327" spans="1:9" x14ac:dyDescent="0.2">
      <c r="A327" s="293" t="s">
        <v>10070</v>
      </c>
      <c r="B327" s="293" t="s">
        <v>9924</v>
      </c>
      <c r="C327" s="293" t="s">
        <v>9925</v>
      </c>
      <c r="D327" s="293" t="s">
        <v>5774</v>
      </c>
      <c r="E327" s="293" t="s">
        <v>9925</v>
      </c>
      <c r="F327" s="293" t="s">
        <v>10071</v>
      </c>
      <c r="G327" s="293" t="s">
        <v>5755</v>
      </c>
      <c r="H327" s="294">
        <v>43159</v>
      </c>
      <c r="I327" s="295">
        <v>2200.02</v>
      </c>
    </row>
    <row r="328" spans="1:9" x14ac:dyDescent="0.2">
      <c r="A328" s="293" t="s">
        <v>10072</v>
      </c>
      <c r="B328" s="293" t="s">
        <v>9924</v>
      </c>
      <c r="C328" s="293" t="s">
        <v>9925</v>
      </c>
      <c r="D328" s="293" t="s">
        <v>5774</v>
      </c>
      <c r="E328" s="293" t="s">
        <v>9925</v>
      </c>
      <c r="F328" s="293" t="s">
        <v>10073</v>
      </c>
      <c r="G328" s="293" t="s">
        <v>5755</v>
      </c>
      <c r="H328" s="294">
        <v>43190</v>
      </c>
      <c r="I328" s="295">
        <v>2200.02</v>
      </c>
    </row>
    <row r="329" spans="1:9" x14ac:dyDescent="0.2">
      <c r="A329" s="293" t="s">
        <v>10072</v>
      </c>
      <c r="B329" s="293" t="s">
        <v>9924</v>
      </c>
      <c r="C329" s="293" t="s">
        <v>9925</v>
      </c>
      <c r="D329" s="293" t="s">
        <v>5774</v>
      </c>
      <c r="E329" s="293" t="s">
        <v>9925</v>
      </c>
      <c r="F329" s="293" t="s">
        <v>10073</v>
      </c>
      <c r="G329" s="293" t="s">
        <v>5591</v>
      </c>
      <c r="H329" s="294">
        <v>43190</v>
      </c>
      <c r="I329" s="295">
        <v>-13036.92</v>
      </c>
    </row>
    <row r="330" spans="1:9" x14ac:dyDescent="0.2">
      <c r="A330" s="293" t="s">
        <v>10072</v>
      </c>
      <c r="B330" s="293" t="s">
        <v>9924</v>
      </c>
      <c r="C330" s="293" t="s">
        <v>9925</v>
      </c>
      <c r="D330" s="293" t="s">
        <v>5774</v>
      </c>
      <c r="E330" s="293" t="s">
        <v>9925</v>
      </c>
      <c r="F330" s="293" t="s">
        <v>10073</v>
      </c>
      <c r="G330" s="293" t="s">
        <v>5754</v>
      </c>
      <c r="H330" s="294">
        <v>43190</v>
      </c>
      <c r="I330" s="295">
        <v>-165.55</v>
      </c>
    </row>
    <row r="331" spans="1:9" x14ac:dyDescent="0.2">
      <c r="A331" s="293" t="s">
        <v>10072</v>
      </c>
      <c r="B331" s="293" t="s">
        <v>9924</v>
      </c>
      <c r="C331" s="293" t="s">
        <v>9925</v>
      </c>
      <c r="D331" s="293" t="s">
        <v>5774</v>
      </c>
      <c r="E331" s="293" t="s">
        <v>9925</v>
      </c>
      <c r="F331" s="293" t="s">
        <v>10073</v>
      </c>
      <c r="G331" s="293" t="s">
        <v>5589</v>
      </c>
      <c r="H331" s="294">
        <v>43190</v>
      </c>
      <c r="I331" s="295">
        <v>-3655.68</v>
      </c>
    </row>
    <row r="332" spans="1:9" x14ac:dyDescent="0.2">
      <c r="A332" s="293" t="s">
        <v>10074</v>
      </c>
      <c r="B332" s="293" t="s">
        <v>9924</v>
      </c>
      <c r="C332" s="293" t="s">
        <v>9925</v>
      </c>
      <c r="D332" s="293" t="s">
        <v>5774</v>
      </c>
      <c r="E332" s="293" t="s">
        <v>9925</v>
      </c>
      <c r="F332" s="293" t="s">
        <v>10075</v>
      </c>
      <c r="G332" s="293" t="s">
        <v>5591</v>
      </c>
      <c r="H332" s="294">
        <v>43220</v>
      </c>
      <c r="I332" s="295">
        <v>-13036.93</v>
      </c>
    </row>
    <row r="333" spans="1:9" x14ac:dyDescent="0.2">
      <c r="A333" s="293" t="s">
        <v>10074</v>
      </c>
      <c r="B333" s="293" t="s">
        <v>9924</v>
      </c>
      <c r="C333" s="293" t="s">
        <v>9925</v>
      </c>
      <c r="D333" s="293" t="s">
        <v>5774</v>
      </c>
      <c r="E333" s="293" t="s">
        <v>9925</v>
      </c>
      <c r="F333" s="293" t="s">
        <v>10075</v>
      </c>
      <c r="G333" s="293" t="s">
        <v>5755</v>
      </c>
      <c r="H333" s="294">
        <v>43220</v>
      </c>
      <c r="I333" s="295">
        <v>2200.02</v>
      </c>
    </row>
    <row r="334" spans="1:9" x14ac:dyDescent="0.2">
      <c r="A334" s="293" t="s">
        <v>10074</v>
      </c>
      <c r="B334" s="293" t="s">
        <v>9924</v>
      </c>
      <c r="C334" s="293" t="s">
        <v>9925</v>
      </c>
      <c r="D334" s="293" t="s">
        <v>5774</v>
      </c>
      <c r="E334" s="293" t="s">
        <v>9925</v>
      </c>
      <c r="F334" s="293" t="s">
        <v>10075</v>
      </c>
      <c r="G334" s="293" t="s">
        <v>5754</v>
      </c>
      <c r="H334" s="294">
        <v>43220</v>
      </c>
      <c r="I334" s="295">
        <v>-165.55</v>
      </c>
    </row>
    <row r="335" spans="1:9" x14ac:dyDescent="0.2">
      <c r="A335" s="293" t="s">
        <v>10074</v>
      </c>
      <c r="B335" s="293" t="s">
        <v>9924</v>
      </c>
      <c r="C335" s="293" t="s">
        <v>9925</v>
      </c>
      <c r="D335" s="293" t="s">
        <v>5774</v>
      </c>
      <c r="E335" s="293" t="s">
        <v>9925</v>
      </c>
      <c r="F335" s="293" t="s">
        <v>10075</v>
      </c>
      <c r="G335" s="293" t="s">
        <v>5589</v>
      </c>
      <c r="H335" s="294">
        <v>43220</v>
      </c>
      <c r="I335" s="295">
        <v>-3655.68</v>
      </c>
    </row>
    <row r="336" spans="1:9" x14ac:dyDescent="0.2">
      <c r="A336" s="293" t="s">
        <v>10076</v>
      </c>
      <c r="B336" s="293" t="s">
        <v>9924</v>
      </c>
      <c r="C336" s="293" t="s">
        <v>9925</v>
      </c>
      <c r="D336" s="293" t="s">
        <v>5774</v>
      </c>
      <c r="E336" s="293" t="s">
        <v>9925</v>
      </c>
      <c r="F336" s="293" t="s">
        <v>10077</v>
      </c>
      <c r="G336" s="293" t="s">
        <v>5591</v>
      </c>
      <c r="H336" s="294">
        <v>43251</v>
      </c>
      <c r="I336" s="295">
        <v>-6518.57</v>
      </c>
    </row>
    <row r="337" spans="1:9" x14ac:dyDescent="0.2">
      <c r="A337" s="293" t="s">
        <v>10076</v>
      </c>
      <c r="B337" s="293" t="s">
        <v>9924</v>
      </c>
      <c r="C337" s="293" t="s">
        <v>9925</v>
      </c>
      <c r="D337" s="293" t="s">
        <v>5774</v>
      </c>
      <c r="E337" s="293" t="s">
        <v>9925</v>
      </c>
      <c r="F337" s="293" t="s">
        <v>10077</v>
      </c>
      <c r="G337" s="293" t="s">
        <v>5754</v>
      </c>
      <c r="H337" s="294">
        <v>43251</v>
      </c>
      <c r="I337" s="295">
        <v>-165.55</v>
      </c>
    </row>
    <row r="338" spans="1:9" x14ac:dyDescent="0.2">
      <c r="A338" s="293" t="s">
        <v>10076</v>
      </c>
      <c r="B338" s="293" t="s">
        <v>9924</v>
      </c>
      <c r="C338" s="293" t="s">
        <v>9925</v>
      </c>
      <c r="D338" s="293" t="s">
        <v>5774</v>
      </c>
      <c r="E338" s="293" t="s">
        <v>9925</v>
      </c>
      <c r="F338" s="293" t="s">
        <v>10077</v>
      </c>
      <c r="G338" s="293" t="s">
        <v>5589</v>
      </c>
      <c r="H338" s="294">
        <v>43251</v>
      </c>
      <c r="I338" s="295">
        <v>-3655.61</v>
      </c>
    </row>
    <row r="339" spans="1:9" x14ac:dyDescent="0.2">
      <c r="A339" s="293" t="s">
        <v>10076</v>
      </c>
      <c r="B339" s="293" t="s">
        <v>9924</v>
      </c>
      <c r="C339" s="293" t="s">
        <v>9925</v>
      </c>
      <c r="D339" s="293" t="s">
        <v>5774</v>
      </c>
      <c r="E339" s="293" t="s">
        <v>9925</v>
      </c>
      <c r="F339" s="293" t="s">
        <v>10077</v>
      </c>
      <c r="G339" s="293" t="s">
        <v>5755</v>
      </c>
      <c r="H339" s="294">
        <v>43251</v>
      </c>
      <c r="I339" s="295">
        <v>2200.02</v>
      </c>
    </row>
    <row r="340" spans="1:9" x14ac:dyDescent="0.2">
      <c r="A340" s="293" t="s">
        <v>10078</v>
      </c>
      <c r="B340" s="293" t="s">
        <v>9924</v>
      </c>
      <c r="C340" s="293" t="s">
        <v>9925</v>
      </c>
      <c r="D340" s="293" t="s">
        <v>5774</v>
      </c>
      <c r="E340" s="293" t="s">
        <v>9925</v>
      </c>
      <c r="F340" s="293" t="s">
        <v>10079</v>
      </c>
      <c r="G340" s="293" t="s">
        <v>5755</v>
      </c>
      <c r="H340" s="294">
        <v>43281</v>
      </c>
      <c r="I340" s="295">
        <v>2200</v>
      </c>
    </row>
    <row r="341" spans="1:9" x14ac:dyDescent="0.2">
      <c r="A341" s="293" t="s">
        <v>10078</v>
      </c>
      <c r="B341" s="293" t="s">
        <v>9924</v>
      </c>
      <c r="C341" s="293" t="s">
        <v>9925</v>
      </c>
      <c r="D341" s="293" t="s">
        <v>5774</v>
      </c>
      <c r="E341" s="293" t="s">
        <v>9925</v>
      </c>
      <c r="F341" s="293" t="s">
        <v>10079</v>
      </c>
      <c r="G341" s="293" t="s">
        <v>5589</v>
      </c>
      <c r="H341" s="294">
        <v>43281</v>
      </c>
      <c r="I341" s="295">
        <v>-3655.58</v>
      </c>
    </row>
    <row r="342" spans="1:9" x14ac:dyDescent="0.2">
      <c r="A342" s="293" t="s">
        <v>10078</v>
      </c>
      <c r="B342" s="293" t="s">
        <v>9924</v>
      </c>
      <c r="C342" s="293" t="s">
        <v>9925</v>
      </c>
      <c r="D342" s="293" t="s">
        <v>5774</v>
      </c>
      <c r="E342" s="293" t="s">
        <v>9925</v>
      </c>
      <c r="F342" s="293" t="s">
        <v>10079</v>
      </c>
      <c r="G342" s="293" t="s">
        <v>5754</v>
      </c>
      <c r="H342" s="294">
        <v>43281</v>
      </c>
      <c r="I342" s="295">
        <v>-165.55</v>
      </c>
    </row>
    <row r="343" spans="1:9" x14ac:dyDescent="0.2">
      <c r="A343" s="293" t="s">
        <v>10080</v>
      </c>
      <c r="B343" s="293" t="s">
        <v>9924</v>
      </c>
      <c r="C343" s="293" t="s">
        <v>9925</v>
      </c>
      <c r="D343" s="293" t="s">
        <v>5774</v>
      </c>
      <c r="E343" s="293" t="s">
        <v>9925</v>
      </c>
      <c r="F343" s="293" t="s">
        <v>7844</v>
      </c>
      <c r="G343" s="293" t="s">
        <v>5755</v>
      </c>
      <c r="H343" s="294">
        <v>43312</v>
      </c>
      <c r="I343" s="295">
        <v>2200.02</v>
      </c>
    </row>
    <row r="344" spans="1:9" x14ac:dyDescent="0.2">
      <c r="A344" s="293" t="s">
        <v>10080</v>
      </c>
      <c r="B344" s="293" t="s">
        <v>9924</v>
      </c>
      <c r="C344" s="293" t="s">
        <v>9925</v>
      </c>
      <c r="D344" s="293" t="s">
        <v>5774</v>
      </c>
      <c r="E344" s="293" t="s">
        <v>9925</v>
      </c>
      <c r="F344" s="293" t="s">
        <v>7844</v>
      </c>
      <c r="G344" s="293" t="s">
        <v>5754</v>
      </c>
      <c r="H344" s="294">
        <v>43312</v>
      </c>
      <c r="I344" s="295">
        <v>-165.55</v>
      </c>
    </row>
    <row r="345" spans="1:9" x14ac:dyDescent="0.2">
      <c r="A345" s="293" t="s">
        <v>10080</v>
      </c>
      <c r="B345" s="293" t="s">
        <v>9924</v>
      </c>
      <c r="C345" s="293" t="s">
        <v>9925</v>
      </c>
      <c r="D345" s="293" t="s">
        <v>5774</v>
      </c>
      <c r="E345" s="293" t="s">
        <v>9925</v>
      </c>
      <c r="F345" s="293" t="s">
        <v>7844</v>
      </c>
      <c r="G345" s="293" t="s">
        <v>5589</v>
      </c>
      <c r="H345" s="294">
        <v>43312</v>
      </c>
      <c r="I345" s="295">
        <v>-3655.63</v>
      </c>
    </row>
    <row r="346" spans="1:9" x14ac:dyDescent="0.2">
      <c r="A346" s="293" t="s">
        <v>10081</v>
      </c>
      <c r="B346" s="293" t="s">
        <v>9924</v>
      </c>
      <c r="C346" s="293" t="s">
        <v>9925</v>
      </c>
      <c r="D346" s="293" t="s">
        <v>5774</v>
      </c>
      <c r="E346" s="293" t="s">
        <v>9925</v>
      </c>
      <c r="F346" s="293" t="s">
        <v>10082</v>
      </c>
      <c r="G346" s="293" t="s">
        <v>5589</v>
      </c>
      <c r="H346" s="294">
        <v>43343</v>
      </c>
      <c r="I346" s="295">
        <v>-3655.6</v>
      </c>
    </row>
    <row r="347" spans="1:9" x14ac:dyDescent="0.2">
      <c r="A347" s="293" t="s">
        <v>10081</v>
      </c>
      <c r="B347" s="293" t="s">
        <v>9924</v>
      </c>
      <c r="C347" s="293" t="s">
        <v>9925</v>
      </c>
      <c r="D347" s="293" t="s">
        <v>5774</v>
      </c>
      <c r="E347" s="293" t="s">
        <v>9925</v>
      </c>
      <c r="F347" s="293" t="s">
        <v>10082</v>
      </c>
      <c r="G347" s="293" t="s">
        <v>5755</v>
      </c>
      <c r="H347" s="294">
        <v>43343</v>
      </c>
      <c r="I347" s="295">
        <v>2200.0100000000002</v>
      </c>
    </row>
    <row r="348" spans="1:9" x14ac:dyDescent="0.2">
      <c r="A348" s="293" t="s">
        <v>10081</v>
      </c>
      <c r="B348" s="293" t="s">
        <v>9924</v>
      </c>
      <c r="C348" s="293" t="s">
        <v>9925</v>
      </c>
      <c r="D348" s="293" t="s">
        <v>5774</v>
      </c>
      <c r="E348" s="293" t="s">
        <v>9925</v>
      </c>
      <c r="F348" s="293" t="s">
        <v>10082</v>
      </c>
      <c r="G348" s="293" t="s">
        <v>5754</v>
      </c>
      <c r="H348" s="294">
        <v>43343</v>
      </c>
      <c r="I348" s="295">
        <v>-165.55</v>
      </c>
    </row>
    <row r="349" spans="1:9" x14ac:dyDescent="0.2">
      <c r="A349" s="293" t="s">
        <v>10083</v>
      </c>
      <c r="B349" s="293" t="s">
        <v>9924</v>
      </c>
      <c r="C349" s="293" t="s">
        <v>9925</v>
      </c>
      <c r="D349" s="293" t="s">
        <v>5774</v>
      </c>
      <c r="E349" s="293" t="s">
        <v>9925</v>
      </c>
      <c r="F349" s="293" t="s">
        <v>10084</v>
      </c>
      <c r="G349" s="293" t="s">
        <v>5755</v>
      </c>
      <c r="H349" s="294">
        <v>43373</v>
      </c>
      <c r="I349" s="295">
        <v>2200.02</v>
      </c>
    </row>
    <row r="350" spans="1:9" x14ac:dyDescent="0.2">
      <c r="A350" s="293" t="s">
        <v>10083</v>
      </c>
      <c r="B350" s="293" t="s">
        <v>9924</v>
      </c>
      <c r="C350" s="293" t="s">
        <v>9925</v>
      </c>
      <c r="D350" s="293" t="s">
        <v>5774</v>
      </c>
      <c r="E350" s="293" t="s">
        <v>9925</v>
      </c>
      <c r="F350" s="293" t="s">
        <v>10084</v>
      </c>
      <c r="G350" s="293" t="s">
        <v>5589</v>
      </c>
      <c r="H350" s="294">
        <v>43373</v>
      </c>
      <c r="I350" s="295">
        <v>-3655.63</v>
      </c>
    </row>
    <row r="351" spans="1:9" x14ac:dyDescent="0.2">
      <c r="A351" s="293" t="s">
        <v>10083</v>
      </c>
      <c r="B351" s="293" t="s">
        <v>9924</v>
      </c>
      <c r="C351" s="293" t="s">
        <v>9925</v>
      </c>
      <c r="D351" s="293" t="s">
        <v>5774</v>
      </c>
      <c r="E351" s="293" t="s">
        <v>9925</v>
      </c>
      <c r="F351" s="293" t="s">
        <v>10084</v>
      </c>
      <c r="G351" s="293" t="s">
        <v>5754</v>
      </c>
      <c r="H351" s="294">
        <v>43373</v>
      </c>
      <c r="I351" s="295">
        <v>-165.55</v>
      </c>
    </row>
    <row r="352" spans="1:9" x14ac:dyDescent="0.2">
      <c r="A352" s="293" t="s">
        <v>10085</v>
      </c>
      <c r="B352" s="293" t="s">
        <v>9924</v>
      </c>
      <c r="C352" s="293" t="s">
        <v>9925</v>
      </c>
      <c r="D352" s="293" t="s">
        <v>5774</v>
      </c>
      <c r="E352" s="293" t="s">
        <v>9925</v>
      </c>
      <c r="F352" s="293" t="s">
        <v>7928</v>
      </c>
      <c r="G352" s="293" t="s">
        <v>5755</v>
      </c>
      <c r="H352" s="294">
        <v>43404</v>
      </c>
      <c r="I352" s="295">
        <v>2200.0100000000002</v>
      </c>
    </row>
    <row r="353" spans="1:9" x14ac:dyDescent="0.2">
      <c r="A353" s="293" t="s">
        <v>10085</v>
      </c>
      <c r="B353" s="293" t="s">
        <v>9924</v>
      </c>
      <c r="C353" s="293" t="s">
        <v>9925</v>
      </c>
      <c r="D353" s="293" t="s">
        <v>5774</v>
      </c>
      <c r="E353" s="293" t="s">
        <v>9925</v>
      </c>
      <c r="F353" s="293" t="s">
        <v>7928</v>
      </c>
      <c r="G353" s="293" t="s">
        <v>5589</v>
      </c>
      <c r="H353" s="294">
        <v>43404</v>
      </c>
      <c r="I353" s="295">
        <v>-3655.6</v>
      </c>
    </row>
    <row r="354" spans="1:9" x14ac:dyDescent="0.2">
      <c r="A354" s="293" t="s">
        <v>10085</v>
      </c>
      <c r="B354" s="293" t="s">
        <v>9924</v>
      </c>
      <c r="C354" s="293" t="s">
        <v>9925</v>
      </c>
      <c r="D354" s="293" t="s">
        <v>5774</v>
      </c>
      <c r="E354" s="293" t="s">
        <v>9925</v>
      </c>
      <c r="F354" s="293" t="s">
        <v>7928</v>
      </c>
      <c r="G354" s="293" t="s">
        <v>5754</v>
      </c>
      <c r="H354" s="294">
        <v>43404</v>
      </c>
      <c r="I354" s="295">
        <v>-165.55</v>
      </c>
    </row>
    <row r="355" spans="1:9" x14ac:dyDescent="0.2">
      <c r="A355" s="293" t="s">
        <v>10086</v>
      </c>
      <c r="B355" s="293" t="s">
        <v>9924</v>
      </c>
      <c r="C355" s="293" t="s">
        <v>9925</v>
      </c>
      <c r="D355" s="293" t="s">
        <v>5774</v>
      </c>
      <c r="E355" s="293" t="s">
        <v>9925</v>
      </c>
      <c r="F355" s="293" t="s">
        <v>10087</v>
      </c>
      <c r="G355" s="293" t="s">
        <v>5755</v>
      </c>
      <c r="H355" s="294">
        <v>43434</v>
      </c>
      <c r="I355" s="295">
        <v>2200.0100000000002</v>
      </c>
    </row>
    <row r="356" spans="1:9" x14ac:dyDescent="0.2">
      <c r="A356" s="293" t="s">
        <v>10086</v>
      </c>
      <c r="B356" s="293" t="s">
        <v>9924</v>
      </c>
      <c r="C356" s="293" t="s">
        <v>9925</v>
      </c>
      <c r="D356" s="293" t="s">
        <v>5774</v>
      </c>
      <c r="E356" s="293" t="s">
        <v>9925</v>
      </c>
      <c r="F356" s="293" t="s">
        <v>10087</v>
      </c>
      <c r="G356" s="293" t="s">
        <v>5754</v>
      </c>
      <c r="H356" s="294">
        <v>43434</v>
      </c>
      <c r="I356" s="295">
        <v>-165.55</v>
      </c>
    </row>
    <row r="357" spans="1:9" x14ac:dyDescent="0.2">
      <c r="A357" s="293" t="s">
        <v>10086</v>
      </c>
      <c r="B357" s="293" t="s">
        <v>9924</v>
      </c>
      <c r="C357" s="293" t="s">
        <v>9925</v>
      </c>
      <c r="D357" s="293" t="s">
        <v>5774</v>
      </c>
      <c r="E357" s="293" t="s">
        <v>9925</v>
      </c>
      <c r="F357" s="293" t="s">
        <v>10087</v>
      </c>
      <c r="G357" s="293" t="s">
        <v>5589</v>
      </c>
      <c r="H357" s="294">
        <v>43434</v>
      </c>
      <c r="I357" s="295">
        <v>-3655.6</v>
      </c>
    </row>
    <row r="358" spans="1:9" x14ac:dyDescent="0.2">
      <c r="A358" s="293" t="s">
        <v>10088</v>
      </c>
      <c r="B358" s="293" t="s">
        <v>9924</v>
      </c>
      <c r="C358" s="293" t="s">
        <v>9925</v>
      </c>
      <c r="D358" s="293" t="s">
        <v>5774</v>
      </c>
      <c r="E358" s="293" t="s">
        <v>9925</v>
      </c>
      <c r="F358" s="293" t="s">
        <v>10089</v>
      </c>
      <c r="G358" s="293" t="s">
        <v>5589</v>
      </c>
      <c r="H358" s="294">
        <v>43465</v>
      </c>
      <c r="I358" s="295">
        <v>-3655.63</v>
      </c>
    </row>
    <row r="359" spans="1:9" x14ac:dyDescent="0.2">
      <c r="A359" s="293" t="s">
        <v>10088</v>
      </c>
      <c r="B359" s="293" t="s">
        <v>9924</v>
      </c>
      <c r="C359" s="293" t="s">
        <v>9925</v>
      </c>
      <c r="D359" s="293" t="s">
        <v>5774</v>
      </c>
      <c r="E359" s="293" t="s">
        <v>9925</v>
      </c>
      <c r="F359" s="293" t="s">
        <v>10089</v>
      </c>
      <c r="G359" s="293" t="s">
        <v>5754</v>
      </c>
      <c r="H359" s="294">
        <v>43465</v>
      </c>
      <c r="I359" s="295">
        <v>-165.55</v>
      </c>
    </row>
    <row r="360" spans="1:9" x14ac:dyDescent="0.2">
      <c r="A360" s="293" t="s">
        <v>10088</v>
      </c>
      <c r="B360" s="293" t="s">
        <v>9924</v>
      </c>
      <c r="C360" s="293" t="s">
        <v>9925</v>
      </c>
      <c r="D360" s="293" t="s">
        <v>5774</v>
      </c>
      <c r="E360" s="293" t="s">
        <v>9925</v>
      </c>
      <c r="F360" s="293" t="s">
        <v>10089</v>
      </c>
      <c r="G360" s="293" t="s">
        <v>5755</v>
      </c>
      <c r="H360" s="294">
        <v>43465</v>
      </c>
      <c r="I360" s="295">
        <v>2200.02</v>
      </c>
    </row>
    <row r="361" spans="1:9" x14ac:dyDescent="0.2">
      <c r="A361" s="293" t="s">
        <v>10090</v>
      </c>
      <c r="B361" s="293" t="s">
        <v>9924</v>
      </c>
      <c r="C361" s="293" t="s">
        <v>9925</v>
      </c>
      <c r="D361" s="293" t="s">
        <v>5774</v>
      </c>
      <c r="E361" s="293" t="s">
        <v>9925</v>
      </c>
      <c r="F361" s="293" t="s">
        <v>10091</v>
      </c>
      <c r="G361" s="293" t="s">
        <v>5589</v>
      </c>
      <c r="H361" s="294">
        <v>43465</v>
      </c>
      <c r="I361" s="295">
        <v>-3655.63</v>
      </c>
    </row>
    <row r="362" spans="1:9" x14ac:dyDescent="0.2">
      <c r="A362" s="293" t="s">
        <v>10090</v>
      </c>
      <c r="B362" s="293" t="s">
        <v>9924</v>
      </c>
      <c r="C362" s="293" t="s">
        <v>9925</v>
      </c>
      <c r="D362" s="293" t="s">
        <v>5774</v>
      </c>
      <c r="E362" s="293" t="s">
        <v>9925</v>
      </c>
      <c r="F362" s="293" t="s">
        <v>10091</v>
      </c>
      <c r="G362" s="293" t="s">
        <v>5755</v>
      </c>
      <c r="H362" s="294">
        <v>43465</v>
      </c>
      <c r="I362" s="295">
        <v>2200.02</v>
      </c>
    </row>
    <row r="363" spans="1:9" x14ac:dyDescent="0.2">
      <c r="A363" s="293" t="s">
        <v>10090</v>
      </c>
      <c r="B363" s="293" t="s">
        <v>9924</v>
      </c>
      <c r="C363" s="293" t="s">
        <v>9925</v>
      </c>
      <c r="D363" s="293" t="s">
        <v>5774</v>
      </c>
      <c r="E363" s="293" t="s">
        <v>9925</v>
      </c>
      <c r="F363" s="293" t="s">
        <v>10091</v>
      </c>
      <c r="G363" s="293" t="s">
        <v>5754</v>
      </c>
      <c r="H363" s="294">
        <v>43465</v>
      </c>
      <c r="I363" s="295">
        <v>-165.55</v>
      </c>
    </row>
    <row r="364" spans="1:9" x14ac:dyDescent="0.2">
      <c r="A364" s="293" t="s">
        <v>10092</v>
      </c>
      <c r="B364" s="293" t="s">
        <v>9924</v>
      </c>
      <c r="C364" s="293" t="s">
        <v>9939</v>
      </c>
      <c r="D364" s="293" t="s">
        <v>5774</v>
      </c>
      <c r="E364" s="293" t="s">
        <v>9939</v>
      </c>
      <c r="F364" s="293" t="s">
        <v>10091</v>
      </c>
      <c r="G364" s="293" t="s">
        <v>5589</v>
      </c>
      <c r="H364" s="294">
        <v>43465</v>
      </c>
      <c r="I364" s="295">
        <v>3655.63</v>
      </c>
    </row>
    <row r="365" spans="1:9" x14ac:dyDescent="0.2">
      <c r="A365" s="293" t="s">
        <v>10092</v>
      </c>
      <c r="B365" s="293" t="s">
        <v>9924</v>
      </c>
      <c r="C365" s="293" t="s">
        <v>9939</v>
      </c>
      <c r="D365" s="293" t="s">
        <v>5774</v>
      </c>
      <c r="E365" s="293" t="s">
        <v>9939</v>
      </c>
      <c r="F365" s="293" t="s">
        <v>10091</v>
      </c>
      <c r="G365" s="293" t="s">
        <v>5755</v>
      </c>
      <c r="H365" s="294">
        <v>43465</v>
      </c>
      <c r="I365" s="295">
        <v>-2200.02</v>
      </c>
    </row>
    <row r="366" spans="1:9" x14ac:dyDescent="0.2">
      <c r="A366" s="293" t="s">
        <v>10092</v>
      </c>
      <c r="B366" s="293" t="s">
        <v>9924</v>
      </c>
      <c r="C366" s="293" t="s">
        <v>9939</v>
      </c>
      <c r="D366" s="293" t="s">
        <v>5774</v>
      </c>
      <c r="E366" s="293" t="s">
        <v>9939</v>
      </c>
      <c r="F366" s="293" t="s">
        <v>10091</v>
      </c>
      <c r="G366" s="293" t="s">
        <v>5754</v>
      </c>
      <c r="H366" s="294">
        <v>43465</v>
      </c>
      <c r="I366" s="295">
        <v>165.55</v>
      </c>
    </row>
    <row r="367" spans="1:9" x14ac:dyDescent="0.2">
      <c r="A367" s="293" t="s">
        <v>10093</v>
      </c>
      <c r="B367" s="293" t="s">
        <v>9924</v>
      </c>
      <c r="C367" s="293" t="s">
        <v>9925</v>
      </c>
      <c r="D367" s="293" t="s">
        <v>5774</v>
      </c>
      <c r="E367" s="293" t="s">
        <v>9925</v>
      </c>
      <c r="F367" s="293" t="s">
        <v>10094</v>
      </c>
      <c r="G367" s="293" t="s">
        <v>5754</v>
      </c>
      <c r="H367" s="294">
        <v>43496</v>
      </c>
      <c r="I367" s="295">
        <v>-165.55</v>
      </c>
    </row>
    <row r="368" spans="1:9" x14ac:dyDescent="0.2">
      <c r="A368" s="293" t="s">
        <v>10093</v>
      </c>
      <c r="B368" s="293" t="s">
        <v>9924</v>
      </c>
      <c r="C368" s="293" t="s">
        <v>9925</v>
      </c>
      <c r="D368" s="293" t="s">
        <v>5774</v>
      </c>
      <c r="E368" s="293" t="s">
        <v>9925</v>
      </c>
      <c r="F368" s="293" t="s">
        <v>10094</v>
      </c>
      <c r="G368" s="293" t="s">
        <v>5589</v>
      </c>
      <c r="H368" s="294">
        <v>43496</v>
      </c>
      <c r="I368" s="295">
        <v>-3655.63</v>
      </c>
    </row>
    <row r="369" spans="1:9" x14ac:dyDescent="0.2">
      <c r="A369" s="293" t="s">
        <v>10093</v>
      </c>
      <c r="B369" s="293" t="s">
        <v>9924</v>
      </c>
      <c r="C369" s="293" t="s">
        <v>9925</v>
      </c>
      <c r="D369" s="293" t="s">
        <v>5774</v>
      </c>
      <c r="E369" s="293" t="s">
        <v>9925</v>
      </c>
      <c r="F369" s="293" t="s">
        <v>10094</v>
      </c>
      <c r="G369" s="293" t="s">
        <v>5755</v>
      </c>
      <c r="H369" s="294">
        <v>43496</v>
      </c>
      <c r="I369" s="295">
        <v>2200.02</v>
      </c>
    </row>
    <row r="370" spans="1:9" x14ac:dyDescent="0.2">
      <c r="A370" s="293" t="s">
        <v>10095</v>
      </c>
      <c r="B370" s="293" t="s">
        <v>9924</v>
      </c>
      <c r="C370" s="293" t="s">
        <v>9925</v>
      </c>
      <c r="D370" s="293" t="s">
        <v>5774</v>
      </c>
      <c r="E370" s="293" t="s">
        <v>9925</v>
      </c>
      <c r="F370" s="293" t="s">
        <v>10096</v>
      </c>
      <c r="G370" s="293" t="s">
        <v>5755</v>
      </c>
      <c r="H370" s="294">
        <v>43524</v>
      </c>
      <c r="I370" s="295">
        <v>2200.0100000000002</v>
      </c>
    </row>
    <row r="371" spans="1:9" x14ac:dyDescent="0.2">
      <c r="A371" s="293" t="s">
        <v>10095</v>
      </c>
      <c r="B371" s="293" t="s">
        <v>9924</v>
      </c>
      <c r="C371" s="293" t="s">
        <v>9925</v>
      </c>
      <c r="D371" s="293" t="s">
        <v>5774</v>
      </c>
      <c r="E371" s="293" t="s">
        <v>9925</v>
      </c>
      <c r="F371" s="293" t="s">
        <v>10096</v>
      </c>
      <c r="G371" s="293" t="s">
        <v>5589</v>
      </c>
      <c r="H371" s="294">
        <v>43524</v>
      </c>
      <c r="I371" s="295">
        <v>-3655.6</v>
      </c>
    </row>
    <row r="372" spans="1:9" x14ac:dyDescent="0.2">
      <c r="A372" s="293" t="s">
        <v>10095</v>
      </c>
      <c r="B372" s="293" t="s">
        <v>9924</v>
      </c>
      <c r="C372" s="293" t="s">
        <v>9925</v>
      </c>
      <c r="D372" s="293" t="s">
        <v>5774</v>
      </c>
      <c r="E372" s="293" t="s">
        <v>9925</v>
      </c>
      <c r="F372" s="293" t="s">
        <v>10096</v>
      </c>
      <c r="G372" s="293" t="s">
        <v>5754</v>
      </c>
      <c r="H372" s="294">
        <v>43524</v>
      </c>
      <c r="I372" s="295">
        <v>-165.55</v>
      </c>
    </row>
    <row r="373" spans="1:9" x14ac:dyDescent="0.2">
      <c r="A373" s="293" t="s">
        <v>10097</v>
      </c>
      <c r="B373" s="293" t="s">
        <v>9924</v>
      </c>
      <c r="C373" s="293" t="s">
        <v>9925</v>
      </c>
      <c r="D373" s="293" t="s">
        <v>5774</v>
      </c>
      <c r="E373" s="293" t="s">
        <v>9925</v>
      </c>
      <c r="F373" s="293" t="s">
        <v>10098</v>
      </c>
      <c r="G373" s="293" t="s">
        <v>5754</v>
      </c>
      <c r="H373" s="294">
        <v>43555</v>
      </c>
      <c r="I373" s="295">
        <v>-165.55</v>
      </c>
    </row>
    <row r="374" spans="1:9" x14ac:dyDescent="0.2">
      <c r="A374" s="293" t="s">
        <v>10097</v>
      </c>
      <c r="B374" s="293" t="s">
        <v>9924</v>
      </c>
      <c r="C374" s="293" t="s">
        <v>9925</v>
      </c>
      <c r="D374" s="293" t="s">
        <v>5774</v>
      </c>
      <c r="E374" s="293" t="s">
        <v>9925</v>
      </c>
      <c r="F374" s="293" t="s">
        <v>10098</v>
      </c>
      <c r="G374" s="293" t="s">
        <v>5755</v>
      </c>
      <c r="H374" s="294">
        <v>43555</v>
      </c>
      <c r="I374" s="295">
        <v>2200.0100000000002</v>
      </c>
    </row>
    <row r="375" spans="1:9" x14ac:dyDescent="0.2">
      <c r="A375" s="293" t="s">
        <v>10097</v>
      </c>
      <c r="B375" s="293" t="s">
        <v>9924</v>
      </c>
      <c r="C375" s="293" t="s">
        <v>9925</v>
      </c>
      <c r="D375" s="293" t="s">
        <v>5774</v>
      </c>
      <c r="E375" s="293" t="s">
        <v>9925</v>
      </c>
      <c r="F375" s="293" t="s">
        <v>10098</v>
      </c>
      <c r="G375" s="293" t="s">
        <v>5589</v>
      </c>
      <c r="H375" s="294">
        <v>43555</v>
      </c>
      <c r="I375" s="295">
        <v>-3655.6</v>
      </c>
    </row>
    <row r="376" spans="1:9" x14ac:dyDescent="0.2">
      <c r="A376" s="293" t="s">
        <v>10099</v>
      </c>
      <c r="B376" s="293" t="s">
        <v>9924</v>
      </c>
      <c r="C376" s="293" t="s">
        <v>9925</v>
      </c>
      <c r="D376" s="293" t="s">
        <v>5774</v>
      </c>
      <c r="E376" s="293" t="s">
        <v>9925</v>
      </c>
      <c r="F376" s="293" t="s">
        <v>10100</v>
      </c>
      <c r="G376" s="293" t="s">
        <v>5754</v>
      </c>
      <c r="H376" s="294">
        <v>43555</v>
      </c>
      <c r="I376" s="295">
        <v>-165.55</v>
      </c>
    </row>
    <row r="377" spans="1:9" x14ac:dyDescent="0.2">
      <c r="A377" s="293" t="s">
        <v>10099</v>
      </c>
      <c r="B377" s="293" t="s">
        <v>9924</v>
      </c>
      <c r="C377" s="293" t="s">
        <v>9925</v>
      </c>
      <c r="D377" s="293" t="s">
        <v>5774</v>
      </c>
      <c r="E377" s="293" t="s">
        <v>9925</v>
      </c>
      <c r="F377" s="293" t="s">
        <v>10100</v>
      </c>
      <c r="G377" s="293" t="s">
        <v>5589</v>
      </c>
      <c r="H377" s="294">
        <v>43555</v>
      </c>
      <c r="I377" s="295">
        <v>-3655.6</v>
      </c>
    </row>
    <row r="378" spans="1:9" x14ac:dyDescent="0.2">
      <c r="A378" s="293" t="s">
        <v>10099</v>
      </c>
      <c r="B378" s="293" t="s">
        <v>9924</v>
      </c>
      <c r="C378" s="293" t="s">
        <v>9925</v>
      </c>
      <c r="D378" s="293" t="s">
        <v>5774</v>
      </c>
      <c r="E378" s="293" t="s">
        <v>9925</v>
      </c>
      <c r="F378" s="293" t="s">
        <v>10100</v>
      </c>
      <c r="G378" s="293" t="s">
        <v>5755</v>
      </c>
      <c r="H378" s="294">
        <v>43555</v>
      </c>
      <c r="I378" s="295">
        <v>2200.0100000000002</v>
      </c>
    </row>
    <row r="379" spans="1:9" x14ac:dyDescent="0.2">
      <c r="A379" s="293" t="s">
        <v>10101</v>
      </c>
      <c r="B379" s="293" t="s">
        <v>9924</v>
      </c>
      <c r="C379" s="293" t="s">
        <v>9939</v>
      </c>
      <c r="D379" s="293" t="s">
        <v>5774</v>
      </c>
      <c r="E379" s="293" t="s">
        <v>9939</v>
      </c>
      <c r="F379" s="293" t="s">
        <v>10100</v>
      </c>
      <c r="G379" s="293" t="s">
        <v>5755</v>
      </c>
      <c r="H379" s="294">
        <v>43555</v>
      </c>
      <c r="I379" s="295">
        <v>-2200.0100000000002</v>
      </c>
    </row>
    <row r="380" spans="1:9" x14ac:dyDescent="0.2">
      <c r="A380" s="293" t="s">
        <v>10101</v>
      </c>
      <c r="B380" s="293" t="s">
        <v>9924</v>
      </c>
      <c r="C380" s="293" t="s">
        <v>9939</v>
      </c>
      <c r="D380" s="293" t="s">
        <v>5774</v>
      </c>
      <c r="E380" s="293" t="s">
        <v>9939</v>
      </c>
      <c r="F380" s="293" t="s">
        <v>10100</v>
      </c>
      <c r="G380" s="293" t="s">
        <v>5589</v>
      </c>
      <c r="H380" s="294">
        <v>43555</v>
      </c>
      <c r="I380" s="295">
        <v>3655.6</v>
      </c>
    </row>
    <row r="381" spans="1:9" x14ac:dyDescent="0.2">
      <c r="A381" s="293" t="s">
        <v>10101</v>
      </c>
      <c r="B381" s="293" t="s">
        <v>9924</v>
      </c>
      <c r="C381" s="293" t="s">
        <v>9939</v>
      </c>
      <c r="D381" s="293" t="s">
        <v>5774</v>
      </c>
      <c r="E381" s="293" t="s">
        <v>9939</v>
      </c>
      <c r="F381" s="293" t="s">
        <v>10100</v>
      </c>
      <c r="G381" s="293" t="s">
        <v>5754</v>
      </c>
      <c r="H381" s="294">
        <v>43555</v>
      </c>
      <c r="I381" s="295">
        <v>165.55</v>
      </c>
    </row>
    <row r="382" spans="1:9" x14ac:dyDescent="0.2">
      <c r="A382" s="293" t="s">
        <v>10102</v>
      </c>
      <c r="B382" s="293" t="s">
        <v>9924</v>
      </c>
      <c r="C382" s="293" t="s">
        <v>9925</v>
      </c>
      <c r="D382" s="293" t="s">
        <v>5774</v>
      </c>
      <c r="E382" s="293" t="s">
        <v>9925</v>
      </c>
      <c r="F382" s="293" t="s">
        <v>10103</v>
      </c>
      <c r="G382" s="293" t="s">
        <v>5755</v>
      </c>
      <c r="H382" s="294">
        <v>43585</v>
      </c>
      <c r="I382" s="295">
        <v>2200.02</v>
      </c>
    </row>
    <row r="383" spans="1:9" x14ac:dyDescent="0.2">
      <c r="A383" s="293" t="s">
        <v>10102</v>
      </c>
      <c r="B383" s="293" t="s">
        <v>9924</v>
      </c>
      <c r="C383" s="293" t="s">
        <v>9925</v>
      </c>
      <c r="D383" s="293" t="s">
        <v>5774</v>
      </c>
      <c r="E383" s="293" t="s">
        <v>9925</v>
      </c>
      <c r="F383" s="293" t="s">
        <v>10103</v>
      </c>
      <c r="G383" s="293" t="s">
        <v>5589</v>
      </c>
      <c r="H383" s="294">
        <v>43585</v>
      </c>
      <c r="I383" s="295">
        <v>-3655.63</v>
      </c>
    </row>
    <row r="384" spans="1:9" x14ac:dyDescent="0.2">
      <c r="A384" s="293" t="s">
        <v>10102</v>
      </c>
      <c r="B384" s="293" t="s">
        <v>9924</v>
      </c>
      <c r="C384" s="293" t="s">
        <v>9925</v>
      </c>
      <c r="D384" s="293" t="s">
        <v>5774</v>
      </c>
      <c r="E384" s="293" t="s">
        <v>9925</v>
      </c>
      <c r="F384" s="293" t="s">
        <v>10103</v>
      </c>
      <c r="G384" s="293" t="s">
        <v>5754</v>
      </c>
      <c r="H384" s="294">
        <v>43585</v>
      </c>
      <c r="I384" s="295">
        <v>-165.55</v>
      </c>
    </row>
    <row r="385" spans="1:9" x14ac:dyDescent="0.2">
      <c r="A385" s="293" t="s">
        <v>10104</v>
      </c>
      <c r="B385" s="293" t="s">
        <v>9924</v>
      </c>
      <c r="C385" s="293" t="s">
        <v>9925</v>
      </c>
      <c r="D385" s="293" t="s">
        <v>5774</v>
      </c>
      <c r="E385" s="293" t="s">
        <v>9925</v>
      </c>
      <c r="F385" s="293" t="s">
        <v>10105</v>
      </c>
      <c r="G385" s="293" t="s">
        <v>5755</v>
      </c>
      <c r="H385" s="294">
        <v>43616</v>
      </c>
      <c r="I385" s="295">
        <v>2200.0100000000002</v>
      </c>
    </row>
    <row r="386" spans="1:9" x14ac:dyDescent="0.2">
      <c r="A386" s="293" t="s">
        <v>10104</v>
      </c>
      <c r="B386" s="293" t="s">
        <v>9924</v>
      </c>
      <c r="C386" s="293" t="s">
        <v>9925</v>
      </c>
      <c r="D386" s="293" t="s">
        <v>5774</v>
      </c>
      <c r="E386" s="293" t="s">
        <v>9925</v>
      </c>
      <c r="F386" s="293" t="s">
        <v>10105</v>
      </c>
      <c r="G386" s="293" t="s">
        <v>5589</v>
      </c>
      <c r="H386" s="294">
        <v>43616</v>
      </c>
      <c r="I386" s="295">
        <v>-3655.6</v>
      </c>
    </row>
    <row r="387" spans="1:9" x14ac:dyDescent="0.2">
      <c r="A387" s="293" t="s">
        <v>10104</v>
      </c>
      <c r="B387" s="293" t="s">
        <v>9924</v>
      </c>
      <c r="C387" s="293" t="s">
        <v>9925</v>
      </c>
      <c r="D387" s="293" t="s">
        <v>5774</v>
      </c>
      <c r="E387" s="293" t="s">
        <v>9925</v>
      </c>
      <c r="F387" s="293" t="s">
        <v>10105</v>
      </c>
      <c r="G387" s="293" t="s">
        <v>5754</v>
      </c>
      <c r="H387" s="294">
        <v>43616</v>
      </c>
      <c r="I387" s="295">
        <v>-165.55</v>
      </c>
    </row>
    <row r="388" spans="1:9" x14ac:dyDescent="0.2">
      <c r="A388" s="293" t="s">
        <v>10106</v>
      </c>
      <c r="B388" s="293" t="s">
        <v>9924</v>
      </c>
      <c r="C388" s="293" t="s">
        <v>9925</v>
      </c>
      <c r="D388" s="293" t="s">
        <v>5774</v>
      </c>
      <c r="E388" s="293" t="s">
        <v>9925</v>
      </c>
      <c r="F388" s="293" t="s">
        <v>10107</v>
      </c>
      <c r="G388" s="293" t="s">
        <v>5754</v>
      </c>
      <c r="H388" s="294">
        <v>43646</v>
      </c>
      <c r="I388" s="295">
        <v>-165.55</v>
      </c>
    </row>
    <row r="389" spans="1:9" x14ac:dyDescent="0.2">
      <c r="A389" s="293" t="s">
        <v>10106</v>
      </c>
      <c r="B389" s="293" t="s">
        <v>9924</v>
      </c>
      <c r="C389" s="293" t="s">
        <v>9925</v>
      </c>
      <c r="D389" s="293" t="s">
        <v>5774</v>
      </c>
      <c r="E389" s="293" t="s">
        <v>9925</v>
      </c>
      <c r="F389" s="293" t="s">
        <v>10107</v>
      </c>
      <c r="G389" s="293" t="s">
        <v>5589</v>
      </c>
      <c r="H389" s="294">
        <v>43646</v>
      </c>
      <c r="I389" s="295">
        <v>-3655.63</v>
      </c>
    </row>
    <row r="390" spans="1:9" x14ac:dyDescent="0.2">
      <c r="A390" s="293" t="s">
        <v>10106</v>
      </c>
      <c r="B390" s="293" t="s">
        <v>9924</v>
      </c>
      <c r="C390" s="293" t="s">
        <v>9925</v>
      </c>
      <c r="D390" s="293" t="s">
        <v>5774</v>
      </c>
      <c r="E390" s="293" t="s">
        <v>9925</v>
      </c>
      <c r="F390" s="293" t="s">
        <v>10107</v>
      </c>
      <c r="G390" s="293" t="s">
        <v>5755</v>
      </c>
      <c r="H390" s="294">
        <v>43646</v>
      </c>
      <c r="I390" s="295">
        <v>2200.02</v>
      </c>
    </row>
    <row r="391" spans="1:9" x14ac:dyDescent="0.2">
      <c r="A391" s="293" t="s">
        <v>10108</v>
      </c>
      <c r="B391" s="293" t="s">
        <v>9924</v>
      </c>
      <c r="C391" s="293" t="s">
        <v>9925</v>
      </c>
      <c r="D391" s="293" t="s">
        <v>5774</v>
      </c>
      <c r="E391" s="293" t="s">
        <v>9925</v>
      </c>
      <c r="F391" s="293" t="s">
        <v>8112</v>
      </c>
      <c r="G391" s="293" t="s">
        <v>5755</v>
      </c>
      <c r="H391" s="294">
        <v>43677</v>
      </c>
      <c r="I391" s="295">
        <v>2200</v>
      </c>
    </row>
    <row r="392" spans="1:9" x14ac:dyDescent="0.2">
      <c r="A392" s="293" t="s">
        <v>10108</v>
      </c>
      <c r="B392" s="293" t="s">
        <v>9924</v>
      </c>
      <c r="C392" s="293" t="s">
        <v>9925</v>
      </c>
      <c r="D392" s="293" t="s">
        <v>5774</v>
      </c>
      <c r="E392" s="293" t="s">
        <v>9925</v>
      </c>
      <c r="F392" s="293" t="s">
        <v>8112</v>
      </c>
      <c r="G392" s="293" t="s">
        <v>5589</v>
      </c>
      <c r="H392" s="294">
        <v>43677</v>
      </c>
      <c r="I392" s="295">
        <v>-3655.58</v>
      </c>
    </row>
    <row r="393" spans="1:9" x14ac:dyDescent="0.2">
      <c r="A393" s="293" t="s">
        <v>10108</v>
      </c>
      <c r="B393" s="293" t="s">
        <v>9924</v>
      </c>
      <c r="C393" s="293" t="s">
        <v>9925</v>
      </c>
      <c r="D393" s="293" t="s">
        <v>5774</v>
      </c>
      <c r="E393" s="293" t="s">
        <v>9925</v>
      </c>
      <c r="F393" s="293" t="s">
        <v>8112</v>
      </c>
      <c r="G393" s="293" t="s">
        <v>5754</v>
      </c>
      <c r="H393" s="294">
        <v>43677</v>
      </c>
      <c r="I393" s="295">
        <v>-165.55</v>
      </c>
    </row>
    <row r="394" spans="1:9" x14ac:dyDescent="0.2">
      <c r="A394" s="293" t="s">
        <v>10109</v>
      </c>
      <c r="B394" s="293" t="s">
        <v>9924</v>
      </c>
      <c r="C394" s="293" t="s">
        <v>9925</v>
      </c>
      <c r="D394" s="293" t="s">
        <v>5774</v>
      </c>
      <c r="E394" s="293" t="s">
        <v>9925</v>
      </c>
      <c r="F394" s="293" t="s">
        <v>10110</v>
      </c>
      <c r="G394" s="293" t="s">
        <v>5754</v>
      </c>
      <c r="H394" s="294">
        <v>43708</v>
      </c>
      <c r="I394" s="295">
        <v>-165.55</v>
      </c>
    </row>
    <row r="395" spans="1:9" x14ac:dyDescent="0.2">
      <c r="A395" s="293" t="s">
        <v>10109</v>
      </c>
      <c r="B395" s="293" t="s">
        <v>9924</v>
      </c>
      <c r="C395" s="293" t="s">
        <v>9925</v>
      </c>
      <c r="D395" s="293" t="s">
        <v>5774</v>
      </c>
      <c r="E395" s="293" t="s">
        <v>9925</v>
      </c>
      <c r="F395" s="293" t="s">
        <v>10110</v>
      </c>
      <c r="G395" s="293" t="s">
        <v>5755</v>
      </c>
      <c r="H395" s="294">
        <v>43708</v>
      </c>
      <c r="I395" s="295">
        <v>2200.02</v>
      </c>
    </row>
    <row r="396" spans="1:9" x14ac:dyDescent="0.2">
      <c r="A396" s="293" t="s">
        <v>10109</v>
      </c>
      <c r="B396" s="293" t="s">
        <v>9924</v>
      </c>
      <c r="C396" s="293" t="s">
        <v>9925</v>
      </c>
      <c r="D396" s="293" t="s">
        <v>5774</v>
      </c>
      <c r="E396" s="293" t="s">
        <v>9925</v>
      </c>
      <c r="F396" s="293" t="s">
        <v>10110</v>
      </c>
      <c r="G396" s="293" t="s">
        <v>5589</v>
      </c>
      <c r="H396" s="294">
        <v>43708</v>
      </c>
      <c r="I396" s="295">
        <v>-3655.63</v>
      </c>
    </row>
    <row r="397" spans="1:9" x14ac:dyDescent="0.2">
      <c r="A397" s="293" t="s">
        <v>10111</v>
      </c>
      <c r="B397" s="293" t="s">
        <v>9924</v>
      </c>
      <c r="C397" s="293" t="s">
        <v>9925</v>
      </c>
      <c r="D397" s="293" t="s">
        <v>5774</v>
      </c>
      <c r="E397" s="293" t="s">
        <v>9925</v>
      </c>
      <c r="F397" s="293" t="s">
        <v>10112</v>
      </c>
      <c r="G397" s="293" t="s">
        <v>5755</v>
      </c>
      <c r="H397" s="294">
        <v>43738</v>
      </c>
      <c r="I397" s="295">
        <v>2200.02</v>
      </c>
    </row>
    <row r="398" spans="1:9" x14ac:dyDescent="0.2">
      <c r="A398" s="293" t="s">
        <v>10111</v>
      </c>
      <c r="B398" s="293" t="s">
        <v>9924</v>
      </c>
      <c r="C398" s="293" t="s">
        <v>9925</v>
      </c>
      <c r="D398" s="293" t="s">
        <v>5774</v>
      </c>
      <c r="E398" s="293" t="s">
        <v>9925</v>
      </c>
      <c r="F398" s="293" t="s">
        <v>10112</v>
      </c>
      <c r="G398" s="293" t="s">
        <v>5589</v>
      </c>
      <c r="H398" s="294">
        <v>43738</v>
      </c>
      <c r="I398" s="295">
        <v>-3655.63</v>
      </c>
    </row>
    <row r="399" spans="1:9" x14ac:dyDescent="0.2">
      <c r="A399" s="293" t="s">
        <v>10111</v>
      </c>
      <c r="B399" s="293" t="s">
        <v>9924</v>
      </c>
      <c r="C399" s="293" t="s">
        <v>9925</v>
      </c>
      <c r="D399" s="293" t="s">
        <v>5774</v>
      </c>
      <c r="E399" s="293" t="s">
        <v>9925</v>
      </c>
      <c r="F399" s="293" t="s">
        <v>10112</v>
      </c>
      <c r="G399" s="293" t="s">
        <v>5754</v>
      </c>
      <c r="H399" s="294">
        <v>43738</v>
      </c>
      <c r="I399" s="295">
        <v>-165.55</v>
      </c>
    </row>
    <row r="400" spans="1:9" x14ac:dyDescent="0.2">
      <c r="A400" s="293" t="s">
        <v>10113</v>
      </c>
      <c r="B400" s="293" t="s">
        <v>9924</v>
      </c>
      <c r="C400" s="293" t="s">
        <v>9925</v>
      </c>
      <c r="D400" s="293" t="s">
        <v>5774</v>
      </c>
      <c r="E400" s="293" t="s">
        <v>9925</v>
      </c>
      <c r="F400" s="293" t="s">
        <v>10114</v>
      </c>
      <c r="G400" s="293" t="s">
        <v>5754</v>
      </c>
      <c r="H400" s="294">
        <v>43738</v>
      </c>
      <c r="I400" s="295">
        <v>-165.55</v>
      </c>
    </row>
    <row r="401" spans="1:9" x14ac:dyDescent="0.2">
      <c r="A401" s="293" t="s">
        <v>10113</v>
      </c>
      <c r="B401" s="293" t="s">
        <v>9924</v>
      </c>
      <c r="C401" s="293" t="s">
        <v>9925</v>
      </c>
      <c r="D401" s="293" t="s">
        <v>5774</v>
      </c>
      <c r="E401" s="293" t="s">
        <v>9925</v>
      </c>
      <c r="F401" s="293" t="s">
        <v>10114</v>
      </c>
      <c r="G401" s="293" t="s">
        <v>5755</v>
      </c>
      <c r="H401" s="294">
        <v>43738</v>
      </c>
      <c r="I401" s="295">
        <v>2200.02</v>
      </c>
    </row>
    <row r="402" spans="1:9" x14ac:dyDescent="0.2">
      <c r="A402" s="293" t="s">
        <v>10113</v>
      </c>
      <c r="B402" s="293" t="s">
        <v>9924</v>
      </c>
      <c r="C402" s="293" t="s">
        <v>9925</v>
      </c>
      <c r="D402" s="293" t="s">
        <v>5774</v>
      </c>
      <c r="E402" s="293" t="s">
        <v>9925</v>
      </c>
      <c r="F402" s="293" t="s">
        <v>10114</v>
      </c>
      <c r="G402" s="293" t="s">
        <v>5589</v>
      </c>
      <c r="H402" s="294">
        <v>43738</v>
      </c>
      <c r="I402" s="295">
        <v>-3655.63</v>
      </c>
    </row>
    <row r="403" spans="1:9" x14ac:dyDescent="0.2">
      <c r="A403" s="293" t="s">
        <v>10115</v>
      </c>
      <c r="B403" s="293" t="s">
        <v>9924</v>
      </c>
      <c r="C403" s="293" t="s">
        <v>9939</v>
      </c>
      <c r="D403" s="293" t="s">
        <v>5774</v>
      </c>
      <c r="E403" s="293" t="s">
        <v>9939</v>
      </c>
      <c r="F403" s="293" t="s">
        <v>10114</v>
      </c>
      <c r="G403" s="293" t="s">
        <v>5589</v>
      </c>
      <c r="H403" s="294">
        <v>43738</v>
      </c>
      <c r="I403" s="295">
        <v>3655.63</v>
      </c>
    </row>
    <row r="404" spans="1:9" x14ac:dyDescent="0.2">
      <c r="A404" s="293" t="s">
        <v>10115</v>
      </c>
      <c r="B404" s="293" t="s">
        <v>9924</v>
      </c>
      <c r="C404" s="293" t="s">
        <v>9939</v>
      </c>
      <c r="D404" s="293" t="s">
        <v>5774</v>
      </c>
      <c r="E404" s="293" t="s">
        <v>9939</v>
      </c>
      <c r="F404" s="293" t="s">
        <v>10114</v>
      </c>
      <c r="G404" s="293" t="s">
        <v>5754</v>
      </c>
      <c r="H404" s="294">
        <v>43738</v>
      </c>
      <c r="I404" s="295">
        <v>165.55</v>
      </c>
    </row>
    <row r="405" spans="1:9" x14ac:dyDescent="0.2">
      <c r="A405" s="293" t="s">
        <v>10115</v>
      </c>
      <c r="B405" s="293" t="s">
        <v>9924</v>
      </c>
      <c r="C405" s="293" t="s">
        <v>9939</v>
      </c>
      <c r="D405" s="293" t="s">
        <v>5774</v>
      </c>
      <c r="E405" s="293" t="s">
        <v>9939</v>
      </c>
      <c r="F405" s="293" t="s">
        <v>10114</v>
      </c>
      <c r="G405" s="293" t="s">
        <v>5755</v>
      </c>
      <c r="H405" s="294">
        <v>43738</v>
      </c>
      <c r="I405" s="295">
        <v>-2200.02</v>
      </c>
    </row>
    <row r="406" spans="1:9" x14ac:dyDescent="0.2">
      <c r="A406" s="293" t="s">
        <v>10116</v>
      </c>
      <c r="B406" s="293" t="s">
        <v>9924</v>
      </c>
      <c r="C406" s="293" t="s">
        <v>9925</v>
      </c>
      <c r="D406" s="293" t="s">
        <v>5774</v>
      </c>
      <c r="E406" s="293" t="s">
        <v>9925</v>
      </c>
      <c r="F406" s="293" t="s">
        <v>10117</v>
      </c>
      <c r="G406" s="293" t="s">
        <v>5755</v>
      </c>
      <c r="H406" s="294">
        <v>43769</v>
      </c>
      <c r="I406" s="295">
        <v>2200.0100000000002</v>
      </c>
    </row>
    <row r="407" spans="1:9" x14ac:dyDescent="0.2">
      <c r="A407" s="293" t="s">
        <v>10116</v>
      </c>
      <c r="B407" s="293" t="s">
        <v>9924</v>
      </c>
      <c r="C407" s="293" t="s">
        <v>9925</v>
      </c>
      <c r="D407" s="293" t="s">
        <v>5774</v>
      </c>
      <c r="E407" s="293" t="s">
        <v>9925</v>
      </c>
      <c r="F407" s="293" t="s">
        <v>10117</v>
      </c>
      <c r="G407" s="293" t="s">
        <v>5589</v>
      </c>
      <c r="H407" s="294">
        <v>43769</v>
      </c>
      <c r="I407" s="295">
        <v>-3655.6</v>
      </c>
    </row>
    <row r="408" spans="1:9" x14ac:dyDescent="0.2">
      <c r="A408" s="293" t="s">
        <v>10116</v>
      </c>
      <c r="B408" s="293" t="s">
        <v>9924</v>
      </c>
      <c r="C408" s="293" t="s">
        <v>9925</v>
      </c>
      <c r="D408" s="293" t="s">
        <v>5774</v>
      </c>
      <c r="E408" s="293" t="s">
        <v>9925</v>
      </c>
      <c r="F408" s="293" t="s">
        <v>10117</v>
      </c>
      <c r="G408" s="293" t="s">
        <v>5754</v>
      </c>
      <c r="H408" s="294">
        <v>43769</v>
      </c>
      <c r="I408" s="295">
        <v>-165.55</v>
      </c>
    </row>
    <row r="409" spans="1:9" x14ac:dyDescent="0.2">
      <c r="A409" s="293" t="s">
        <v>10118</v>
      </c>
      <c r="B409" s="293" t="s">
        <v>9924</v>
      </c>
      <c r="C409" s="293" t="s">
        <v>9925</v>
      </c>
      <c r="D409" s="293" t="s">
        <v>5774</v>
      </c>
      <c r="E409" s="293" t="s">
        <v>9925</v>
      </c>
      <c r="F409" s="293" t="s">
        <v>10119</v>
      </c>
      <c r="G409" s="293" t="s">
        <v>5755</v>
      </c>
      <c r="H409" s="294">
        <v>43799</v>
      </c>
      <c r="I409" s="295">
        <v>2200.0100000000002</v>
      </c>
    </row>
    <row r="410" spans="1:9" x14ac:dyDescent="0.2">
      <c r="A410" s="293" t="s">
        <v>10118</v>
      </c>
      <c r="B410" s="293" t="s">
        <v>9924</v>
      </c>
      <c r="C410" s="293" t="s">
        <v>9925</v>
      </c>
      <c r="D410" s="293" t="s">
        <v>5774</v>
      </c>
      <c r="E410" s="293" t="s">
        <v>9925</v>
      </c>
      <c r="F410" s="293" t="s">
        <v>10119</v>
      </c>
      <c r="G410" s="293" t="s">
        <v>5754</v>
      </c>
      <c r="H410" s="294">
        <v>43799</v>
      </c>
      <c r="I410" s="295">
        <v>-165.55</v>
      </c>
    </row>
    <row r="411" spans="1:9" x14ac:dyDescent="0.2">
      <c r="A411" s="293" t="s">
        <v>10118</v>
      </c>
      <c r="B411" s="293" t="s">
        <v>9924</v>
      </c>
      <c r="C411" s="293" t="s">
        <v>9925</v>
      </c>
      <c r="D411" s="293" t="s">
        <v>5774</v>
      </c>
      <c r="E411" s="293" t="s">
        <v>9925</v>
      </c>
      <c r="F411" s="293" t="s">
        <v>10119</v>
      </c>
      <c r="G411" s="293" t="s">
        <v>5589</v>
      </c>
      <c r="H411" s="294">
        <v>43799</v>
      </c>
      <c r="I411" s="295">
        <v>-3655.6</v>
      </c>
    </row>
    <row r="412" spans="1:9" x14ac:dyDescent="0.2">
      <c r="A412" s="293" t="s">
        <v>10120</v>
      </c>
      <c r="B412" s="293" t="s">
        <v>9924</v>
      </c>
      <c r="C412" s="293" t="s">
        <v>9925</v>
      </c>
      <c r="D412" s="293" t="s">
        <v>5774</v>
      </c>
      <c r="E412" s="293" t="s">
        <v>9925</v>
      </c>
      <c r="F412" s="293" t="s">
        <v>10121</v>
      </c>
      <c r="G412" s="293" t="s">
        <v>5755</v>
      </c>
      <c r="H412" s="294">
        <v>43830</v>
      </c>
      <c r="I412" s="295">
        <v>2200.02</v>
      </c>
    </row>
    <row r="413" spans="1:9" x14ac:dyDescent="0.2">
      <c r="A413" s="293" t="s">
        <v>10120</v>
      </c>
      <c r="B413" s="293" t="s">
        <v>9924</v>
      </c>
      <c r="C413" s="293" t="s">
        <v>9925</v>
      </c>
      <c r="D413" s="293" t="s">
        <v>5774</v>
      </c>
      <c r="E413" s="293" t="s">
        <v>9925</v>
      </c>
      <c r="F413" s="293" t="s">
        <v>10121</v>
      </c>
      <c r="G413" s="293" t="s">
        <v>5754</v>
      </c>
      <c r="H413" s="294">
        <v>43830</v>
      </c>
      <c r="I413" s="295">
        <v>-165.55</v>
      </c>
    </row>
    <row r="414" spans="1:9" x14ac:dyDescent="0.2">
      <c r="A414" s="293" t="s">
        <v>10120</v>
      </c>
      <c r="B414" s="293" t="s">
        <v>9924</v>
      </c>
      <c r="C414" s="293" t="s">
        <v>9925</v>
      </c>
      <c r="D414" s="293" t="s">
        <v>5774</v>
      </c>
      <c r="E414" s="293" t="s">
        <v>9925</v>
      </c>
      <c r="F414" s="293" t="s">
        <v>10121</v>
      </c>
      <c r="G414" s="293" t="s">
        <v>5589</v>
      </c>
      <c r="H414" s="294">
        <v>43830</v>
      </c>
      <c r="I414" s="295">
        <v>-3655.63</v>
      </c>
    </row>
    <row r="415" spans="1:9" x14ac:dyDescent="0.2">
      <c r="A415" s="293" t="s">
        <v>10122</v>
      </c>
      <c r="B415" s="293" t="s">
        <v>9924</v>
      </c>
      <c r="C415" s="293" t="s">
        <v>9925</v>
      </c>
      <c r="D415" s="293" t="s">
        <v>5774</v>
      </c>
      <c r="E415" s="293" t="s">
        <v>9925</v>
      </c>
      <c r="F415" s="293" t="s">
        <v>10123</v>
      </c>
      <c r="G415" s="293" t="s">
        <v>5755</v>
      </c>
      <c r="H415" s="294">
        <v>43830</v>
      </c>
      <c r="I415" s="295">
        <v>2200.02</v>
      </c>
    </row>
    <row r="416" spans="1:9" x14ac:dyDescent="0.2">
      <c r="A416" s="293" t="s">
        <v>10122</v>
      </c>
      <c r="B416" s="293" t="s">
        <v>9924</v>
      </c>
      <c r="C416" s="293" t="s">
        <v>9925</v>
      </c>
      <c r="D416" s="293" t="s">
        <v>5774</v>
      </c>
      <c r="E416" s="293" t="s">
        <v>9925</v>
      </c>
      <c r="F416" s="293" t="s">
        <v>10123</v>
      </c>
      <c r="G416" s="293" t="s">
        <v>5589</v>
      </c>
      <c r="H416" s="294">
        <v>43830</v>
      </c>
      <c r="I416" s="295">
        <v>-3655.63</v>
      </c>
    </row>
    <row r="417" spans="1:9" x14ac:dyDescent="0.2">
      <c r="A417" s="293" t="s">
        <v>10122</v>
      </c>
      <c r="B417" s="293" t="s">
        <v>9924</v>
      </c>
      <c r="C417" s="293" t="s">
        <v>9925</v>
      </c>
      <c r="D417" s="293" t="s">
        <v>5774</v>
      </c>
      <c r="E417" s="293" t="s">
        <v>9925</v>
      </c>
      <c r="F417" s="293" t="s">
        <v>10123</v>
      </c>
      <c r="G417" s="293" t="s">
        <v>5754</v>
      </c>
      <c r="H417" s="294">
        <v>43830</v>
      </c>
      <c r="I417" s="295">
        <v>-165.55</v>
      </c>
    </row>
    <row r="418" spans="1:9" x14ac:dyDescent="0.2">
      <c r="A418" s="293" t="s">
        <v>10124</v>
      </c>
      <c r="B418" s="293" t="s">
        <v>9924</v>
      </c>
      <c r="C418" s="293" t="s">
        <v>9939</v>
      </c>
      <c r="D418" s="293" t="s">
        <v>5774</v>
      </c>
      <c r="E418" s="293" t="s">
        <v>9939</v>
      </c>
      <c r="F418" s="293" t="s">
        <v>10123</v>
      </c>
      <c r="G418" s="293" t="s">
        <v>5589</v>
      </c>
      <c r="H418" s="294">
        <v>43830</v>
      </c>
      <c r="I418" s="295">
        <v>3655.63</v>
      </c>
    </row>
    <row r="419" spans="1:9" x14ac:dyDescent="0.2">
      <c r="A419" s="293" t="s">
        <v>10124</v>
      </c>
      <c r="B419" s="293" t="s">
        <v>9924</v>
      </c>
      <c r="C419" s="293" t="s">
        <v>9939</v>
      </c>
      <c r="D419" s="293" t="s">
        <v>5774</v>
      </c>
      <c r="E419" s="293" t="s">
        <v>9939</v>
      </c>
      <c r="F419" s="293" t="s">
        <v>10123</v>
      </c>
      <c r="G419" s="293" t="s">
        <v>5754</v>
      </c>
      <c r="H419" s="294">
        <v>43830</v>
      </c>
      <c r="I419" s="295">
        <v>165.55</v>
      </c>
    </row>
    <row r="420" spans="1:9" x14ac:dyDescent="0.2">
      <c r="A420" s="293" t="s">
        <v>10124</v>
      </c>
      <c r="B420" s="293" t="s">
        <v>9924</v>
      </c>
      <c r="C420" s="293" t="s">
        <v>9939</v>
      </c>
      <c r="D420" s="293" t="s">
        <v>5774</v>
      </c>
      <c r="E420" s="293" t="s">
        <v>9939</v>
      </c>
      <c r="F420" s="293" t="s">
        <v>10123</v>
      </c>
      <c r="G420" s="293" t="s">
        <v>5755</v>
      </c>
      <c r="H420" s="294">
        <v>43830</v>
      </c>
      <c r="I420" s="295">
        <v>-2200.02</v>
      </c>
    </row>
    <row r="421" spans="1:9" x14ac:dyDescent="0.2">
      <c r="A421" s="293" t="s">
        <v>5772</v>
      </c>
      <c r="B421" s="293" t="s">
        <v>5632</v>
      </c>
      <c r="C421" s="293" t="s">
        <v>5773</v>
      </c>
      <c r="D421" s="293" t="s">
        <v>5839</v>
      </c>
      <c r="E421" s="293" t="s">
        <v>5840</v>
      </c>
      <c r="F421" s="293" t="s">
        <v>5776</v>
      </c>
      <c r="G421" s="293" t="s">
        <v>5637</v>
      </c>
      <c r="H421" s="294">
        <v>40543</v>
      </c>
      <c r="I421" s="295">
        <v>319765.88</v>
      </c>
    </row>
    <row r="422" spans="1:9" x14ac:dyDescent="0.2">
      <c r="A422" s="293" t="s">
        <v>5777</v>
      </c>
      <c r="B422" s="293" t="s">
        <v>5632</v>
      </c>
      <c r="C422" s="293" t="s">
        <v>5773</v>
      </c>
      <c r="D422" s="293" t="s">
        <v>5839</v>
      </c>
      <c r="E422" s="293" t="s">
        <v>5840</v>
      </c>
      <c r="F422" s="293" t="s">
        <v>5776</v>
      </c>
      <c r="G422" s="293" t="s">
        <v>5637</v>
      </c>
      <c r="H422" s="294">
        <v>40543</v>
      </c>
      <c r="I422" s="295">
        <v>319765.88</v>
      </c>
    </row>
    <row r="423" spans="1:9" x14ac:dyDescent="0.2">
      <c r="A423" s="293" t="s">
        <v>5778</v>
      </c>
      <c r="B423" s="293" t="s">
        <v>5632</v>
      </c>
      <c r="C423" s="293" t="s">
        <v>5773</v>
      </c>
      <c r="D423" s="293" t="s">
        <v>5839</v>
      </c>
      <c r="E423" s="293" t="s">
        <v>5840</v>
      </c>
      <c r="F423" s="293" t="s">
        <v>5776</v>
      </c>
      <c r="G423" s="293" t="s">
        <v>5637</v>
      </c>
      <c r="H423" s="294">
        <v>40543</v>
      </c>
      <c r="I423" s="295">
        <v>-319765.88</v>
      </c>
    </row>
    <row r="424" spans="1:9" x14ac:dyDescent="0.2">
      <c r="A424" s="293" t="s">
        <v>5779</v>
      </c>
      <c r="B424" s="293" t="s">
        <v>5632</v>
      </c>
      <c r="C424" s="293" t="s">
        <v>5780</v>
      </c>
      <c r="D424" s="293" t="s">
        <v>5839</v>
      </c>
      <c r="E424" s="293" t="s">
        <v>5841</v>
      </c>
      <c r="F424" s="293" t="s">
        <v>5636</v>
      </c>
      <c r="G424" s="293" t="s">
        <v>5637</v>
      </c>
      <c r="H424" s="294">
        <v>40574</v>
      </c>
      <c r="I424" s="295">
        <v>-3613.17</v>
      </c>
    </row>
    <row r="425" spans="1:9" x14ac:dyDescent="0.2">
      <c r="A425" s="293" t="s">
        <v>5782</v>
      </c>
      <c r="B425" s="293" t="s">
        <v>5632</v>
      </c>
      <c r="C425" s="293" t="s">
        <v>5783</v>
      </c>
      <c r="D425" s="293" t="s">
        <v>5839</v>
      </c>
      <c r="E425" s="293" t="s">
        <v>5841</v>
      </c>
      <c r="F425" s="293" t="s">
        <v>5636</v>
      </c>
      <c r="G425" s="293" t="s">
        <v>5637</v>
      </c>
      <c r="H425" s="294">
        <v>40602</v>
      </c>
      <c r="I425" s="295">
        <v>-3613.17</v>
      </c>
    </row>
    <row r="426" spans="1:9" x14ac:dyDescent="0.2">
      <c r="A426" s="293" t="s">
        <v>5784</v>
      </c>
      <c r="B426" s="293" t="s">
        <v>5632</v>
      </c>
      <c r="C426" s="293" t="s">
        <v>5785</v>
      </c>
      <c r="D426" s="293" t="s">
        <v>5839</v>
      </c>
      <c r="E426" s="293" t="s">
        <v>5841</v>
      </c>
      <c r="F426" s="293" t="s">
        <v>5636</v>
      </c>
      <c r="G426" s="293" t="s">
        <v>5637</v>
      </c>
      <c r="H426" s="294">
        <v>40633</v>
      </c>
      <c r="I426" s="295">
        <v>-3613.17</v>
      </c>
    </row>
    <row r="427" spans="1:9" x14ac:dyDescent="0.2">
      <c r="A427" s="293" t="s">
        <v>5786</v>
      </c>
      <c r="B427" s="293" t="s">
        <v>5632</v>
      </c>
      <c r="C427" s="293" t="s">
        <v>5787</v>
      </c>
      <c r="D427" s="293" t="s">
        <v>5839</v>
      </c>
      <c r="E427" s="293" t="s">
        <v>5841</v>
      </c>
      <c r="F427" s="293" t="s">
        <v>5636</v>
      </c>
      <c r="G427" s="293" t="s">
        <v>5637</v>
      </c>
      <c r="H427" s="294">
        <v>40663</v>
      </c>
      <c r="I427" s="295">
        <v>-3613.17</v>
      </c>
    </row>
    <row r="428" spans="1:9" x14ac:dyDescent="0.2">
      <c r="A428" s="293" t="s">
        <v>5788</v>
      </c>
      <c r="B428" s="293" t="s">
        <v>5632</v>
      </c>
      <c r="C428" s="293" t="s">
        <v>5789</v>
      </c>
      <c r="D428" s="293" t="s">
        <v>5839</v>
      </c>
      <c r="E428" s="293" t="s">
        <v>5841</v>
      </c>
      <c r="F428" s="293" t="s">
        <v>5636</v>
      </c>
      <c r="G428" s="293" t="s">
        <v>5637</v>
      </c>
      <c r="H428" s="294">
        <v>40694</v>
      </c>
      <c r="I428" s="295">
        <v>-3613.17</v>
      </c>
    </row>
    <row r="429" spans="1:9" x14ac:dyDescent="0.2">
      <c r="A429" s="293" t="s">
        <v>5790</v>
      </c>
      <c r="B429" s="293" t="s">
        <v>5632</v>
      </c>
      <c r="C429" s="293" t="s">
        <v>5791</v>
      </c>
      <c r="D429" s="293" t="s">
        <v>5839</v>
      </c>
      <c r="E429" s="293" t="s">
        <v>5841</v>
      </c>
      <c r="F429" s="293" t="s">
        <v>5636</v>
      </c>
      <c r="G429" s="293" t="s">
        <v>5637</v>
      </c>
      <c r="H429" s="294">
        <v>40724</v>
      </c>
      <c r="I429" s="295">
        <v>-3613.17</v>
      </c>
    </row>
    <row r="430" spans="1:9" x14ac:dyDescent="0.2">
      <c r="A430" s="293" t="s">
        <v>5792</v>
      </c>
      <c r="B430" s="293" t="s">
        <v>5632</v>
      </c>
      <c r="C430" s="293" t="s">
        <v>5793</v>
      </c>
      <c r="D430" s="293" t="s">
        <v>5839</v>
      </c>
      <c r="E430" s="293" t="s">
        <v>5841</v>
      </c>
      <c r="F430" s="293" t="s">
        <v>5636</v>
      </c>
      <c r="G430" s="293" t="s">
        <v>5637</v>
      </c>
      <c r="H430" s="294">
        <v>40755</v>
      </c>
      <c r="I430" s="295">
        <v>-3613.17</v>
      </c>
    </row>
    <row r="431" spans="1:9" x14ac:dyDescent="0.2">
      <c r="A431" s="293" t="s">
        <v>5794</v>
      </c>
      <c r="B431" s="293" t="s">
        <v>5632</v>
      </c>
      <c r="C431" s="293" t="s">
        <v>5795</v>
      </c>
      <c r="D431" s="293" t="s">
        <v>5839</v>
      </c>
      <c r="E431" s="293" t="s">
        <v>5841</v>
      </c>
      <c r="F431" s="293" t="s">
        <v>5636</v>
      </c>
      <c r="G431" s="293" t="s">
        <v>5637</v>
      </c>
      <c r="H431" s="294">
        <v>40786</v>
      </c>
      <c r="I431" s="295">
        <v>-3613.17</v>
      </c>
    </row>
    <row r="432" spans="1:9" x14ac:dyDescent="0.2">
      <c r="A432" s="293" t="s">
        <v>5796</v>
      </c>
      <c r="B432" s="293" t="s">
        <v>5632</v>
      </c>
      <c r="C432" s="293" t="s">
        <v>5797</v>
      </c>
      <c r="D432" s="293" t="s">
        <v>5839</v>
      </c>
      <c r="E432" s="293" t="s">
        <v>5841</v>
      </c>
      <c r="F432" s="293" t="s">
        <v>5636</v>
      </c>
      <c r="G432" s="293" t="s">
        <v>5637</v>
      </c>
      <c r="H432" s="294">
        <v>40816</v>
      </c>
      <c r="I432" s="295">
        <v>-3613.17</v>
      </c>
    </row>
    <row r="433" spans="1:9" x14ac:dyDescent="0.2">
      <c r="A433" s="293" t="s">
        <v>5798</v>
      </c>
      <c r="B433" s="293" t="s">
        <v>5632</v>
      </c>
      <c r="C433" s="293" t="s">
        <v>5799</v>
      </c>
      <c r="D433" s="293" t="s">
        <v>5839</v>
      </c>
      <c r="E433" s="293" t="s">
        <v>5841</v>
      </c>
      <c r="F433" s="293" t="s">
        <v>5636</v>
      </c>
      <c r="G433" s="293" t="s">
        <v>5637</v>
      </c>
      <c r="H433" s="294">
        <v>40847</v>
      </c>
      <c r="I433" s="295">
        <v>-3613.17</v>
      </c>
    </row>
    <row r="434" spans="1:9" x14ac:dyDescent="0.2">
      <c r="A434" s="293" t="s">
        <v>5800</v>
      </c>
      <c r="B434" s="293" t="s">
        <v>5632</v>
      </c>
      <c r="C434" s="293" t="s">
        <v>5801</v>
      </c>
      <c r="D434" s="293" t="s">
        <v>5839</v>
      </c>
      <c r="E434" s="293" t="s">
        <v>5841</v>
      </c>
      <c r="F434" s="293" t="s">
        <v>5636</v>
      </c>
      <c r="G434" s="293" t="s">
        <v>5637</v>
      </c>
      <c r="H434" s="294">
        <v>40877</v>
      </c>
      <c r="I434" s="295">
        <v>-3613.17</v>
      </c>
    </row>
    <row r="435" spans="1:9" x14ac:dyDescent="0.2">
      <c r="A435" s="293" t="s">
        <v>5802</v>
      </c>
      <c r="B435" s="293" t="s">
        <v>5632</v>
      </c>
      <c r="C435" s="293" t="s">
        <v>5803</v>
      </c>
      <c r="D435" s="293" t="s">
        <v>5839</v>
      </c>
      <c r="E435" s="293" t="s">
        <v>5841</v>
      </c>
      <c r="F435" s="293" t="s">
        <v>5636</v>
      </c>
      <c r="G435" s="293" t="s">
        <v>5637</v>
      </c>
      <c r="H435" s="294">
        <v>40908</v>
      </c>
      <c r="I435" s="295">
        <v>-3613.17</v>
      </c>
    </row>
    <row r="436" spans="1:9" x14ac:dyDescent="0.2">
      <c r="A436" s="293" t="s">
        <v>5631</v>
      </c>
      <c r="B436" s="293" t="s">
        <v>5632</v>
      </c>
      <c r="C436" s="293" t="s">
        <v>5633</v>
      </c>
      <c r="D436" s="293" t="s">
        <v>5839</v>
      </c>
      <c r="E436" s="293" t="s">
        <v>5841</v>
      </c>
      <c r="F436" s="293" t="s">
        <v>5636</v>
      </c>
      <c r="G436" s="293" t="s">
        <v>5637</v>
      </c>
      <c r="H436" s="294">
        <v>40939</v>
      </c>
      <c r="I436" s="295">
        <v>-3613.17</v>
      </c>
    </row>
    <row r="437" spans="1:9" x14ac:dyDescent="0.2">
      <c r="A437" s="293" t="s">
        <v>5651</v>
      </c>
      <c r="B437" s="293" t="s">
        <v>5632</v>
      </c>
      <c r="C437" s="293" t="s">
        <v>5652</v>
      </c>
      <c r="D437" s="293" t="s">
        <v>5839</v>
      </c>
      <c r="E437" s="293" t="s">
        <v>5841</v>
      </c>
      <c r="F437" s="293" t="s">
        <v>5653</v>
      </c>
      <c r="G437" s="293" t="s">
        <v>5637</v>
      </c>
      <c r="H437" s="294">
        <v>40968</v>
      </c>
      <c r="I437" s="295">
        <v>-3613.17</v>
      </c>
    </row>
    <row r="438" spans="1:9" x14ac:dyDescent="0.2">
      <c r="A438" s="293" t="s">
        <v>5804</v>
      </c>
      <c r="B438" s="293" t="s">
        <v>5632</v>
      </c>
      <c r="C438" s="293" t="s">
        <v>5656</v>
      </c>
      <c r="D438" s="293" t="s">
        <v>5839</v>
      </c>
      <c r="E438" s="293" t="s">
        <v>5841</v>
      </c>
      <c r="F438" s="293" t="s">
        <v>5657</v>
      </c>
      <c r="G438" s="293" t="s">
        <v>5637</v>
      </c>
      <c r="H438" s="294">
        <v>40999</v>
      </c>
      <c r="I438" s="295">
        <v>-3613.17</v>
      </c>
    </row>
    <row r="439" spans="1:9" x14ac:dyDescent="0.2">
      <c r="A439" s="293" t="s">
        <v>5805</v>
      </c>
      <c r="B439" s="293" t="s">
        <v>5632</v>
      </c>
      <c r="C439" s="293" t="s">
        <v>5659</v>
      </c>
      <c r="D439" s="293" t="s">
        <v>5839</v>
      </c>
      <c r="E439" s="293" t="s">
        <v>5841</v>
      </c>
      <c r="F439" s="293" t="s">
        <v>5660</v>
      </c>
      <c r="G439" s="293" t="s">
        <v>5637</v>
      </c>
      <c r="H439" s="294">
        <v>41029</v>
      </c>
      <c r="I439" s="295">
        <v>31021.43</v>
      </c>
    </row>
    <row r="440" spans="1:9" x14ac:dyDescent="0.2">
      <c r="A440" s="293" t="s">
        <v>5661</v>
      </c>
      <c r="B440" s="293" t="s">
        <v>5632</v>
      </c>
      <c r="C440" s="293" t="s">
        <v>5662</v>
      </c>
      <c r="D440" s="293" t="s">
        <v>5839</v>
      </c>
      <c r="E440" s="293" t="s">
        <v>5841</v>
      </c>
      <c r="F440" s="293" t="s">
        <v>5663</v>
      </c>
      <c r="G440" s="293" t="s">
        <v>5637</v>
      </c>
      <c r="H440" s="294">
        <v>41060</v>
      </c>
      <c r="I440" s="295">
        <v>326484.73</v>
      </c>
    </row>
    <row r="441" spans="1:9" x14ac:dyDescent="0.2">
      <c r="A441" s="293" t="s">
        <v>5806</v>
      </c>
      <c r="B441" s="293" t="s">
        <v>5666</v>
      </c>
      <c r="C441" s="293" t="s">
        <v>5807</v>
      </c>
      <c r="D441" s="293" t="s">
        <v>5839</v>
      </c>
      <c r="E441" s="293" t="s">
        <v>5088</v>
      </c>
      <c r="F441" s="293" t="s">
        <v>5668</v>
      </c>
      <c r="G441" s="293" t="s">
        <v>5591</v>
      </c>
      <c r="H441" s="294">
        <v>41113</v>
      </c>
      <c r="I441" s="295">
        <v>-3613.17</v>
      </c>
    </row>
    <row r="442" spans="1:9" x14ac:dyDescent="0.2">
      <c r="A442" s="293" t="s">
        <v>5806</v>
      </c>
      <c r="B442" s="293" t="s">
        <v>5666</v>
      </c>
      <c r="C442" s="293" t="s">
        <v>5807</v>
      </c>
      <c r="D442" s="293" t="s">
        <v>5839</v>
      </c>
      <c r="E442" s="293" t="s">
        <v>5088</v>
      </c>
      <c r="F442" s="293" t="s">
        <v>5668</v>
      </c>
      <c r="G442" s="293" t="s">
        <v>5589</v>
      </c>
      <c r="H442" s="294">
        <v>41113</v>
      </c>
      <c r="I442" s="295">
        <v>-1013.15</v>
      </c>
    </row>
    <row r="443" spans="1:9" x14ac:dyDescent="0.2">
      <c r="A443" s="293" t="s">
        <v>5808</v>
      </c>
      <c r="B443" s="293" t="s">
        <v>5632</v>
      </c>
      <c r="C443" s="293" t="s">
        <v>5670</v>
      </c>
      <c r="D443" s="293" t="s">
        <v>5839</v>
      </c>
      <c r="E443" s="293" t="s">
        <v>5841</v>
      </c>
      <c r="F443" s="293" t="s">
        <v>5671</v>
      </c>
      <c r="G443" s="293" t="s">
        <v>5637</v>
      </c>
      <c r="H443" s="294">
        <v>41090</v>
      </c>
      <c r="I443" s="295">
        <v>-4626.32</v>
      </c>
    </row>
    <row r="444" spans="1:9" x14ac:dyDescent="0.2">
      <c r="A444" s="293" t="s">
        <v>5809</v>
      </c>
      <c r="B444" s="293" t="s">
        <v>5632</v>
      </c>
      <c r="C444" s="293" t="s">
        <v>5670</v>
      </c>
      <c r="D444" s="293" t="s">
        <v>5839</v>
      </c>
      <c r="E444" s="293" t="s">
        <v>5841</v>
      </c>
      <c r="F444" s="293" t="s">
        <v>5671</v>
      </c>
      <c r="G444" s="293" t="s">
        <v>5637</v>
      </c>
      <c r="H444" s="294">
        <v>41090</v>
      </c>
      <c r="I444" s="295">
        <v>4626.32</v>
      </c>
    </row>
    <row r="445" spans="1:9" x14ac:dyDescent="0.2">
      <c r="A445" s="293" t="s">
        <v>5810</v>
      </c>
      <c r="B445" s="293" t="s">
        <v>5632</v>
      </c>
      <c r="C445" s="293" t="s">
        <v>5670</v>
      </c>
      <c r="D445" s="293" t="s">
        <v>5839</v>
      </c>
      <c r="E445" s="293" t="s">
        <v>5841</v>
      </c>
      <c r="F445" s="293" t="s">
        <v>5671</v>
      </c>
      <c r="G445" s="293" t="s">
        <v>5637</v>
      </c>
      <c r="H445" s="294">
        <v>41090</v>
      </c>
      <c r="I445" s="295">
        <v>-4626.32</v>
      </c>
    </row>
    <row r="446" spans="1:9" x14ac:dyDescent="0.2">
      <c r="A446" s="293" t="s">
        <v>5811</v>
      </c>
      <c r="B446" s="293" t="s">
        <v>5666</v>
      </c>
      <c r="C446" s="293" t="s">
        <v>5812</v>
      </c>
      <c r="D446" s="293" t="s">
        <v>5839</v>
      </c>
      <c r="E446" s="293" t="s">
        <v>5813</v>
      </c>
      <c r="F446" s="293" t="s">
        <v>5814</v>
      </c>
      <c r="G446" s="293" t="s">
        <v>5589</v>
      </c>
      <c r="H446" s="294">
        <v>41152</v>
      </c>
      <c r="I446" s="295">
        <v>-1013.15</v>
      </c>
    </row>
    <row r="447" spans="1:9" x14ac:dyDescent="0.2">
      <c r="A447" s="293" t="s">
        <v>5815</v>
      </c>
      <c r="B447" s="293" t="s">
        <v>5666</v>
      </c>
      <c r="C447" s="293" t="s">
        <v>5816</v>
      </c>
      <c r="D447" s="293" t="s">
        <v>5839</v>
      </c>
      <c r="E447" s="293" t="s">
        <v>5817</v>
      </c>
      <c r="F447" s="293" t="s">
        <v>5814</v>
      </c>
      <c r="G447" s="293" t="s">
        <v>5591</v>
      </c>
      <c r="H447" s="294">
        <v>41152</v>
      </c>
      <c r="I447" s="295">
        <v>-3613.17</v>
      </c>
    </row>
    <row r="448" spans="1:9" x14ac:dyDescent="0.2">
      <c r="A448" s="293" t="s">
        <v>5818</v>
      </c>
      <c r="B448" s="293" t="s">
        <v>5666</v>
      </c>
      <c r="C448" s="293" t="s">
        <v>5812</v>
      </c>
      <c r="D448" s="293" t="s">
        <v>5839</v>
      </c>
      <c r="E448" s="293" t="s">
        <v>5813</v>
      </c>
      <c r="F448" s="293" t="s">
        <v>5819</v>
      </c>
      <c r="G448" s="293" t="s">
        <v>5589</v>
      </c>
      <c r="H448" s="294">
        <v>41182</v>
      </c>
      <c r="I448" s="295">
        <v>-1013.15</v>
      </c>
    </row>
    <row r="449" spans="1:9" x14ac:dyDescent="0.2">
      <c r="A449" s="293" t="s">
        <v>5820</v>
      </c>
      <c r="B449" s="293" t="s">
        <v>5666</v>
      </c>
      <c r="C449" s="293" t="s">
        <v>5816</v>
      </c>
      <c r="D449" s="293" t="s">
        <v>5839</v>
      </c>
      <c r="E449" s="293" t="s">
        <v>5817</v>
      </c>
      <c r="F449" s="293" t="s">
        <v>5819</v>
      </c>
      <c r="G449" s="293" t="s">
        <v>5591</v>
      </c>
      <c r="H449" s="294">
        <v>41182</v>
      </c>
      <c r="I449" s="295">
        <v>-3613.17</v>
      </c>
    </row>
    <row r="450" spans="1:9" x14ac:dyDescent="0.2">
      <c r="A450" s="293" t="s">
        <v>5821</v>
      </c>
      <c r="B450" s="293" t="s">
        <v>5666</v>
      </c>
      <c r="C450" s="293" t="s">
        <v>5812</v>
      </c>
      <c r="D450" s="293" t="s">
        <v>5839</v>
      </c>
      <c r="E450" s="293" t="s">
        <v>5813</v>
      </c>
      <c r="F450" s="293" t="s">
        <v>5822</v>
      </c>
      <c r="G450" s="293" t="s">
        <v>5589</v>
      </c>
      <c r="H450" s="294">
        <v>41213</v>
      </c>
      <c r="I450" s="295">
        <v>-1013.15</v>
      </c>
    </row>
    <row r="451" spans="1:9" x14ac:dyDescent="0.2">
      <c r="A451" s="293" t="s">
        <v>5823</v>
      </c>
      <c r="B451" s="293" t="s">
        <v>5666</v>
      </c>
      <c r="C451" s="293" t="s">
        <v>5816</v>
      </c>
      <c r="D451" s="293" t="s">
        <v>5839</v>
      </c>
      <c r="E451" s="293" t="s">
        <v>5817</v>
      </c>
      <c r="F451" s="293" t="s">
        <v>5822</v>
      </c>
      <c r="G451" s="293" t="s">
        <v>5591</v>
      </c>
      <c r="H451" s="294">
        <v>41213</v>
      </c>
      <c r="I451" s="295">
        <v>-3613.17</v>
      </c>
    </row>
    <row r="452" spans="1:9" x14ac:dyDescent="0.2">
      <c r="A452" s="293" t="s">
        <v>5824</v>
      </c>
      <c r="B452" s="293" t="s">
        <v>5825</v>
      </c>
      <c r="C452" s="293" t="s">
        <v>5812</v>
      </c>
      <c r="D452" s="293" t="s">
        <v>5839</v>
      </c>
      <c r="E452" s="293" t="s">
        <v>5813</v>
      </c>
      <c r="F452" s="293" t="s">
        <v>5822</v>
      </c>
      <c r="G452" s="293" t="s">
        <v>5589</v>
      </c>
      <c r="H452" s="294">
        <v>41213</v>
      </c>
      <c r="I452" s="295">
        <v>1013.15</v>
      </c>
    </row>
    <row r="453" spans="1:9" x14ac:dyDescent="0.2">
      <c r="A453" s="293" t="s">
        <v>5826</v>
      </c>
      <c r="B453" s="293" t="s">
        <v>5825</v>
      </c>
      <c r="C453" s="293" t="s">
        <v>5816</v>
      </c>
      <c r="D453" s="293" t="s">
        <v>5839</v>
      </c>
      <c r="E453" s="293" t="s">
        <v>5817</v>
      </c>
      <c r="F453" s="293" t="s">
        <v>5822</v>
      </c>
      <c r="G453" s="293" t="s">
        <v>5591</v>
      </c>
      <c r="H453" s="294">
        <v>41213</v>
      </c>
      <c r="I453" s="295">
        <v>3613.17</v>
      </c>
    </row>
    <row r="454" spans="1:9" x14ac:dyDescent="0.2">
      <c r="A454" s="293" t="s">
        <v>5827</v>
      </c>
      <c r="B454" s="293" t="s">
        <v>5666</v>
      </c>
      <c r="C454" s="293" t="s">
        <v>5816</v>
      </c>
      <c r="D454" s="293" t="s">
        <v>5839</v>
      </c>
      <c r="E454" s="293" t="s">
        <v>5842</v>
      </c>
      <c r="F454" s="293" t="s">
        <v>5822</v>
      </c>
      <c r="G454" s="293" t="s">
        <v>5591</v>
      </c>
      <c r="H454" s="294">
        <v>41213</v>
      </c>
      <c r="I454" s="295">
        <v>-3613.17</v>
      </c>
    </row>
    <row r="455" spans="1:9" x14ac:dyDescent="0.2">
      <c r="A455" s="293" t="s">
        <v>5829</v>
      </c>
      <c r="B455" s="293" t="s">
        <v>5666</v>
      </c>
      <c r="C455" s="293" t="s">
        <v>5812</v>
      </c>
      <c r="D455" s="293" t="s">
        <v>5839</v>
      </c>
      <c r="E455" s="293" t="s">
        <v>5842</v>
      </c>
      <c r="F455" s="293" t="s">
        <v>5822</v>
      </c>
      <c r="G455" s="293" t="s">
        <v>5589</v>
      </c>
      <c r="H455" s="294">
        <v>41213</v>
      </c>
      <c r="I455" s="295">
        <v>-1013.15</v>
      </c>
    </row>
    <row r="456" spans="1:9" x14ac:dyDescent="0.2">
      <c r="A456" s="293" t="s">
        <v>5831</v>
      </c>
      <c r="B456" s="293" t="s">
        <v>5666</v>
      </c>
      <c r="C456" s="293" t="s">
        <v>5816</v>
      </c>
      <c r="D456" s="293" t="s">
        <v>5839</v>
      </c>
      <c r="E456" s="293" t="s">
        <v>5842</v>
      </c>
      <c r="F456" s="293" t="s">
        <v>5832</v>
      </c>
      <c r="G456" s="293" t="s">
        <v>5591</v>
      </c>
      <c r="H456" s="294">
        <v>41243</v>
      </c>
      <c r="I456" s="295">
        <v>-3613.17</v>
      </c>
    </row>
    <row r="457" spans="1:9" x14ac:dyDescent="0.2">
      <c r="A457" s="293" t="s">
        <v>5833</v>
      </c>
      <c r="B457" s="293" t="s">
        <v>5666</v>
      </c>
      <c r="C457" s="293" t="s">
        <v>5812</v>
      </c>
      <c r="D457" s="293" t="s">
        <v>5839</v>
      </c>
      <c r="E457" s="293" t="s">
        <v>5842</v>
      </c>
      <c r="F457" s="293" t="s">
        <v>5832</v>
      </c>
      <c r="G457" s="293" t="s">
        <v>5589</v>
      </c>
      <c r="H457" s="294">
        <v>41243</v>
      </c>
      <c r="I457" s="295">
        <v>-1013.15</v>
      </c>
    </row>
    <row r="458" spans="1:9" x14ac:dyDescent="0.2">
      <c r="A458" s="293" t="s">
        <v>5834</v>
      </c>
      <c r="B458" s="293" t="s">
        <v>5666</v>
      </c>
      <c r="C458" s="293" t="s">
        <v>5835</v>
      </c>
      <c r="D458" s="293" t="s">
        <v>5839</v>
      </c>
      <c r="E458" s="293" t="s">
        <v>5088</v>
      </c>
      <c r="F458" s="293" t="s">
        <v>5686</v>
      </c>
      <c r="G458" s="293" t="s">
        <v>5589</v>
      </c>
      <c r="H458" s="294">
        <v>41274</v>
      </c>
      <c r="I458" s="295">
        <v>364732.5</v>
      </c>
    </row>
    <row r="459" spans="1:9" x14ac:dyDescent="0.2">
      <c r="A459" s="293" t="s">
        <v>5834</v>
      </c>
      <c r="B459" s="293" t="s">
        <v>5666</v>
      </c>
      <c r="C459" s="293" t="s">
        <v>5835</v>
      </c>
      <c r="D459" s="293" t="s">
        <v>5839</v>
      </c>
      <c r="E459" s="293" t="s">
        <v>5088</v>
      </c>
      <c r="F459" s="293" t="s">
        <v>5686</v>
      </c>
      <c r="G459" s="293" t="s">
        <v>5591</v>
      </c>
      <c r="H459" s="294">
        <v>41274</v>
      </c>
      <c r="I459" s="295">
        <v>319765.88</v>
      </c>
    </row>
    <row r="460" spans="1:9" x14ac:dyDescent="0.2">
      <c r="A460" s="293" t="s">
        <v>5834</v>
      </c>
      <c r="B460" s="293" t="s">
        <v>5666</v>
      </c>
      <c r="C460" s="293" t="s">
        <v>5835</v>
      </c>
      <c r="D460" s="293" t="s">
        <v>5839</v>
      </c>
      <c r="E460" s="293" t="s">
        <v>5088</v>
      </c>
      <c r="F460" s="293" t="s">
        <v>5686</v>
      </c>
      <c r="G460" s="293" t="s">
        <v>5637</v>
      </c>
      <c r="H460" s="294">
        <v>41274</v>
      </c>
      <c r="I460" s="295">
        <v>66050.210000000006</v>
      </c>
    </row>
    <row r="461" spans="1:9" x14ac:dyDescent="0.2">
      <c r="A461" s="293" t="s">
        <v>5834</v>
      </c>
      <c r="B461" s="293" t="s">
        <v>5666</v>
      </c>
      <c r="C461" s="293" t="s">
        <v>5835</v>
      </c>
      <c r="D461" s="293" t="s">
        <v>5839</v>
      </c>
      <c r="E461" s="293" t="s">
        <v>5088</v>
      </c>
      <c r="F461" s="293" t="s">
        <v>5686</v>
      </c>
      <c r="G461" s="293" t="s">
        <v>5589</v>
      </c>
      <c r="H461" s="294">
        <v>41274</v>
      </c>
      <c r="I461" s="295">
        <v>-1013.15</v>
      </c>
    </row>
    <row r="462" spans="1:9" x14ac:dyDescent="0.2">
      <c r="A462" s="293" t="s">
        <v>5834</v>
      </c>
      <c r="B462" s="293" t="s">
        <v>5666</v>
      </c>
      <c r="C462" s="293" t="s">
        <v>5835</v>
      </c>
      <c r="D462" s="293" t="s">
        <v>5839</v>
      </c>
      <c r="E462" s="293" t="s">
        <v>5088</v>
      </c>
      <c r="F462" s="293" t="s">
        <v>5686</v>
      </c>
      <c r="G462" s="293" t="s">
        <v>5591</v>
      </c>
      <c r="H462" s="294">
        <v>41274</v>
      </c>
      <c r="I462" s="295">
        <v>-65037.06</v>
      </c>
    </row>
    <row r="463" spans="1:9" x14ac:dyDescent="0.2">
      <c r="A463" s="293" t="s">
        <v>5834</v>
      </c>
      <c r="B463" s="293" t="s">
        <v>5666</v>
      </c>
      <c r="C463" s="293" t="s">
        <v>5835</v>
      </c>
      <c r="D463" s="293" t="s">
        <v>5839</v>
      </c>
      <c r="E463" s="293" t="s">
        <v>5088</v>
      </c>
      <c r="F463" s="293" t="s">
        <v>5686</v>
      </c>
      <c r="G463" s="293" t="s">
        <v>5637</v>
      </c>
      <c r="H463" s="294">
        <v>41274</v>
      </c>
      <c r="I463" s="295">
        <v>-684498.38</v>
      </c>
    </row>
    <row r="464" spans="1:9" x14ac:dyDescent="0.2">
      <c r="A464" s="293" t="s">
        <v>5836</v>
      </c>
      <c r="B464" s="293" t="s">
        <v>5666</v>
      </c>
      <c r="C464" s="293" t="s">
        <v>5816</v>
      </c>
      <c r="D464" s="293" t="s">
        <v>5839</v>
      </c>
      <c r="E464" s="293" t="s">
        <v>5842</v>
      </c>
      <c r="F464" s="293" t="s">
        <v>5837</v>
      </c>
      <c r="G464" s="293" t="s">
        <v>5591</v>
      </c>
      <c r="H464" s="294">
        <v>41274</v>
      </c>
      <c r="I464" s="295">
        <v>-3613.17</v>
      </c>
    </row>
    <row r="465" spans="1:9" x14ac:dyDescent="0.2">
      <c r="A465" s="293" t="s">
        <v>5838</v>
      </c>
      <c r="B465" s="293" t="s">
        <v>5666</v>
      </c>
      <c r="C465" s="293" t="s">
        <v>5812</v>
      </c>
      <c r="D465" s="293" t="s">
        <v>5839</v>
      </c>
      <c r="E465" s="293" t="s">
        <v>5842</v>
      </c>
      <c r="F465" s="293" t="s">
        <v>5837</v>
      </c>
      <c r="G465" s="293" t="s">
        <v>5589</v>
      </c>
      <c r="H465" s="294">
        <v>41274</v>
      </c>
      <c r="I465" s="295">
        <v>-1013.15</v>
      </c>
    </row>
    <row r="466" spans="1:9" x14ac:dyDescent="0.2">
      <c r="A466" s="293" t="s">
        <v>9907</v>
      </c>
      <c r="B466" s="293" t="s">
        <v>5666</v>
      </c>
      <c r="C466" s="293" t="s">
        <v>5816</v>
      </c>
      <c r="D466" s="293" t="s">
        <v>5839</v>
      </c>
      <c r="E466" s="293" t="s">
        <v>5842</v>
      </c>
      <c r="F466" s="293" t="s">
        <v>6436</v>
      </c>
      <c r="G466" s="293" t="s">
        <v>5591</v>
      </c>
      <c r="H466" s="294">
        <v>41305</v>
      </c>
      <c r="I466" s="295">
        <v>-3613.17</v>
      </c>
    </row>
    <row r="467" spans="1:9" x14ac:dyDescent="0.2">
      <c r="A467" s="293" t="s">
        <v>9908</v>
      </c>
      <c r="B467" s="293" t="s">
        <v>5666</v>
      </c>
      <c r="C467" s="293" t="s">
        <v>5812</v>
      </c>
      <c r="D467" s="293" t="s">
        <v>5839</v>
      </c>
      <c r="E467" s="293" t="s">
        <v>5842</v>
      </c>
      <c r="F467" s="293" t="s">
        <v>6436</v>
      </c>
      <c r="G467" s="293" t="s">
        <v>5589</v>
      </c>
      <c r="H467" s="294">
        <v>41305</v>
      </c>
      <c r="I467" s="295">
        <v>-1013.15</v>
      </c>
    </row>
    <row r="468" spans="1:9" x14ac:dyDescent="0.2">
      <c r="A468" s="293" t="s">
        <v>9909</v>
      </c>
      <c r="B468" s="293" t="s">
        <v>5666</v>
      </c>
      <c r="C468" s="293" t="s">
        <v>5816</v>
      </c>
      <c r="D468" s="293" t="s">
        <v>5839</v>
      </c>
      <c r="E468" s="293" t="s">
        <v>5842</v>
      </c>
      <c r="F468" s="293" t="s">
        <v>6455</v>
      </c>
      <c r="G468" s="293" t="s">
        <v>5591</v>
      </c>
      <c r="H468" s="294">
        <v>41333</v>
      </c>
      <c r="I468" s="295">
        <v>-3613.17</v>
      </c>
    </row>
    <row r="469" spans="1:9" x14ac:dyDescent="0.2">
      <c r="A469" s="293" t="s">
        <v>7237</v>
      </c>
      <c r="B469" s="293" t="s">
        <v>5666</v>
      </c>
      <c r="C469" s="293" t="s">
        <v>5812</v>
      </c>
      <c r="D469" s="293" t="s">
        <v>5839</v>
      </c>
      <c r="E469" s="293" t="s">
        <v>5842</v>
      </c>
      <c r="F469" s="293" t="s">
        <v>6455</v>
      </c>
      <c r="G469" s="293" t="s">
        <v>5589</v>
      </c>
      <c r="H469" s="294">
        <v>41333</v>
      </c>
      <c r="I469" s="295">
        <v>-1013.15</v>
      </c>
    </row>
    <row r="470" spans="1:9" x14ac:dyDescent="0.2">
      <c r="A470" s="293" t="s">
        <v>9910</v>
      </c>
      <c r="B470" s="293" t="s">
        <v>5666</v>
      </c>
      <c r="C470" s="293" t="s">
        <v>5816</v>
      </c>
      <c r="D470" s="293" t="s">
        <v>5839</v>
      </c>
      <c r="E470" s="293" t="s">
        <v>5842</v>
      </c>
      <c r="F470" s="293" t="s">
        <v>6476</v>
      </c>
      <c r="G470" s="293" t="s">
        <v>5591</v>
      </c>
      <c r="H470" s="294">
        <v>41364</v>
      </c>
      <c r="I470" s="295">
        <v>-3613.17</v>
      </c>
    </row>
    <row r="471" spans="1:9" x14ac:dyDescent="0.2">
      <c r="A471" s="293" t="s">
        <v>9911</v>
      </c>
      <c r="B471" s="293" t="s">
        <v>5666</v>
      </c>
      <c r="C471" s="293" t="s">
        <v>5812</v>
      </c>
      <c r="D471" s="293" t="s">
        <v>5839</v>
      </c>
      <c r="E471" s="293" t="s">
        <v>5842</v>
      </c>
      <c r="F471" s="293" t="s">
        <v>6476</v>
      </c>
      <c r="G471" s="293" t="s">
        <v>5589</v>
      </c>
      <c r="H471" s="294">
        <v>41364</v>
      </c>
      <c r="I471" s="295">
        <v>-1013.15</v>
      </c>
    </row>
    <row r="472" spans="1:9" x14ac:dyDescent="0.2">
      <c r="A472" s="293" t="s">
        <v>9912</v>
      </c>
      <c r="B472" s="293" t="s">
        <v>5666</v>
      </c>
      <c r="C472" s="293" t="s">
        <v>5816</v>
      </c>
      <c r="D472" s="293" t="s">
        <v>5839</v>
      </c>
      <c r="E472" s="293" t="s">
        <v>5842</v>
      </c>
      <c r="F472" s="293" t="s">
        <v>6496</v>
      </c>
      <c r="G472" s="293" t="s">
        <v>5591</v>
      </c>
      <c r="H472" s="294">
        <v>41394</v>
      </c>
      <c r="I472" s="295">
        <v>-3613.17</v>
      </c>
    </row>
    <row r="473" spans="1:9" x14ac:dyDescent="0.2">
      <c r="A473" s="293" t="s">
        <v>9913</v>
      </c>
      <c r="B473" s="293" t="s">
        <v>5666</v>
      </c>
      <c r="C473" s="293" t="s">
        <v>5812</v>
      </c>
      <c r="D473" s="293" t="s">
        <v>5839</v>
      </c>
      <c r="E473" s="293" t="s">
        <v>5842</v>
      </c>
      <c r="F473" s="293" t="s">
        <v>6496</v>
      </c>
      <c r="G473" s="293" t="s">
        <v>5589</v>
      </c>
      <c r="H473" s="294">
        <v>41394</v>
      </c>
      <c r="I473" s="295">
        <v>-1013.15</v>
      </c>
    </row>
    <row r="474" spans="1:9" x14ac:dyDescent="0.2">
      <c r="A474" s="293" t="s">
        <v>9914</v>
      </c>
      <c r="B474" s="293" t="s">
        <v>5666</v>
      </c>
      <c r="C474" s="293" t="s">
        <v>5816</v>
      </c>
      <c r="D474" s="293" t="s">
        <v>5839</v>
      </c>
      <c r="E474" s="293" t="s">
        <v>5842</v>
      </c>
      <c r="F474" s="293" t="s">
        <v>6514</v>
      </c>
      <c r="G474" s="293" t="s">
        <v>5591</v>
      </c>
      <c r="H474" s="294">
        <v>41425</v>
      </c>
      <c r="I474" s="295">
        <v>-3613.17</v>
      </c>
    </row>
    <row r="475" spans="1:9" x14ac:dyDescent="0.2">
      <c r="A475" s="293" t="s">
        <v>9915</v>
      </c>
      <c r="B475" s="293" t="s">
        <v>5666</v>
      </c>
      <c r="C475" s="293" t="s">
        <v>5812</v>
      </c>
      <c r="D475" s="293" t="s">
        <v>5839</v>
      </c>
      <c r="E475" s="293" t="s">
        <v>5842</v>
      </c>
      <c r="F475" s="293" t="s">
        <v>6514</v>
      </c>
      <c r="G475" s="293" t="s">
        <v>5589</v>
      </c>
      <c r="H475" s="294">
        <v>41425</v>
      </c>
      <c r="I475" s="295">
        <v>-1013.15</v>
      </c>
    </row>
    <row r="476" spans="1:9" x14ac:dyDescent="0.2">
      <c r="A476" s="293" t="s">
        <v>9916</v>
      </c>
      <c r="B476" s="293" t="s">
        <v>5666</v>
      </c>
      <c r="C476" s="293" t="s">
        <v>5816</v>
      </c>
      <c r="D476" s="293" t="s">
        <v>5839</v>
      </c>
      <c r="E476" s="293" t="s">
        <v>5842</v>
      </c>
      <c r="F476" s="293" t="s">
        <v>6537</v>
      </c>
      <c r="G476" s="293" t="s">
        <v>5591</v>
      </c>
      <c r="H476" s="294">
        <v>41455</v>
      </c>
      <c r="I476" s="295">
        <v>-3613.17</v>
      </c>
    </row>
    <row r="477" spans="1:9" x14ac:dyDescent="0.2">
      <c r="A477" s="293" t="s">
        <v>9917</v>
      </c>
      <c r="B477" s="293" t="s">
        <v>5666</v>
      </c>
      <c r="C477" s="293" t="s">
        <v>5812</v>
      </c>
      <c r="D477" s="293" t="s">
        <v>5839</v>
      </c>
      <c r="E477" s="293" t="s">
        <v>5842</v>
      </c>
      <c r="F477" s="293" t="s">
        <v>6537</v>
      </c>
      <c r="G477" s="293" t="s">
        <v>5589</v>
      </c>
      <c r="H477" s="294">
        <v>41455</v>
      </c>
      <c r="I477" s="295">
        <v>-1013.15</v>
      </c>
    </row>
    <row r="478" spans="1:9" x14ac:dyDescent="0.2">
      <c r="A478" s="293" t="s">
        <v>9918</v>
      </c>
      <c r="B478" s="293" t="s">
        <v>5666</v>
      </c>
      <c r="C478" s="293" t="s">
        <v>9919</v>
      </c>
      <c r="D478" s="293" t="s">
        <v>5839</v>
      </c>
      <c r="E478" s="293" t="s">
        <v>5088</v>
      </c>
      <c r="F478" s="293" t="s">
        <v>6537</v>
      </c>
      <c r="G478" s="293" t="s">
        <v>5637</v>
      </c>
      <c r="H478" s="294">
        <v>41455</v>
      </c>
      <c r="I478" s="295">
        <v>27757.919999999998</v>
      </c>
    </row>
    <row r="479" spans="1:9" x14ac:dyDescent="0.2">
      <c r="A479" s="293" t="s">
        <v>9920</v>
      </c>
      <c r="B479" s="293" t="s">
        <v>5666</v>
      </c>
      <c r="C479" s="293" t="s">
        <v>9921</v>
      </c>
      <c r="D479" s="293" t="s">
        <v>5839</v>
      </c>
      <c r="E479" s="293" t="s">
        <v>9922</v>
      </c>
      <c r="F479" s="293" t="s">
        <v>6556</v>
      </c>
      <c r="G479" s="293" t="s">
        <v>5637</v>
      </c>
      <c r="H479" s="294">
        <v>41486</v>
      </c>
      <c r="I479" s="295">
        <v>4626.32</v>
      </c>
    </row>
    <row r="480" spans="1:9" x14ac:dyDescent="0.2">
      <c r="A480" s="293" t="s">
        <v>9923</v>
      </c>
      <c r="B480" s="293" t="s">
        <v>9924</v>
      </c>
      <c r="C480" s="293" t="s">
        <v>9925</v>
      </c>
      <c r="D480" s="293" t="s">
        <v>5839</v>
      </c>
      <c r="E480" s="293" t="s">
        <v>9925</v>
      </c>
      <c r="F480" s="293" t="s">
        <v>9926</v>
      </c>
      <c r="G480" s="293" t="s">
        <v>5637</v>
      </c>
      <c r="H480" s="294">
        <v>41455</v>
      </c>
      <c r="I480" s="295">
        <v>-27757.9</v>
      </c>
    </row>
    <row r="481" spans="1:9" x14ac:dyDescent="0.2">
      <c r="A481" s="293" t="s">
        <v>9927</v>
      </c>
      <c r="B481" s="293" t="s">
        <v>5666</v>
      </c>
      <c r="C481" s="293" t="s">
        <v>5816</v>
      </c>
      <c r="D481" s="293" t="s">
        <v>5839</v>
      </c>
      <c r="E481" s="293" t="s">
        <v>5842</v>
      </c>
      <c r="F481" s="293" t="s">
        <v>6561</v>
      </c>
      <c r="G481" s="293" t="s">
        <v>5591</v>
      </c>
      <c r="H481" s="294">
        <v>41486</v>
      </c>
      <c r="I481" s="295">
        <v>-3613.17</v>
      </c>
    </row>
    <row r="482" spans="1:9" x14ac:dyDescent="0.2">
      <c r="A482" s="293" t="s">
        <v>9928</v>
      </c>
      <c r="B482" s="293" t="s">
        <v>5666</v>
      </c>
      <c r="C482" s="293" t="s">
        <v>5812</v>
      </c>
      <c r="D482" s="293" t="s">
        <v>5839</v>
      </c>
      <c r="E482" s="293" t="s">
        <v>5842</v>
      </c>
      <c r="F482" s="293" t="s">
        <v>6561</v>
      </c>
      <c r="G482" s="293" t="s">
        <v>5589</v>
      </c>
      <c r="H482" s="294">
        <v>41486</v>
      </c>
      <c r="I482" s="295">
        <v>-1013.15</v>
      </c>
    </row>
    <row r="483" spans="1:9" x14ac:dyDescent="0.2">
      <c r="A483" s="293" t="s">
        <v>9929</v>
      </c>
      <c r="B483" s="293" t="s">
        <v>9924</v>
      </c>
      <c r="C483" s="293" t="s">
        <v>9925</v>
      </c>
      <c r="D483" s="293" t="s">
        <v>5839</v>
      </c>
      <c r="E483" s="293" t="s">
        <v>9925</v>
      </c>
      <c r="F483" s="293" t="s">
        <v>9930</v>
      </c>
      <c r="G483" s="293" t="s">
        <v>5637</v>
      </c>
      <c r="H483" s="294">
        <v>41486</v>
      </c>
      <c r="I483" s="295">
        <v>-4626.32</v>
      </c>
    </row>
    <row r="484" spans="1:9" x14ac:dyDescent="0.2">
      <c r="A484" s="293" t="s">
        <v>9931</v>
      </c>
      <c r="B484" s="293" t="s">
        <v>9924</v>
      </c>
      <c r="C484" s="293" t="s">
        <v>9925</v>
      </c>
      <c r="D484" s="293" t="s">
        <v>5839</v>
      </c>
      <c r="E484" s="293" t="s">
        <v>9925</v>
      </c>
      <c r="F484" s="293" t="s">
        <v>9932</v>
      </c>
      <c r="G484" s="293" t="s">
        <v>5589</v>
      </c>
      <c r="H484" s="294">
        <v>41517</v>
      </c>
      <c r="I484" s="295">
        <v>-1013.16</v>
      </c>
    </row>
    <row r="485" spans="1:9" x14ac:dyDescent="0.2">
      <c r="A485" s="293" t="s">
        <v>9931</v>
      </c>
      <c r="B485" s="293" t="s">
        <v>9924</v>
      </c>
      <c r="C485" s="293" t="s">
        <v>9925</v>
      </c>
      <c r="D485" s="293" t="s">
        <v>5839</v>
      </c>
      <c r="E485" s="293" t="s">
        <v>9925</v>
      </c>
      <c r="F485" s="293" t="s">
        <v>9932</v>
      </c>
      <c r="G485" s="293" t="s">
        <v>5591</v>
      </c>
      <c r="H485" s="294">
        <v>41517</v>
      </c>
      <c r="I485" s="295">
        <v>-3613.15</v>
      </c>
    </row>
    <row r="486" spans="1:9" x14ac:dyDescent="0.2">
      <c r="A486" s="293" t="s">
        <v>9933</v>
      </c>
      <c r="B486" s="293" t="s">
        <v>9924</v>
      </c>
      <c r="C486" s="293" t="s">
        <v>9925</v>
      </c>
      <c r="D486" s="293" t="s">
        <v>5839</v>
      </c>
      <c r="E486" s="293" t="s">
        <v>9925</v>
      </c>
      <c r="F486" s="293" t="s">
        <v>9932</v>
      </c>
      <c r="G486" s="293" t="s">
        <v>5589</v>
      </c>
      <c r="H486" s="294">
        <v>41517</v>
      </c>
      <c r="I486" s="295">
        <v>-1013.16</v>
      </c>
    </row>
    <row r="487" spans="1:9" x14ac:dyDescent="0.2">
      <c r="A487" s="293" t="s">
        <v>9933</v>
      </c>
      <c r="B487" s="293" t="s">
        <v>9924</v>
      </c>
      <c r="C487" s="293" t="s">
        <v>9925</v>
      </c>
      <c r="D487" s="293" t="s">
        <v>5839</v>
      </c>
      <c r="E487" s="293" t="s">
        <v>9925</v>
      </c>
      <c r="F487" s="293" t="s">
        <v>9932</v>
      </c>
      <c r="G487" s="293" t="s">
        <v>5591</v>
      </c>
      <c r="H487" s="294">
        <v>41517</v>
      </c>
      <c r="I487" s="295">
        <v>-3613.15</v>
      </c>
    </row>
    <row r="488" spans="1:9" x14ac:dyDescent="0.2">
      <c r="A488" s="293" t="s">
        <v>9934</v>
      </c>
      <c r="B488" s="293" t="s">
        <v>9924</v>
      </c>
      <c r="C488" s="293" t="s">
        <v>9925</v>
      </c>
      <c r="D488" s="293" t="s">
        <v>5839</v>
      </c>
      <c r="E488" s="293" t="s">
        <v>9925</v>
      </c>
      <c r="F488" s="293" t="s">
        <v>9932</v>
      </c>
      <c r="G488" s="293" t="s">
        <v>5589</v>
      </c>
      <c r="H488" s="294">
        <v>41517</v>
      </c>
      <c r="I488" s="295">
        <v>1013.16</v>
      </c>
    </row>
    <row r="489" spans="1:9" x14ac:dyDescent="0.2">
      <c r="A489" s="293" t="s">
        <v>9934</v>
      </c>
      <c r="B489" s="293" t="s">
        <v>9924</v>
      </c>
      <c r="C489" s="293" t="s">
        <v>9925</v>
      </c>
      <c r="D489" s="293" t="s">
        <v>5839</v>
      </c>
      <c r="E489" s="293" t="s">
        <v>9925</v>
      </c>
      <c r="F489" s="293" t="s">
        <v>9932</v>
      </c>
      <c r="G489" s="293" t="s">
        <v>5591</v>
      </c>
      <c r="H489" s="294">
        <v>41517</v>
      </c>
      <c r="I489" s="295">
        <v>3613.15</v>
      </c>
    </row>
    <row r="490" spans="1:9" x14ac:dyDescent="0.2">
      <c r="A490" s="293" t="s">
        <v>9935</v>
      </c>
      <c r="B490" s="293" t="s">
        <v>9924</v>
      </c>
      <c r="C490" s="293" t="s">
        <v>9925</v>
      </c>
      <c r="D490" s="293" t="s">
        <v>5839</v>
      </c>
      <c r="E490" s="293" t="s">
        <v>9925</v>
      </c>
      <c r="F490" s="293" t="s">
        <v>9936</v>
      </c>
      <c r="G490" s="293" t="s">
        <v>5589</v>
      </c>
      <c r="H490" s="294">
        <v>41547</v>
      </c>
      <c r="I490" s="295">
        <v>-2026.33</v>
      </c>
    </row>
    <row r="491" spans="1:9" x14ac:dyDescent="0.2">
      <c r="A491" s="293" t="s">
        <v>9935</v>
      </c>
      <c r="B491" s="293" t="s">
        <v>9924</v>
      </c>
      <c r="C491" s="293" t="s">
        <v>9925</v>
      </c>
      <c r="D491" s="293" t="s">
        <v>5839</v>
      </c>
      <c r="E491" s="293" t="s">
        <v>9925</v>
      </c>
      <c r="F491" s="293" t="s">
        <v>9936</v>
      </c>
      <c r="G491" s="293" t="s">
        <v>5591</v>
      </c>
      <c r="H491" s="294">
        <v>41547</v>
      </c>
      <c r="I491" s="295">
        <v>-7226.31</v>
      </c>
    </row>
    <row r="492" spans="1:9" x14ac:dyDescent="0.2">
      <c r="A492" s="293" t="s">
        <v>9937</v>
      </c>
      <c r="B492" s="293" t="s">
        <v>9924</v>
      </c>
      <c r="C492" s="293" t="s">
        <v>9925</v>
      </c>
      <c r="D492" s="293" t="s">
        <v>5839</v>
      </c>
      <c r="E492" s="293" t="s">
        <v>9925</v>
      </c>
      <c r="F492" s="293" t="s">
        <v>9936</v>
      </c>
      <c r="G492" s="293" t="s">
        <v>5589</v>
      </c>
      <c r="H492" s="294">
        <v>41547</v>
      </c>
      <c r="I492" s="295">
        <v>-1013.16</v>
      </c>
    </row>
    <row r="493" spans="1:9" x14ac:dyDescent="0.2">
      <c r="A493" s="293" t="s">
        <v>9937</v>
      </c>
      <c r="B493" s="293" t="s">
        <v>9924</v>
      </c>
      <c r="C493" s="293" t="s">
        <v>9925</v>
      </c>
      <c r="D493" s="293" t="s">
        <v>5839</v>
      </c>
      <c r="E493" s="293" t="s">
        <v>9925</v>
      </c>
      <c r="F493" s="293" t="s">
        <v>9936</v>
      </c>
      <c r="G493" s="293" t="s">
        <v>5591</v>
      </c>
      <c r="H493" s="294">
        <v>41547</v>
      </c>
      <c r="I493" s="295">
        <v>-3613.16</v>
      </c>
    </row>
    <row r="494" spans="1:9" x14ac:dyDescent="0.2">
      <c r="A494" s="293" t="s">
        <v>9938</v>
      </c>
      <c r="B494" s="293" t="s">
        <v>9924</v>
      </c>
      <c r="C494" s="293" t="s">
        <v>9939</v>
      </c>
      <c r="D494" s="293" t="s">
        <v>5839</v>
      </c>
      <c r="E494" s="293" t="s">
        <v>9939</v>
      </c>
      <c r="F494" s="293" t="s">
        <v>9936</v>
      </c>
      <c r="G494" s="293" t="s">
        <v>5591</v>
      </c>
      <c r="H494" s="294">
        <v>41547</v>
      </c>
      <c r="I494" s="295">
        <v>7226.31</v>
      </c>
    </row>
    <row r="495" spans="1:9" x14ac:dyDescent="0.2">
      <c r="A495" s="293" t="s">
        <v>9938</v>
      </c>
      <c r="B495" s="293" t="s">
        <v>9924</v>
      </c>
      <c r="C495" s="293" t="s">
        <v>9939</v>
      </c>
      <c r="D495" s="293" t="s">
        <v>5839</v>
      </c>
      <c r="E495" s="293" t="s">
        <v>9939</v>
      </c>
      <c r="F495" s="293" t="s">
        <v>9936</v>
      </c>
      <c r="G495" s="293" t="s">
        <v>5589</v>
      </c>
      <c r="H495" s="294">
        <v>41547</v>
      </c>
      <c r="I495" s="295">
        <v>2026.33</v>
      </c>
    </row>
    <row r="496" spans="1:9" x14ac:dyDescent="0.2">
      <c r="A496" s="293" t="s">
        <v>9940</v>
      </c>
      <c r="B496" s="293" t="s">
        <v>9924</v>
      </c>
      <c r="C496" s="293" t="s">
        <v>9925</v>
      </c>
      <c r="D496" s="293" t="s">
        <v>5839</v>
      </c>
      <c r="E496" s="293" t="s">
        <v>9925</v>
      </c>
      <c r="F496" s="293" t="s">
        <v>9941</v>
      </c>
      <c r="G496" s="293" t="s">
        <v>5591</v>
      </c>
      <c r="H496" s="294">
        <v>41578</v>
      </c>
      <c r="I496" s="295">
        <v>-3613.16</v>
      </c>
    </row>
    <row r="497" spans="1:9" x14ac:dyDescent="0.2">
      <c r="A497" s="293" t="s">
        <v>9940</v>
      </c>
      <c r="B497" s="293" t="s">
        <v>9924</v>
      </c>
      <c r="C497" s="293" t="s">
        <v>9925</v>
      </c>
      <c r="D497" s="293" t="s">
        <v>5839</v>
      </c>
      <c r="E497" s="293" t="s">
        <v>9925</v>
      </c>
      <c r="F497" s="293" t="s">
        <v>9941</v>
      </c>
      <c r="G497" s="293" t="s">
        <v>5589</v>
      </c>
      <c r="H497" s="294">
        <v>41578</v>
      </c>
      <c r="I497" s="295">
        <v>-1013.17</v>
      </c>
    </row>
    <row r="498" spans="1:9" x14ac:dyDescent="0.2">
      <c r="A498" s="293" t="s">
        <v>9942</v>
      </c>
      <c r="B498" s="293" t="s">
        <v>9924</v>
      </c>
      <c r="C498" s="293" t="s">
        <v>9925</v>
      </c>
      <c r="D498" s="293" t="s">
        <v>5839</v>
      </c>
      <c r="E498" s="293" t="s">
        <v>9925</v>
      </c>
      <c r="F498" s="293" t="s">
        <v>9943</v>
      </c>
      <c r="G498" s="293" t="s">
        <v>5589</v>
      </c>
      <c r="H498" s="294">
        <v>41608</v>
      </c>
      <c r="I498" s="295">
        <v>-1013.16</v>
      </c>
    </row>
    <row r="499" spans="1:9" x14ac:dyDescent="0.2">
      <c r="A499" s="293" t="s">
        <v>9942</v>
      </c>
      <c r="B499" s="293" t="s">
        <v>9924</v>
      </c>
      <c r="C499" s="293" t="s">
        <v>9925</v>
      </c>
      <c r="D499" s="293" t="s">
        <v>5839</v>
      </c>
      <c r="E499" s="293" t="s">
        <v>9925</v>
      </c>
      <c r="F499" s="293" t="s">
        <v>9943</v>
      </c>
      <c r="G499" s="293" t="s">
        <v>5591</v>
      </c>
      <c r="H499" s="294">
        <v>41608</v>
      </c>
      <c r="I499" s="295">
        <v>-3613.16</v>
      </c>
    </row>
    <row r="500" spans="1:9" x14ac:dyDescent="0.2">
      <c r="A500" s="293" t="s">
        <v>9944</v>
      </c>
      <c r="B500" s="293" t="s">
        <v>9924</v>
      </c>
      <c r="C500" s="293" t="s">
        <v>9925</v>
      </c>
      <c r="D500" s="293" t="s">
        <v>5839</v>
      </c>
      <c r="E500" s="293" t="s">
        <v>9925</v>
      </c>
      <c r="F500" s="293" t="s">
        <v>9945</v>
      </c>
      <c r="G500" s="293" t="s">
        <v>5589</v>
      </c>
      <c r="H500" s="294">
        <v>41639</v>
      </c>
      <c r="I500" s="295">
        <v>-1013.16</v>
      </c>
    </row>
    <row r="501" spans="1:9" x14ac:dyDescent="0.2">
      <c r="A501" s="293" t="s">
        <v>9944</v>
      </c>
      <c r="B501" s="293" t="s">
        <v>9924</v>
      </c>
      <c r="C501" s="293" t="s">
        <v>9925</v>
      </c>
      <c r="D501" s="293" t="s">
        <v>5839</v>
      </c>
      <c r="E501" s="293" t="s">
        <v>9925</v>
      </c>
      <c r="F501" s="293" t="s">
        <v>9945</v>
      </c>
      <c r="G501" s="293" t="s">
        <v>5591</v>
      </c>
      <c r="H501" s="294">
        <v>41639</v>
      </c>
      <c r="I501" s="295">
        <v>-3613.16</v>
      </c>
    </row>
    <row r="502" spans="1:9" x14ac:dyDescent="0.2">
      <c r="A502" s="293" t="s">
        <v>9946</v>
      </c>
      <c r="B502" s="293" t="s">
        <v>9924</v>
      </c>
      <c r="C502" s="293" t="s">
        <v>9925</v>
      </c>
      <c r="D502" s="293" t="s">
        <v>5839</v>
      </c>
      <c r="E502" s="293" t="s">
        <v>9925</v>
      </c>
      <c r="F502" s="293" t="s">
        <v>9945</v>
      </c>
      <c r="G502" s="293" t="s">
        <v>5591</v>
      </c>
      <c r="H502" s="294">
        <v>41639</v>
      </c>
      <c r="I502" s="295">
        <v>-3613.16</v>
      </c>
    </row>
    <row r="503" spans="1:9" x14ac:dyDescent="0.2">
      <c r="A503" s="293" t="s">
        <v>9946</v>
      </c>
      <c r="B503" s="293" t="s">
        <v>9924</v>
      </c>
      <c r="C503" s="293" t="s">
        <v>9925</v>
      </c>
      <c r="D503" s="293" t="s">
        <v>5839</v>
      </c>
      <c r="E503" s="293" t="s">
        <v>9925</v>
      </c>
      <c r="F503" s="293" t="s">
        <v>9945</v>
      </c>
      <c r="G503" s="293" t="s">
        <v>5589</v>
      </c>
      <c r="H503" s="294">
        <v>41639</v>
      </c>
      <c r="I503" s="295">
        <v>-1013.16</v>
      </c>
    </row>
    <row r="504" spans="1:9" x14ac:dyDescent="0.2">
      <c r="A504" s="293" t="s">
        <v>9947</v>
      </c>
      <c r="B504" s="293" t="s">
        <v>9924</v>
      </c>
      <c r="C504" s="293" t="s">
        <v>9939</v>
      </c>
      <c r="D504" s="293" t="s">
        <v>5839</v>
      </c>
      <c r="E504" s="293" t="s">
        <v>9939</v>
      </c>
      <c r="F504" s="293" t="s">
        <v>9945</v>
      </c>
      <c r="G504" s="293" t="s">
        <v>5591</v>
      </c>
      <c r="H504" s="294">
        <v>41639</v>
      </c>
      <c r="I504" s="295">
        <v>3613.16</v>
      </c>
    </row>
    <row r="505" spans="1:9" x14ac:dyDescent="0.2">
      <c r="A505" s="293" t="s">
        <v>9947</v>
      </c>
      <c r="B505" s="293" t="s">
        <v>9924</v>
      </c>
      <c r="C505" s="293" t="s">
        <v>9939</v>
      </c>
      <c r="D505" s="293" t="s">
        <v>5839</v>
      </c>
      <c r="E505" s="293" t="s">
        <v>9939</v>
      </c>
      <c r="F505" s="293" t="s">
        <v>9945</v>
      </c>
      <c r="G505" s="293" t="s">
        <v>5589</v>
      </c>
      <c r="H505" s="294">
        <v>41639</v>
      </c>
      <c r="I505" s="295">
        <v>1013.16</v>
      </c>
    </row>
    <row r="506" spans="1:9" x14ac:dyDescent="0.2">
      <c r="A506" s="293" t="s">
        <v>9948</v>
      </c>
      <c r="B506" s="293" t="s">
        <v>9924</v>
      </c>
      <c r="C506" s="293" t="s">
        <v>9925</v>
      </c>
      <c r="D506" s="293" t="s">
        <v>5839</v>
      </c>
      <c r="E506" s="293" t="s">
        <v>9925</v>
      </c>
      <c r="F506" s="293" t="s">
        <v>9949</v>
      </c>
      <c r="G506" s="293" t="s">
        <v>5589</v>
      </c>
      <c r="H506" s="294">
        <v>41639</v>
      </c>
      <c r="I506" s="295">
        <v>-1013.16</v>
      </c>
    </row>
    <row r="507" spans="1:9" x14ac:dyDescent="0.2">
      <c r="A507" s="293" t="s">
        <v>9948</v>
      </c>
      <c r="B507" s="293" t="s">
        <v>9924</v>
      </c>
      <c r="C507" s="293" t="s">
        <v>9925</v>
      </c>
      <c r="D507" s="293" t="s">
        <v>5839</v>
      </c>
      <c r="E507" s="293" t="s">
        <v>9925</v>
      </c>
      <c r="F507" s="293" t="s">
        <v>9949</v>
      </c>
      <c r="G507" s="293" t="s">
        <v>5591</v>
      </c>
      <c r="H507" s="294">
        <v>41639</v>
      </c>
      <c r="I507" s="295">
        <v>-3613.16</v>
      </c>
    </row>
    <row r="508" spans="1:9" x14ac:dyDescent="0.2">
      <c r="A508" s="293" t="s">
        <v>9950</v>
      </c>
      <c r="B508" s="293" t="s">
        <v>9924</v>
      </c>
      <c r="C508" s="293" t="s">
        <v>9939</v>
      </c>
      <c r="D508" s="293" t="s">
        <v>5839</v>
      </c>
      <c r="E508" s="293" t="s">
        <v>9939</v>
      </c>
      <c r="F508" s="293" t="s">
        <v>9949</v>
      </c>
      <c r="G508" s="293" t="s">
        <v>5589</v>
      </c>
      <c r="H508" s="294">
        <v>41639</v>
      </c>
      <c r="I508" s="295">
        <v>1013.16</v>
      </c>
    </row>
    <row r="509" spans="1:9" x14ac:dyDescent="0.2">
      <c r="A509" s="293" t="s">
        <v>9950</v>
      </c>
      <c r="B509" s="293" t="s">
        <v>9924</v>
      </c>
      <c r="C509" s="293" t="s">
        <v>9939</v>
      </c>
      <c r="D509" s="293" t="s">
        <v>5839</v>
      </c>
      <c r="E509" s="293" t="s">
        <v>9939</v>
      </c>
      <c r="F509" s="293" t="s">
        <v>9949</v>
      </c>
      <c r="G509" s="293" t="s">
        <v>5591</v>
      </c>
      <c r="H509" s="294">
        <v>41639</v>
      </c>
      <c r="I509" s="295">
        <v>3613.16</v>
      </c>
    </row>
    <row r="510" spans="1:9" x14ac:dyDescent="0.2">
      <c r="A510" s="293" t="s">
        <v>9951</v>
      </c>
      <c r="B510" s="293" t="s">
        <v>9924</v>
      </c>
      <c r="C510" s="293" t="s">
        <v>9925</v>
      </c>
      <c r="D510" s="293" t="s">
        <v>5839</v>
      </c>
      <c r="E510" s="293" t="s">
        <v>9925</v>
      </c>
      <c r="F510" s="293" t="s">
        <v>9952</v>
      </c>
      <c r="G510" s="293" t="s">
        <v>5591</v>
      </c>
      <c r="H510" s="294">
        <v>41670</v>
      </c>
      <c r="I510" s="295">
        <v>-3613.16</v>
      </c>
    </row>
    <row r="511" spans="1:9" x14ac:dyDescent="0.2">
      <c r="A511" s="293" t="s">
        <v>9951</v>
      </c>
      <c r="B511" s="293" t="s">
        <v>9924</v>
      </c>
      <c r="C511" s="293" t="s">
        <v>9925</v>
      </c>
      <c r="D511" s="293" t="s">
        <v>5839</v>
      </c>
      <c r="E511" s="293" t="s">
        <v>9925</v>
      </c>
      <c r="F511" s="293" t="s">
        <v>9952</v>
      </c>
      <c r="G511" s="293" t="s">
        <v>5589</v>
      </c>
      <c r="H511" s="294">
        <v>41670</v>
      </c>
      <c r="I511" s="295">
        <v>-1013.16</v>
      </c>
    </row>
    <row r="512" spans="1:9" x14ac:dyDescent="0.2">
      <c r="A512" s="293" t="s">
        <v>9953</v>
      </c>
      <c r="B512" s="293" t="s">
        <v>9924</v>
      </c>
      <c r="C512" s="293" t="s">
        <v>9925</v>
      </c>
      <c r="D512" s="293" t="s">
        <v>5839</v>
      </c>
      <c r="E512" s="293" t="s">
        <v>9925</v>
      </c>
      <c r="F512" s="293" t="s">
        <v>9954</v>
      </c>
      <c r="G512" s="293" t="s">
        <v>5591</v>
      </c>
      <c r="H512" s="294">
        <v>41698</v>
      </c>
      <c r="I512" s="295">
        <v>-3613.15</v>
      </c>
    </row>
    <row r="513" spans="1:9" x14ac:dyDescent="0.2">
      <c r="A513" s="293" t="s">
        <v>9953</v>
      </c>
      <c r="B513" s="293" t="s">
        <v>9924</v>
      </c>
      <c r="C513" s="293" t="s">
        <v>9925</v>
      </c>
      <c r="D513" s="293" t="s">
        <v>5839</v>
      </c>
      <c r="E513" s="293" t="s">
        <v>9925</v>
      </c>
      <c r="F513" s="293" t="s">
        <v>9954</v>
      </c>
      <c r="G513" s="293" t="s">
        <v>5589</v>
      </c>
      <c r="H513" s="294">
        <v>41698</v>
      </c>
      <c r="I513" s="295">
        <v>-1013.16</v>
      </c>
    </row>
    <row r="514" spans="1:9" x14ac:dyDescent="0.2">
      <c r="A514" s="293" t="s">
        <v>9955</v>
      </c>
      <c r="B514" s="293" t="s">
        <v>9924</v>
      </c>
      <c r="C514" s="293" t="s">
        <v>9925</v>
      </c>
      <c r="D514" s="293" t="s">
        <v>5839</v>
      </c>
      <c r="E514" s="293" t="s">
        <v>9925</v>
      </c>
      <c r="F514" s="293" t="s">
        <v>9956</v>
      </c>
      <c r="G514" s="293" t="s">
        <v>5589</v>
      </c>
      <c r="H514" s="294">
        <v>41729</v>
      </c>
      <c r="I514" s="295">
        <v>-1013.16</v>
      </c>
    </row>
    <row r="515" spans="1:9" x14ac:dyDescent="0.2">
      <c r="A515" s="293" t="s">
        <v>9955</v>
      </c>
      <c r="B515" s="293" t="s">
        <v>9924</v>
      </c>
      <c r="C515" s="293" t="s">
        <v>9925</v>
      </c>
      <c r="D515" s="293" t="s">
        <v>5839</v>
      </c>
      <c r="E515" s="293" t="s">
        <v>9925</v>
      </c>
      <c r="F515" s="293" t="s">
        <v>9956</v>
      </c>
      <c r="G515" s="293" t="s">
        <v>5591</v>
      </c>
      <c r="H515" s="294">
        <v>41729</v>
      </c>
      <c r="I515" s="295">
        <v>-3613.16</v>
      </c>
    </row>
    <row r="516" spans="1:9" x14ac:dyDescent="0.2">
      <c r="A516" s="293" t="s">
        <v>9957</v>
      </c>
      <c r="B516" s="293" t="s">
        <v>9924</v>
      </c>
      <c r="C516" s="293" t="s">
        <v>9925</v>
      </c>
      <c r="D516" s="293" t="s">
        <v>5839</v>
      </c>
      <c r="E516" s="293" t="s">
        <v>9925</v>
      </c>
      <c r="F516" s="293" t="s">
        <v>9958</v>
      </c>
      <c r="G516" s="293" t="s">
        <v>5754</v>
      </c>
      <c r="H516" s="294">
        <v>41759</v>
      </c>
      <c r="I516" s="295">
        <v>-3801.92</v>
      </c>
    </row>
    <row r="517" spans="1:9" x14ac:dyDescent="0.2">
      <c r="A517" s="293" t="s">
        <v>9957</v>
      </c>
      <c r="B517" s="293" t="s">
        <v>9924</v>
      </c>
      <c r="C517" s="293" t="s">
        <v>9925</v>
      </c>
      <c r="D517" s="293" t="s">
        <v>5839</v>
      </c>
      <c r="E517" s="293" t="s">
        <v>9925</v>
      </c>
      <c r="F517" s="293" t="s">
        <v>9958</v>
      </c>
      <c r="G517" s="293" t="s">
        <v>5591</v>
      </c>
      <c r="H517" s="294">
        <v>41759</v>
      </c>
      <c r="I517" s="295">
        <v>-3613.21</v>
      </c>
    </row>
    <row r="518" spans="1:9" x14ac:dyDescent="0.2">
      <c r="A518" s="293" t="s">
        <v>9957</v>
      </c>
      <c r="B518" s="293" t="s">
        <v>9924</v>
      </c>
      <c r="C518" s="293" t="s">
        <v>9925</v>
      </c>
      <c r="D518" s="293" t="s">
        <v>5839</v>
      </c>
      <c r="E518" s="293" t="s">
        <v>9925</v>
      </c>
      <c r="F518" s="293" t="s">
        <v>9958</v>
      </c>
      <c r="G518" s="293" t="s">
        <v>5589</v>
      </c>
      <c r="H518" s="294">
        <v>41759</v>
      </c>
      <c r="I518" s="295">
        <v>-1013.17</v>
      </c>
    </row>
    <row r="519" spans="1:9" x14ac:dyDescent="0.2">
      <c r="A519" s="293" t="s">
        <v>9959</v>
      </c>
      <c r="B519" s="293" t="s">
        <v>9924</v>
      </c>
      <c r="C519" s="293" t="s">
        <v>9925</v>
      </c>
      <c r="D519" s="293" t="s">
        <v>5839</v>
      </c>
      <c r="E519" s="293" t="s">
        <v>9925</v>
      </c>
      <c r="F519" s="293" t="s">
        <v>9960</v>
      </c>
      <c r="G519" s="293" t="s">
        <v>5754</v>
      </c>
      <c r="H519" s="294">
        <v>41790</v>
      </c>
      <c r="I519" s="295">
        <v>20273.259999999998</v>
      </c>
    </row>
    <row r="520" spans="1:9" x14ac:dyDescent="0.2">
      <c r="A520" s="293" t="s">
        <v>9959</v>
      </c>
      <c r="B520" s="293" t="s">
        <v>9924</v>
      </c>
      <c r="C520" s="293" t="s">
        <v>9925</v>
      </c>
      <c r="D520" s="293" t="s">
        <v>5839</v>
      </c>
      <c r="E520" s="293" t="s">
        <v>9925</v>
      </c>
      <c r="F520" s="293" t="s">
        <v>9960</v>
      </c>
      <c r="G520" s="293" t="s">
        <v>5591</v>
      </c>
      <c r="H520" s="294">
        <v>41790</v>
      </c>
      <c r="I520" s="295">
        <v>-3613.16</v>
      </c>
    </row>
    <row r="521" spans="1:9" x14ac:dyDescent="0.2">
      <c r="A521" s="293" t="s">
        <v>9959</v>
      </c>
      <c r="B521" s="293" t="s">
        <v>9924</v>
      </c>
      <c r="C521" s="293" t="s">
        <v>9925</v>
      </c>
      <c r="D521" s="293" t="s">
        <v>5839</v>
      </c>
      <c r="E521" s="293" t="s">
        <v>9925</v>
      </c>
      <c r="F521" s="293" t="s">
        <v>9960</v>
      </c>
      <c r="G521" s="293" t="s">
        <v>5589</v>
      </c>
      <c r="H521" s="294">
        <v>41790</v>
      </c>
      <c r="I521" s="295">
        <v>-1013.16</v>
      </c>
    </row>
    <row r="522" spans="1:9" x14ac:dyDescent="0.2">
      <c r="A522" s="293" t="s">
        <v>9961</v>
      </c>
      <c r="B522" s="293" t="s">
        <v>9924</v>
      </c>
      <c r="C522" s="293" t="s">
        <v>9925</v>
      </c>
      <c r="D522" s="293" t="s">
        <v>5839</v>
      </c>
      <c r="E522" s="293" t="s">
        <v>9925</v>
      </c>
      <c r="F522" s="293" t="s">
        <v>9962</v>
      </c>
      <c r="G522" s="293" t="s">
        <v>5754</v>
      </c>
      <c r="H522" s="294">
        <v>41820</v>
      </c>
      <c r="I522" s="295">
        <v>-45.88</v>
      </c>
    </row>
    <row r="523" spans="1:9" x14ac:dyDescent="0.2">
      <c r="A523" s="293" t="s">
        <v>9961</v>
      </c>
      <c r="B523" s="293" t="s">
        <v>9924</v>
      </c>
      <c r="C523" s="293" t="s">
        <v>9925</v>
      </c>
      <c r="D523" s="293" t="s">
        <v>5839</v>
      </c>
      <c r="E523" s="293" t="s">
        <v>9925</v>
      </c>
      <c r="F523" s="293" t="s">
        <v>9962</v>
      </c>
      <c r="G523" s="293" t="s">
        <v>5591</v>
      </c>
      <c r="H523" s="294">
        <v>41820</v>
      </c>
      <c r="I523" s="295">
        <v>-3613.16</v>
      </c>
    </row>
    <row r="524" spans="1:9" x14ac:dyDescent="0.2">
      <c r="A524" s="293" t="s">
        <v>9961</v>
      </c>
      <c r="B524" s="293" t="s">
        <v>9924</v>
      </c>
      <c r="C524" s="293" t="s">
        <v>9925</v>
      </c>
      <c r="D524" s="293" t="s">
        <v>5839</v>
      </c>
      <c r="E524" s="293" t="s">
        <v>9925</v>
      </c>
      <c r="F524" s="293" t="s">
        <v>9962</v>
      </c>
      <c r="G524" s="293" t="s">
        <v>5589</v>
      </c>
      <c r="H524" s="294">
        <v>41820</v>
      </c>
      <c r="I524" s="295">
        <v>-1013.16</v>
      </c>
    </row>
    <row r="525" spans="1:9" x14ac:dyDescent="0.2">
      <c r="A525" s="293" t="s">
        <v>9963</v>
      </c>
      <c r="B525" s="293" t="s">
        <v>9924</v>
      </c>
      <c r="C525" s="293" t="s">
        <v>9925</v>
      </c>
      <c r="D525" s="293" t="s">
        <v>5839</v>
      </c>
      <c r="E525" s="293" t="s">
        <v>9925</v>
      </c>
      <c r="F525" s="293" t="s">
        <v>9964</v>
      </c>
      <c r="G525" s="293" t="s">
        <v>5754</v>
      </c>
      <c r="H525" s="294">
        <v>41851</v>
      </c>
      <c r="I525" s="295">
        <v>-45.88</v>
      </c>
    </row>
    <row r="526" spans="1:9" x14ac:dyDescent="0.2">
      <c r="A526" s="293" t="s">
        <v>9963</v>
      </c>
      <c r="B526" s="293" t="s">
        <v>9924</v>
      </c>
      <c r="C526" s="293" t="s">
        <v>9925</v>
      </c>
      <c r="D526" s="293" t="s">
        <v>5839</v>
      </c>
      <c r="E526" s="293" t="s">
        <v>9925</v>
      </c>
      <c r="F526" s="293" t="s">
        <v>9964</v>
      </c>
      <c r="G526" s="293" t="s">
        <v>5591</v>
      </c>
      <c r="H526" s="294">
        <v>41851</v>
      </c>
      <c r="I526" s="295">
        <v>-3613.16</v>
      </c>
    </row>
    <row r="527" spans="1:9" x14ac:dyDescent="0.2">
      <c r="A527" s="293" t="s">
        <v>9963</v>
      </c>
      <c r="B527" s="293" t="s">
        <v>9924</v>
      </c>
      <c r="C527" s="293" t="s">
        <v>9925</v>
      </c>
      <c r="D527" s="293" t="s">
        <v>5839</v>
      </c>
      <c r="E527" s="293" t="s">
        <v>9925</v>
      </c>
      <c r="F527" s="293" t="s">
        <v>9964</v>
      </c>
      <c r="G527" s="293" t="s">
        <v>5589</v>
      </c>
      <c r="H527" s="294">
        <v>41851</v>
      </c>
      <c r="I527" s="295">
        <v>-1013.16</v>
      </c>
    </row>
    <row r="528" spans="1:9" x14ac:dyDescent="0.2">
      <c r="A528" s="293" t="s">
        <v>9965</v>
      </c>
      <c r="B528" s="293" t="s">
        <v>9924</v>
      </c>
      <c r="C528" s="293" t="s">
        <v>9925</v>
      </c>
      <c r="D528" s="293" t="s">
        <v>5839</v>
      </c>
      <c r="E528" s="293" t="s">
        <v>9925</v>
      </c>
      <c r="F528" s="293" t="s">
        <v>9966</v>
      </c>
      <c r="G528" s="293" t="s">
        <v>5591</v>
      </c>
      <c r="H528" s="294">
        <v>41882</v>
      </c>
      <c r="I528" s="295">
        <v>-3613.16</v>
      </c>
    </row>
    <row r="529" spans="1:9" x14ac:dyDescent="0.2">
      <c r="A529" s="293" t="s">
        <v>9965</v>
      </c>
      <c r="B529" s="293" t="s">
        <v>9924</v>
      </c>
      <c r="C529" s="293" t="s">
        <v>9925</v>
      </c>
      <c r="D529" s="293" t="s">
        <v>5839</v>
      </c>
      <c r="E529" s="293" t="s">
        <v>9925</v>
      </c>
      <c r="F529" s="293" t="s">
        <v>9966</v>
      </c>
      <c r="G529" s="293" t="s">
        <v>5589</v>
      </c>
      <c r="H529" s="294">
        <v>41882</v>
      </c>
      <c r="I529" s="295">
        <v>-1013.16</v>
      </c>
    </row>
    <row r="530" spans="1:9" x14ac:dyDescent="0.2">
      <c r="A530" s="293" t="s">
        <v>9965</v>
      </c>
      <c r="B530" s="293" t="s">
        <v>9924</v>
      </c>
      <c r="C530" s="293" t="s">
        <v>9925</v>
      </c>
      <c r="D530" s="293" t="s">
        <v>5839</v>
      </c>
      <c r="E530" s="293" t="s">
        <v>9925</v>
      </c>
      <c r="F530" s="293" t="s">
        <v>9966</v>
      </c>
      <c r="G530" s="293" t="s">
        <v>5754</v>
      </c>
      <c r="H530" s="294">
        <v>41882</v>
      </c>
      <c r="I530" s="295">
        <v>-45.88</v>
      </c>
    </row>
    <row r="531" spans="1:9" x14ac:dyDescent="0.2">
      <c r="A531" s="293" t="s">
        <v>9967</v>
      </c>
      <c r="B531" s="293" t="s">
        <v>9924</v>
      </c>
      <c r="C531" s="293" t="s">
        <v>9925</v>
      </c>
      <c r="D531" s="293" t="s">
        <v>5839</v>
      </c>
      <c r="E531" s="293" t="s">
        <v>9925</v>
      </c>
      <c r="F531" s="293" t="s">
        <v>9968</v>
      </c>
      <c r="G531" s="293" t="s">
        <v>5591</v>
      </c>
      <c r="H531" s="294">
        <v>41912</v>
      </c>
      <c r="I531" s="295">
        <v>-3613.16</v>
      </c>
    </row>
    <row r="532" spans="1:9" x14ac:dyDescent="0.2">
      <c r="A532" s="293" t="s">
        <v>9967</v>
      </c>
      <c r="B532" s="293" t="s">
        <v>9924</v>
      </c>
      <c r="C532" s="293" t="s">
        <v>9925</v>
      </c>
      <c r="D532" s="293" t="s">
        <v>5839</v>
      </c>
      <c r="E532" s="293" t="s">
        <v>9925</v>
      </c>
      <c r="F532" s="293" t="s">
        <v>9968</v>
      </c>
      <c r="G532" s="293" t="s">
        <v>5589</v>
      </c>
      <c r="H532" s="294">
        <v>41912</v>
      </c>
      <c r="I532" s="295">
        <v>-1013.16</v>
      </c>
    </row>
    <row r="533" spans="1:9" x14ac:dyDescent="0.2">
      <c r="A533" s="293" t="s">
        <v>9967</v>
      </c>
      <c r="B533" s="293" t="s">
        <v>9924</v>
      </c>
      <c r="C533" s="293" t="s">
        <v>9925</v>
      </c>
      <c r="D533" s="293" t="s">
        <v>5839</v>
      </c>
      <c r="E533" s="293" t="s">
        <v>9925</v>
      </c>
      <c r="F533" s="293" t="s">
        <v>9968</v>
      </c>
      <c r="G533" s="293" t="s">
        <v>5754</v>
      </c>
      <c r="H533" s="294">
        <v>41912</v>
      </c>
      <c r="I533" s="295">
        <v>-45.88</v>
      </c>
    </row>
    <row r="534" spans="1:9" x14ac:dyDescent="0.2">
      <c r="A534" s="293" t="s">
        <v>9969</v>
      </c>
      <c r="B534" s="293" t="s">
        <v>9924</v>
      </c>
      <c r="C534" s="293" t="s">
        <v>9925</v>
      </c>
      <c r="D534" s="293" t="s">
        <v>5839</v>
      </c>
      <c r="E534" s="293" t="s">
        <v>9925</v>
      </c>
      <c r="F534" s="293" t="s">
        <v>9970</v>
      </c>
      <c r="G534" s="293" t="s">
        <v>5591</v>
      </c>
      <c r="H534" s="294">
        <v>41943</v>
      </c>
      <c r="I534" s="295">
        <v>-3613.16</v>
      </c>
    </row>
    <row r="535" spans="1:9" x14ac:dyDescent="0.2">
      <c r="A535" s="293" t="s">
        <v>9969</v>
      </c>
      <c r="B535" s="293" t="s">
        <v>9924</v>
      </c>
      <c r="C535" s="293" t="s">
        <v>9925</v>
      </c>
      <c r="D535" s="293" t="s">
        <v>5839</v>
      </c>
      <c r="E535" s="293" t="s">
        <v>9925</v>
      </c>
      <c r="F535" s="293" t="s">
        <v>9970</v>
      </c>
      <c r="G535" s="293" t="s">
        <v>5589</v>
      </c>
      <c r="H535" s="294">
        <v>41943</v>
      </c>
      <c r="I535" s="295">
        <v>-1013.16</v>
      </c>
    </row>
    <row r="536" spans="1:9" x14ac:dyDescent="0.2">
      <c r="A536" s="293" t="s">
        <v>9969</v>
      </c>
      <c r="B536" s="293" t="s">
        <v>9924</v>
      </c>
      <c r="C536" s="293" t="s">
        <v>9925</v>
      </c>
      <c r="D536" s="293" t="s">
        <v>5839</v>
      </c>
      <c r="E536" s="293" t="s">
        <v>9925</v>
      </c>
      <c r="F536" s="293" t="s">
        <v>9970</v>
      </c>
      <c r="G536" s="293" t="s">
        <v>5754</v>
      </c>
      <c r="H536" s="294">
        <v>41943</v>
      </c>
      <c r="I536" s="295">
        <v>-45.88</v>
      </c>
    </row>
    <row r="537" spans="1:9" x14ac:dyDescent="0.2">
      <c r="A537" s="293" t="s">
        <v>9971</v>
      </c>
      <c r="B537" s="293" t="s">
        <v>9924</v>
      </c>
      <c r="C537" s="293" t="s">
        <v>9925</v>
      </c>
      <c r="D537" s="293" t="s">
        <v>5839</v>
      </c>
      <c r="E537" s="293" t="s">
        <v>9925</v>
      </c>
      <c r="F537" s="293" t="s">
        <v>9972</v>
      </c>
      <c r="G537" s="293" t="s">
        <v>5589</v>
      </c>
      <c r="H537" s="294">
        <v>41973</v>
      </c>
      <c r="I537" s="295">
        <v>-1013.16</v>
      </c>
    </row>
    <row r="538" spans="1:9" x14ac:dyDescent="0.2">
      <c r="A538" s="293" t="s">
        <v>9971</v>
      </c>
      <c r="B538" s="293" t="s">
        <v>9924</v>
      </c>
      <c r="C538" s="293" t="s">
        <v>9925</v>
      </c>
      <c r="D538" s="293" t="s">
        <v>5839</v>
      </c>
      <c r="E538" s="293" t="s">
        <v>9925</v>
      </c>
      <c r="F538" s="293" t="s">
        <v>9972</v>
      </c>
      <c r="G538" s="293" t="s">
        <v>5754</v>
      </c>
      <c r="H538" s="294">
        <v>41973</v>
      </c>
      <c r="I538" s="295">
        <v>-45.88</v>
      </c>
    </row>
    <row r="539" spans="1:9" x14ac:dyDescent="0.2">
      <c r="A539" s="293" t="s">
        <v>9971</v>
      </c>
      <c r="B539" s="293" t="s">
        <v>9924</v>
      </c>
      <c r="C539" s="293" t="s">
        <v>9925</v>
      </c>
      <c r="D539" s="293" t="s">
        <v>5839</v>
      </c>
      <c r="E539" s="293" t="s">
        <v>9925</v>
      </c>
      <c r="F539" s="293" t="s">
        <v>9972</v>
      </c>
      <c r="G539" s="293" t="s">
        <v>5591</v>
      </c>
      <c r="H539" s="294">
        <v>41973</v>
      </c>
      <c r="I539" s="295">
        <v>-3613.16</v>
      </c>
    </row>
    <row r="540" spans="1:9" x14ac:dyDescent="0.2">
      <c r="A540" s="293" t="s">
        <v>9973</v>
      </c>
      <c r="B540" s="293" t="s">
        <v>9924</v>
      </c>
      <c r="C540" s="293" t="s">
        <v>9925</v>
      </c>
      <c r="D540" s="293" t="s">
        <v>5839</v>
      </c>
      <c r="E540" s="293" t="s">
        <v>9925</v>
      </c>
      <c r="F540" s="293" t="s">
        <v>9974</v>
      </c>
      <c r="G540" s="293" t="s">
        <v>5754</v>
      </c>
      <c r="H540" s="294">
        <v>42004</v>
      </c>
      <c r="I540" s="295">
        <v>-45.88</v>
      </c>
    </row>
    <row r="541" spans="1:9" x14ac:dyDescent="0.2">
      <c r="A541" s="293" t="s">
        <v>9973</v>
      </c>
      <c r="B541" s="293" t="s">
        <v>9924</v>
      </c>
      <c r="C541" s="293" t="s">
        <v>9925</v>
      </c>
      <c r="D541" s="293" t="s">
        <v>5839</v>
      </c>
      <c r="E541" s="293" t="s">
        <v>9925</v>
      </c>
      <c r="F541" s="293" t="s">
        <v>9974</v>
      </c>
      <c r="G541" s="293" t="s">
        <v>5589</v>
      </c>
      <c r="H541" s="294">
        <v>42004</v>
      </c>
      <c r="I541" s="295">
        <v>-1013.16</v>
      </c>
    </row>
    <row r="542" spans="1:9" x14ac:dyDescent="0.2">
      <c r="A542" s="293" t="s">
        <v>9973</v>
      </c>
      <c r="B542" s="293" t="s">
        <v>9924</v>
      </c>
      <c r="C542" s="293" t="s">
        <v>9925</v>
      </c>
      <c r="D542" s="293" t="s">
        <v>5839</v>
      </c>
      <c r="E542" s="293" t="s">
        <v>9925</v>
      </c>
      <c r="F542" s="293" t="s">
        <v>9974</v>
      </c>
      <c r="G542" s="293" t="s">
        <v>5591</v>
      </c>
      <c r="H542" s="294">
        <v>42004</v>
      </c>
      <c r="I542" s="295">
        <v>-3613.16</v>
      </c>
    </row>
    <row r="543" spans="1:9" x14ac:dyDescent="0.2">
      <c r="A543" s="293" t="s">
        <v>9975</v>
      </c>
      <c r="B543" s="293" t="s">
        <v>9924</v>
      </c>
      <c r="C543" s="293" t="s">
        <v>9925</v>
      </c>
      <c r="D543" s="293" t="s">
        <v>5839</v>
      </c>
      <c r="E543" s="293" t="s">
        <v>9925</v>
      </c>
      <c r="F543" s="293" t="s">
        <v>9976</v>
      </c>
      <c r="G543" s="293" t="s">
        <v>5754</v>
      </c>
      <c r="H543" s="294">
        <v>42004</v>
      </c>
      <c r="I543" s="295">
        <v>-45.88</v>
      </c>
    </row>
    <row r="544" spans="1:9" x14ac:dyDescent="0.2">
      <c r="A544" s="293" t="s">
        <v>9975</v>
      </c>
      <c r="B544" s="293" t="s">
        <v>9924</v>
      </c>
      <c r="C544" s="293" t="s">
        <v>9925</v>
      </c>
      <c r="D544" s="293" t="s">
        <v>5839</v>
      </c>
      <c r="E544" s="293" t="s">
        <v>9925</v>
      </c>
      <c r="F544" s="293" t="s">
        <v>9976</v>
      </c>
      <c r="G544" s="293" t="s">
        <v>5589</v>
      </c>
      <c r="H544" s="294">
        <v>42004</v>
      </c>
      <c r="I544" s="295">
        <v>-1013.16</v>
      </c>
    </row>
    <row r="545" spans="1:9" x14ac:dyDescent="0.2">
      <c r="A545" s="293" t="s">
        <v>9975</v>
      </c>
      <c r="B545" s="293" t="s">
        <v>9924</v>
      </c>
      <c r="C545" s="293" t="s">
        <v>9925</v>
      </c>
      <c r="D545" s="293" t="s">
        <v>5839</v>
      </c>
      <c r="E545" s="293" t="s">
        <v>9925</v>
      </c>
      <c r="F545" s="293" t="s">
        <v>9976</v>
      </c>
      <c r="G545" s="293" t="s">
        <v>5591</v>
      </c>
      <c r="H545" s="294">
        <v>42004</v>
      </c>
      <c r="I545" s="295">
        <v>-3613.16</v>
      </c>
    </row>
    <row r="546" spans="1:9" x14ac:dyDescent="0.2">
      <c r="A546" s="293" t="s">
        <v>9977</v>
      </c>
      <c r="B546" s="293" t="s">
        <v>9924</v>
      </c>
      <c r="C546" s="293" t="s">
        <v>9939</v>
      </c>
      <c r="D546" s="293" t="s">
        <v>5839</v>
      </c>
      <c r="E546" s="293" t="s">
        <v>9939</v>
      </c>
      <c r="F546" s="293" t="s">
        <v>9976</v>
      </c>
      <c r="G546" s="293" t="s">
        <v>5589</v>
      </c>
      <c r="H546" s="294">
        <v>42004</v>
      </c>
      <c r="I546" s="295">
        <v>1013.16</v>
      </c>
    </row>
    <row r="547" spans="1:9" x14ac:dyDescent="0.2">
      <c r="A547" s="293" t="s">
        <v>9977</v>
      </c>
      <c r="B547" s="293" t="s">
        <v>9924</v>
      </c>
      <c r="C547" s="293" t="s">
        <v>9939</v>
      </c>
      <c r="D547" s="293" t="s">
        <v>5839</v>
      </c>
      <c r="E547" s="293" t="s">
        <v>9939</v>
      </c>
      <c r="F547" s="293" t="s">
        <v>9976</v>
      </c>
      <c r="G547" s="293" t="s">
        <v>5591</v>
      </c>
      <c r="H547" s="294">
        <v>42004</v>
      </c>
      <c r="I547" s="295">
        <v>3613.16</v>
      </c>
    </row>
    <row r="548" spans="1:9" x14ac:dyDescent="0.2">
      <c r="A548" s="293" t="s">
        <v>9977</v>
      </c>
      <c r="B548" s="293" t="s">
        <v>9924</v>
      </c>
      <c r="C548" s="293" t="s">
        <v>9939</v>
      </c>
      <c r="D548" s="293" t="s">
        <v>5839</v>
      </c>
      <c r="E548" s="293" t="s">
        <v>9939</v>
      </c>
      <c r="F548" s="293" t="s">
        <v>9976</v>
      </c>
      <c r="G548" s="293" t="s">
        <v>5754</v>
      </c>
      <c r="H548" s="294">
        <v>42004</v>
      </c>
      <c r="I548" s="295">
        <v>45.88</v>
      </c>
    </row>
    <row r="549" spans="1:9" x14ac:dyDescent="0.2">
      <c r="A549" s="293" t="s">
        <v>9978</v>
      </c>
      <c r="B549" s="293" t="s">
        <v>9924</v>
      </c>
      <c r="C549" s="293" t="s">
        <v>9925</v>
      </c>
      <c r="D549" s="293" t="s">
        <v>5839</v>
      </c>
      <c r="E549" s="293" t="s">
        <v>9925</v>
      </c>
      <c r="F549" s="293" t="s">
        <v>9979</v>
      </c>
      <c r="G549" s="293" t="s">
        <v>5589</v>
      </c>
      <c r="H549" s="294">
        <v>42035</v>
      </c>
      <c r="I549" s="295">
        <v>-1013.16</v>
      </c>
    </row>
    <row r="550" spans="1:9" x14ac:dyDescent="0.2">
      <c r="A550" s="293" t="s">
        <v>9978</v>
      </c>
      <c r="B550" s="293" t="s">
        <v>9924</v>
      </c>
      <c r="C550" s="293" t="s">
        <v>9925</v>
      </c>
      <c r="D550" s="293" t="s">
        <v>5839</v>
      </c>
      <c r="E550" s="293" t="s">
        <v>9925</v>
      </c>
      <c r="F550" s="293" t="s">
        <v>9979</v>
      </c>
      <c r="G550" s="293" t="s">
        <v>5591</v>
      </c>
      <c r="H550" s="294">
        <v>42035</v>
      </c>
      <c r="I550" s="295">
        <v>-3613.16</v>
      </c>
    </row>
    <row r="551" spans="1:9" x14ac:dyDescent="0.2">
      <c r="A551" s="293" t="s">
        <v>9978</v>
      </c>
      <c r="B551" s="293" t="s">
        <v>9924</v>
      </c>
      <c r="C551" s="293" t="s">
        <v>9925</v>
      </c>
      <c r="D551" s="293" t="s">
        <v>5839</v>
      </c>
      <c r="E551" s="293" t="s">
        <v>9925</v>
      </c>
      <c r="F551" s="293" t="s">
        <v>9979</v>
      </c>
      <c r="G551" s="293" t="s">
        <v>5754</v>
      </c>
      <c r="H551" s="294">
        <v>42035</v>
      </c>
      <c r="I551" s="295">
        <v>-45.88</v>
      </c>
    </row>
    <row r="552" spans="1:9" x14ac:dyDescent="0.2">
      <c r="A552" s="293" t="s">
        <v>9980</v>
      </c>
      <c r="B552" s="293" t="s">
        <v>9924</v>
      </c>
      <c r="C552" s="293" t="s">
        <v>9925</v>
      </c>
      <c r="D552" s="293" t="s">
        <v>5839</v>
      </c>
      <c r="E552" s="293" t="s">
        <v>9925</v>
      </c>
      <c r="F552" s="293" t="s">
        <v>9981</v>
      </c>
      <c r="G552" s="293" t="s">
        <v>5591</v>
      </c>
      <c r="H552" s="294">
        <v>42063</v>
      </c>
      <c r="I552" s="295">
        <v>-3613.16</v>
      </c>
    </row>
    <row r="553" spans="1:9" x14ac:dyDescent="0.2">
      <c r="A553" s="293" t="s">
        <v>9980</v>
      </c>
      <c r="B553" s="293" t="s">
        <v>9924</v>
      </c>
      <c r="C553" s="293" t="s">
        <v>9925</v>
      </c>
      <c r="D553" s="293" t="s">
        <v>5839</v>
      </c>
      <c r="E553" s="293" t="s">
        <v>9925</v>
      </c>
      <c r="F553" s="293" t="s">
        <v>9981</v>
      </c>
      <c r="G553" s="293" t="s">
        <v>5589</v>
      </c>
      <c r="H553" s="294">
        <v>42063</v>
      </c>
      <c r="I553" s="295">
        <v>-1013.16</v>
      </c>
    </row>
    <row r="554" spans="1:9" x14ac:dyDescent="0.2">
      <c r="A554" s="293" t="s">
        <v>9980</v>
      </c>
      <c r="B554" s="293" t="s">
        <v>9924</v>
      </c>
      <c r="C554" s="293" t="s">
        <v>9925</v>
      </c>
      <c r="D554" s="293" t="s">
        <v>5839</v>
      </c>
      <c r="E554" s="293" t="s">
        <v>9925</v>
      </c>
      <c r="F554" s="293" t="s">
        <v>9981</v>
      </c>
      <c r="G554" s="293" t="s">
        <v>5754</v>
      </c>
      <c r="H554" s="294">
        <v>42063</v>
      </c>
      <c r="I554" s="295">
        <v>-45.88</v>
      </c>
    </row>
    <row r="555" spans="1:9" x14ac:dyDescent="0.2">
      <c r="A555" s="293" t="s">
        <v>9982</v>
      </c>
      <c r="B555" s="293" t="s">
        <v>9924</v>
      </c>
      <c r="C555" s="293" t="s">
        <v>9925</v>
      </c>
      <c r="D555" s="293" t="s">
        <v>5839</v>
      </c>
      <c r="E555" s="293" t="s">
        <v>9925</v>
      </c>
      <c r="F555" s="293" t="s">
        <v>9983</v>
      </c>
      <c r="G555" s="293" t="s">
        <v>5591</v>
      </c>
      <c r="H555" s="294">
        <v>42094</v>
      </c>
      <c r="I555" s="295">
        <v>-3613.15</v>
      </c>
    </row>
    <row r="556" spans="1:9" x14ac:dyDescent="0.2">
      <c r="A556" s="293" t="s">
        <v>9982</v>
      </c>
      <c r="B556" s="293" t="s">
        <v>9924</v>
      </c>
      <c r="C556" s="293" t="s">
        <v>9925</v>
      </c>
      <c r="D556" s="293" t="s">
        <v>5839</v>
      </c>
      <c r="E556" s="293" t="s">
        <v>9925</v>
      </c>
      <c r="F556" s="293" t="s">
        <v>9983</v>
      </c>
      <c r="G556" s="293" t="s">
        <v>5754</v>
      </c>
      <c r="H556" s="294">
        <v>42094</v>
      </c>
      <c r="I556" s="295">
        <v>-45.88</v>
      </c>
    </row>
    <row r="557" spans="1:9" x14ac:dyDescent="0.2">
      <c r="A557" s="293" t="s">
        <v>9982</v>
      </c>
      <c r="B557" s="293" t="s">
        <v>9924</v>
      </c>
      <c r="C557" s="293" t="s">
        <v>9925</v>
      </c>
      <c r="D557" s="293" t="s">
        <v>5839</v>
      </c>
      <c r="E557" s="293" t="s">
        <v>9925</v>
      </c>
      <c r="F557" s="293" t="s">
        <v>9983</v>
      </c>
      <c r="G557" s="293" t="s">
        <v>5755</v>
      </c>
      <c r="H557" s="294">
        <v>42094</v>
      </c>
      <c r="I557" s="295">
        <v>-17408.87</v>
      </c>
    </row>
    <row r="558" spans="1:9" x14ac:dyDescent="0.2">
      <c r="A558" s="293" t="s">
        <v>9982</v>
      </c>
      <c r="B558" s="293" t="s">
        <v>9924</v>
      </c>
      <c r="C558" s="293" t="s">
        <v>9925</v>
      </c>
      <c r="D558" s="293" t="s">
        <v>5839</v>
      </c>
      <c r="E558" s="293" t="s">
        <v>9925</v>
      </c>
      <c r="F558" s="293" t="s">
        <v>9983</v>
      </c>
      <c r="G558" s="293" t="s">
        <v>5589</v>
      </c>
      <c r="H558" s="294">
        <v>42094</v>
      </c>
      <c r="I558" s="295">
        <v>-1013.16</v>
      </c>
    </row>
    <row r="559" spans="1:9" x14ac:dyDescent="0.2">
      <c r="A559" s="293" t="s">
        <v>9984</v>
      </c>
      <c r="B559" s="293" t="s">
        <v>9924</v>
      </c>
      <c r="C559" s="293" t="s">
        <v>9925</v>
      </c>
      <c r="D559" s="293" t="s">
        <v>5839</v>
      </c>
      <c r="E559" s="293" t="s">
        <v>9925</v>
      </c>
      <c r="F559" s="293" t="s">
        <v>9985</v>
      </c>
      <c r="G559" s="293" t="s">
        <v>5589</v>
      </c>
      <c r="H559" s="294">
        <v>42124</v>
      </c>
      <c r="I559" s="295">
        <v>-1013.16</v>
      </c>
    </row>
    <row r="560" spans="1:9" x14ac:dyDescent="0.2">
      <c r="A560" s="293" t="s">
        <v>9984</v>
      </c>
      <c r="B560" s="293" t="s">
        <v>9924</v>
      </c>
      <c r="C560" s="293" t="s">
        <v>9925</v>
      </c>
      <c r="D560" s="293" t="s">
        <v>5839</v>
      </c>
      <c r="E560" s="293" t="s">
        <v>9925</v>
      </c>
      <c r="F560" s="293" t="s">
        <v>9985</v>
      </c>
      <c r="G560" s="293" t="s">
        <v>5755</v>
      </c>
      <c r="H560" s="294">
        <v>42124</v>
      </c>
      <c r="I560" s="295">
        <v>-101366.98</v>
      </c>
    </row>
    <row r="561" spans="1:9" x14ac:dyDescent="0.2">
      <c r="A561" s="293" t="s">
        <v>9984</v>
      </c>
      <c r="B561" s="293" t="s">
        <v>9924</v>
      </c>
      <c r="C561" s="293" t="s">
        <v>9925</v>
      </c>
      <c r="D561" s="293" t="s">
        <v>5839</v>
      </c>
      <c r="E561" s="293" t="s">
        <v>9925</v>
      </c>
      <c r="F561" s="293" t="s">
        <v>9985</v>
      </c>
      <c r="G561" s="293" t="s">
        <v>5591</v>
      </c>
      <c r="H561" s="294">
        <v>42124</v>
      </c>
      <c r="I561" s="295">
        <v>-3613.16</v>
      </c>
    </row>
    <row r="562" spans="1:9" x14ac:dyDescent="0.2">
      <c r="A562" s="293" t="s">
        <v>9984</v>
      </c>
      <c r="B562" s="293" t="s">
        <v>9924</v>
      </c>
      <c r="C562" s="293" t="s">
        <v>9925</v>
      </c>
      <c r="D562" s="293" t="s">
        <v>5839</v>
      </c>
      <c r="E562" s="293" t="s">
        <v>9925</v>
      </c>
      <c r="F562" s="293" t="s">
        <v>9985</v>
      </c>
      <c r="G562" s="293" t="s">
        <v>5754</v>
      </c>
      <c r="H562" s="294">
        <v>42124</v>
      </c>
      <c r="I562" s="295">
        <v>-45.88</v>
      </c>
    </row>
    <row r="563" spans="1:9" x14ac:dyDescent="0.2">
      <c r="A563" s="293" t="s">
        <v>9986</v>
      </c>
      <c r="B563" s="293" t="s">
        <v>9924</v>
      </c>
      <c r="C563" s="293" t="s">
        <v>9925</v>
      </c>
      <c r="D563" s="293" t="s">
        <v>5839</v>
      </c>
      <c r="E563" s="293" t="s">
        <v>9925</v>
      </c>
      <c r="F563" s="293" t="s">
        <v>9987</v>
      </c>
      <c r="G563" s="293" t="s">
        <v>5755</v>
      </c>
      <c r="H563" s="294">
        <v>42155</v>
      </c>
      <c r="I563" s="295">
        <v>-100726.94</v>
      </c>
    </row>
    <row r="564" spans="1:9" x14ac:dyDescent="0.2">
      <c r="A564" s="293" t="s">
        <v>9986</v>
      </c>
      <c r="B564" s="293" t="s">
        <v>9924</v>
      </c>
      <c r="C564" s="293" t="s">
        <v>9925</v>
      </c>
      <c r="D564" s="293" t="s">
        <v>5839</v>
      </c>
      <c r="E564" s="293" t="s">
        <v>9925</v>
      </c>
      <c r="F564" s="293" t="s">
        <v>9987</v>
      </c>
      <c r="G564" s="293" t="s">
        <v>5589</v>
      </c>
      <c r="H564" s="294">
        <v>42155</v>
      </c>
      <c r="I564" s="295">
        <v>-1013.16</v>
      </c>
    </row>
    <row r="565" spans="1:9" x14ac:dyDescent="0.2">
      <c r="A565" s="293" t="s">
        <v>9986</v>
      </c>
      <c r="B565" s="293" t="s">
        <v>9924</v>
      </c>
      <c r="C565" s="293" t="s">
        <v>9925</v>
      </c>
      <c r="D565" s="293" t="s">
        <v>5839</v>
      </c>
      <c r="E565" s="293" t="s">
        <v>9925</v>
      </c>
      <c r="F565" s="293" t="s">
        <v>9987</v>
      </c>
      <c r="G565" s="293" t="s">
        <v>5591</v>
      </c>
      <c r="H565" s="294">
        <v>42155</v>
      </c>
      <c r="I565" s="295">
        <v>-3613.16</v>
      </c>
    </row>
    <row r="566" spans="1:9" x14ac:dyDescent="0.2">
      <c r="A566" s="293" t="s">
        <v>9986</v>
      </c>
      <c r="B566" s="293" t="s">
        <v>9924</v>
      </c>
      <c r="C566" s="293" t="s">
        <v>9925</v>
      </c>
      <c r="D566" s="293" t="s">
        <v>5839</v>
      </c>
      <c r="E566" s="293" t="s">
        <v>9925</v>
      </c>
      <c r="F566" s="293" t="s">
        <v>9987</v>
      </c>
      <c r="G566" s="293" t="s">
        <v>5754</v>
      </c>
      <c r="H566" s="294">
        <v>42155</v>
      </c>
      <c r="I566" s="295">
        <v>-45.88</v>
      </c>
    </row>
    <row r="567" spans="1:9" x14ac:dyDescent="0.2">
      <c r="A567" s="293" t="s">
        <v>9988</v>
      </c>
      <c r="B567" s="293" t="s">
        <v>9924</v>
      </c>
      <c r="C567" s="293" t="s">
        <v>9925</v>
      </c>
      <c r="D567" s="293" t="s">
        <v>5839</v>
      </c>
      <c r="E567" s="293" t="s">
        <v>9925</v>
      </c>
      <c r="F567" s="293" t="s">
        <v>9989</v>
      </c>
      <c r="G567" s="293" t="s">
        <v>5591</v>
      </c>
      <c r="H567" s="294">
        <v>42185</v>
      </c>
      <c r="I567" s="295">
        <v>-3613.16</v>
      </c>
    </row>
    <row r="568" spans="1:9" x14ac:dyDescent="0.2">
      <c r="A568" s="293" t="s">
        <v>9988</v>
      </c>
      <c r="B568" s="293" t="s">
        <v>9924</v>
      </c>
      <c r="C568" s="293" t="s">
        <v>9925</v>
      </c>
      <c r="D568" s="293" t="s">
        <v>5839</v>
      </c>
      <c r="E568" s="293" t="s">
        <v>9925</v>
      </c>
      <c r="F568" s="293" t="s">
        <v>9989</v>
      </c>
      <c r="G568" s="293" t="s">
        <v>5755</v>
      </c>
      <c r="H568" s="294">
        <v>42185</v>
      </c>
      <c r="I568" s="295">
        <v>609.73</v>
      </c>
    </row>
    <row r="569" spans="1:9" x14ac:dyDescent="0.2">
      <c r="A569" s="293" t="s">
        <v>9988</v>
      </c>
      <c r="B569" s="293" t="s">
        <v>9924</v>
      </c>
      <c r="C569" s="293" t="s">
        <v>9925</v>
      </c>
      <c r="D569" s="293" t="s">
        <v>5839</v>
      </c>
      <c r="E569" s="293" t="s">
        <v>9925</v>
      </c>
      <c r="F569" s="293" t="s">
        <v>9989</v>
      </c>
      <c r="G569" s="293" t="s">
        <v>5589</v>
      </c>
      <c r="H569" s="294">
        <v>42185</v>
      </c>
      <c r="I569" s="295">
        <v>-1013.16</v>
      </c>
    </row>
    <row r="570" spans="1:9" x14ac:dyDescent="0.2">
      <c r="A570" s="293" t="s">
        <v>9988</v>
      </c>
      <c r="B570" s="293" t="s">
        <v>9924</v>
      </c>
      <c r="C570" s="293" t="s">
        <v>9925</v>
      </c>
      <c r="D570" s="293" t="s">
        <v>5839</v>
      </c>
      <c r="E570" s="293" t="s">
        <v>9925</v>
      </c>
      <c r="F570" s="293" t="s">
        <v>9989</v>
      </c>
      <c r="G570" s="293" t="s">
        <v>5754</v>
      </c>
      <c r="H570" s="294">
        <v>42185</v>
      </c>
      <c r="I570" s="295">
        <v>-45.88</v>
      </c>
    </row>
    <row r="571" spans="1:9" x14ac:dyDescent="0.2">
      <c r="A571" s="293" t="s">
        <v>9990</v>
      </c>
      <c r="B571" s="293" t="s">
        <v>9924</v>
      </c>
      <c r="C571" s="293" t="s">
        <v>9925</v>
      </c>
      <c r="D571" s="293" t="s">
        <v>5839</v>
      </c>
      <c r="E571" s="293" t="s">
        <v>9925</v>
      </c>
      <c r="F571" s="293" t="s">
        <v>9991</v>
      </c>
      <c r="G571" s="293" t="s">
        <v>5755</v>
      </c>
      <c r="H571" s="294">
        <v>42216</v>
      </c>
      <c r="I571" s="295">
        <v>609.73</v>
      </c>
    </row>
    <row r="572" spans="1:9" x14ac:dyDescent="0.2">
      <c r="A572" s="293" t="s">
        <v>9990</v>
      </c>
      <c r="B572" s="293" t="s">
        <v>9924</v>
      </c>
      <c r="C572" s="293" t="s">
        <v>9925</v>
      </c>
      <c r="D572" s="293" t="s">
        <v>5839</v>
      </c>
      <c r="E572" s="293" t="s">
        <v>9925</v>
      </c>
      <c r="F572" s="293" t="s">
        <v>9991</v>
      </c>
      <c r="G572" s="293" t="s">
        <v>5591</v>
      </c>
      <c r="H572" s="294">
        <v>42216</v>
      </c>
      <c r="I572" s="295">
        <v>-3613.16</v>
      </c>
    </row>
    <row r="573" spans="1:9" x14ac:dyDescent="0.2">
      <c r="A573" s="293" t="s">
        <v>9990</v>
      </c>
      <c r="B573" s="293" t="s">
        <v>9924</v>
      </c>
      <c r="C573" s="293" t="s">
        <v>9925</v>
      </c>
      <c r="D573" s="293" t="s">
        <v>5839</v>
      </c>
      <c r="E573" s="293" t="s">
        <v>9925</v>
      </c>
      <c r="F573" s="293" t="s">
        <v>9991</v>
      </c>
      <c r="G573" s="293" t="s">
        <v>5754</v>
      </c>
      <c r="H573" s="294">
        <v>42216</v>
      </c>
      <c r="I573" s="295">
        <v>-45.88</v>
      </c>
    </row>
    <row r="574" spans="1:9" x14ac:dyDescent="0.2">
      <c r="A574" s="293" t="s">
        <v>9990</v>
      </c>
      <c r="B574" s="293" t="s">
        <v>9924</v>
      </c>
      <c r="C574" s="293" t="s">
        <v>9925</v>
      </c>
      <c r="D574" s="293" t="s">
        <v>5839</v>
      </c>
      <c r="E574" s="293" t="s">
        <v>9925</v>
      </c>
      <c r="F574" s="293" t="s">
        <v>9991</v>
      </c>
      <c r="G574" s="293" t="s">
        <v>5589</v>
      </c>
      <c r="H574" s="294">
        <v>42216</v>
      </c>
      <c r="I574" s="295">
        <v>-1013.16</v>
      </c>
    </row>
    <row r="575" spans="1:9" x14ac:dyDescent="0.2">
      <c r="A575" s="293" t="s">
        <v>9992</v>
      </c>
      <c r="B575" s="293" t="s">
        <v>9924</v>
      </c>
      <c r="C575" s="293" t="s">
        <v>9925</v>
      </c>
      <c r="D575" s="293" t="s">
        <v>5839</v>
      </c>
      <c r="E575" s="293" t="s">
        <v>9925</v>
      </c>
      <c r="F575" s="293" t="s">
        <v>9993</v>
      </c>
      <c r="G575" s="293" t="s">
        <v>5754</v>
      </c>
      <c r="H575" s="294">
        <v>42247</v>
      </c>
      <c r="I575" s="295">
        <v>-45.88</v>
      </c>
    </row>
    <row r="576" spans="1:9" x14ac:dyDescent="0.2">
      <c r="A576" s="293" t="s">
        <v>9992</v>
      </c>
      <c r="B576" s="293" t="s">
        <v>9924</v>
      </c>
      <c r="C576" s="293" t="s">
        <v>9925</v>
      </c>
      <c r="D576" s="293" t="s">
        <v>5839</v>
      </c>
      <c r="E576" s="293" t="s">
        <v>9925</v>
      </c>
      <c r="F576" s="293" t="s">
        <v>9993</v>
      </c>
      <c r="G576" s="293" t="s">
        <v>5755</v>
      </c>
      <c r="H576" s="294">
        <v>42247</v>
      </c>
      <c r="I576" s="295">
        <v>609.73</v>
      </c>
    </row>
    <row r="577" spans="1:9" x14ac:dyDescent="0.2">
      <c r="A577" s="293" t="s">
        <v>9992</v>
      </c>
      <c r="B577" s="293" t="s">
        <v>9924</v>
      </c>
      <c r="C577" s="293" t="s">
        <v>9925</v>
      </c>
      <c r="D577" s="293" t="s">
        <v>5839</v>
      </c>
      <c r="E577" s="293" t="s">
        <v>9925</v>
      </c>
      <c r="F577" s="293" t="s">
        <v>9993</v>
      </c>
      <c r="G577" s="293" t="s">
        <v>5591</v>
      </c>
      <c r="H577" s="294">
        <v>42247</v>
      </c>
      <c r="I577" s="295">
        <v>-3613.16</v>
      </c>
    </row>
    <row r="578" spans="1:9" x14ac:dyDescent="0.2">
      <c r="A578" s="293" t="s">
        <v>9992</v>
      </c>
      <c r="B578" s="293" t="s">
        <v>9924</v>
      </c>
      <c r="C578" s="293" t="s">
        <v>9925</v>
      </c>
      <c r="D578" s="293" t="s">
        <v>5839</v>
      </c>
      <c r="E578" s="293" t="s">
        <v>9925</v>
      </c>
      <c r="F578" s="293" t="s">
        <v>9993</v>
      </c>
      <c r="G578" s="293" t="s">
        <v>5589</v>
      </c>
      <c r="H578" s="294">
        <v>42247</v>
      </c>
      <c r="I578" s="295">
        <v>-1013.16</v>
      </c>
    </row>
    <row r="579" spans="1:9" x14ac:dyDescent="0.2">
      <c r="A579" s="293" t="s">
        <v>9994</v>
      </c>
      <c r="B579" s="293" t="s">
        <v>9924</v>
      </c>
      <c r="C579" s="293" t="s">
        <v>9925</v>
      </c>
      <c r="D579" s="293" t="s">
        <v>5839</v>
      </c>
      <c r="E579" s="293" t="s">
        <v>9925</v>
      </c>
      <c r="F579" s="293" t="s">
        <v>9995</v>
      </c>
      <c r="G579" s="293" t="s">
        <v>5589</v>
      </c>
      <c r="H579" s="294">
        <v>42277</v>
      </c>
      <c r="I579" s="295">
        <v>-1013.16</v>
      </c>
    </row>
    <row r="580" spans="1:9" x14ac:dyDescent="0.2">
      <c r="A580" s="293" t="s">
        <v>9994</v>
      </c>
      <c r="B580" s="293" t="s">
        <v>9924</v>
      </c>
      <c r="C580" s="293" t="s">
        <v>9925</v>
      </c>
      <c r="D580" s="293" t="s">
        <v>5839</v>
      </c>
      <c r="E580" s="293" t="s">
        <v>9925</v>
      </c>
      <c r="F580" s="293" t="s">
        <v>9995</v>
      </c>
      <c r="G580" s="293" t="s">
        <v>5754</v>
      </c>
      <c r="H580" s="294">
        <v>42277</v>
      </c>
      <c r="I580" s="295">
        <v>-45.88</v>
      </c>
    </row>
    <row r="581" spans="1:9" x14ac:dyDescent="0.2">
      <c r="A581" s="293" t="s">
        <v>9994</v>
      </c>
      <c r="B581" s="293" t="s">
        <v>9924</v>
      </c>
      <c r="C581" s="293" t="s">
        <v>9925</v>
      </c>
      <c r="D581" s="293" t="s">
        <v>5839</v>
      </c>
      <c r="E581" s="293" t="s">
        <v>9925</v>
      </c>
      <c r="F581" s="293" t="s">
        <v>9995</v>
      </c>
      <c r="G581" s="293" t="s">
        <v>5591</v>
      </c>
      <c r="H581" s="294">
        <v>42277</v>
      </c>
      <c r="I581" s="295">
        <v>-3613.16</v>
      </c>
    </row>
    <row r="582" spans="1:9" x14ac:dyDescent="0.2">
      <c r="A582" s="293" t="s">
        <v>9994</v>
      </c>
      <c r="B582" s="293" t="s">
        <v>9924</v>
      </c>
      <c r="C582" s="293" t="s">
        <v>9925</v>
      </c>
      <c r="D582" s="293" t="s">
        <v>5839</v>
      </c>
      <c r="E582" s="293" t="s">
        <v>9925</v>
      </c>
      <c r="F582" s="293" t="s">
        <v>9995</v>
      </c>
      <c r="G582" s="293" t="s">
        <v>5755</v>
      </c>
      <c r="H582" s="294">
        <v>42277</v>
      </c>
      <c r="I582" s="295">
        <v>609.73</v>
      </c>
    </row>
    <row r="583" spans="1:9" x14ac:dyDescent="0.2">
      <c r="A583" s="293" t="s">
        <v>9996</v>
      </c>
      <c r="B583" s="293" t="s">
        <v>9924</v>
      </c>
      <c r="C583" s="293" t="s">
        <v>9925</v>
      </c>
      <c r="D583" s="293" t="s">
        <v>5839</v>
      </c>
      <c r="E583" s="293" t="s">
        <v>9925</v>
      </c>
      <c r="F583" s="293" t="s">
        <v>9997</v>
      </c>
      <c r="G583" s="293" t="s">
        <v>5754</v>
      </c>
      <c r="H583" s="294">
        <v>42308</v>
      </c>
      <c r="I583" s="295">
        <v>-45.88</v>
      </c>
    </row>
    <row r="584" spans="1:9" x14ac:dyDescent="0.2">
      <c r="A584" s="293" t="s">
        <v>9996</v>
      </c>
      <c r="B584" s="293" t="s">
        <v>9924</v>
      </c>
      <c r="C584" s="293" t="s">
        <v>9925</v>
      </c>
      <c r="D584" s="293" t="s">
        <v>5839</v>
      </c>
      <c r="E584" s="293" t="s">
        <v>9925</v>
      </c>
      <c r="F584" s="293" t="s">
        <v>9997</v>
      </c>
      <c r="G584" s="293" t="s">
        <v>5755</v>
      </c>
      <c r="H584" s="294">
        <v>42308</v>
      </c>
      <c r="I584" s="295">
        <v>609.73</v>
      </c>
    </row>
    <row r="585" spans="1:9" x14ac:dyDescent="0.2">
      <c r="A585" s="293" t="s">
        <v>9996</v>
      </c>
      <c r="B585" s="293" t="s">
        <v>9924</v>
      </c>
      <c r="C585" s="293" t="s">
        <v>9925</v>
      </c>
      <c r="D585" s="293" t="s">
        <v>5839</v>
      </c>
      <c r="E585" s="293" t="s">
        <v>9925</v>
      </c>
      <c r="F585" s="293" t="s">
        <v>9997</v>
      </c>
      <c r="G585" s="293" t="s">
        <v>5591</v>
      </c>
      <c r="H585" s="294">
        <v>42308</v>
      </c>
      <c r="I585" s="295">
        <v>-3613.16</v>
      </c>
    </row>
    <row r="586" spans="1:9" x14ac:dyDescent="0.2">
      <c r="A586" s="293" t="s">
        <v>9996</v>
      </c>
      <c r="B586" s="293" t="s">
        <v>9924</v>
      </c>
      <c r="C586" s="293" t="s">
        <v>9925</v>
      </c>
      <c r="D586" s="293" t="s">
        <v>5839</v>
      </c>
      <c r="E586" s="293" t="s">
        <v>9925</v>
      </c>
      <c r="F586" s="293" t="s">
        <v>9997</v>
      </c>
      <c r="G586" s="293" t="s">
        <v>5589</v>
      </c>
      <c r="H586" s="294">
        <v>42308</v>
      </c>
      <c r="I586" s="295">
        <v>-1013.16</v>
      </c>
    </row>
    <row r="587" spans="1:9" x14ac:dyDescent="0.2">
      <c r="A587" s="293" t="s">
        <v>9998</v>
      </c>
      <c r="B587" s="293" t="s">
        <v>9924</v>
      </c>
      <c r="C587" s="293" t="s">
        <v>9925</v>
      </c>
      <c r="D587" s="293" t="s">
        <v>5839</v>
      </c>
      <c r="E587" s="293" t="s">
        <v>9925</v>
      </c>
      <c r="F587" s="293" t="s">
        <v>9999</v>
      </c>
      <c r="G587" s="293" t="s">
        <v>5589</v>
      </c>
      <c r="H587" s="294">
        <v>42338</v>
      </c>
      <c r="I587" s="295">
        <v>-1013.16</v>
      </c>
    </row>
    <row r="588" spans="1:9" x14ac:dyDescent="0.2">
      <c r="A588" s="293" t="s">
        <v>9998</v>
      </c>
      <c r="B588" s="293" t="s">
        <v>9924</v>
      </c>
      <c r="C588" s="293" t="s">
        <v>9925</v>
      </c>
      <c r="D588" s="293" t="s">
        <v>5839</v>
      </c>
      <c r="E588" s="293" t="s">
        <v>9925</v>
      </c>
      <c r="F588" s="293" t="s">
        <v>9999</v>
      </c>
      <c r="G588" s="293" t="s">
        <v>5754</v>
      </c>
      <c r="H588" s="294">
        <v>42338</v>
      </c>
      <c r="I588" s="295">
        <v>-45.88</v>
      </c>
    </row>
    <row r="589" spans="1:9" x14ac:dyDescent="0.2">
      <c r="A589" s="293" t="s">
        <v>9998</v>
      </c>
      <c r="B589" s="293" t="s">
        <v>9924</v>
      </c>
      <c r="C589" s="293" t="s">
        <v>9925</v>
      </c>
      <c r="D589" s="293" t="s">
        <v>5839</v>
      </c>
      <c r="E589" s="293" t="s">
        <v>9925</v>
      </c>
      <c r="F589" s="293" t="s">
        <v>9999</v>
      </c>
      <c r="G589" s="293" t="s">
        <v>5591</v>
      </c>
      <c r="H589" s="294">
        <v>42338</v>
      </c>
      <c r="I589" s="295">
        <v>-3613.16</v>
      </c>
    </row>
    <row r="590" spans="1:9" x14ac:dyDescent="0.2">
      <c r="A590" s="293" t="s">
        <v>9998</v>
      </c>
      <c r="B590" s="293" t="s">
        <v>9924</v>
      </c>
      <c r="C590" s="293" t="s">
        <v>9925</v>
      </c>
      <c r="D590" s="293" t="s">
        <v>5839</v>
      </c>
      <c r="E590" s="293" t="s">
        <v>9925</v>
      </c>
      <c r="F590" s="293" t="s">
        <v>9999</v>
      </c>
      <c r="G590" s="293" t="s">
        <v>5755</v>
      </c>
      <c r="H590" s="294">
        <v>42338</v>
      </c>
      <c r="I590" s="295">
        <v>609.73</v>
      </c>
    </row>
    <row r="591" spans="1:9" x14ac:dyDescent="0.2">
      <c r="A591" s="293" t="s">
        <v>10000</v>
      </c>
      <c r="B591" s="293" t="s">
        <v>9924</v>
      </c>
      <c r="C591" s="293" t="s">
        <v>9925</v>
      </c>
      <c r="D591" s="293" t="s">
        <v>5839</v>
      </c>
      <c r="E591" s="293" t="s">
        <v>9925</v>
      </c>
      <c r="F591" s="293" t="s">
        <v>10001</v>
      </c>
      <c r="G591" s="293" t="s">
        <v>5591</v>
      </c>
      <c r="H591" s="294">
        <v>42369</v>
      </c>
      <c r="I591" s="295">
        <v>-3613.16</v>
      </c>
    </row>
    <row r="592" spans="1:9" x14ac:dyDescent="0.2">
      <c r="A592" s="293" t="s">
        <v>10000</v>
      </c>
      <c r="B592" s="293" t="s">
        <v>9924</v>
      </c>
      <c r="C592" s="293" t="s">
        <v>9925</v>
      </c>
      <c r="D592" s="293" t="s">
        <v>5839</v>
      </c>
      <c r="E592" s="293" t="s">
        <v>9925</v>
      </c>
      <c r="F592" s="293" t="s">
        <v>10001</v>
      </c>
      <c r="G592" s="293" t="s">
        <v>5754</v>
      </c>
      <c r="H592" s="294">
        <v>42369</v>
      </c>
      <c r="I592" s="295">
        <v>-45.88</v>
      </c>
    </row>
    <row r="593" spans="1:9" x14ac:dyDescent="0.2">
      <c r="A593" s="293" t="s">
        <v>10000</v>
      </c>
      <c r="B593" s="293" t="s">
        <v>9924</v>
      </c>
      <c r="C593" s="293" t="s">
        <v>9925</v>
      </c>
      <c r="D593" s="293" t="s">
        <v>5839</v>
      </c>
      <c r="E593" s="293" t="s">
        <v>9925</v>
      </c>
      <c r="F593" s="293" t="s">
        <v>10001</v>
      </c>
      <c r="G593" s="293" t="s">
        <v>5589</v>
      </c>
      <c r="H593" s="294">
        <v>42369</v>
      </c>
      <c r="I593" s="295">
        <v>-1013.16</v>
      </c>
    </row>
    <row r="594" spans="1:9" x14ac:dyDescent="0.2">
      <c r="A594" s="293" t="s">
        <v>10000</v>
      </c>
      <c r="B594" s="293" t="s">
        <v>9924</v>
      </c>
      <c r="C594" s="293" t="s">
        <v>9925</v>
      </c>
      <c r="D594" s="293" t="s">
        <v>5839</v>
      </c>
      <c r="E594" s="293" t="s">
        <v>9925</v>
      </c>
      <c r="F594" s="293" t="s">
        <v>10001</v>
      </c>
      <c r="G594" s="293" t="s">
        <v>5755</v>
      </c>
      <c r="H594" s="294">
        <v>42369</v>
      </c>
      <c r="I594" s="295">
        <v>609.73</v>
      </c>
    </row>
    <row r="595" spans="1:9" x14ac:dyDescent="0.2">
      <c r="A595" s="293" t="s">
        <v>10002</v>
      </c>
      <c r="B595" s="293" t="s">
        <v>9924</v>
      </c>
      <c r="C595" s="293" t="s">
        <v>9925</v>
      </c>
      <c r="D595" s="293" t="s">
        <v>5839</v>
      </c>
      <c r="E595" s="293" t="s">
        <v>9925</v>
      </c>
      <c r="F595" s="293" t="s">
        <v>10003</v>
      </c>
      <c r="G595" s="293" t="s">
        <v>5755</v>
      </c>
      <c r="H595" s="294">
        <v>42369</v>
      </c>
      <c r="I595" s="295">
        <v>609.73</v>
      </c>
    </row>
    <row r="596" spans="1:9" x14ac:dyDescent="0.2">
      <c r="A596" s="293" t="s">
        <v>10002</v>
      </c>
      <c r="B596" s="293" t="s">
        <v>9924</v>
      </c>
      <c r="C596" s="293" t="s">
        <v>9925</v>
      </c>
      <c r="D596" s="293" t="s">
        <v>5839</v>
      </c>
      <c r="E596" s="293" t="s">
        <v>9925</v>
      </c>
      <c r="F596" s="293" t="s">
        <v>10003</v>
      </c>
      <c r="G596" s="293" t="s">
        <v>5754</v>
      </c>
      <c r="H596" s="294">
        <v>42369</v>
      </c>
      <c r="I596" s="295">
        <v>-45.88</v>
      </c>
    </row>
    <row r="597" spans="1:9" x14ac:dyDescent="0.2">
      <c r="A597" s="293" t="s">
        <v>10002</v>
      </c>
      <c r="B597" s="293" t="s">
        <v>9924</v>
      </c>
      <c r="C597" s="293" t="s">
        <v>9925</v>
      </c>
      <c r="D597" s="293" t="s">
        <v>5839</v>
      </c>
      <c r="E597" s="293" t="s">
        <v>9925</v>
      </c>
      <c r="F597" s="293" t="s">
        <v>10003</v>
      </c>
      <c r="G597" s="293" t="s">
        <v>5589</v>
      </c>
      <c r="H597" s="294">
        <v>42369</v>
      </c>
      <c r="I597" s="295">
        <v>-1013.16</v>
      </c>
    </row>
    <row r="598" spans="1:9" x14ac:dyDescent="0.2">
      <c r="A598" s="293" t="s">
        <v>10002</v>
      </c>
      <c r="B598" s="293" t="s">
        <v>9924</v>
      </c>
      <c r="C598" s="293" t="s">
        <v>9925</v>
      </c>
      <c r="D598" s="293" t="s">
        <v>5839</v>
      </c>
      <c r="E598" s="293" t="s">
        <v>9925</v>
      </c>
      <c r="F598" s="293" t="s">
        <v>10003</v>
      </c>
      <c r="G598" s="293" t="s">
        <v>5591</v>
      </c>
      <c r="H598" s="294">
        <v>42369</v>
      </c>
      <c r="I598" s="295">
        <v>-3613.16</v>
      </c>
    </row>
    <row r="599" spans="1:9" x14ac:dyDescent="0.2">
      <c r="A599" s="293" t="s">
        <v>10004</v>
      </c>
      <c r="B599" s="293" t="s">
        <v>9924</v>
      </c>
      <c r="C599" s="293" t="s">
        <v>9939</v>
      </c>
      <c r="D599" s="293" t="s">
        <v>5839</v>
      </c>
      <c r="E599" s="293" t="s">
        <v>9939</v>
      </c>
      <c r="F599" s="293" t="s">
        <v>10003</v>
      </c>
      <c r="G599" s="293" t="s">
        <v>5755</v>
      </c>
      <c r="H599" s="294">
        <v>42369</v>
      </c>
      <c r="I599" s="295">
        <v>-609.73</v>
      </c>
    </row>
    <row r="600" spans="1:9" x14ac:dyDescent="0.2">
      <c r="A600" s="293" t="s">
        <v>10004</v>
      </c>
      <c r="B600" s="293" t="s">
        <v>9924</v>
      </c>
      <c r="C600" s="293" t="s">
        <v>9939</v>
      </c>
      <c r="D600" s="293" t="s">
        <v>5839</v>
      </c>
      <c r="E600" s="293" t="s">
        <v>9939</v>
      </c>
      <c r="F600" s="293" t="s">
        <v>10003</v>
      </c>
      <c r="G600" s="293" t="s">
        <v>5591</v>
      </c>
      <c r="H600" s="294">
        <v>42369</v>
      </c>
      <c r="I600" s="295">
        <v>3613.16</v>
      </c>
    </row>
    <row r="601" spans="1:9" x14ac:dyDescent="0.2">
      <c r="A601" s="293" t="s">
        <v>10004</v>
      </c>
      <c r="B601" s="293" t="s">
        <v>9924</v>
      </c>
      <c r="C601" s="293" t="s">
        <v>9939</v>
      </c>
      <c r="D601" s="293" t="s">
        <v>5839</v>
      </c>
      <c r="E601" s="293" t="s">
        <v>9939</v>
      </c>
      <c r="F601" s="293" t="s">
        <v>10003</v>
      </c>
      <c r="G601" s="293" t="s">
        <v>5754</v>
      </c>
      <c r="H601" s="294">
        <v>42369</v>
      </c>
      <c r="I601" s="295">
        <v>45.88</v>
      </c>
    </row>
    <row r="602" spans="1:9" x14ac:dyDescent="0.2">
      <c r="A602" s="293" t="s">
        <v>10004</v>
      </c>
      <c r="B602" s="293" t="s">
        <v>9924</v>
      </c>
      <c r="C602" s="293" t="s">
        <v>9939</v>
      </c>
      <c r="D602" s="293" t="s">
        <v>5839</v>
      </c>
      <c r="E602" s="293" t="s">
        <v>9939</v>
      </c>
      <c r="F602" s="293" t="s">
        <v>10003</v>
      </c>
      <c r="G602" s="293" t="s">
        <v>5589</v>
      </c>
      <c r="H602" s="294">
        <v>42369</v>
      </c>
      <c r="I602" s="295">
        <v>1013.16</v>
      </c>
    </row>
    <row r="603" spans="1:9" x14ac:dyDescent="0.2">
      <c r="A603" s="293" t="s">
        <v>10005</v>
      </c>
      <c r="B603" s="293" t="s">
        <v>9924</v>
      </c>
      <c r="C603" s="293" t="s">
        <v>9925</v>
      </c>
      <c r="D603" s="293" t="s">
        <v>5839</v>
      </c>
      <c r="E603" s="293" t="s">
        <v>9925</v>
      </c>
      <c r="F603" s="293" t="s">
        <v>10006</v>
      </c>
      <c r="G603" s="293" t="s">
        <v>5754</v>
      </c>
      <c r="H603" s="294">
        <v>42369</v>
      </c>
      <c r="I603" s="295">
        <v>-45.88</v>
      </c>
    </row>
    <row r="604" spans="1:9" x14ac:dyDescent="0.2">
      <c r="A604" s="293" t="s">
        <v>10005</v>
      </c>
      <c r="B604" s="293" t="s">
        <v>9924</v>
      </c>
      <c r="C604" s="293" t="s">
        <v>9925</v>
      </c>
      <c r="D604" s="293" t="s">
        <v>5839</v>
      </c>
      <c r="E604" s="293" t="s">
        <v>9925</v>
      </c>
      <c r="F604" s="293" t="s">
        <v>10006</v>
      </c>
      <c r="G604" s="293" t="s">
        <v>5591</v>
      </c>
      <c r="H604" s="294">
        <v>42369</v>
      </c>
      <c r="I604" s="295">
        <v>-3613.16</v>
      </c>
    </row>
    <row r="605" spans="1:9" x14ac:dyDescent="0.2">
      <c r="A605" s="293" t="s">
        <v>10005</v>
      </c>
      <c r="B605" s="293" t="s">
        <v>9924</v>
      </c>
      <c r="C605" s="293" t="s">
        <v>9925</v>
      </c>
      <c r="D605" s="293" t="s">
        <v>5839</v>
      </c>
      <c r="E605" s="293" t="s">
        <v>9925</v>
      </c>
      <c r="F605" s="293" t="s">
        <v>10006</v>
      </c>
      <c r="G605" s="293" t="s">
        <v>5589</v>
      </c>
      <c r="H605" s="294">
        <v>42369</v>
      </c>
      <c r="I605" s="295">
        <v>-1013.16</v>
      </c>
    </row>
    <row r="606" spans="1:9" x14ac:dyDescent="0.2">
      <c r="A606" s="293" t="s">
        <v>10005</v>
      </c>
      <c r="B606" s="293" t="s">
        <v>9924</v>
      </c>
      <c r="C606" s="293" t="s">
        <v>9925</v>
      </c>
      <c r="D606" s="293" t="s">
        <v>5839</v>
      </c>
      <c r="E606" s="293" t="s">
        <v>9925</v>
      </c>
      <c r="F606" s="293" t="s">
        <v>10006</v>
      </c>
      <c r="G606" s="293" t="s">
        <v>5755</v>
      </c>
      <c r="H606" s="294">
        <v>42369</v>
      </c>
      <c r="I606" s="295">
        <v>609.73</v>
      </c>
    </row>
    <row r="607" spans="1:9" x14ac:dyDescent="0.2">
      <c r="A607" s="293" t="s">
        <v>10007</v>
      </c>
      <c r="B607" s="293" t="s">
        <v>9924</v>
      </c>
      <c r="C607" s="293" t="s">
        <v>9939</v>
      </c>
      <c r="D607" s="293" t="s">
        <v>5839</v>
      </c>
      <c r="E607" s="293" t="s">
        <v>9939</v>
      </c>
      <c r="F607" s="293" t="s">
        <v>10006</v>
      </c>
      <c r="G607" s="293" t="s">
        <v>5755</v>
      </c>
      <c r="H607" s="294">
        <v>42369</v>
      </c>
      <c r="I607" s="295">
        <v>-609.73</v>
      </c>
    </row>
    <row r="608" spans="1:9" x14ac:dyDescent="0.2">
      <c r="A608" s="293" t="s">
        <v>10007</v>
      </c>
      <c r="B608" s="293" t="s">
        <v>9924</v>
      </c>
      <c r="C608" s="293" t="s">
        <v>9939</v>
      </c>
      <c r="D608" s="293" t="s">
        <v>5839</v>
      </c>
      <c r="E608" s="293" t="s">
        <v>9939</v>
      </c>
      <c r="F608" s="293" t="s">
        <v>10006</v>
      </c>
      <c r="G608" s="293" t="s">
        <v>5591</v>
      </c>
      <c r="H608" s="294">
        <v>42369</v>
      </c>
      <c r="I608" s="295">
        <v>3613.16</v>
      </c>
    </row>
    <row r="609" spans="1:9" x14ac:dyDescent="0.2">
      <c r="A609" s="293" t="s">
        <v>10007</v>
      </c>
      <c r="B609" s="293" t="s">
        <v>9924</v>
      </c>
      <c r="C609" s="293" t="s">
        <v>9939</v>
      </c>
      <c r="D609" s="293" t="s">
        <v>5839</v>
      </c>
      <c r="E609" s="293" t="s">
        <v>9939</v>
      </c>
      <c r="F609" s="293" t="s">
        <v>10006</v>
      </c>
      <c r="G609" s="293" t="s">
        <v>5589</v>
      </c>
      <c r="H609" s="294">
        <v>42369</v>
      </c>
      <c r="I609" s="295">
        <v>1013.16</v>
      </c>
    </row>
    <row r="610" spans="1:9" x14ac:dyDescent="0.2">
      <c r="A610" s="293" t="s">
        <v>10007</v>
      </c>
      <c r="B610" s="293" t="s">
        <v>9924</v>
      </c>
      <c r="C610" s="293" t="s">
        <v>9939</v>
      </c>
      <c r="D610" s="293" t="s">
        <v>5839</v>
      </c>
      <c r="E610" s="293" t="s">
        <v>9939</v>
      </c>
      <c r="F610" s="293" t="s">
        <v>10006</v>
      </c>
      <c r="G610" s="293" t="s">
        <v>5754</v>
      </c>
      <c r="H610" s="294">
        <v>42369</v>
      </c>
      <c r="I610" s="295">
        <v>45.88</v>
      </c>
    </row>
    <row r="611" spans="1:9" x14ac:dyDescent="0.2">
      <c r="A611" s="293" t="s">
        <v>10008</v>
      </c>
      <c r="B611" s="293" t="s">
        <v>9924</v>
      </c>
      <c r="C611" s="293" t="s">
        <v>9925</v>
      </c>
      <c r="D611" s="293" t="s">
        <v>5839</v>
      </c>
      <c r="E611" s="293" t="s">
        <v>9925</v>
      </c>
      <c r="F611" s="293" t="s">
        <v>10009</v>
      </c>
      <c r="G611" s="293" t="s">
        <v>5754</v>
      </c>
      <c r="H611" s="294">
        <v>42400</v>
      </c>
      <c r="I611" s="295">
        <v>-45.88</v>
      </c>
    </row>
    <row r="612" spans="1:9" x14ac:dyDescent="0.2">
      <c r="A612" s="293" t="s">
        <v>10008</v>
      </c>
      <c r="B612" s="293" t="s">
        <v>9924</v>
      </c>
      <c r="C612" s="293" t="s">
        <v>9925</v>
      </c>
      <c r="D612" s="293" t="s">
        <v>5839</v>
      </c>
      <c r="E612" s="293" t="s">
        <v>9925</v>
      </c>
      <c r="F612" s="293" t="s">
        <v>10009</v>
      </c>
      <c r="G612" s="293" t="s">
        <v>5755</v>
      </c>
      <c r="H612" s="294">
        <v>42400</v>
      </c>
      <c r="I612" s="295">
        <v>609.73</v>
      </c>
    </row>
    <row r="613" spans="1:9" x14ac:dyDescent="0.2">
      <c r="A613" s="293" t="s">
        <v>10008</v>
      </c>
      <c r="B613" s="293" t="s">
        <v>9924</v>
      </c>
      <c r="C613" s="293" t="s">
        <v>9925</v>
      </c>
      <c r="D613" s="293" t="s">
        <v>5839</v>
      </c>
      <c r="E613" s="293" t="s">
        <v>9925</v>
      </c>
      <c r="F613" s="293" t="s">
        <v>10009</v>
      </c>
      <c r="G613" s="293" t="s">
        <v>5589</v>
      </c>
      <c r="H613" s="294">
        <v>42400</v>
      </c>
      <c r="I613" s="295">
        <v>-1013.16</v>
      </c>
    </row>
    <row r="614" spans="1:9" x14ac:dyDescent="0.2">
      <c r="A614" s="293" t="s">
        <v>10008</v>
      </c>
      <c r="B614" s="293" t="s">
        <v>9924</v>
      </c>
      <c r="C614" s="293" t="s">
        <v>9925</v>
      </c>
      <c r="D614" s="293" t="s">
        <v>5839</v>
      </c>
      <c r="E614" s="293" t="s">
        <v>9925</v>
      </c>
      <c r="F614" s="293" t="s">
        <v>10009</v>
      </c>
      <c r="G614" s="293" t="s">
        <v>5591</v>
      </c>
      <c r="H614" s="294">
        <v>42400</v>
      </c>
      <c r="I614" s="295">
        <v>-3613.16</v>
      </c>
    </row>
    <row r="615" spans="1:9" x14ac:dyDescent="0.2">
      <c r="A615" s="293" t="s">
        <v>10010</v>
      </c>
      <c r="B615" s="293" t="s">
        <v>9924</v>
      </c>
      <c r="C615" s="293" t="s">
        <v>9925</v>
      </c>
      <c r="D615" s="293" t="s">
        <v>5839</v>
      </c>
      <c r="E615" s="293" t="s">
        <v>9925</v>
      </c>
      <c r="F615" s="293" t="s">
        <v>10011</v>
      </c>
      <c r="G615" s="293" t="s">
        <v>5755</v>
      </c>
      <c r="H615" s="294">
        <v>42429</v>
      </c>
      <c r="I615" s="295">
        <v>609.73</v>
      </c>
    </row>
    <row r="616" spans="1:9" x14ac:dyDescent="0.2">
      <c r="A616" s="293" t="s">
        <v>10010</v>
      </c>
      <c r="B616" s="293" t="s">
        <v>9924</v>
      </c>
      <c r="C616" s="293" t="s">
        <v>9925</v>
      </c>
      <c r="D616" s="293" t="s">
        <v>5839</v>
      </c>
      <c r="E616" s="293" t="s">
        <v>9925</v>
      </c>
      <c r="F616" s="293" t="s">
        <v>10011</v>
      </c>
      <c r="G616" s="293" t="s">
        <v>5754</v>
      </c>
      <c r="H616" s="294">
        <v>42429</v>
      </c>
      <c r="I616" s="295">
        <v>-45.88</v>
      </c>
    </row>
    <row r="617" spans="1:9" x14ac:dyDescent="0.2">
      <c r="A617" s="293" t="s">
        <v>10010</v>
      </c>
      <c r="B617" s="293" t="s">
        <v>9924</v>
      </c>
      <c r="C617" s="293" t="s">
        <v>9925</v>
      </c>
      <c r="D617" s="293" t="s">
        <v>5839</v>
      </c>
      <c r="E617" s="293" t="s">
        <v>9925</v>
      </c>
      <c r="F617" s="293" t="s">
        <v>10011</v>
      </c>
      <c r="G617" s="293" t="s">
        <v>5589</v>
      </c>
      <c r="H617" s="294">
        <v>42429</v>
      </c>
      <c r="I617" s="295">
        <v>-1013.16</v>
      </c>
    </row>
    <row r="618" spans="1:9" x14ac:dyDescent="0.2">
      <c r="A618" s="293" t="s">
        <v>10010</v>
      </c>
      <c r="B618" s="293" t="s">
        <v>9924</v>
      </c>
      <c r="C618" s="293" t="s">
        <v>9925</v>
      </c>
      <c r="D618" s="293" t="s">
        <v>5839</v>
      </c>
      <c r="E618" s="293" t="s">
        <v>9925</v>
      </c>
      <c r="F618" s="293" t="s">
        <v>10011</v>
      </c>
      <c r="G618" s="293" t="s">
        <v>5591</v>
      </c>
      <c r="H618" s="294">
        <v>42429</v>
      </c>
      <c r="I618" s="295">
        <v>-3613.16</v>
      </c>
    </row>
    <row r="619" spans="1:9" x14ac:dyDescent="0.2">
      <c r="A619" s="293" t="s">
        <v>10012</v>
      </c>
      <c r="B619" s="293" t="s">
        <v>9924</v>
      </c>
      <c r="C619" s="293" t="s">
        <v>9925</v>
      </c>
      <c r="D619" s="293" t="s">
        <v>5839</v>
      </c>
      <c r="E619" s="293" t="s">
        <v>9925</v>
      </c>
      <c r="F619" s="293" t="s">
        <v>10013</v>
      </c>
      <c r="G619" s="293" t="s">
        <v>5589</v>
      </c>
      <c r="H619" s="294">
        <v>42429</v>
      </c>
      <c r="I619" s="295">
        <v>-1013.16</v>
      </c>
    </row>
    <row r="620" spans="1:9" x14ac:dyDescent="0.2">
      <c r="A620" s="293" t="s">
        <v>10012</v>
      </c>
      <c r="B620" s="293" t="s">
        <v>9924</v>
      </c>
      <c r="C620" s="293" t="s">
        <v>9925</v>
      </c>
      <c r="D620" s="293" t="s">
        <v>5839</v>
      </c>
      <c r="E620" s="293" t="s">
        <v>9925</v>
      </c>
      <c r="F620" s="293" t="s">
        <v>10013</v>
      </c>
      <c r="G620" s="293" t="s">
        <v>5591</v>
      </c>
      <c r="H620" s="294">
        <v>42429</v>
      </c>
      <c r="I620" s="295">
        <v>-3613.16</v>
      </c>
    </row>
    <row r="621" spans="1:9" x14ac:dyDescent="0.2">
      <c r="A621" s="293" t="s">
        <v>10012</v>
      </c>
      <c r="B621" s="293" t="s">
        <v>9924</v>
      </c>
      <c r="C621" s="293" t="s">
        <v>9925</v>
      </c>
      <c r="D621" s="293" t="s">
        <v>5839</v>
      </c>
      <c r="E621" s="293" t="s">
        <v>9925</v>
      </c>
      <c r="F621" s="293" t="s">
        <v>10013</v>
      </c>
      <c r="G621" s="293" t="s">
        <v>5754</v>
      </c>
      <c r="H621" s="294">
        <v>42429</v>
      </c>
      <c r="I621" s="295">
        <v>-45.88</v>
      </c>
    </row>
    <row r="622" spans="1:9" x14ac:dyDescent="0.2">
      <c r="A622" s="293" t="s">
        <v>10012</v>
      </c>
      <c r="B622" s="293" t="s">
        <v>9924</v>
      </c>
      <c r="C622" s="293" t="s">
        <v>9925</v>
      </c>
      <c r="D622" s="293" t="s">
        <v>5839</v>
      </c>
      <c r="E622" s="293" t="s">
        <v>9925</v>
      </c>
      <c r="F622" s="293" t="s">
        <v>10013</v>
      </c>
      <c r="G622" s="293" t="s">
        <v>5755</v>
      </c>
      <c r="H622" s="294">
        <v>42429</v>
      </c>
      <c r="I622" s="295">
        <v>609.73</v>
      </c>
    </row>
    <row r="623" spans="1:9" x14ac:dyDescent="0.2">
      <c r="A623" s="293" t="s">
        <v>10014</v>
      </c>
      <c r="B623" s="293" t="s">
        <v>9924</v>
      </c>
      <c r="C623" s="293" t="s">
        <v>9939</v>
      </c>
      <c r="D623" s="293" t="s">
        <v>5839</v>
      </c>
      <c r="E623" s="293" t="s">
        <v>9939</v>
      </c>
      <c r="F623" s="293" t="s">
        <v>10013</v>
      </c>
      <c r="G623" s="293" t="s">
        <v>5755</v>
      </c>
      <c r="H623" s="294">
        <v>42429</v>
      </c>
      <c r="I623" s="295">
        <v>-609.73</v>
      </c>
    </row>
    <row r="624" spans="1:9" x14ac:dyDescent="0.2">
      <c r="A624" s="293" t="s">
        <v>10014</v>
      </c>
      <c r="B624" s="293" t="s">
        <v>9924</v>
      </c>
      <c r="C624" s="293" t="s">
        <v>9939</v>
      </c>
      <c r="D624" s="293" t="s">
        <v>5839</v>
      </c>
      <c r="E624" s="293" t="s">
        <v>9939</v>
      </c>
      <c r="F624" s="293" t="s">
        <v>10013</v>
      </c>
      <c r="G624" s="293" t="s">
        <v>5589</v>
      </c>
      <c r="H624" s="294">
        <v>42429</v>
      </c>
      <c r="I624" s="295">
        <v>1013.16</v>
      </c>
    </row>
    <row r="625" spans="1:9" x14ac:dyDescent="0.2">
      <c r="A625" s="293" t="s">
        <v>10014</v>
      </c>
      <c r="B625" s="293" t="s">
        <v>9924</v>
      </c>
      <c r="C625" s="293" t="s">
        <v>9939</v>
      </c>
      <c r="D625" s="293" t="s">
        <v>5839</v>
      </c>
      <c r="E625" s="293" t="s">
        <v>9939</v>
      </c>
      <c r="F625" s="293" t="s">
        <v>10013</v>
      </c>
      <c r="G625" s="293" t="s">
        <v>5754</v>
      </c>
      <c r="H625" s="294">
        <v>42429</v>
      </c>
      <c r="I625" s="295">
        <v>45.88</v>
      </c>
    </row>
    <row r="626" spans="1:9" x14ac:dyDescent="0.2">
      <c r="A626" s="293" t="s">
        <v>10014</v>
      </c>
      <c r="B626" s="293" t="s">
        <v>9924</v>
      </c>
      <c r="C626" s="293" t="s">
        <v>9939</v>
      </c>
      <c r="D626" s="293" t="s">
        <v>5839</v>
      </c>
      <c r="E626" s="293" t="s">
        <v>9939</v>
      </c>
      <c r="F626" s="293" t="s">
        <v>10013</v>
      </c>
      <c r="G626" s="293" t="s">
        <v>5591</v>
      </c>
      <c r="H626" s="294">
        <v>42429</v>
      </c>
      <c r="I626" s="295">
        <v>3613.16</v>
      </c>
    </row>
    <row r="627" spans="1:9" x14ac:dyDescent="0.2">
      <c r="A627" s="293" t="s">
        <v>10015</v>
      </c>
      <c r="B627" s="293" t="s">
        <v>9924</v>
      </c>
      <c r="C627" s="293" t="s">
        <v>9925</v>
      </c>
      <c r="D627" s="293" t="s">
        <v>5839</v>
      </c>
      <c r="E627" s="293" t="s">
        <v>9925</v>
      </c>
      <c r="F627" s="293" t="s">
        <v>10016</v>
      </c>
      <c r="G627" s="293" t="s">
        <v>5591</v>
      </c>
      <c r="H627" s="294">
        <v>42460</v>
      </c>
      <c r="I627" s="295">
        <v>-3613.16</v>
      </c>
    </row>
    <row r="628" spans="1:9" x14ac:dyDescent="0.2">
      <c r="A628" s="293" t="s">
        <v>10015</v>
      </c>
      <c r="B628" s="293" t="s">
        <v>9924</v>
      </c>
      <c r="C628" s="293" t="s">
        <v>9925</v>
      </c>
      <c r="D628" s="293" t="s">
        <v>5839</v>
      </c>
      <c r="E628" s="293" t="s">
        <v>9925</v>
      </c>
      <c r="F628" s="293" t="s">
        <v>10016</v>
      </c>
      <c r="G628" s="293" t="s">
        <v>5754</v>
      </c>
      <c r="H628" s="294">
        <v>42460</v>
      </c>
      <c r="I628" s="295">
        <v>-45.88</v>
      </c>
    </row>
    <row r="629" spans="1:9" x14ac:dyDescent="0.2">
      <c r="A629" s="293" t="s">
        <v>10015</v>
      </c>
      <c r="B629" s="293" t="s">
        <v>9924</v>
      </c>
      <c r="C629" s="293" t="s">
        <v>9925</v>
      </c>
      <c r="D629" s="293" t="s">
        <v>5839</v>
      </c>
      <c r="E629" s="293" t="s">
        <v>9925</v>
      </c>
      <c r="F629" s="293" t="s">
        <v>10016</v>
      </c>
      <c r="G629" s="293" t="s">
        <v>5755</v>
      </c>
      <c r="H629" s="294">
        <v>42460</v>
      </c>
      <c r="I629" s="295">
        <v>609.73</v>
      </c>
    </row>
    <row r="630" spans="1:9" x14ac:dyDescent="0.2">
      <c r="A630" s="293" t="s">
        <v>10015</v>
      </c>
      <c r="B630" s="293" t="s">
        <v>9924</v>
      </c>
      <c r="C630" s="293" t="s">
        <v>9925</v>
      </c>
      <c r="D630" s="293" t="s">
        <v>5839</v>
      </c>
      <c r="E630" s="293" t="s">
        <v>9925</v>
      </c>
      <c r="F630" s="293" t="s">
        <v>10016</v>
      </c>
      <c r="G630" s="293" t="s">
        <v>5589</v>
      </c>
      <c r="H630" s="294">
        <v>42460</v>
      </c>
      <c r="I630" s="295">
        <v>-1013.16</v>
      </c>
    </row>
    <row r="631" spans="1:9" x14ac:dyDescent="0.2">
      <c r="A631" s="293" t="s">
        <v>10017</v>
      </c>
      <c r="B631" s="293" t="s">
        <v>9924</v>
      </c>
      <c r="C631" s="293" t="s">
        <v>9925</v>
      </c>
      <c r="D631" s="293" t="s">
        <v>5839</v>
      </c>
      <c r="E631" s="293" t="s">
        <v>9925</v>
      </c>
      <c r="F631" s="293" t="s">
        <v>10018</v>
      </c>
      <c r="G631" s="293" t="s">
        <v>5591</v>
      </c>
      <c r="H631" s="294">
        <v>42490</v>
      </c>
      <c r="I631" s="295">
        <v>-3613.16</v>
      </c>
    </row>
    <row r="632" spans="1:9" x14ac:dyDescent="0.2">
      <c r="A632" s="293" t="s">
        <v>10017</v>
      </c>
      <c r="B632" s="293" t="s">
        <v>9924</v>
      </c>
      <c r="C632" s="293" t="s">
        <v>9925</v>
      </c>
      <c r="D632" s="293" t="s">
        <v>5839</v>
      </c>
      <c r="E632" s="293" t="s">
        <v>9925</v>
      </c>
      <c r="F632" s="293" t="s">
        <v>10018</v>
      </c>
      <c r="G632" s="293" t="s">
        <v>5755</v>
      </c>
      <c r="H632" s="294">
        <v>42490</v>
      </c>
      <c r="I632" s="295">
        <v>609.73</v>
      </c>
    </row>
    <row r="633" spans="1:9" x14ac:dyDescent="0.2">
      <c r="A633" s="293" t="s">
        <v>10017</v>
      </c>
      <c r="B633" s="293" t="s">
        <v>9924</v>
      </c>
      <c r="C633" s="293" t="s">
        <v>9925</v>
      </c>
      <c r="D633" s="293" t="s">
        <v>5839</v>
      </c>
      <c r="E633" s="293" t="s">
        <v>9925</v>
      </c>
      <c r="F633" s="293" t="s">
        <v>10018</v>
      </c>
      <c r="G633" s="293" t="s">
        <v>5589</v>
      </c>
      <c r="H633" s="294">
        <v>42490</v>
      </c>
      <c r="I633" s="295">
        <v>-1013.16</v>
      </c>
    </row>
    <row r="634" spans="1:9" x14ac:dyDescent="0.2">
      <c r="A634" s="293" t="s">
        <v>10017</v>
      </c>
      <c r="B634" s="293" t="s">
        <v>9924</v>
      </c>
      <c r="C634" s="293" t="s">
        <v>9925</v>
      </c>
      <c r="D634" s="293" t="s">
        <v>5839</v>
      </c>
      <c r="E634" s="293" t="s">
        <v>9925</v>
      </c>
      <c r="F634" s="293" t="s">
        <v>10018</v>
      </c>
      <c r="G634" s="293" t="s">
        <v>5754</v>
      </c>
      <c r="H634" s="294">
        <v>42490</v>
      </c>
      <c r="I634" s="295">
        <v>-45.88</v>
      </c>
    </row>
    <row r="635" spans="1:9" x14ac:dyDescent="0.2">
      <c r="A635" s="293" t="s">
        <v>10019</v>
      </c>
      <c r="B635" s="293" t="s">
        <v>9924</v>
      </c>
      <c r="C635" s="293" t="s">
        <v>9925</v>
      </c>
      <c r="D635" s="293" t="s">
        <v>5839</v>
      </c>
      <c r="E635" s="293" t="s">
        <v>9925</v>
      </c>
      <c r="F635" s="293" t="s">
        <v>10020</v>
      </c>
      <c r="G635" s="293" t="s">
        <v>5755</v>
      </c>
      <c r="H635" s="294">
        <v>42521</v>
      </c>
      <c r="I635" s="295">
        <v>609.73</v>
      </c>
    </row>
    <row r="636" spans="1:9" x14ac:dyDescent="0.2">
      <c r="A636" s="293" t="s">
        <v>10019</v>
      </c>
      <c r="B636" s="293" t="s">
        <v>9924</v>
      </c>
      <c r="C636" s="293" t="s">
        <v>9925</v>
      </c>
      <c r="D636" s="293" t="s">
        <v>5839</v>
      </c>
      <c r="E636" s="293" t="s">
        <v>9925</v>
      </c>
      <c r="F636" s="293" t="s">
        <v>10020</v>
      </c>
      <c r="G636" s="293" t="s">
        <v>5754</v>
      </c>
      <c r="H636" s="294">
        <v>42521</v>
      </c>
      <c r="I636" s="295">
        <v>-45.88</v>
      </c>
    </row>
    <row r="637" spans="1:9" x14ac:dyDescent="0.2">
      <c r="A637" s="293" t="s">
        <v>10019</v>
      </c>
      <c r="B637" s="293" t="s">
        <v>9924</v>
      </c>
      <c r="C637" s="293" t="s">
        <v>9925</v>
      </c>
      <c r="D637" s="293" t="s">
        <v>5839</v>
      </c>
      <c r="E637" s="293" t="s">
        <v>9925</v>
      </c>
      <c r="F637" s="293" t="s">
        <v>10020</v>
      </c>
      <c r="G637" s="293" t="s">
        <v>5591</v>
      </c>
      <c r="H637" s="294">
        <v>42521</v>
      </c>
      <c r="I637" s="295">
        <v>-3613.16</v>
      </c>
    </row>
    <row r="638" spans="1:9" x14ac:dyDescent="0.2">
      <c r="A638" s="293" t="s">
        <v>10019</v>
      </c>
      <c r="B638" s="293" t="s">
        <v>9924</v>
      </c>
      <c r="C638" s="293" t="s">
        <v>9925</v>
      </c>
      <c r="D638" s="293" t="s">
        <v>5839</v>
      </c>
      <c r="E638" s="293" t="s">
        <v>9925</v>
      </c>
      <c r="F638" s="293" t="s">
        <v>10020</v>
      </c>
      <c r="G638" s="293" t="s">
        <v>5589</v>
      </c>
      <c r="H638" s="294">
        <v>42521</v>
      </c>
      <c r="I638" s="295">
        <v>-1013.16</v>
      </c>
    </row>
    <row r="639" spans="1:9" x14ac:dyDescent="0.2">
      <c r="A639" s="293" t="s">
        <v>10021</v>
      </c>
      <c r="B639" s="293" t="s">
        <v>9924</v>
      </c>
      <c r="C639" s="293" t="s">
        <v>9925</v>
      </c>
      <c r="D639" s="293" t="s">
        <v>5839</v>
      </c>
      <c r="E639" s="293" t="s">
        <v>9925</v>
      </c>
      <c r="F639" s="293" t="s">
        <v>10022</v>
      </c>
      <c r="G639" s="293" t="s">
        <v>5755</v>
      </c>
      <c r="H639" s="294">
        <v>42551</v>
      </c>
      <c r="I639" s="295">
        <v>609.73</v>
      </c>
    </row>
    <row r="640" spans="1:9" x14ac:dyDescent="0.2">
      <c r="A640" s="293" t="s">
        <v>10021</v>
      </c>
      <c r="B640" s="293" t="s">
        <v>9924</v>
      </c>
      <c r="C640" s="293" t="s">
        <v>9925</v>
      </c>
      <c r="D640" s="293" t="s">
        <v>5839</v>
      </c>
      <c r="E640" s="293" t="s">
        <v>9925</v>
      </c>
      <c r="F640" s="293" t="s">
        <v>10022</v>
      </c>
      <c r="G640" s="293" t="s">
        <v>5591</v>
      </c>
      <c r="H640" s="294">
        <v>42551</v>
      </c>
      <c r="I640" s="295">
        <v>-3613.16</v>
      </c>
    </row>
    <row r="641" spans="1:9" x14ac:dyDescent="0.2">
      <c r="A641" s="293" t="s">
        <v>10021</v>
      </c>
      <c r="B641" s="293" t="s">
        <v>9924</v>
      </c>
      <c r="C641" s="293" t="s">
        <v>9925</v>
      </c>
      <c r="D641" s="293" t="s">
        <v>5839</v>
      </c>
      <c r="E641" s="293" t="s">
        <v>9925</v>
      </c>
      <c r="F641" s="293" t="s">
        <v>10022</v>
      </c>
      <c r="G641" s="293" t="s">
        <v>5754</v>
      </c>
      <c r="H641" s="294">
        <v>42551</v>
      </c>
      <c r="I641" s="295">
        <v>-45.88</v>
      </c>
    </row>
    <row r="642" spans="1:9" x14ac:dyDescent="0.2">
      <c r="A642" s="293" t="s">
        <v>10021</v>
      </c>
      <c r="B642" s="293" t="s">
        <v>9924</v>
      </c>
      <c r="C642" s="293" t="s">
        <v>9925</v>
      </c>
      <c r="D642" s="293" t="s">
        <v>5839</v>
      </c>
      <c r="E642" s="293" t="s">
        <v>9925</v>
      </c>
      <c r="F642" s="293" t="s">
        <v>10022</v>
      </c>
      <c r="G642" s="293" t="s">
        <v>5589</v>
      </c>
      <c r="H642" s="294">
        <v>42551</v>
      </c>
      <c r="I642" s="295">
        <v>-1013.16</v>
      </c>
    </row>
    <row r="643" spans="1:9" x14ac:dyDescent="0.2">
      <c r="A643" s="293" t="s">
        <v>10023</v>
      </c>
      <c r="B643" s="293" t="s">
        <v>9924</v>
      </c>
      <c r="C643" s="293" t="s">
        <v>9925</v>
      </c>
      <c r="D643" s="293" t="s">
        <v>5839</v>
      </c>
      <c r="E643" s="293" t="s">
        <v>9925</v>
      </c>
      <c r="F643" s="293" t="s">
        <v>10024</v>
      </c>
      <c r="G643" s="293" t="s">
        <v>5589</v>
      </c>
      <c r="H643" s="294">
        <v>42582</v>
      </c>
      <c r="I643" s="295">
        <v>-1013.16</v>
      </c>
    </row>
    <row r="644" spans="1:9" x14ac:dyDescent="0.2">
      <c r="A644" s="293" t="s">
        <v>10023</v>
      </c>
      <c r="B644" s="293" t="s">
        <v>9924</v>
      </c>
      <c r="C644" s="293" t="s">
        <v>9925</v>
      </c>
      <c r="D644" s="293" t="s">
        <v>5839</v>
      </c>
      <c r="E644" s="293" t="s">
        <v>9925</v>
      </c>
      <c r="F644" s="293" t="s">
        <v>10024</v>
      </c>
      <c r="G644" s="293" t="s">
        <v>5591</v>
      </c>
      <c r="H644" s="294">
        <v>42582</v>
      </c>
      <c r="I644" s="295">
        <v>-3613.16</v>
      </c>
    </row>
    <row r="645" spans="1:9" x14ac:dyDescent="0.2">
      <c r="A645" s="293" t="s">
        <v>10023</v>
      </c>
      <c r="B645" s="293" t="s">
        <v>9924</v>
      </c>
      <c r="C645" s="293" t="s">
        <v>9925</v>
      </c>
      <c r="D645" s="293" t="s">
        <v>5839</v>
      </c>
      <c r="E645" s="293" t="s">
        <v>9925</v>
      </c>
      <c r="F645" s="293" t="s">
        <v>10024</v>
      </c>
      <c r="G645" s="293" t="s">
        <v>5754</v>
      </c>
      <c r="H645" s="294">
        <v>42582</v>
      </c>
      <c r="I645" s="295">
        <v>-45.88</v>
      </c>
    </row>
    <row r="646" spans="1:9" x14ac:dyDescent="0.2">
      <c r="A646" s="293" t="s">
        <v>10023</v>
      </c>
      <c r="B646" s="293" t="s">
        <v>9924</v>
      </c>
      <c r="C646" s="293" t="s">
        <v>9925</v>
      </c>
      <c r="D646" s="293" t="s">
        <v>5839</v>
      </c>
      <c r="E646" s="293" t="s">
        <v>9925</v>
      </c>
      <c r="F646" s="293" t="s">
        <v>10024</v>
      </c>
      <c r="G646" s="293" t="s">
        <v>5755</v>
      </c>
      <c r="H646" s="294">
        <v>42582</v>
      </c>
      <c r="I646" s="295">
        <v>609.73</v>
      </c>
    </row>
    <row r="647" spans="1:9" x14ac:dyDescent="0.2">
      <c r="A647" s="293" t="s">
        <v>10025</v>
      </c>
      <c r="B647" s="293" t="s">
        <v>9924</v>
      </c>
      <c r="C647" s="293" t="s">
        <v>9925</v>
      </c>
      <c r="D647" s="293" t="s">
        <v>5839</v>
      </c>
      <c r="E647" s="293" t="s">
        <v>9925</v>
      </c>
      <c r="F647" s="293" t="s">
        <v>10026</v>
      </c>
      <c r="G647" s="293" t="s">
        <v>5754</v>
      </c>
      <c r="H647" s="294">
        <v>42613</v>
      </c>
      <c r="I647" s="295">
        <v>-45.88</v>
      </c>
    </row>
    <row r="648" spans="1:9" x14ac:dyDescent="0.2">
      <c r="A648" s="293" t="s">
        <v>10025</v>
      </c>
      <c r="B648" s="293" t="s">
        <v>9924</v>
      </c>
      <c r="C648" s="293" t="s">
        <v>9925</v>
      </c>
      <c r="D648" s="293" t="s">
        <v>5839</v>
      </c>
      <c r="E648" s="293" t="s">
        <v>9925</v>
      </c>
      <c r="F648" s="293" t="s">
        <v>10026</v>
      </c>
      <c r="G648" s="293" t="s">
        <v>5591</v>
      </c>
      <c r="H648" s="294">
        <v>42613</v>
      </c>
      <c r="I648" s="295">
        <v>-3613.15</v>
      </c>
    </row>
    <row r="649" spans="1:9" x14ac:dyDescent="0.2">
      <c r="A649" s="293" t="s">
        <v>10025</v>
      </c>
      <c r="B649" s="293" t="s">
        <v>9924</v>
      </c>
      <c r="C649" s="293" t="s">
        <v>9925</v>
      </c>
      <c r="D649" s="293" t="s">
        <v>5839</v>
      </c>
      <c r="E649" s="293" t="s">
        <v>9925</v>
      </c>
      <c r="F649" s="293" t="s">
        <v>10026</v>
      </c>
      <c r="G649" s="293" t="s">
        <v>5589</v>
      </c>
      <c r="H649" s="294">
        <v>42613</v>
      </c>
      <c r="I649" s="295">
        <v>-1013.16</v>
      </c>
    </row>
    <row r="650" spans="1:9" x14ac:dyDescent="0.2">
      <c r="A650" s="293" t="s">
        <v>10025</v>
      </c>
      <c r="B650" s="293" t="s">
        <v>9924</v>
      </c>
      <c r="C650" s="293" t="s">
        <v>9925</v>
      </c>
      <c r="D650" s="293" t="s">
        <v>5839</v>
      </c>
      <c r="E650" s="293" t="s">
        <v>9925</v>
      </c>
      <c r="F650" s="293" t="s">
        <v>10026</v>
      </c>
      <c r="G650" s="293" t="s">
        <v>5755</v>
      </c>
      <c r="H650" s="294">
        <v>42613</v>
      </c>
      <c r="I650" s="295">
        <v>609.73</v>
      </c>
    </row>
    <row r="651" spans="1:9" x14ac:dyDescent="0.2">
      <c r="A651" s="293" t="s">
        <v>10027</v>
      </c>
      <c r="B651" s="293" t="s">
        <v>9924</v>
      </c>
      <c r="C651" s="293" t="s">
        <v>9925</v>
      </c>
      <c r="D651" s="293" t="s">
        <v>5839</v>
      </c>
      <c r="E651" s="293" t="s">
        <v>9925</v>
      </c>
      <c r="F651" s="293" t="s">
        <v>10028</v>
      </c>
      <c r="G651" s="293" t="s">
        <v>5755</v>
      </c>
      <c r="H651" s="294">
        <v>42643</v>
      </c>
      <c r="I651" s="295">
        <v>609.73</v>
      </c>
    </row>
    <row r="652" spans="1:9" x14ac:dyDescent="0.2">
      <c r="A652" s="293" t="s">
        <v>10027</v>
      </c>
      <c r="B652" s="293" t="s">
        <v>9924</v>
      </c>
      <c r="C652" s="293" t="s">
        <v>9925</v>
      </c>
      <c r="D652" s="293" t="s">
        <v>5839</v>
      </c>
      <c r="E652" s="293" t="s">
        <v>9925</v>
      </c>
      <c r="F652" s="293" t="s">
        <v>10028</v>
      </c>
      <c r="G652" s="293" t="s">
        <v>5591</v>
      </c>
      <c r="H652" s="294">
        <v>42643</v>
      </c>
      <c r="I652" s="295">
        <v>-3613.16</v>
      </c>
    </row>
    <row r="653" spans="1:9" x14ac:dyDescent="0.2">
      <c r="A653" s="293" t="s">
        <v>10027</v>
      </c>
      <c r="B653" s="293" t="s">
        <v>9924</v>
      </c>
      <c r="C653" s="293" t="s">
        <v>9925</v>
      </c>
      <c r="D653" s="293" t="s">
        <v>5839</v>
      </c>
      <c r="E653" s="293" t="s">
        <v>9925</v>
      </c>
      <c r="F653" s="293" t="s">
        <v>10028</v>
      </c>
      <c r="G653" s="293" t="s">
        <v>5754</v>
      </c>
      <c r="H653" s="294">
        <v>42643</v>
      </c>
      <c r="I653" s="295">
        <v>-45.88</v>
      </c>
    </row>
    <row r="654" spans="1:9" x14ac:dyDescent="0.2">
      <c r="A654" s="293" t="s">
        <v>10027</v>
      </c>
      <c r="B654" s="293" t="s">
        <v>9924</v>
      </c>
      <c r="C654" s="293" t="s">
        <v>9925</v>
      </c>
      <c r="D654" s="293" t="s">
        <v>5839</v>
      </c>
      <c r="E654" s="293" t="s">
        <v>9925</v>
      </c>
      <c r="F654" s="293" t="s">
        <v>10028</v>
      </c>
      <c r="G654" s="293" t="s">
        <v>5589</v>
      </c>
      <c r="H654" s="294">
        <v>42643</v>
      </c>
      <c r="I654" s="295">
        <v>-1013.16</v>
      </c>
    </row>
    <row r="655" spans="1:9" x14ac:dyDescent="0.2">
      <c r="A655" s="293" t="s">
        <v>10029</v>
      </c>
      <c r="B655" s="293" t="s">
        <v>9924</v>
      </c>
      <c r="C655" s="293" t="s">
        <v>9925</v>
      </c>
      <c r="D655" s="293" t="s">
        <v>5839</v>
      </c>
      <c r="E655" s="293" t="s">
        <v>9925</v>
      </c>
      <c r="F655" s="293" t="s">
        <v>10030</v>
      </c>
      <c r="G655" s="293" t="s">
        <v>5755</v>
      </c>
      <c r="H655" s="294">
        <v>42674</v>
      </c>
      <c r="I655" s="295">
        <v>609.73</v>
      </c>
    </row>
    <row r="656" spans="1:9" x14ac:dyDescent="0.2">
      <c r="A656" s="293" t="s">
        <v>10029</v>
      </c>
      <c r="B656" s="293" t="s">
        <v>9924</v>
      </c>
      <c r="C656" s="293" t="s">
        <v>9925</v>
      </c>
      <c r="D656" s="293" t="s">
        <v>5839</v>
      </c>
      <c r="E656" s="293" t="s">
        <v>9925</v>
      </c>
      <c r="F656" s="293" t="s">
        <v>10030</v>
      </c>
      <c r="G656" s="293" t="s">
        <v>5589</v>
      </c>
      <c r="H656" s="294">
        <v>42674</v>
      </c>
      <c r="I656" s="295">
        <v>-1013.16</v>
      </c>
    </row>
    <row r="657" spans="1:9" x14ac:dyDescent="0.2">
      <c r="A657" s="293" t="s">
        <v>10029</v>
      </c>
      <c r="B657" s="293" t="s">
        <v>9924</v>
      </c>
      <c r="C657" s="293" t="s">
        <v>9925</v>
      </c>
      <c r="D657" s="293" t="s">
        <v>5839</v>
      </c>
      <c r="E657" s="293" t="s">
        <v>9925</v>
      </c>
      <c r="F657" s="293" t="s">
        <v>10030</v>
      </c>
      <c r="G657" s="293" t="s">
        <v>5591</v>
      </c>
      <c r="H657" s="294">
        <v>42674</v>
      </c>
      <c r="I657" s="295">
        <v>-3613.16</v>
      </c>
    </row>
    <row r="658" spans="1:9" x14ac:dyDescent="0.2">
      <c r="A658" s="293" t="s">
        <v>10029</v>
      </c>
      <c r="B658" s="293" t="s">
        <v>9924</v>
      </c>
      <c r="C658" s="293" t="s">
        <v>9925</v>
      </c>
      <c r="D658" s="293" t="s">
        <v>5839</v>
      </c>
      <c r="E658" s="293" t="s">
        <v>9925</v>
      </c>
      <c r="F658" s="293" t="s">
        <v>10030</v>
      </c>
      <c r="G658" s="293" t="s">
        <v>5754</v>
      </c>
      <c r="H658" s="294">
        <v>42674</v>
      </c>
      <c r="I658" s="295">
        <v>-45.88</v>
      </c>
    </row>
    <row r="659" spans="1:9" x14ac:dyDescent="0.2">
      <c r="A659" s="293" t="s">
        <v>10031</v>
      </c>
      <c r="B659" s="293" t="s">
        <v>9924</v>
      </c>
      <c r="C659" s="293" t="s">
        <v>9925</v>
      </c>
      <c r="D659" s="293" t="s">
        <v>5839</v>
      </c>
      <c r="E659" s="293" t="s">
        <v>9925</v>
      </c>
      <c r="F659" s="293" t="s">
        <v>10032</v>
      </c>
      <c r="G659" s="293" t="s">
        <v>5754</v>
      </c>
      <c r="H659" s="294">
        <v>42704</v>
      </c>
      <c r="I659" s="295">
        <v>-45.88</v>
      </c>
    </row>
    <row r="660" spans="1:9" x14ac:dyDescent="0.2">
      <c r="A660" s="293" t="s">
        <v>10031</v>
      </c>
      <c r="B660" s="293" t="s">
        <v>9924</v>
      </c>
      <c r="C660" s="293" t="s">
        <v>9925</v>
      </c>
      <c r="D660" s="293" t="s">
        <v>5839</v>
      </c>
      <c r="E660" s="293" t="s">
        <v>9925</v>
      </c>
      <c r="F660" s="293" t="s">
        <v>10032</v>
      </c>
      <c r="G660" s="293" t="s">
        <v>5591</v>
      </c>
      <c r="H660" s="294">
        <v>42704</v>
      </c>
      <c r="I660" s="295">
        <v>-3613.16</v>
      </c>
    </row>
    <row r="661" spans="1:9" x14ac:dyDescent="0.2">
      <c r="A661" s="293" t="s">
        <v>10031</v>
      </c>
      <c r="B661" s="293" t="s">
        <v>9924</v>
      </c>
      <c r="C661" s="293" t="s">
        <v>9925</v>
      </c>
      <c r="D661" s="293" t="s">
        <v>5839</v>
      </c>
      <c r="E661" s="293" t="s">
        <v>9925</v>
      </c>
      <c r="F661" s="293" t="s">
        <v>10032</v>
      </c>
      <c r="G661" s="293" t="s">
        <v>5589</v>
      </c>
      <c r="H661" s="294">
        <v>42704</v>
      </c>
      <c r="I661" s="295">
        <v>-1013.16</v>
      </c>
    </row>
    <row r="662" spans="1:9" x14ac:dyDescent="0.2">
      <c r="A662" s="293" t="s">
        <v>10031</v>
      </c>
      <c r="B662" s="293" t="s">
        <v>9924</v>
      </c>
      <c r="C662" s="293" t="s">
        <v>9925</v>
      </c>
      <c r="D662" s="293" t="s">
        <v>5839</v>
      </c>
      <c r="E662" s="293" t="s">
        <v>9925</v>
      </c>
      <c r="F662" s="293" t="s">
        <v>10032</v>
      </c>
      <c r="G662" s="293" t="s">
        <v>5755</v>
      </c>
      <c r="H662" s="294">
        <v>42704</v>
      </c>
      <c r="I662" s="295">
        <v>609.73</v>
      </c>
    </row>
    <row r="663" spans="1:9" x14ac:dyDescent="0.2">
      <c r="A663" s="293" t="s">
        <v>10033</v>
      </c>
      <c r="B663" s="293" t="s">
        <v>9924</v>
      </c>
      <c r="C663" s="293" t="s">
        <v>9925</v>
      </c>
      <c r="D663" s="293" t="s">
        <v>5839</v>
      </c>
      <c r="E663" s="293" t="s">
        <v>9925</v>
      </c>
      <c r="F663" s="293" t="s">
        <v>10034</v>
      </c>
      <c r="G663" s="293" t="s">
        <v>5591</v>
      </c>
      <c r="H663" s="294">
        <v>42735</v>
      </c>
      <c r="I663" s="295">
        <v>-3613.16</v>
      </c>
    </row>
    <row r="664" spans="1:9" x14ac:dyDescent="0.2">
      <c r="A664" s="293" t="s">
        <v>10033</v>
      </c>
      <c r="B664" s="293" t="s">
        <v>9924</v>
      </c>
      <c r="C664" s="293" t="s">
        <v>9925</v>
      </c>
      <c r="D664" s="293" t="s">
        <v>5839</v>
      </c>
      <c r="E664" s="293" t="s">
        <v>9925</v>
      </c>
      <c r="F664" s="293" t="s">
        <v>10034</v>
      </c>
      <c r="G664" s="293" t="s">
        <v>5754</v>
      </c>
      <c r="H664" s="294">
        <v>42735</v>
      </c>
      <c r="I664" s="295">
        <v>-45.88</v>
      </c>
    </row>
    <row r="665" spans="1:9" x14ac:dyDescent="0.2">
      <c r="A665" s="293" t="s">
        <v>10033</v>
      </c>
      <c r="B665" s="293" t="s">
        <v>9924</v>
      </c>
      <c r="C665" s="293" t="s">
        <v>9925</v>
      </c>
      <c r="D665" s="293" t="s">
        <v>5839</v>
      </c>
      <c r="E665" s="293" t="s">
        <v>9925</v>
      </c>
      <c r="F665" s="293" t="s">
        <v>10034</v>
      </c>
      <c r="G665" s="293" t="s">
        <v>5589</v>
      </c>
      <c r="H665" s="294">
        <v>42735</v>
      </c>
      <c r="I665" s="295">
        <v>-1013.16</v>
      </c>
    </row>
    <row r="666" spans="1:9" x14ac:dyDescent="0.2">
      <c r="A666" s="293" t="s">
        <v>10033</v>
      </c>
      <c r="B666" s="293" t="s">
        <v>9924</v>
      </c>
      <c r="C666" s="293" t="s">
        <v>9925</v>
      </c>
      <c r="D666" s="293" t="s">
        <v>5839</v>
      </c>
      <c r="E666" s="293" t="s">
        <v>9925</v>
      </c>
      <c r="F666" s="293" t="s">
        <v>10034</v>
      </c>
      <c r="G666" s="293" t="s">
        <v>5755</v>
      </c>
      <c r="H666" s="294">
        <v>42735</v>
      </c>
      <c r="I666" s="295">
        <v>609.73</v>
      </c>
    </row>
    <row r="667" spans="1:9" x14ac:dyDescent="0.2">
      <c r="A667" s="293" t="s">
        <v>10035</v>
      </c>
      <c r="B667" s="293" t="s">
        <v>9924</v>
      </c>
      <c r="C667" s="293" t="s">
        <v>9925</v>
      </c>
      <c r="D667" s="293" t="s">
        <v>5839</v>
      </c>
      <c r="E667" s="293" t="s">
        <v>9925</v>
      </c>
      <c r="F667" s="293" t="s">
        <v>10036</v>
      </c>
      <c r="G667" s="293" t="s">
        <v>5591</v>
      </c>
      <c r="H667" s="294">
        <v>42735</v>
      </c>
      <c r="I667" s="295">
        <v>-3613.16</v>
      </c>
    </row>
    <row r="668" spans="1:9" x14ac:dyDescent="0.2">
      <c r="A668" s="293" t="s">
        <v>10035</v>
      </c>
      <c r="B668" s="293" t="s">
        <v>9924</v>
      </c>
      <c r="C668" s="293" t="s">
        <v>9925</v>
      </c>
      <c r="D668" s="293" t="s">
        <v>5839</v>
      </c>
      <c r="E668" s="293" t="s">
        <v>9925</v>
      </c>
      <c r="F668" s="293" t="s">
        <v>10036</v>
      </c>
      <c r="G668" s="293" t="s">
        <v>5754</v>
      </c>
      <c r="H668" s="294">
        <v>42735</v>
      </c>
      <c r="I668" s="295">
        <v>-45.88</v>
      </c>
    </row>
    <row r="669" spans="1:9" x14ac:dyDescent="0.2">
      <c r="A669" s="293" t="s">
        <v>10035</v>
      </c>
      <c r="B669" s="293" t="s">
        <v>9924</v>
      </c>
      <c r="C669" s="293" t="s">
        <v>9925</v>
      </c>
      <c r="D669" s="293" t="s">
        <v>5839</v>
      </c>
      <c r="E669" s="293" t="s">
        <v>9925</v>
      </c>
      <c r="F669" s="293" t="s">
        <v>10036</v>
      </c>
      <c r="G669" s="293" t="s">
        <v>5589</v>
      </c>
      <c r="H669" s="294">
        <v>42735</v>
      </c>
      <c r="I669" s="295">
        <v>-1013.16</v>
      </c>
    </row>
    <row r="670" spans="1:9" x14ac:dyDescent="0.2">
      <c r="A670" s="293" t="s">
        <v>10035</v>
      </c>
      <c r="B670" s="293" t="s">
        <v>9924</v>
      </c>
      <c r="C670" s="293" t="s">
        <v>9925</v>
      </c>
      <c r="D670" s="293" t="s">
        <v>5839</v>
      </c>
      <c r="E670" s="293" t="s">
        <v>9925</v>
      </c>
      <c r="F670" s="293" t="s">
        <v>10036</v>
      </c>
      <c r="G670" s="293" t="s">
        <v>5755</v>
      </c>
      <c r="H670" s="294">
        <v>42735</v>
      </c>
      <c r="I670" s="295">
        <v>609.73</v>
      </c>
    </row>
    <row r="671" spans="1:9" x14ac:dyDescent="0.2">
      <c r="A671" s="293" t="s">
        <v>10037</v>
      </c>
      <c r="B671" s="293" t="s">
        <v>9924</v>
      </c>
      <c r="C671" s="293" t="s">
        <v>9939</v>
      </c>
      <c r="D671" s="293" t="s">
        <v>5839</v>
      </c>
      <c r="E671" s="293" t="s">
        <v>9939</v>
      </c>
      <c r="F671" s="293" t="s">
        <v>10036</v>
      </c>
      <c r="G671" s="293" t="s">
        <v>5755</v>
      </c>
      <c r="H671" s="294">
        <v>42735</v>
      </c>
      <c r="I671" s="295">
        <v>-609.73</v>
      </c>
    </row>
    <row r="672" spans="1:9" x14ac:dyDescent="0.2">
      <c r="A672" s="293" t="s">
        <v>10037</v>
      </c>
      <c r="B672" s="293" t="s">
        <v>9924</v>
      </c>
      <c r="C672" s="293" t="s">
        <v>9939</v>
      </c>
      <c r="D672" s="293" t="s">
        <v>5839</v>
      </c>
      <c r="E672" s="293" t="s">
        <v>9939</v>
      </c>
      <c r="F672" s="293" t="s">
        <v>10036</v>
      </c>
      <c r="G672" s="293" t="s">
        <v>5754</v>
      </c>
      <c r="H672" s="294">
        <v>42735</v>
      </c>
      <c r="I672" s="295">
        <v>45.88</v>
      </c>
    </row>
    <row r="673" spans="1:9" x14ac:dyDescent="0.2">
      <c r="A673" s="293" t="s">
        <v>10037</v>
      </c>
      <c r="B673" s="293" t="s">
        <v>9924</v>
      </c>
      <c r="C673" s="293" t="s">
        <v>9939</v>
      </c>
      <c r="D673" s="293" t="s">
        <v>5839</v>
      </c>
      <c r="E673" s="293" t="s">
        <v>9939</v>
      </c>
      <c r="F673" s="293" t="s">
        <v>10036</v>
      </c>
      <c r="G673" s="293" t="s">
        <v>5589</v>
      </c>
      <c r="H673" s="294">
        <v>42735</v>
      </c>
      <c r="I673" s="295">
        <v>1013.16</v>
      </c>
    </row>
    <row r="674" spans="1:9" x14ac:dyDescent="0.2">
      <c r="A674" s="293" t="s">
        <v>10037</v>
      </c>
      <c r="B674" s="293" t="s">
        <v>9924</v>
      </c>
      <c r="C674" s="293" t="s">
        <v>9939</v>
      </c>
      <c r="D674" s="293" t="s">
        <v>5839</v>
      </c>
      <c r="E674" s="293" t="s">
        <v>9939</v>
      </c>
      <c r="F674" s="293" t="s">
        <v>10036</v>
      </c>
      <c r="G674" s="293" t="s">
        <v>5591</v>
      </c>
      <c r="H674" s="294">
        <v>42735</v>
      </c>
      <c r="I674" s="295">
        <v>3613.16</v>
      </c>
    </row>
    <row r="675" spans="1:9" x14ac:dyDescent="0.2">
      <c r="A675" s="293" t="s">
        <v>10038</v>
      </c>
      <c r="B675" s="293" t="s">
        <v>9924</v>
      </c>
      <c r="C675" s="293" t="s">
        <v>9925</v>
      </c>
      <c r="D675" s="293" t="s">
        <v>5839</v>
      </c>
      <c r="E675" s="293" t="s">
        <v>9925</v>
      </c>
      <c r="F675" s="293" t="s">
        <v>10039</v>
      </c>
      <c r="G675" s="293" t="s">
        <v>5754</v>
      </c>
      <c r="H675" s="294">
        <v>42735</v>
      </c>
      <c r="I675" s="295">
        <v>-45.88</v>
      </c>
    </row>
    <row r="676" spans="1:9" x14ac:dyDescent="0.2">
      <c r="A676" s="293" t="s">
        <v>10038</v>
      </c>
      <c r="B676" s="293" t="s">
        <v>9924</v>
      </c>
      <c r="C676" s="293" t="s">
        <v>9925</v>
      </c>
      <c r="D676" s="293" t="s">
        <v>5839</v>
      </c>
      <c r="E676" s="293" t="s">
        <v>9925</v>
      </c>
      <c r="F676" s="293" t="s">
        <v>10039</v>
      </c>
      <c r="G676" s="293" t="s">
        <v>5591</v>
      </c>
      <c r="H676" s="294">
        <v>42735</v>
      </c>
      <c r="I676" s="295">
        <v>-3613.16</v>
      </c>
    </row>
    <row r="677" spans="1:9" x14ac:dyDescent="0.2">
      <c r="A677" s="293" t="s">
        <v>10038</v>
      </c>
      <c r="B677" s="293" t="s">
        <v>9924</v>
      </c>
      <c r="C677" s="293" t="s">
        <v>9925</v>
      </c>
      <c r="D677" s="293" t="s">
        <v>5839</v>
      </c>
      <c r="E677" s="293" t="s">
        <v>9925</v>
      </c>
      <c r="F677" s="293" t="s">
        <v>10039</v>
      </c>
      <c r="G677" s="293" t="s">
        <v>5589</v>
      </c>
      <c r="H677" s="294">
        <v>42735</v>
      </c>
      <c r="I677" s="295">
        <v>-1013.16</v>
      </c>
    </row>
    <row r="678" spans="1:9" x14ac:dyDescent="0.2">
      <c r="A678" s="293" t="s">
        <v>10038</v>
      </c>
      <c r="B678" s="293" t="s">
        <v>9924</v>
      </c>
      <c r="C678" s="293" t="s">
        <v>9925</v>
      </c>
      <c r="D678" s="293" t="s">
        <v>5839</v>
      </c>
      <c r="E678" s="293" t="s">
        <v>9925</v>
      </c>
      <c r="F678" s="293" t="s">
        <v>10039</v>
      </c>
      <c r="G678" s="293" t="s">
        <v>5755</v>
      </c>
      <c r="H678" s="294">
        <v>42735</v>
      </c>
      <c r="I678" s="295">
        <v>609.73</v>
      </c>
    </row>
    <row r="679" spans="1:9" x14ac:dyDescent="0.2">
      <c r="A679" s="293" t="s">
        <v>10040</v>
      </c>
      <c r="B679" s="293" t="s">
        <v>9924</v>
      </c>
      <c r="C679" s="293" t="s">
        <v>9939</v>
      </c>
      <c r="D679" s="293" t="s">
        <v>5839</v>
      </c>
      <c r="E679" s="293" t="s">
        <v>9939</v>
      </c>
      <c r="F679" s="293" t="s">
        <v>10039</v>
      </c>
      <c r="G679" s="293" t="s">
        <v>5755</v>
      </c>
      <c r="H679" s="294">
        <v>42735</v>
      </c>
      <c r="I679" s="295">
        <v>-609.73</v>
      </c>
    </row>
    <row r="680" spans="1:9" x14ac:dyDescent="0.2">
      <c r="A680" s="293" t="s">
        <v>10040</v>
      </c>
      <c r="B680" s="293" t="s">
        <v>9924</v>
      </c>
      <c r="C680" s="293" t="s">
        <v>9939</v>
      </c>
      <c r="D680" s="293" t="s">
        <v>5839</v>
      </c>
      <c r="E680" s="293" t="s">
        <v>9939</v>
      </c>
      <c r="F680" s="293" t="s">
        <v>10039</v>
      </c>
      <c r="G680" s="293" t="s">
        <v>5754</v>
      </c>
      <c r="H680" s="294">
        <v>42735</v>
      </c>
      <c r="I680" s="295">
        <v>45.88</v>
      </c>
    </row>
    <row r="681" spans="1:9" x14ac:dyDescent="0.2">
      <c r="A681" s="293" t="s">
        <v>10040</v>
      </c>
      <c r="B681" s="293" t="s">
        <v>9924</v>
      </c>
      <c r="C681" s="293" t="s">
        <v>9939</v>
      </c>
      <c r="D681" s="293" t="s">
        <v>5839</v>
      </c>
      <c r="E681" s="293" t="s">
        <v>9939</v>
      </c>
      <c r="F681" s="293" t="s">
        <v>10039</v>
      </c>
      <c r="G681" s="293" t="s">
        <v>5589</v>
      </c>
      <c r="H681" s="294">
        <v>42735</v>
      </c>
      <c r="I681" s="295">
        <v>1013.16</v>
      </c>
    </row>
    <row r="682" spans="1:9" x14ac:dyDescent="0.2">
      <c r="A682" s="293" t="s">
        <v>10040</v>
      </c>
      <c r="B682" s="293" t="s">
        <v>9924</v>
      </c>
      <c r="C682" s="293" t="s">
        <v>9939</v>
      </c>
      <c r="D682" s="293" t="s">
        <v>5839</v>
      </c>
      <c r="E682" s="293" t="s">
        <v>9939</v>
      </c>
      <c r="F682" s="293" t="s">
        <v>10039</v>
      </c>
      <c r="G682" s="293" t="s">
        <v>5591</v>
      </c>
      <c r="H682" s="294">
        <v>42735</v>
      </c>
      <c r="I682" s="295">
        <v>3613.16</v>
      </c>
    </row>
    <row r="683" spans="1:9" x14ac:dyDescent="0.2">
      <c r="A683" s="293" t="s">
        <v>10041</v>
      </c>
      <c r="B683" s="293" t="s">
        <v>9924</v>
      </c>
      <c r="C683" s="293" t="s">
        <v>9925</v>
      </c>
      <c r="D683" s="293" t="s">
        <v>5839</v>
      </c>
      <c r="E683" s="293" t="s">
        <v>9925</v>
      </c>
      <c r="F683" s="293" t="s">
        <v>10042</v>
      </c>
      <c r="G683" s="293" t="s">
        <v>5754</v>
      </c>
      <c r="H683" s="294">
        <v>42766</v>
      </c>
      <c r="I683" s="295">
        <v>-45.88</v>
      </c>
    </row>
    <row r="684" spans="1:9" x14ac:dyDescent="0.2">
      <c r="A684" s="293" t="s">
        <v>10041</v>
      </c>
      <c r="B684" s="293" t="s">
        <v>9924</v>
      </c>
      <c r="C684" s="293" t="s">
        <v>9925</v>
      </c>
      <c r="D684" s="293" t="s">
        <v>5839</v>
      </c>
      <c r="E684" s="293" t="s">
        <v>9925</v>
      </c>
      <c r="F684" s="293" t="s">
        <v>10042</v>
      </c>
      <c r="G684" s="293" t="s">
        <v>5755</v>
      </c>
      <c r="H684" s="294">
        <v>42766</v>
      </c>
      <c r="I684" s="295">
        <v>609.73</v>
      </c>
    </row>
    <row r="685" spans="1:9" x14ac:dyDescent="0.2">
      <c r="A685" s="293" t="s">
        <v>10041</v>
      </c>
      <c r="B685" s="293" t="s">
        <v>9924</v>
      </c>
      <c r="C685" s="293" t="s">
        <v>9925</v>
      </c>
      <c r="D685" s="293" t="s">
        <v>5839</v>
      </c>
      <c r="E685" s="293" t="s">
        <v>9925</v>
      </c>
      <c r="F685" s="293" t="s">
        <v>10042</v>
      </c>
      <c r="G685" s="293" t="s">
        <v>5591</v>
      </c>
      <c r="H685" s="294">
        <v>42766</v>
      </c>
      <c r="I685" s="295">
        <v>-3613.16</v>
      </c>
    </row>
    <row r="686" spans="1:9" x14ac:dyDescent="0.2">
      <c r="A686" s="293" t="s">
        <v>10041</v>
      </c>
      <c r="B686" s="293" t="s">
        <v>9924</v>
      </c>
      <c r="C686" s="293" t="s">
        <v>9925</v>
      </c>
      <c r="D686" s="293" t="s">
        <v>5839</v>
      </c>
      <c r="E686" s="293" t="s">
        <v>9925</v>
      </c>
      <c r="F686" s="293" t="s">
        <v>10042</v>
      </c>
      <c r="G686" s="293" t="s">
        <v>5589</v>
      </c>
      <c r="H686" s="294">
        <v>42766</v>
      </c>
      <c r="I686" s="295">
        <v>-1013.16</v>
      </c>
    </row>
    <row r="687" spans="1:9" x14ac:dyDescent="0.2">
      <c r="A687" s="293" t="s">
        <v>10043</v>
      </c>
      <c r="B687" s="293" t="s">
        <v>9924</v>
      </c>
      <c r="C687" s="293" t="s">
        <v>9925</v>
      </c>
      <c r="D687" s="293" t="s">
        <v>5839</v>
      </c>
      <c r="E687" s="293" t="s">
        <v>9925</v>
      </c>
      <c r="F687" s="293" t="s">
        <v>10044</v>
      </c>
      <c r="G687" s="293" t="s">
        <v>5755</v>
      </c>
      <c r="H687" s="294">
        <v>42794</v>
      </c>
      <c r="I687" s="295">
        <v>609.73</v>
      </c>
    </row>
    <row r="688" spans="1:9" x14ac:dyDescent="0.2">
      <c r="A688" s="293" t="s">
        <v>10043</v>
      </c>
      <c r="B688" s="293" t="s">
        <v>9924</v>
      </c>
      <c r="C688" s="293" t="s">
        <v>9925</v>
      </c>
      <c r="D688" s="293" t="s">
        <v>5839</v>
      </c>
      <c r="E688" s="293" t="s">
        <v>9925</v>
      </c>
      <c r="F688" s="293" t="s">
        <v>10044</v>
      </c>
      <c r="G688" s="293" t="s">
        <v>5589</v>
      </c>
      <c r="H688" s="294">
        <v>42794</v>
      </c>
      <c r="I688" s="295">
        <v>-1013.16</v>
      </c>
    </row>
    <row r="689" spans="1:9" x14ac:dyDescent="0.2">
      <c r="A689" s="293" t="s">
        <v>10043</v>
      </c>
      <c r="B689" s="293" t="s">
        <v>9924</v>
      </c>
      <c r="C689" s="293" t="s">
        <v>9925</v>
      </c>
      <c r="D689" s="293" t="s">
        <v>5839</v>
      </c>
      <c r="E689" s="293" t="s">
        <v>9925</v>
      </c>
      <c r="F689" s="293" t="s">
        <v>10044</v>
      </c>
      <c r="G689" s="293" t="s">
        <v>5591</v>
      </c>
      <c r="H689" s="294">
        <v>42794</v>
      </c>
      <c r="I689" s="295">
        <v>-3613.16</v>
      </c>
    </row>
    <row r="690" spans="1:9" x14ac:dyDescent="0.2">
      <c r="A690" s="293" t="s">
        <v>10043</v>
      </c>
      <c r="B690" s="293" t="s">
        <v>9924</v>
      </c>
      <c r="C690" s="293" t="s">
        <v>9925</v>
      </c>
      <c r="D690" s="293" t="s">
        <v>5839</v>
      </c>
      <c r="E690" s="293" t="s">
        <v>9925</v>
      </c>
      <c r="F690" s="293" t="s">
        <v>10044</v>
      </c>
      <c r="G690" s="293" t="s">
        <v>5754</v>
      </c>
      <c r="H690" s="294">
        <v>42794</v>
      </c>
      <c r="I690" s="295">
        <v>-45.88</v>
      </c>
    </row>
    <row r="691" spans="1:9" x14ac:dyDescent="0.2">
      <c r="A691" s="293" t="s">
        <v>10045</v>
      </c>
      <c r="B691" s="293" t="s">
        <v>9924</v>
      </c>
      <c r="C691" s="293" t="s">
        <v>9925</v>
      </c>
      <c r="D691" s="293" t="s">
        <v>5839</v>
      </c>
      <c r="E691" s="293" t="s">
        <v>9925</v>
      </c>
      <c r="F691" s="293" t="s">
        <v>10046</v>
      </c>
      <c r="G691" s="293" t="s">
        <v>5591</v>
      </c>
      <c r="H691" s="294">
        <v>42825</v>
      </c>
      <c r="I691" s="295">
        <v>-3613.16</v>
      </c>
    </row>
    <row r="692" spans="1:9" x14ac:dyDescent="0.2">
      <c r="A692" s="293" t="s">
        <v>10045</v>
      </c>
      <c r="B692" s="293" t="s">
        <v>9924</v>
      </c>
      <c r="C692" s="293" t="s">
        <v>9925</v>
      </c>
      <c r="D692" s="293" t="s">
        <v>5839</v>
      </c>
      <c r="E692" s="293" t="s">
        <v>9925</v>
      </c>
      <c r="F692" s="293" t="s">
        <v>10046</v>
      </c>
      <c r="G692" s="293" t="s">
        <v>5589</v>
      </c>
      <c r="H692" s="294">
        <v>42825</v>
      </c>
      <c r="I692" s="295">
        <v>-1013.16</v>
      </c>
    </row>
    <row r="693" spans="1:9" x14ac:dyDescent="0.2">
      <c r="A693" s="293" t="s">
        <v>10045</v>
      </c>
      <c r="B693" s="293" t="s">
        <v>9924</v>
      </c>
      <c r="C693" s="293" t="s">
        <v>9925</v>
      </c>
      <c r="D693" s="293" t="s">
        <v>5839</v>
      </c>
      <c r="E693" s="293" t="s">
        <v>9925</v>
      </c>
      <c r="F693" s="293" t="s">
        <v>10046</v>
      </c>
      <c r="G693" s="293" t="s">
        <v>5755</v>
      </c>
      <c r="H693" s="294">
        <v>42825</v>
      </c>
      <c r="I693" s="295">
        <v>609.73</v>
      </c>
    </row>
    <row r="694" spans="1:9" x14ac:dyDescent="0.2">
      <c r="A694" s="293" t="s">
        <v>10045</v>
      </c>
      <c r="B694" s="293" t="s">
        <v>9924</v>
      </c>
      <c r="C694" s="293" t="s">
        <v>9925</v>
      </c>
      <c r="D694" s="293" t="s">
        <v>5839</v>
      </c>
      <c r="E694" s="293" t="s">
        <v>9925</v>
      </c>
      <c r="F694" s="293" t="s">
        <v>10046</v>
      </c>
      <c r="G694" s="293" t="s">
        <v>5754</v>
      </c>
      <c r="H694" s="294">
        <v>42825</v>
      </c>
      <c r="I694" s="295">
        <v>-45.88</v>
      </c>
    </row>
    <row r="695" spans="1:9" x14ac:dyDescent="0.2">
      <c r="A695" s="293" t="s">
        <v>10047</v>
      </c>
      <c r="B695" s="293" t="s">
        <v>9924</v>
      </c>
      <c r="C695" s="293" t="s">
        <v>9925</v>
      </c>
      <c r="D695" s="293" t="s">
        <v>5839</v>
      </c>
      <c r="E695" s="293" t="s">
        <v>9925</v>
      </c>
      <c r="F695" s="293" t="s">
        <v>10048</v>
      </c>
      <c r="G695" s="293" t="s">
        <v>5755</v>
      </c>
      <c r="H695" s="294">
        <v>42855</v>
      </c>
      <c r="I695" s="295">
        <v>609.73</v>
      </c>
    </row>
    <row r="696" spans="1:9" x14ac:dyDescent="0.2">
      <c r="A696" s="293" t="s">
        <v>10047</v>
      </c>
      <c r="B696" s="293" t="s">
        <v>9924</v>
      </c>
      <c r="C696" s="293" t="s">
        <v>9925</v>
      </c>
      <c r="D696" s="293" t="s">
        <v>5839</v>
      </c>
      <c r="E696" s="293" t="s">
        <v>9925</v>
      </c>
      <c r="F696" s="293" t="s">
        <v>10048</v>
      </c>
      <c r="G696" s="293" t="s">
        <v>5589</v>
      </c>
      <c r="H696" s="294">
        <v>42855</v>
      </c>
      <c r="I696" s="295">
        <v>-1013.16</v>
      </c>
    </row>
    <row r="697" spans="1:9" x14ac:dyDescent="0.2">
      <c r="A697" s="293" t="s">
        <v>10047</v>
      </c>
      <c r="B697" s="293" t="s">
        <v>9924</v>
      </c>
      <c r="C697" s="293" t="s">
        <v>9925</v>
      </c>
      <c r="D697" s="293" t="s">
        <v>5839</v>
      </c>
      <c r="E697" s="293" t="s">
        <v>9925</v>
      </c>
      <c r="F697" s="293" t="s">
        <v>10048</v>
      </c>
      <c r="G697" s="293" t="s">
        <v>5754</v>
      </c>
      <c r="H697" s="294">
        <v>42855</v>
      </c>
      <c r="I697" s="295">
        <v>-45.88</v>
      </c>
    </row>
    <row r="698" spans="1:9" x14ac:dyDescent="0.2">
      <c r="A698" s="293" t="s">
        <v>10047</v>
      </c>
      <c r="B698" s="293" t="s">
        <v>9924</v>
      </c>
      <c r="C698" s="293" t="s">
        <v>9925</v>
      </c>
      <c r="D698" s="293" t="s">
        <v>5839</v>
      </c>
      <c r="E698" s="293" t="s">
        <v>9925</v>
      </c>
      <c r="F698" s="293" t="s">
        <v>10048</v>
      </c>
      <c r="G698" s="293" t="s">
        <v>5591</v>
      </c>
      <c r="H698" s="294">
        <v>42855</v>
      </c>
      <c r="I698" s="295">
        <v>-3613.16</v>
      </c>
    </row>
    <row r="699" spans="1:9" x14ac:dyDescent="0.2">
      <c r="A699" s="293" t="s">
        <v>10049</v>
      </c>
      <c r="B699" s="293" t="s">
        <v>9924</v>
      </c>
      <c r="C699" s="293" t="s">
        <v>9925</v>
      </c>
      <c r="D699" s="293" t="s">
        <v>5839</v>
      </c>
      <c r="E699" s="293" t="s">
        <v>9925</v>
      </c>
      <c r="F699" s="293" t="s">
        <v>10050</v>
      </c>
      <c r="G699" s="293" t="s">
        <v>5755</v>
      </c>
      <c r="H699" s="294">
        <v>42886</v>
      </c>
      <c r="I699" s="295">
        <v>609.73</v>
      </c>
    </row>
    <row r="700" spans="1:9" x14ac:dyDescent="0.2">
      <c r="A700" s="293" t="s">
        <v>10049</v>
      </c>
      <c r="B700" s="293" t="s">
        <v>9924</v>
      </c>
      <c r="C700" s="293" t="s">
        <v>9925</v>
      </c>
      <c r="D700" s="293" t="s">
        <v>5839</v>
      </c>
      <c r="E700" s="293" t="s">
        <v>9925</v>
      </c>
      <c r="F700" s="293" t="s">
        <v>10050</v>
      </c>
      <c r="G700" s="293" t="s">
        <v>5589</v>
      </c>
      <c r="H700" s="294">
        <v>42886</v>
      </c>
      <c r="I700" s="295">
        <v>-1013.16</v>
      </c>
    </row>
    <row r="701" spans="1:9" x14ac:dyDescent="0.2">
      <c r="A701" s="293" t="s">
        <v>10049</v>
      </c>
      <c r="B701" s="293" t="s">
        <v>9924</v>
      </c>
      <c r="C701" s="293" t="s">
        <v>9925</v>
      </c>
      <c r="D701" s="293" t="s">
        <v>5839</v>
      </c>
      <c r="E701" s="293" t="s">
        <v>9925</v>
      </c>
      <c r="F701" s="293" t="s">
        <v>10050</v>
      </c>
      <c r="G701" s="293" t="s">
        <v>5754</v>
      </c>
      <c r="H701" s="294">
        <v>42886</v>
      </c>
      <c r="I701" s="295">
        <v>-45.88</v>
      </c>
    </row>
    <row r="702" spans="1:9" x14ac:dyDescent="0.2">
      <c r="A702" s="293" t="s">
        <v>10049</v>
      </c>
      <c r="B702" s="293" t="s">
        <v>9924</v>
      </c>
      <c r="C702" s="293" t="s">
        <v>9925</v>
      </c>
      <c r="D702" s="293" t="s">
        <v>5839</v>
      </c>
      <c r="E702" s="293" t="s">
        <v>9925</v>
      </c>
      <c r="F702" s="293" t="s">
        <v>10050</v>
      </c>
      <c r="G702" s="293" t="s">
        <v>5591</v>
      </c>
      <c r="H702" s="294">
        <v>42886</v>
      </c>
      <c r="I702" s="295">
        <v>-3613.16</v>
      </c>
    </row>
    <row r="703" spans="1:9" x14ac:dyDescent="0.2">
      <c r="A703" s="293" t="s">
        <v>10051</v>
      </c>
      <c r="B703" s="293" t="s">
        <v>9924</v>
      </c>
      <c r="C703" s="293" t="s">
        <v>9925</v>
      </c>
      <c r="D703" s="293" t="s">
        <v>5839</v>
      </c>
      <c r="E703" s="293" t="s">
        <v>9925</v>
      </c>
      <c r="F703" s="293" t="s">
        <v>10052</v>
      </c>
      <c r="G703" s="293" t="s">
        <v>5754</v>
      </c>
      <c r="H703" s="294">
        <v>42916</v>
      </c>
      <c r="I703" s="295">
        <v>-45.88</v>
      </c>
    </row>
    <row r="704" spans="1:9" x14ac:dyDescent="0.2">
      <c r="A704" s="293" t="s">
        <v>10051</v>
      </c>
      <c r="B704" s="293" t="s">
        <v>9924</v>
      </c>
      <c r="C704" s="293" t="s">
        <v>9925</v>
      </c>
      <c r="D704" s="293" t="s">
        <v>5839</v>
      </c>
      <c r="E704" s="293" t="s">
        <v>9925</v>
      </c>
      <c r="F704" s="293" t="s">
        <v>10052</v>
      </c>
      <c r="G704" s="293" t="s">
        <v>5755</v>
      </c>
      <c r="H704" s="294">
        <v>42916</v>
      </c>
      <c r="I704" s="295">
        <v>609.73</v>
      </c>
    </row>
    <row r="705" spans="1:9" x14ac:dyDescent="0.2">
      <c r="A705" s="293" t="s">
        <v>10051</v>
      </c>
      <c r="B705" s="293" t="s">
        <v>9924</v>
      </c>
      <c r="C705" s="293" t="s">
        <v>9925</v>
      </c>
      <c r="D705" s="293" t="s">
        <v>5839</v>
      </c>
      <c r="E705" s="293" t="s">
        <v>9925</v>
      </c>
      <c r="F705" s="293" t="s">
        <v>10052</v>
      </c>
      <c r="G705" s="293" t="s">
        <v>5591</v>
      </c>
      <c r="H705" s="294">
        <v>42916</v>
      </c>
      <c r="I705" s="295">
        <v>-3613.16</v>
      </c>
    </row>
    <row r="706" spans="1:9" x14ac:dyDescent="0.2">
      <c r="A706" s="293" t="s">
        <v>10051</v>
      </c>
      <c r="B706" s="293" t="s">
        <v>9924</v>
      </c>
      <c r="C706" s="293" t="s">
        <v>9925</v>
      </c>
      <c r="D706" s="293" t="s">
        <v>5839</v>
      </c>
      <c r="E706" s="293" t="s">
        <v>9925</v>
      </c>
      <c r="F706" s="293" t="s">
        <v>10052</v>
      </c>
      <c r="G706" s="293" t="s">
        <v>5589</v>
      </c>
      <c r="H706" s="294">
        <v>42916</v>
      </c>
      <c r="I706" s="295">
        <v>-1013.16</v>
      </c>
    </row>
    <row r="707" spans="1:9" x14ac:dyDescent="0.2">
      <c r="A707" s="293" t="s">
        <v>10053</v>
      </c>
      <c r="B707" s="293" t="s">
        <v>9924</v>
      </c>
      <c r="C707" s="293" t="s">
        <v>9925</v>
      </c>
      <c r="D707" s="293" t="s">
        <v>5839</v>
      </c>
      <c r="E707" s="293" t="s">
        <v>9925</v>
      </c>
      <c r="F707" s="293" t="s">
        <v>10054</v>
      </c>
      <c r="G707" s="293" t="s">
        <v>5755</v>
      </c>
      <c r="H707" s="294">
        <v>42947</v>
      </c>
      <c r="I707" s="295">
        <v>609.73</v>
      </c>
    </row>
    <row r="708" spans="1:9" x14ac:dyDescent="0.2">
      <c r="A708" s="293" t="s">
        <v>10053</v>
      </c>
      <c r="B708" s="293" t="s">
        <v>9924</v>
      </c>
      <c r="C708" s="293" t="s">
        <v>9925</v>
      </c>
      <c r="D708" s="293" t="s">
        <v>5839</v>
      </c>
      <c r="E708" s="293" t="s">
        <v>9925</v>
      </c>
      <c r="F708" s="293" t="s">
        <v>10054</v>
      </c>
      <c r="G708" s="293" t="s">
        <v>5591</v>
      </c>
      <c r="H708" s="294">
        <v>42947</v>
      </c>
      <c r="I708" s="295">
        <v>-3613.16</v>
      </c>
    </row>
    <row r="709" spans="1:9" x14ac:dyDescent="0.2">
      <c r="A709" s="293" t="s">
        <v>10053</v>
      </c>
      <c r="B709" s="293" t="s">
        <v>9924</v>
      </c>
      <c r="C709" s="293" t="s">
        <v>9925</v>
      </c>
      <c r="D709" s="293" t="s">
        <v>5839</v>
      </c>
      <c r="E709" s="293" t="s">
        <v>9925</v>
      </c>
      <c r="F709" s="293" t="s">
        <v>10054</v>
      </c>
      <c r="G709" s="293" t="s">
        <v>5589</v>
      </c>
      <c r="H709" s="294">
        <v>42947</v>
      </c>
      <c r="I709" s="295">
        <v>-1013.16</v>
      </c>
    </row>
    <row r="710" spans="1:9" x14ac:dyDescent="0.2">
      <c r="A710" s="293" t="s">
        <v>10053</v>
      </c>
      <c r="B710" s="293" t="s">
        <v>9924</v>
      </c>
      <c r="C710" s="293" t="s">
        <v>9925</v>
      </c>
      <c r="D710" s="293" t="s">
        <v>5839</v>
      </c>
      <c r="E710" s="293" t="s">
        <v>9925</v>
      </c>
      <c r="F710" s="293" t="s">
        <v>10054</v>
      </c>
      <c r="G710" s="293" t="s">
        <v>5754</v>
      </c>
      <c r="H710" s="294">
        <v>42947</v>
      </c>
      <c r="I710" s="295">
        <v>-45.88</v>
      </c>
    </row>
    <row r="711" spans="1:9" x14ac:dyDescent="0.2">
      <c r="A711" s="293" t="s">
        <v>10055</v>
      </c>
      <c r="B711" s="293" t="s">
        <v>9924</v>
      </c>
      <c r="C711" s="293" t="s">
        <v>9925</v>
      </c>
      <c r="D711" s="293" t="s">
        <v>5839</v>
      </c>
      <c r="E711" s="293" t="s">
        <v>9925</v>
      </c>
      <c r="F711" s="293" t="s">
        <v>10056</v>
      </c>
      <c r="G711" s="293" t="s">
        <v>5589</v>
      </c>
      <c r="H711" s="294">
        <v>42978</v>
      </c>
      <c r="I711" s="295">
        <v>-1013.16</v>
      </c>
    </row>
    <row r="712" spans="1:9" x14ac:dyDescent="0.2">
      <c r="A712" s="293" t="s">
        <v>10055</v>
      </c>
      <c r="B712" s="293" t="s">
        <v>9924</v>
      </c>
      <c r="C712" s="293" t="s">
        <v>9925</v>
      </c>
      <c r="D712" s="293" t="s">
        <v>5839</v>
      </c>
      <c r="E712" s="293" t="s">
        <v>9925</v>
      </c>
      <c r="F712" s="293" t="s">
        <v>10056</v>
      </c>
      <c r="G712" s="293" t="s">
        <v>5754</v>
      </c>
      <c r="H712" s="294">
        <v>42978</v>
      </c>
      <c r="I712" s="295">
        <v>-45.88</v>
      </c>
    </row>
    <row r="713" spans="1:9" x14ac:dyDescent="0.2">
      <c r="A713" s="293" t="s">
        <v>10055</v>
      </c>
      <c r="B713" s="293" t="s">
        <v>9924</v>
      </c>
      <c r="C713" s="293" t="s">
        <v>9925</v>
      </c>
      <c r="D713" s="293" t="s">
        <v>5839</v>
      </c>
      <c r="E713" s="293" t="s">
        <v>9925</v>
      </c>
      <c r="F713" s="293" t="s">
        <v>10056</v>
      </c>
      <c r="G713" s="293" t="s">
        <v>5591</v>
      </c>
      <c r="H713" s="294">
        <v>42978</v>
      </c>
      <c r="I713" s="295">
        <v>-3613.16</v>
      </c>
    </row>
    <row r="714" spans="1:9" x14ac:dyDescent="0.2">
      <c r="A714" s="293" t="s">
        <v>10055</v>
      </c>
      <c r="B714" s="293" t="s">
        <v>9924</v>
      </c>
      <c r="C714" s="293" t="s">
        <v>9925</v>
      </c>
      <c r="D714" s="293" t="s">
        <v>5839</v>
      </c>
      <c r="E714" s="293" t="s">
        <v>9925</v>
      </c>
      <c r="F714" s="293" t="s">
        <v>10056</v>
      </c>
      <c r="G714" s="293" t="s">
        <v>5755</v>
      </c>
      <c r="H714" s="294">
        <v>42978</v>
      </c>
      <c r="I714" s="295">
        <v>609.73</v>
      </c>
    </row>
    <row r="715" spans="1:9" x14ac:dyDescent="0.2">
      <c r="A715" s="293" t="s">
        <v>10057</v>
      </c>
      <c r="B715" s="293" t="s">
        <v>9924</v>
      </c>
      <c r="C715" s="293" t="s">
        <v>9925</v>
      </c>
      <c r="D715" s="293" t="s">
        <v>5839</v>
      </c>
      <c r="E715" s="293" t="s">
        <v>9925</v>
      </c>
      <c r="F715" s="293" t="s">
        <v>10058</v>
      </c>
      <c r="G715" s="293" t="s">
        <v>5755</v>
      </c>
      <c r="H715" s="294">
        <v>43008</v>
      </c>
      <c r="I715" s="295">
        <v>609.73</v>
      </c>
    </row>
    <row r="716" spans="1:9" x14ac:dyDescent="0.2">
      <c r="A716" s="293" t="s">
        <v>10057</v>
      </c>
      <c r="B716" s="293" t="s">
        <v>9924</v>
      </c>
      <c r="C716" s="293" t="s">
        <v>9925</v>
      </c>
      <c r="D716" s="293" t="s">
        <v>5839</v>
      </c>
      <c r="E716" s="293" t="s">
        <v>9925</v>
      </c>
      <c r="F716" s="293" t="s">
        <v>10058</v>
      </c>
      <c r="G716" s="293" t="s">
        <v>5591</v>
      </c>
      <c r="H716" s="294">
        <v>43008</v>
      </c>
      <c r="I716" s="295">
        <v>-3613.16</v>
      </c>
    </row>
    <row r="717" spans="1:9" x14ac:dyDescent="0.2">
      <c r="A717" s="293" t="s">
        <v>10057</v>
      </c>
      <c r="B717" s="293" t="s">
        <v>9924</v>
      </c>
      <c r="C717" s="293" t="s">
        <v>9925</v>
      </c>
      <c r="D717" s="293" t="s">
        <v>5839</v>
      </c>
      <c r="E717" s="293" t="s">
        <v>9925</v>
      </c>
      <c r="F717" s="293" t="s">
        <v>10058</v>
      </c>
      <c r="G717" s="293" t="s">
        <v>5589</v>
      </c>
      <c r="H717" s="294">
        <v>43008</v>
      </c>
      <c r="I717" s="295">
        <v>-1013.16</v>
      </c>
    </row>
    <row r="718" spans="1:9" x14ac:dyDescent="0.2">
      <c r="A718" s="293" t="s">
        <v>10057</v>
      </c>
      <c r="B718" s="293" t="s">
        <v>9924</v>
      </c>
      <c r="C718" s="293" t="s">
        <v>9925</v>
      </c>
      <c r="D718" s="293" t="s">
        <v>5839</v>
      </c>
      <c r="E718" s="293" t="s">
        <v>9925</v>
      </c>
      <c r="F718" s="293" t="s">
        <v>10058</v>
      </c>
      <c r="G718" s="293" t="s">
        <v>5754</v>
      </c>
      <c r="H718" s="294">
        <v>43008</v>
      </c>
      <c r="I718" s="295">
        <v>-45.88</v>
      </c>
    </row>
    <row r="719" spans="1:9" x14ac:dyDescent="0.2">
      <c r="A719" s="293" t="s">
        <v>10059</v>
      </c>
      <c r="B719" s="293" t="s">
        <v>9924</v>
      </c>
      <c r="C719" s="293" t="s">
        <v>9925</v>
      </c>
      <c r="D719" s="293" t="s">
        <v>5839</v>
      </c>
      <c r="E719" s="293" t="s">
        <v>9925</v>
      </c>
      <c r="F719" s="293" t="s">
        <v>10060</v>
      </c>
      <c r="G719" s="293" t="s">
        <v>5591</v>
      </c>
      <c r="H719" s="294">
        <v>43039</v>
      </c>
      <c r="I719" s="295">
        <v>-3613.16</v>
      </c>
    </row>
    <row r="720" spans="1:9" x14ac:dyDescent="0.2">
      <c r="A720" s="293" t="s">
        <v>10059</v>
      </c>
      <c r="B720" s="293" t="s">
        <v>9924</v>
      </c>
      <c r="C720" s="293" t="s">
        <v>9925</v>
      </c>
      <c r="D720" s="293" t="s">
        <v>5839</v>
      </c>
      <c r="E720" s="293" t="s">
        <v>9925</v>
      </c>
      <c r="F720" s="293" t="s">
        <v>10060</v>
      </c>
      <c r="G720" s="293" t="s">
        <v>5755</v>
      </c>
      <c r="H720" s="294">
        <v>43039</v>
      </c>
      <c r="I720" s="295">
        <v>609.73</v>
      </c>
    </row>
    <row r="721" spans="1:9" x14ac:dyDescent="0.2">
      <c r="A721" s="293" t="s">
        <v>10059</v>
      </c>
      <c r="B721" s="293" t="s">
        <v>9924</v>
      </c>
      <c r="C721" s="293" t="s">
        <v>9925</v>
      </c>
      <c r="D721" s="293" t="s">
        <v>5839</v>
      </c>
      <c r="E721" s="293" t="s">
        <v>9925</v>
      </c>
      <c r="F721" s="293" t="s">
        <v>10060</v>
      </c>
      <c r="G721" s="293" t="s">
        <v>5754</v>
      </c>
      <c r="H721" s="294">
        <v>43039</v>
      </c>
      <c r="I721" s="295">
        <v>-45.88</v>
      </c>
    </row>
    <row r="722" spans="1:9" x14ac:dyDescent="0.2">
      <c r="A722" s="293" t="s">
        <v>10059</v>
      </c>
      <c r="B722" s="293" t="s">
        <v>9924</v>
      </c>
      <c r="C722" s="293" t="s">
        <v>9925</v>
      </c>
      <c r="D722" s="293" t="s">
        <v>5839</v>
      </c>
      <c r="E722" s="293" t="s">
        <v>9925</v>
      </c>
      <c r="F722" s="293" t="s">
        <v>10060</v>
      </c>
      <c r="G722" s="293" t="s">
        <v>5589</v>
      </c>
      <c r="H722" s="294">
        <v>43039</v>
      </c>
      <c r="I722" s="295">
        <v>-1013.16</v>
      </c>
    </row>
    <row r="723" spans="1:9" x14ac:dyDescent="0.2">
      <c r="A723" s="293" t="s">
        <v>10061</v>
      </c>
      <c r="B723" s="293" t="s">
        <v>9924</v>
      </c>
      <c r="C723" s="293" t="s">
        <v>9925</v>
      </c>
      <c r="D723" s="293" t="s">
        <v>5839</v>
      </c>
      <c r="E723" s="293" t="s">
        <v>9925</v>
      </c>
      <c r="F723" s="293" t="s">
        <v>10062</v>
      </c>
      <c r="G723" s="293" t="s">
        <v>5755</v>
      </c>
      <c r="H723" s="294">
        <v>43069</v>
      </c>
      <c r="I723" s="295">
        <v>609.73</v>
      </c>
    </row>
    <row r="724" spans="1:9" x14ac:dyDescent="0.2">
      <c r="A724" s="293" t="s">
        <v>10061</v>
      </c>
      <c r="B724" s="293" t="s">
        <v>9924</v>
      </c>
      <c r="C724" s="293" t="s">
        <v>9925</v>
      </c>
      <c r="D724" s="293" t="s">
        <v>5839</v>
      </c>
      <c r="E724" s="293" t="s">
        <v>9925</v>
      </c>
      <c r="F724" s="293" t="s">
        <v>10062</v>
      </c>
      <c r="G724" s="293" t="s">
        <v>5589</v>
      </c>
      <c r="H724" s="294">
        <v>43069</v>
      </c>
      <c r="I724" s="295">
        <v>-1013.16</v>
      </c>
    </row>
    <row r="725" spans="1:9" x14ac:dyDescent="0.2">
      <c r="A725" s="293" t="s">
        <v>10061</v>
      </c>
      <c r="B725" s="293" t="s">
        <v>9924</v>
      </c>
      <c r="C725" s="293" t="s">
        <v>9925</v>
      </c>
      <c r="D725" s="293" t="s">
        <v>5839</v>
      </c>
      <c r="E725" s="293" t="s">
        <v>9925</v>
      </c>
      <c r="F725" s="293" t="s">
        <v>10062</v>
      </c>
      <c r="G725" s="293" t="s">
        <v>5754</v>
      </c>
      <c r="H725" s="294">
        <v>43069</v>
      </c>
      <c r="I725" s="295">
        <v>-45.88</v>
      </c>
    </row>
    <row r="726" spans="1:9" x14ac:dyDescent="0.2">
      <c r="A726" s="293" t="s">
        <v>10061</v>
      </c>
      <c r="B726" s="293" t="s">
        <v>9924</v>
      </c>
      <c r="C726" s="293" t="s">
        <v>9925</v>
      </c>
      <c r="D726" s="293" t="s">
        <v>5839</v>
      </c>
      <c r="E726" s="293" t="s">
        <v>9925</v>
      </c>
      <c r="F726" s="293" t="s">
        <v>10062</v>
      </c>
      <c r="G726" s="293" t="s">
        <v>5591</v>
      </c>
      <c r="H726" s="294">
        <v>43069</v>
      </c>
      <c r="I726" s="295">
        <v>-3613.16</v>
      </c>
    </row>
    <row r="727" spans="1:9" x14ac:dyDescent="0.2">
      <c r="A727" s="293" t="s">
        <v>10063</v>
      </c>
      <c r="B727" s="293" t="s">
        <v>9924</v>
      </c>
      <c r="C727" s="293" t="s">
        <v>9925</v>
      </c>
      <c r="D727" s="293" t="s">
        <v>5839</v>
      </c>
      <c r="E727" s="293" t="s">
        <v>9925</v>
      </c>
      <c r="F727" s="293" t="s">
        <v>10064</v>
      </c>
      <c r="G727" s="293" t="s">
        <v>5754</v>
      </c>
      <c r="H727" s="294">
        <v>43100</v>
      </c>
      <c r="I727" s="295">
        <v>-45.88</v>
      </c>
    </row>
    <row r="728" spans="1:9" x14ac:dyDescent="0.2">
      <c r="A728" s="293" t="s">
        <v>10063</v>
      </c>
      <c r="B728" s="293" t="s">
        <v>9924</v>
      </c>
      <c r="C728" s="293" t="s">
        <v>9925</v>
      </c>
      <c r="D728" s="293" t="s">
        <v>5839</v>
      </c>
      <c r="E728" s="293" t="s">
        <v>9925</v>
      </c>
      <c r="F728" s="293" t="s">
        <v>10064</v>
      </c>
      <c r="G728" s="293" t="s">
        <v>5589</v>
      </c>
      <c r="H728" s="294">
        <v>43100</v>
      </c>
      <c r="I728" s="295">
        <v>-1013.16</v>
      </c>
    </row>
    <row r="729" spans="1:9" x14ac:dyDescent="0.2">
      <c r="A729" s="293" t="s">
        <v>10063</v>
      </c>
      <c r="B729" s="293" t="s">
        <v>9924</v>
      </c>
      <c r="C729" s="293" t="s">
        <v>9925</v>
      </c>
      <c r="D729" s="293" t="s">
        <v>5839</v>
      </c>
      <c r="E729" s="293" t="s">
        <v>9925</v>
      </c>
      <c r="F729" s="293" t="s">
        <v>10064</v>
      </c>
      <c r="G729" s="293" t="s">
        <v>5591</v>
      </c>
      <c r="H729" s="294">
        <v>43100</v>
      </c>
      <c r="I729" s="295">
        <v>-3613.16</v>
      </c>
    </row>
    <row r="730" spans="1:9" x14ac:dyDescent="0.2">
      <c r="A730" s="293" t="s">
        <v>10063</v>
      </c>
      <c r="B730" s="293" t="s">
        <v>9924</v>
      </c>
      <c r="C730" s="293" t="s">
        <v>9925</v>
      </c>
      <c r="D730" s="293" t="s">
        <v>5839</v>
      </c>
      <c r="E730" s="293" t="s">
        <v>9925</v>
      </c>
      <c r="F730" s="293" t="s">
        <v>10064</v>
      </c>
      <c r="G730" s="293" t="s">
        <v>5755</v>
      </c>
      <c r="H730" s="294">
        <v>43100</v>
      </c>
      <c r="I730" s="295">
        <v>609.73</v>
      </c>
    </row>
    <row r="731" spans="1:9" x14ac:dyDescent="0.2">
      <c r="A731" s="293" t="s">
        <v>10065</v>
      </c>
      <c r="B731" s="293" t="s">
        <v>9924</v>
      </c>
      <c r="C731" s="293" t="s">
        <v>9925</v>
      </c>
      <c r="D731" s="293" t="s">
        <v>5839</v>
      </c>
      <c r="E731" s="293" t="s">
        <v>9925</v>
      </c>
      <c r="F731" s="293" t="s">
        <v>10066</v>
      </c>
      <c r="G731" s="293" t="s">
        <v>5591</v>
      </c>
      <c r="H731" s="294">
        <v>43100</v>
      </c>
      <c r="I731" s="295">
        <v>-3613.16</v>
      </c>
    </row>
    <row r="732" spans="1:9" x14ac:dyDescent="0.2">
      <c r="A732" s="293" t="s">
        <v>10065</v>
      </c>
      <c r="B732" s="293" t="s">
        <v>9924</v>
      </c>
      <c r="C732" s="293" t="s">
        <v>9925</v>
      </c>
      <c r="D732" s="293" t="s">
        <v>5839</v>
      </c>
      <c r="E732" s="293" t="s">
        <v>9925</v>
      </c>
      <c r="F732" s="293" t="s">
        <v>10066</v>
      </c>
      <c r="G732" s="293" t="s">
        <v>5589</v>
      </c>
      <c r="H732" s="294">
        <v>43100</v>
      </c>
      <c r="I732" s="295">
        <v>-1013.16</v>
      </c>
    </row>
    <row r="733" spans="1:9" x14ac:dyDescent="0.2">
      <c r="A733" s="293" t="s">
        <v>10065</v>
      </c>
      <c r="B733" s="293" t="s">
        <v>9924</v>
      </c>
      <c r="C733" s="293" t="s">
        <v>9925</v>
      </c>
      <c r="D733" s="293" t="s">
        <v>5839</v>
      </c>
      <c r="E733" s="293" t="s">
        <v>9925</v>
      </c>
      <c r="F733" s="293" t="s">
        <v>10066</v>
      </c>
      <c r="G733" s="293" t="s">
        <v>5755</v>
      </c>
      <c r="H733" s="294">
        <v>43100</v>
      </c>
      <c r="I733" s="295">
        <v>609.73</v>
      </c>
    </row>
    <row r="734" spans="1:9" x14ac:dyDescent="0.2">
      <c r="A734" s="293" t="s">
        <v>10065</v>
      </c>
      <c r="B734" s="293" t="s">
        <v>9924</v>
      </c>
      <c r="C734" s="293" t="s">
        <v>9925</v>
      </c>
      <c r="D734" s="293" t="s">
        <v>5839</v>
      </c>
      <c r="E734" s="293" t="s">
        <v>9925</v>
      </c>
      <c r="F734" s="293" t="s">
        <v>10066</v>
      </c>
      <c r="G734" s="293" t="s">
        <v>5754</v>
      </c>
      <c r="H734" s="294">
        <v>43100</v>
      </c>
      <c r="I734" s="295">
        <v>-45.88</v>
      </c>
    </row>
    <row r="735" spans="1:9" x14ac:dyDescent="0.2">
      <c r="A735" s="293" t="s">
        <v>10067</v>
      </c>
      <c r="B735" s="293" t="s">
        <v>9924</v>
      </c>
      <c r="C735" s="293" t="s">
        <v>9939</v>
      </c>
      <c r="D735" s="293" t="s">
        <v>5839</v>
      </c>
      <c r="E735" s="293" t="s">
        <v>9939</v>
      </c>
      <c r="F735" s="293" t="s">
        <v>10066</v>
      </c>
      <c r="G735" s="293" t="s">
        <v>5754</v>
      </c>
      <c r="H735" s="294">
        <v>43100</v>
      </c>
      <c r="I735" s="295">
        <v>45.88</v>
      </c>
    </row>
    <row r="736" spans="1:9" x14ac:dyDescent="0.2">
      <c r="A736" s="293" t="s">
        <v>10067</v>
      </c>
      <c r="B736" s="293" t="s">
        <v>9924</v>
      </c>
      <c r="C736" s="293" t="s">
        <v>9939</v>
      </c>
      <c r="D736" s="293" t="s">
        <v>5839</v>
      </c>
      <c r="E736" s="293" t="s">
        <v>9939</v>
      </c>
      <c r="F736" s="293" t="s">
        <v>10066</v>
      </c>
      <c r="G736" s="293" t="s">
        <v>5755</v>
      </c>
      <c r="H736" s="294">
        <v>43100</v>
      </c>
      <c r="I736" s="295">
        <v>-609.73</v>
      </c>
    </row>
    <row r="737" spans="1:9" x14ac:dyDescent="0.2">
      <c r="A737" s="293" t="s">
        <v>10067</v>
      </c>
      <c r="B737" s="293" t="s">
        <v>9924</v>
      </c>
      <c r="C737" s="293" t="s">
        <v>9939</v>
      </c>
      <c r="D737" s="293" t="s">
        <v>5839</v>
      </c>
      <c r="E737" s="293" t="s">
        <v>9939</v>
      </c>
      <c r="F737" s="293" t="s">
        <v>10066</v>
      </c>
      <c r="G737" s="293" t="s">
        <v>5589</v>
      </c>
      <c r="H737" s="294">
        <v>43100</v>
      </c>
      <c r="I737" s="295">
        <v>1013.16</v>
      </c>
    </row>
    <row r="738" spans="1:9" x14ac:dyDescent="0.2">
      <c r="A738" s="293" t="s">
        <v>10067</v>
      </c>
      <c r="B738" s="293" t="s">
        <v>9924</v>
      </c>
      <c r="C738" s="293" t="s">
        <v>9939</v>
      </c>
      <c r="D738" s="293" t="s">
        <v>5839</v>
      </c>
      <c r="E738" s="293" t="s">
        <v>9939</v>
      </c>
      <c r="F738" s="293" t="s">
        <v>10066</v>
      </c>
      <c r="G738" s="293" t="s">
        <v>5591</v>
      </c>
      <c r="H738" s="294">
        <v>43100</v>
      </c>
      <c r="I738" s="295">
        <v>3613.16</v>
      </c>
    </row>
    <row r="739" spans="1:9" x14ac:dyDescent="0.2">
      <c r="A739" s="293" t="s">
        <v>10068</v>
      </c>
      <c r="B739" s="293" t="s">
        <v>9924</v>
      </c>
      <c r="C739" s="293" t="s">
        <v>9925</v>
      </c>
      <c r="D739" s="293" t="s">
        <v>5839</v>
      </c>
      <c r="E739" s="293" t="s">
        <v>9925</v>
      </c>
      <c r="F739" s="293" t="s">
        <v>10069</v>
      </c>
      <c r="G739" s="293" t="s">
        <v>5755</v>
      </c>
      <c r="H739" s="294">
        <v>43131</v>
      </c>
      <c r="I739" s="295">
        <v>609.73</v>
      </c>
    </row>
    <row r="740" spans="1:9" x14ac:dyDescent="0.2">
      <c r="A740" s="293" t="s">
        <v>10068</v>
      </c>
      <c r="B740" s="293" t="s">
        <v>9924</v>
      </c>
      <c r="C740" s="293" t="s">
        <v>9925</v>
      </c>
      <c r="D740" s="293" t="s">
        <v>5839</v>
      </c>
      <c r="E740" s="293" t="s">
        <v>9925</v>
      </c>
      <c r="F740" s="293" t="s">
        <v>10069</v>
      </c>
      <c r="G740" s="293" t="s">
        <v>5754</v>
      </c>
      <c r="H740" s="294">
        <v>43131</v>
      </c>
      <c r="I740" s="295">
        <v>-45.88</v>
      </c>
    </row>
    <row r="741" spans="1:9" x14ac:dyDescent="0.2">
      <c r="A741" s="293" t="s">
        <v>10068</v>
      </c>
      <c r="B741" s="293" t="s">
        <v>9924</v>
      </c>
      <c r="C741" s="293" t="s">
        <v>9925</v>
      </c>
      <c r="D741" s="293" t="s">
        <v>5839</v>
      </c>
      <c r="E741" s="293" t="s">
        <v>9925</v>
      </c>
      <c r="F741" s="293" t="s">
        <v>10069</v>
      </c>
      <c r="G741" s="293" t="s">
        <v>5589</v>
      </c>
      <c r="H741" s="294">
        <v>43131</v>
      </c>
      <c r="I741" s="295">
        <v>-1013.16</v>
      </c>
    </row>
    <row r="742" spans="1:9" x14ac:dyDescent="0.2">
      <c r="A742" s="293" t="s">
        <v>10068</v>
      </c>
      <c r="B742" s="293" t="s">
        <v>9924</v>
      </c>
      <c r="C742" s="293" t="s">
        <v>9925</v>
      </c>
      <c r="D742" s="293" t="s">
        <v>5839</v>
      </c>
      <c r="E742" s="293" t="s">
        <v>9925</v>
      </c>
      <c r="F742" s="293" t="s">
        <v>10069</v>
      </c>
      <c r="G742" s="293" t="s">
        <v>5591</v>
      </c>
      <c r="H742" s="294">
        <v>43131</v>
      </c>
      <c r="I742" s="295">
        <v>-3613.16</v>
      </c>
    </row>
    <row r="743" spans="1:9" x14ac:dyDescent="0.2">
      <c r="A743" s="293" t="s">
        <v>10070</v>
      </c>
      <c r="B743" s="293" t="s">
        <v>9924</v>
      </c>
      <c r="C743" s="293" t="s">
        <v>9925</v>
      </c>
      <c r="D743" s="293" t="s">
        <v>5839</v>
      </c>
      <c r="E743" s="293" t="s">
        <v>9925</v>
      </c>
      <c r="F743" s="293" t="s">
        <v>10071</v>
      </c>
      <c r="G743" s="293" t="s">
        <v>5755</v>
      </c>
      <c r="H743" s="294">
        <v>43159</v>
      </c>
      <c r="I743" s="295">
        <v>609.73</v>
      </c>
    </row>
    <row r="744" spans="1:9" x14ac:dyDescent="0.2">
      <c r="A744" s="293" t="s">
        <v>10070</v>
      </c>
      <c r="B744" s="293" t="s">
        <v>9924</v>
      </c>
      <c r="C744" s="293" t="s">
        <v>9925</v>
      </c>
      <c r="D744" s="293" t="s">
        <v>5839</v>
      </c>
      <c r="E744" s="293" t="s">
        <v>9925</v>
      </c>
      <c r="F744" s="293" t="s">
        <v>10071</v>
      </c>
      <c r="G744" s="293" t="s">
        <v>5754</v>
      </c>
      <c r="H744" s="294">
        <v>43159</v>
      </c>
      <c r="I744" s="295">
        <v>-45.88</v>
      </c>
    </row>
    <row r="745" spans="1:9" x14ac:dyDescent="0.2">
      <c r="A745" s="293" t="s">
        <v>10070</v>
      </c>
      <c r="B745" s="293" t="s">
        <v>9924</v>
      </c>
      <c r="C745" s="293" t="s">
        <v>9925</v>
      </c>
      <c r="D745" s="293" t="s">
        <v>5839</v>
      </c>
      <c r="E745" s="293" t="s">
        <v>9925</v>
      </c>
      <c r="F745" s="293" t="s">
        <v>10071</v>
      </c>
      <c r="G745" s="293" t="s">
        <v>5591</v>
      </c>
      <c r="H745" s="294">
        <v>43159</v>
      </c>
      <c r="I745" s="295">
        <v>-3613.16</v>
      </c>
    </row>
    <row r="746" spans="1:9" x14ac:dyDescent="0.2">
      <c r="A746" s="293" t="s">
        <v>10070</v>
      </c>
      <c r="B746" s="293" t="s">
        <v>9924</v>
      </c>
      <c r="C746" s="293" t="s">
        <v>9925</v>
      </c>
      <c r="D746" s="293" t="s">
        <v>5839</v>
      </c>
      <c r="E746" s="293" t="s">
        <v>9925</v>
      </c>
      <c r="F746" s="293" t="s">
        <v>10071</v>
      </c>
      <c r="G746" s="293" t="s">
        <v>5589</v>
      </c>
      <c r="H746" s="294">
        <v>43159</v>
      </c>
      <c r="I746" s="295">
        <v>-1013.16</v>
      </c>
    </row>
    <row r="747" spans="1:9" x14ac:dyDescent="0.2">
      <c r="A747" s="293" t="s">
        <v>10072</v>
      </c>
      <c r="B747" s="293" t="s">
        <v>9924</v>
      </c>
      <c r="C747" s="293" t="s">
        <v>9925</v>
      </c>
      <c r="D747" s="293" t="s">
        <v>5839</v>
      </c>
      <c r="E747" s="293" t="s">
        <v>9925</v>
      </c>
      <c r="F747" s="293" t="s">
        <v>10073</v>
      </c>
      <c r="G747" s="293" t="s">
        <v>5755</v>
      </c>
      <c r="H747" s="294">
        <v>43190</v>
      </c>
      <c r="I747" s="295">
        <v>609.73</v>
      </c>
    </row>
    <row r="748" spans="1:9" x14ac:dyDescent="0.2">
      <c r="A748" s="293" t="s">
        <v>10072</v>
      </c>
      <c r="B748" s="293" t="s">
        <v>9924</v>
      </c>
      <c r="C748" s="293" t="s">
        <v>9925</v>
      </c>
      <c r="D748" s="293" t="s">
        <v>5839</v>
      </c>
      <c r="E748" s="293" t="s">
        <v>9925</v>
      </c>
      <c r="F748" s="293" t="s">
        <v>10073</v>
      </c>
      <c r="G748" s="293" t="s">
        <v>5589</v>
      </c>
      <c r="H748" s="294">
        <v>43190</v>
      </c>
      <c r="I748" s="295">
        <v>-1013.16</v>
      </c>
    </row>
    <row r="749" spans="1:9" x14ac:dyDescent="0.2">
      <c r="A749" s="293" t="s">
        <v>10072</v>
      </c>
      <c r="B749" s="293" t="s">
        <v>9924</v>
      </c>
      <c r="C749" s="293" t="s">
        <v>9925</v>
      </c>
      <c r="D749" s="293" t="s">
        <v>5839</v>
      </c>
      <c r="E749" s="293" t="s">
        <v>9925</v>
      </c>
      <c r="F749" s="293" t="s">
        <v>10073</v>
      </c>
      <c r="G749" s="293" t="s">
        <v>5591</v>
      </c>
      <c r="H749" s="294">
        <v>43190</v>
      </c>
      <c r="I749" s="295">
        <v>-3613.16</v>
      </c>
    </row>
    <row r="750" spans="1:9" x14ac:dyDescent="0.2">
      <c r="A750" s="293" t="s">
        <v>10072</v>
      </c>
      <c r="B750" s="293" t="s">
        <v>9924</v>
      </c>
      <c r="C750" s="293" t="s">
        <v>9925</v>
      </c>
      <c r="D750" s="293" t="s">
        <v>5839</v>
      </c>
      <c r="E750" s="293" t="s">
        <v>9925</v>
      </c>
      <c r="F750" s="293" t="s">
        <v>10073</v>
      </c>
      <c r="G750" s="293" t="s">
        <v>5754</v>
      </c>
      <c r="H750" s="294">
        <v>43190</v>
      </c>
      <c r="I750" s="295">
        <v>-45.88</v>
      </c>
    </row>
    <row r="751" spans="1:9" x14ac:dyDescent="0.2">
      <c r="A751" s="293" t="s">
        <v>10074</v>
      </c>
      <c r="B751" s="293" t="s">
        <v>9924</v>
      </c>
      <c r="C751" s="293" t="s">
        <v>9925</v>
      </c>
      <c r="D751" s="293" t="s">
        <v>5839</v>
      </c>
      <c r="E751" s="293" t="s">
        <v>9925</v>
      </c>
      <c r="F751" s="293" t="s">
        <v>10075</v>
      </c>
      <c r="G751" s="293" t="s">
        <v>5754</v>
      </c>
      <c r="H751" s="294">
        <v>43220</v>
      </c>
      <c r="I751" s="295">
        <v>-45.88</v>
      </c>
    </row>
    <row r="752" spans="1:9" x14ac:dyDescent="0.2">
      <c r="A752" s="293" t="s">
        <v>10074</v>
      </c>
      <c r="B752" s="293" t="s">
        <v>9924</v>
      </c>
      <c r="C752" s="293" t="s">
        <v>9925</v>
      </c>
      <c r="D752" s="293" t="s">
        <v>5839</v>
      </c>
      <c r="E752" s="293" t="s">
        <v>9925</v>
      </c>
      <c r="F752" s="293" t="s">
        <v>10075</v>
      </c>
      <c r="G752" s="293" t="s">
        <v>5755</v>
      </c>
      <c r="H752" s="294">
        <v>43220</v>
      </c>
      <c r="I752" s="295">
        <v>609.73</v>
      </c>
    </row>
    <row r="753" spans="1:9" x14ac:dyDescent="0.2">
      <c r="A753" s="293" t="s">
        <v>10074</v>
      </c>
      <c r="B753" s="293" t="s">
        <v>9924</v>
      </c>
      <c r="C753" s="293" t="s">
        <v>9925</v>
      </c>
      <c r="D753" s="293" t="s">
        <v>5839</v>
      </c>
      <c r="E753" s="293" t="s">
        <v>9925</v>
      </c>
      <c r="F753" s="293" t="s">
        <v>10075</v>
      </c>
      <c r="G753" s="293" t="s">
        <v>5589</v>
      </c>
      <c r="H753" s="294">
        <v>43220</v>
      </c>
      <c r="I753" s="295">
        <v>-1013.16</v>
      </c>
    </row>
    <row r="754" spans="1:9" x14ac:dyDescent="0.2">
      <c r="A754" s="293" t="s">
        <v>10074</v>
      </c>
      <c r="B754" s="293" t="s">
        <v>9924</v>
      </c>
      <c r="C754" s="293" t="s">
        <v>9925</v>
      </c>
      <c r="D754" s="293" t="s">
        <v>5839</v>
      </c>
      <c r="E754" s="293" t="s">
        <v>9925</v>
      </c>
      <c r="F754" s="293" t="s">
        <v>10075</v>
      </c>
      <c r="G754" s="293" t="s">
        <v>5591</v>
      </c>
      <c r="H754" s="294">
        <v>43220</v>
      </c>
      <c r="I754" s="295">
        <v>-3613.16</v>
      </c>
    </row>
    <row r="755" spans="1:9" x14ac:dyDescent="0.2">
      <c r="A755" s="293" t="s">
        <v>10076</v>
      </c>
      <c r="B755" s="293" t="s">
        <v>9924</v>
      </c>
      <c r="C755" s="293" t="s">
        <v>9925</v>
      </c>
      <c r="D755" s="293" t="s">
        <v>5839</v>
      </c>
      <c r="E755" s="293" t="s">
        <v>9925</v>
      </c>
      <c r="F755" s="293" t="s">
        <v>10077</v>
      </c>
      <c r="G755" s="293" t="s">
        <v>5591</v>
      </c>
      <c r="H755" s="294">
        <v>43251</v>
      </c>
      <c r="I755" s="295">
        <v>-1806.6</v>
      </c>
    </row>
    <row r="756" spans="1:9" x14ac:dyDescent="0.2">
      <c r="A756" s="293" t="s">
        <v>10076</v>
      </c>
      <c r="B756" s="293" t="s">
        <v>9924</v>
      </c>
      <c r="C756" s="293" t="s">
        <v>9925</v>
      </c>
      <c r="D756" s="293" t="s">
        <v>5839</v>
      </c>
      <c r="E756" s="293" t="s">
        <v>9925</v>
      </c>
      <c r="F756" s="293" t="s">
        <v>10077</v>
      </c>
      <c r="G756" s="293" t="s">
        <v>5589</v>
      </c>
      <c r="H756" s="294">
        <v>43251</v>
      </c>
      <c r="I756" s="295">
        <v>-1013.14</v>
      </c>
    </row>
    <row r="757" spans="1:9" x14ac:dyDescent="0.2">
      <c r="A757" s="293" t="s">
        <v>10076</v>
      </c>
      <c r="B757" s="293" t="s">
        <v>9924</v>
      </c>
      <c r="C757" s="293" t="s">
        <v>9925</v>
      </c>
      <c r="D757" s="293" t="s">
        <v>5839</v>
      </c>
      <c r="E757" s="293" t="s">
        <v>9925</v>
      </c>
      <c r="F757" s="293" t="s">
        <v>10077</v>
      </c>
      <c r="G757" s="293" t="s">
        <v>5754</v>
      </c>
      <c r="H757" s="294">
        <v>43251</v>
      </c>
      <c r="I757" s="295">
        <v>-45.88</v>
      </c>
    </row>
    <row r="758" spans="1:9" x14ac:dyDescent="0.2">
      <c r="A758" s="293" t="s">
        <v>10076</v>
      </c>
      <c r="B758" s="293" t="s">
        <v>9924</v>
      </c>
      <c r="C758" s="293" t="s">
        <v>9925</v>
      </c>
      <c r="D758" s="293" t="s">
        <v>5839</v>
      </c>
      <c r="E758" s="293" t="s">
        <v>9925</v>
      </c>
      <c r="F758" s="293" t="s">
        <v>10077</v>
      </c>
      <c r="G758" s="293" t="s">
        <v>5755</v>
      </c>
      <c r="H758" s="294">
        <v>43251</v>
      </c>
      <c r="I758" s="295">
        <v>609.73</v>
      </c>
    </row>
    <row r="759" spans="1:9" x14ac:dyDescent="0.2">
      <c r="A759" s="293" t="s">
        <v>10078</v>
      </c>
      <c r="B759" s="293" t="s">
        <v>9924</v>
      </c>
      <c r="C759" s="293" t="s">
        <v>9925</v>
      </c>
      <c r="D759" s="293" t="s">
        <v>5839</v>
      </c>
      <c r="E759" s="293" t="s">
        <v>9925</v>
      </c>
      <c r="F759" s="293" t="s">
        <v>10079</v>
      </c>
      <c r="G759" s="293" t="s">
        <v>5755</v>
      </c>
      <c r="H759" s="294">
        <v>43281</v>
      </c>
      <c r="I759" s="295">
        <v>609.73</v>
      </c>
    </row>
    <row r="760" spans="1:9" x14ac:dyDescent="0.2">
      <c r="A760" s="293" t="s">
        <v>10078</v>
      </c>
      <c r="B760" s="293" t="s">
        <v>9924</v>
      </c>
      <c r="C760" s="293" t="s">
        <v>9925</v>
      </c>
      <c r="D760" s="293" t="s">
        <v>5839</v>
      </c>
      <c r="E760" s="293" t="s">
        <v>9925</v>
      </c>
      <c r="F760" s="293" t="s">
        <v>10079</v>
      </c>
      <c r="G760" s="293" t="s">
        <v>5589</v>
      </c>
      <c r="H760" s="294">
        <v>43281</v>
      </c>
      <c r="I760" s="295">
        <v>-1013.15</v>
      </c>
    </row>
    <row r="761" spans="1:9" x14ac:dyDescent="0.2">
      <c r="A761" s="293" t="s">
        <v>10078</v>
      </c>
      <c r="B761" s="293" t="s">
        <v>9924</v>
      </c>
      <c r="C761" s="293" t="s">
        <v>9925</v>
      </c>
      <c r="D761" s="293" t="s">
        <v>5839</v>
      </c>
      <c r="E761" s="293" t="s">
        <v>9925</v>
      </c>
      <c r="F761" s="293" t="s">
        <v>10079</v>
      </c>
      <c r="G761" s="293" t="s">
        <v>5754</v>
      </c>
      <c r="H761" s="294">
        <v>43281</v>
      </c>
      <c r="I761" s="295">
        <v>-45.88</v>
      </c>
    </row>
    <row r="762" spans="1:9" x14ac:dyDescent="0.2">
      <c r="A762" s="293" t="s">
        <v>10080</v>
      </c>
      <c r="B762" s="293" t="s">
        <v>9924</v>
      </c>
      <c r="C762" s="293" t="s">
        <v>9925</v>
      </c>
      <c r="D762" s="293" t="s">
        <v>5839</v>
      </c>
      <c r="E762" s="293" t="s">
        <v>9925</v>
      </c>
      <c r="F762" s="293" t="s">
        <v>7844</v>
      </c>
      <c r="G762" s="293" t="s">
        <v>5755</v>
      </c>
      <c r="H762" s="294">
        <v>43312</v>
      </c>
      <c r="I762" s="295">
        <v>609.72</v>
      </c>
    </row>
    <row r="763" spans="1:9" x14ac:dyDescent="0.2">
      <c r="A763" s="293" t="s">
        <v>10080</v>
      </c>
      <c r="B763" s="293" t="s">
        <v>9924</v>
      </c>
      <c r="C763" s="293" t="s">
        <v>9925</v>
      </c>
      <c r="D763" s="293" t="s">
        <v>5839</v>
      </c>
      <c r="E763" s="293" t="s">
        <v>9925</v>
      </c>
      <c r="F763" s="293" t="s">
        <v>7844</v>
      </c>
      <c r="G763" s="293" t="s">
        <v>5754</v>
      </c>
      <c r="H763" s="294">
        <v>43312</v>
      </c>
      <c r="I763" s="295">
        <v>-45.88</v>
      </c>
    </row>
    <row r="764" spans="1:9" x14ac:dyDescent="0.2">
      <c r="A764" s="293" t="s">
        <v>10080</v>
      </c>
      <c r="B764" s="293" t="s">
        <v>9924</v>
      </c>
      <c r="C764" s="293" t="s">
        <v>9925</v>
      </c>
      <c r="D764" s="293" t="s">
        <v>5839</v>
      </c>
      <c r="E764" s="293" t="s">
        <v>9925</v>
      </c>
      <c r="F764" s="293" t="s">
        <v>7844</v>
      </c>
      <c r="G764" s="293" t="s">
        <v>5589</v>
      </c>
      <c r="H764" s="294">
        <v>43312</v>
      </c>
      <c r="I764" s="295">
        <v>-1013.13</v>
      </c>
    </row>
    <row r="765" spans="1:9" x14ac:dyDescent="0.2">
      <c r="A765" s="293" t="s">
        <v>10081</v>
      </c>
      <c r="B765" s="293" t="s">
        <v>9924</v>
      </c>
      <c r="C765" s="293" t="s">
        <v>9925</v>
      </c>
      <c r="D765" s="293" t="s">
        <v>5839</v>
      </c>
      <c r="E765" s="293" t="s">
        <v>9925</v>
      </c>
      <c r="F765" s="293" t="s">
        <v>10082</v>
      </c>
      <c r="G765" s="293" t="s">
        <v>5589</v>
      </c>
      <c r="H765" s="294">
        <v>43343</v>
      </c>
      <c r="I765" s="295">
        <v>-1013.15</v>
      </c>
    </row>
    <row r="766" spans="1:9" x14ac:dyDescent="0.2">
      <c r="A766" s="293" t="s">
        <v>10081</v>
      </c>
      <c r="B766" s="293" t="s">
        <v>9924</v>
      </c>
      <c r="C766" s="293" t="s">
        <v>9925</v>
      </c>
      <c r="D766" s="293" t="s">
        <v>5839</v>
      </c>
      <c r="E766" s="293" t="s">
        <v>9925</v>
      </c>
      <c r="F766" s="293" t="s">
        <v>10082</v>
      </c>
      <c r="G766" s="293" t="s">
        <v>5755</v>
      </c>
      <c r="H766" s="294">
        <v>43343</v>
      </c>
      <c r="I766" s="295">
        <v>609.73</v>
      </c>
    </row>
    <row r="767" spans="1:9" x14ac:dyDescent="0.2">
      <c r="A767" s="293" t="s">
        <v>10081</v>
      </c>
      <c r="B767" s="293" t="s">
        <v>9924</v>
      </c>
      <c r="C767" s="293" t="s">
        <v>9925</v>
      </c>
      <c r="D767" s="293" t="s">
        <v>5839</v>
      </c>
      <c r="E767" s="293" t="s">
        <v>9925</v>
      </c>
      <c r="F767" s="293" t="s">
        <v>10082</v>
      </c>
      <c r="G767" s="293" t="s">
        <v>5754</v>
      </c>
      <c r="H767" s="294">
        <v>43343</v>
      </c>
      <c r="I767" s="295">
        <v>-45.88</v>
      </c>
    </row>
    <row r="768" spans="1:9" x14ac:dyDescent="0.2">
      <c r="A768" s="293" t="s">
        <v>10083</v>
      </c>
      <c r="B768" s="293" t="s">
        <v>9924</v>
      </c>
      <c r="C768" s="293" t="s">
        <v>9925</v>
      </c>
      <c r="D768" s="293" t="s">
        <v>5839</v>
      </c>
      <c r="E768" s="293" t="s">
        <v>9925</v>
      </c>
      <c r="F768" s="293" t="s">
        <v>10084</v>
      </c>
      <c r="G768" s="293" t="s">
        <v>5755</v>
      </c>
      <c r="H768" s="294">
        <v>43373</v>
      </c>
      <c r="I768" s="295">
        <v>609.73</v>
      </c>
    </row>
    <row r="769" spans="1:9" x14ac:dyDescent="0.2">
      <c r="A769" s="293" t="s">
        <v>10083</v>
      </c>
      <c r="B769" s="293" t="s">
        <v>9924</v>
      </c>
      <c r="C769" s="293" t="s">
        <v>9925</v>
      </c>
      <c r="D769" s="293" t="s">
        <v>5839</v>
      </c>
      <c r="E769" s="293" t="s">
        <v>9925</v>
      </c>
      <c r="F769" s="293" t="s">
        <v>10084</v>
      </c>
      <c r="G769" s="293" t="s">
        <v>5589</v>
      </c>
      <c r="H769" s="294">
        <v>43373</v>
      </c>
      <c r="I769" s="295">
        <v>-1013.15</v>
      </c>
    </row>
    <row r="770" spans="1:9" x14ac:dyDescent="0.2">
      <c r="A770" s="293" t="s">
        <v>10083</v>
      </c>
      <c r="B770" s="293" t="s">
        <v>9924</v>
      </c>
      <c r="C770" s="293" t="s">
        <v>9925</v>
      </c>
      <c r="D770" s="293" t="s">
        <v>5839</v>
      </c>
      <c r="E770" s="293" t="s">
        <v>9925</v>
      </c>
      <c r="F770" s="293" t="s">
        <v>10084</v>
      </c>
      <c r="G770" s="293" t="s">
        <v>5754</v>
      </c>
      <c r="H770" s="294">
        <v>43373</v>
      </c>
      <c r="I770" s="295">
        <v>-45.88</v>
      </c>
    </row>
    <row r="771" spans="1:9" x14ac:dyDescent="0.2">
      <c r="A771" s="293" t="s">
        <v>10085</v>
      </c>
      <c r="B771" s="293" t="s">
        <v>9924</v>
      </c>
      <c r="C771" s="293" t="s">
        <v>9925</v>
      </c>
      <c r="D771" s="293" t="s">
        <v>5839</v>
      </c>
      <c r="E771" s="293" t="s">
        <v>9925</v>
      </c>
      <c r="F771" s="293" t="s">
        <v>7928</v>
      </c>
      <c r="G771" s="293" t="s">
        <v>5754</v>
      </c>
      <c r="H771" s="294">
        <v>43404</v>
      </c>
      <c r="I771" s="295">
        <v>-45.88</v>
      </c>
    </row>
    <row r="772" spans="1:9" x14ac:dyDescent="0.2">
      <c r="A772" s="293" t="s">
        <v>10085</v>
      </c>
      <c r="B772" s="293" t="s">
        <v>9924</v>
      </c>
      <c r="C772" s="293" t="s">
        <v>9925</v>
      </c>
      <c r="D772" s="293" t="s">
        <v>5839</v>
      </c>
      <c r="E772" s="293" t="s">
        <v>9925</v>
      </c>
      <c r="F772" s="293" t="s">
        <v>7928</v>
      </c>
      <c r="G772" s="293" t="s">
        <v>5755</v>
      </c>
      <c r="H772" s="294">
        <v>43404</v>
      </c>
      <c r="I772" s="295">
        <v>609.72</v>
      </c>
    </row>
    <row r="773" spans="1:9" x14ac:dyDescent="0.2">
      <c r="A773" s="293" t="s">
        <v>10085</v>
      </c>
      <c r="B773" s="293" t="s">
        <v>9924</v>
      </c>
      <c r="C773" s="293" t="s">
        <v>9925</v>
      </c>
      <c r="D773" s="293" t="s">
        <v>5839</v>
      </c>
      <c r="E773" s="293" t="s">
        <v>9925</v>
      </c>
      <c r="F773" s="293" t="s">
        <v>7928</v>
      </c>
      <c r="G773" s="293" t="s">
        <v>5589</v>
      </c>
      <c r="H773" s="294">
        <v>43404</v>
      </c>
      <c r="I773" s="295">
        <v>-1013.13</v>
      </c>
    </row>
    <row r="774" spans="1:9" x14ac:dyDescent="0.2">
      <c r="A774" s="293" t="s">
        <v>10086</v>
      </c>
      <c r="B774" s="293" t="s">
        <v>9924</v>
      </c>
      <c r="C774" s="293" t="s">
        <v>9925</v>
      </c>
      <c r="D774" s="293" t="s">
        <v>5839</v>
      </c>
      <c r="E774" s="293" t="s">
        <v>9925</v>
      </c>
      <c r="F774" s="293" t="s">
        <v>10087</v>
      </c>
      <c r="G774" s="293" t="s">
        <v>5755</v>
      </c>
      <c r="H774" s="294">
        <v>43434</v>
      </c>
      <c r="I774" s="295">
        <v>609.73</v>
      </c>
    </row>
    <row r="775" spans="1:9" x14ac:dyDescent="0.2">
      <c r="A775" s="293" t="s">
        <v>10086</v>
      </c>
      <c r="B775" s="293" t="s">
        <v>9924</v>
      </c>
      <c r="C775" s="293" t="s">
        <v>9925</v>
      </c>
      <c r="D775" s="293" t="s">
        <v>5839</v>
      </c>
      <c r="E775" s="293" t="s">
        <v>9925</v>
      </c>
      <c r="F775" s="293" t="s">
        <v>10087</v>
      </c>
      <c r="G775" s="293" t="s">
        <v>5589</v>
      </c>
      <c r="H775" s="294">
        <v>43434</v>
      </c>
      <c r="I775" s="295">
        <v>-1013.15</v>
      </c>
    </row>
    <row r="776" spans="1:9" x14ac:dyDescent="0.2">
      <c r="A776" s="293" t="s">
        <v>10086</v>
      </c>
      <c r="B776" s="293" t="s">
        <v>9924</v>
      </c>
      <c r="C776" s="293" t="s">
        <v>9925</v>
      </c>
      <c r="D776" s="293" t="s">
        <v>5839</v>
      </c>
      <c r="E776" s="293" t="s">
        <v>9925</v>
      </c>
      <c r="F776" s="293" t="s">
        <v>10087</v>
      </c>
      <c r="G776" s="293" t="s">
        <v>5754</v>
      </c>
      <c r="H776" s="294">
        <v>43434</v>
      </c>
      <c r="I776" s="295">
        <v>-45.88</v>
      </c>
    </row>
    <row r="777" spans="1:9" x14ac:dyDescent="0.2">
      <c r="A777" s="293" t="s">
        <v>10088</v>
      </c>
      <c r="B777" s="293" t="s">
        <v>9924</v>
      </c>
      <c r="C777" s="293" t="s">
        <v>9925</v>
      </c>
      <c r="D777" s="293" t="s">
        <v>5839</v>
      </c>
      <c r="E777" s="293" t="s">
        <v>9925</v>
      </c>
      <c r="F777" s="293" t="s">
        <v>10089</v>
      </c>
      <c r="G777" s="293" t="s">
        <v>5755</v>
      </c>
      <c r="H777" s="294">
        <v>43465</v>
      </c>
      <c r="I777" s="295">
        <v>609.73</v>
      </c>
    </row>
    <row r="778" spans="1:9" x14ac:dyDescent="0.2">
      <c r="A778" s="293" t="s">
        <v>10088</v>
      </c>
      <c r="B778" s="293" t="s">
        <v>9924</v>
      </c>
      <c r="C778" s="293" t="s">
        <v>9925</v>
      </c>
      <c r="D778" s="293" t="s">
        <v>5839</v>
      </c>
      <c r="E778" s="293" t="s">
        <v>9925</v>
      </c>
      <c r="F778" s="293" t="s">
        <v>10089</v>
      </c>
      <c r="G778" s="293" t="s">
        <v>5589</v>
      </c>
      <c r="H778" s="294">
        <v>43465</v>
      </c>
      <c r="I778" s="295">
        <v>-1013.15</v>
      </c>
    </row>
    <row r="779" spans="1:9" x14ac:dyDescent="0.2">
      <c r="A779" s="293" t="s">
        <v>10088</v>
      </c>
      <c r="B779" s="293" t="s">
        <v>9924</v>
      </c>
      <c r="C779" s="293" t="s">
        <v>9925</v>
      </c>
      <c r="D779" s="293" t="s">
        <v>5839</v>
      </c>
      <c r="E779" s="293" t="s">
        <v>9925</v>
      </c>
      <c r="F779" s="293" t="s">
        <v>10089</v>
      </c>
      <c r="G779" s="293" t="s">
        <v>5754</v>
      </c>
      <c r="H779" s="294">
        <v>43465</v>
      </c>
      <c r="I779" s="295">
        <v>-45.88</v>
      </c>
    </row>
    <row r="780" spans="1:9" x14ac:dyDescent="0.2">
      <c r="A780" s="293" t="s">
        <v>10090</v>
      </c>
      <c r="B780" s="293" t="s">
        <v>9924</v>
      </c>
      <c r="C780" s="293" t="s">
        <v>9925</v>
      </c>
      <c r="D780" s="293" t="s">
        <v>5839</v>
      </c>
      <c r="E780" s="293" t="s">
        <v>9925</v>
      </c>
      <c r="F780" s="293" t="s">
        <v>10091</v>
      </c>
      <c r="G780" s="293" t="s">
        <v>5589</v>
      </c>
      <c r="H780" s="294">
        <v>43465</v>
      </c>
      <c r="I780" s="295">
        <v>-1013.15</v>
      </c>
    </row>
    <row r="781" spans="1:9" x14ac:dyDescent="0.2">
      <c r="A781" s="293" t="s">
        <v>10090</v>
      </c>
      <c r="B781" s="293" t="s">
        <v>9924</v>
      </c>
      <c r="C781" s="293" t="s">
        <v>9925</v>
      </c>
      <c r="D781" s="293" t="s">
        <v>5839</v>
      </c>
      <c r="E781" s="293" t="s">
        <v>9925</v>
      </c>
      <c r="F781" s="293" t="s">
        <v>10091</v>
      </c>
      <c r="G781" s="293" t="s">
        <v>5755</v>
      </c>
      <c r="H781" s="294">
        <v>43465</v>
      </c>
      <c r="I781" s="295">
        <v>609.73</v>
      </c>
    </row>
    <row r="782" spans="1:9" x14ac:dyDescent="0.2">
      <c r="A782" s="293" t="s">
        <v>10090</v>
      </c>
      <c r="B782" s="293" t="s">
        <v>9924</v>
      </c>
      <c r="C782" s="293" t="s">
        <v>9925</v>
      </c>
      <c r="D782" s="293" t="s">
        <v>5839</v>
      </c>
      <c r="E782" s="293" t="s">
        <v>9925</v>
      </c>
      <c r="F782" s="293" t="s">
        <v>10091</v>
      </c>
      <c r="G782" s="293" t="s">
        <v>5754</v>
      </c>
      <c r="H782" s="294">
        <v>43465</v>
      </c>
      <c r="I782" s="295">
        <v>-45.88</v>
      </c>
    </row>
    <row r="783" spans="1:9" x14ac:dyDescent="0.2">
      <c r="A783" s="293" t="s">
        <v>10092</v>
      </c>
      <c r="B783" s="293" t="s">
        <v>9924</v>
      </c>
      <c r="C783" s="293" t="s">
        <v>9939</v>
      </c>
      <c r="D783" s="293" t="s">
        <v>5839</v>
      </c>
      <c r="E783" s="293" t="s">
        <v>9939</v>
      </c>
      <c r="F783" s="293" t="s">
        <v>10091</v>
      </c>
      <c r="G783" s="293" t="s">
        <v>5755</v>
      </c>
      <c r="H783" s="294">
        <v>43465</v>
      </c>
      <c r="I783" s="295">
        <v>-609.73</v>
      </c>
    </row>
    <row r="784" spans="1:9" x14ac:dyDescent="0.2">
      <c r="A784" s="293" t="s">
        <v>10092</v>
      </c>
      <c r="B784" s="293" t="s">
        <v>9924</v>
      </c>
      <c r="C784" s="293" t="s">
        <v>9939</v>
      </c>
      <c r="D784" s="293" t="s">
        <v>5839</v>
      </c>
      <c r="E784" s="293" t="s">
        <v>9939</v>
      </c>
      <c r="F784" s="293" t="s">
        <v>10091</v>
      </c>
      <c r="G784" s="293" t="s">
        <v>5589</v>
      </c>
      <c r="H784" s="294">
        <v>43465</v>
      </c>
      <c r="I784" s="295">
        <v>1013.15</v>
      </c>
    </row>
    <row r="785" spans="1:9" x14ac:dyDescent="0.2">
      <c r="A785" s="293" t="s">
        <v>10092</v>
      </c>
      <c r="B785" s="293" t="s">
        <v>9924</v>
      </c>
      <c r="C785" s="293" t="s">
        <v>9939</v>
      </c>
      <c r="D785" s="293" t="s">
        <v>5839</v>
      </c>
      <c r="E785" s="293" t="s">
        <v>9939</v>
      </c>
      <c r="F785" s="293" t="s">
        <v>10091</v>
      </c>
      <c r="G785" s="293" t="s">
        <v>5754</v>
      </c>
      <c r="H785" s="294">
        <v>43465</v>
      </c>
      <c r="I785" s="295">
        <v>45.88</v>
      </c>
    </row>
    <row r="786" spans="1:9" x14ac:dyDescent="0.2">
      <c r="A786" s="293" t="s">
        <v>10093</v>
      </c>
      <c r="B786" s="293" t="s">
        <v>9924</v>
      </c>
      <c r="C786" s="293" t="s">
        <v>9925</v>
      </c>
      <c r="D786" s="293" t="s">
        <v>5839</v>
      </c>
      <c r="E786" s="293" t="s">
        <v>9925</v>
      </c>
      <c r="F786" s="293" t="s">
        <v>10094</v>
      </c>
      <c r="G786" s="293" t="s">
        <v>5754</v>
      </c>
      <c r="H786" s="294">
        <v>43496</v>
      </c>
      <c r="I786" s="295">
        <v>-45.88</v>
      </c>
    </row>
    <row r="787" spans="1:9" x14ac:dyDescent="0.2">
      <c r="A787" s="293" t="s">
        <v>10093</v>
      </c>
      <c r="B787" s="293" t="s">
        <v>9924</v>
      </c>
      <c r="C787" s="293" t="s">
        <v>9925</v>
      </c>
      <c r="D787" s="293" t="s">
        <v>5839</v>
      </c>
      <c r="E787" s="293" t="s">
        <v>9925</v>
      </c>
      <c r="F787" s="293" t="s">
        <v>10094</v>
      </c>
      <c r="G787" s="293" t="s">
        <v>5589</v>
      </c>
      <c r="H787" s="294">
        <v>43496</v>
      </c>
      <c r="I787" s="295">
        <v>-1013.15</v>
      </c>
    </row>
    <row r="788" spans="1:9" x14ac:dyDescent="0.2">
      <c r="A788" s="293" t="s">
        <v>10093</v>
      </c>
      <c r="B788" s="293" t="s">
        <v>9924</v>
      </c>
      <c r="C788" s="293" t="s">
        <v>9925</v>
      </c>
      <c r="D788" s="293" t="s">
        <v>5839</v>
      </c>
      <c r="E788" s="293" t="s">
        <v>9925</v>
      </c>
      <c r="F788" s="293" t="s">
        <v>10094</v>
      </c>
      <c r="G788" s="293" t="s">
        <v>5755</v>
      </c>
      <c r="H788" s="294">
        <v>43496</v>
      </c>
      <c r="I788" s="295">
        <v>609.73</v>
      </c>
    </row>
    <row r="789" spans="1:9" x14ac:dyDescent="0.2">
      <c r="A789" s="293" t="s">
        <v>10095</v>
      </c>
      <c r="B789" s="293" t="s">
        <v>9924</v>
      </c>
      <c r="C789" s="293" t="s">
        <v>9925</v>
      </c>
      <c r="D789" s="293" t="s">
        <v>5839</v>
      </c>
      <c r="E789" s="293" t="s">
        <v>9925</v>
      </c>
      <c r="F789" s="293" t="s">
        <v>10096</v>
      </c>
      <c r="G789" s="293" t="s">
        <v>5755</v>
      </c>
      <c r="H789" s="294">
        <v>43524</v>
      </c>
      <c r="I789" s="295">
        <v>609.72</v>
      </c>
    </row>
    <row r="790" spans="1:9" x14ac:dyDescent="0.2">
      <c r="A790" s="293" t="s">
        <v>10095</v>
      </c>
      <c r="B790" s="293" t="s">
        <v>9924</v>
      </c>
      <c r="C790" s="293" t="s">
        <v>9925</v>
      </c>
      <c r="D790" s="293" t="s">
        <v>5839</v>
      </c>
      <c r="E790" s="293" t="s">
        <v>9925</v>
      </c>
      <c r="F790" s="293" t="s">
        <v>10096</v>
      </c>
      <c r="G790" s="293" t="s">
        <v>5754</v>
      </c>
      <c r="H790" s="294">
        <v>43524</v>
      </c>
      <c r="I790" s="295">
        <v>-45.88</v>
      </c>
    </row>
    <row r="791" spans="1:9" x14ac:dyDescent="0.2">
      <c r="A791" s="293" t="s">
        <v>10095</v>
      </c>
      <c r="B791" s="293" t="s">
        <v>9924</v>
      </c>
      <c r="C791" s="293" t="s">
        <v>9925</v>
      </c>
      <c r="D791" s="293" t="s">
        <v>5839</v>
      </c>
      <c r="E791" s="293" t="s">
        <v>9925</v>
      </c>
      <c r="F791" s="293" t="s">
        <v>10096</v>
      </c>
      <c r="G791" s="293" t="s">
        <v>5589</v>
      </c>
      <c r="H791" s="294">
        <v>43524</v>
      </c>
      <c r="I791" s="295">
        <v>-1013.13</v>
      </c>
    </row>
    <row r="792" spans="1:9" x14ac:dyDescent="0.2">
      <c r="A792" s="293" t="s">
        <v>10097</v>
      </c>
      <c r="B792" s="293" t="s">
        <v>9924</v>
      </c>
      <c r="C792" s="293" t="s">
        <v>9925</v>
      </c>
      <c r="D792" s="293" t="s">
        <v>5839</v>
      </c>
      <c r="E792" s="293" t="s">
        <v>9925</v>
      </c>
      <c r="F792" s="293" t="s">
        <v>10098</v>
      </c>
      <c r="G792" s="293" t="s">
        <v>5754</v>
      </c>
      <c r="H792" s="294">
        <v>43555</v>
      </c>
      <c r="I792" s="295">
        <v>-45.88</v>
      </c>
    </row>
    <row r="793" spans="1:9" x14ac:dyDescent="0.2">
      <c r="A793" s="293" t="s">
        <v>10097</v>
      </c>
      <c r="B793" s="293" t="s">
        <v>9924</v>
      </c>
      <c r="C793" s="293" t="s">
        <v>9925</v>
      </c>
      <c r="D793" s="293" t="s">
        <v>5839</v>
      </c>
      <c r="E793" s="293" t="s">
        <v>9925</v>
      </c>
      <c r="F793" s="293" t="s">
        <v>10098</v>
      </c>
      <c r="G793" s="293" t="s">
        <v>5589</v>
      </c>
      <c r="H793" s="294">
        <v>43555</v>
      </c>
      <c r="I793" s="295">
        <v>-1013.15</v>
      </c>
    </row>
    <row r="794" spans="1:9" x14ac:dyDescent="0.2">
      <c r="A794" s="293" t="s">
        <v>10097</v>
      </c>
      <c r="B794" s="293" t="s">
        <v>9924</v>
      </c>
      <c r="C794" s="293" t="s">
        <v>9925</v>
      </c>
      <c r="D794" s="293" t="s">
        <v>5839</v>
      </c>
      <c r="E794" s="293" t="s">
        <v>9925</v>
      </c>
      <c r="F794" s="293" t="s">
        <v>10098</v>
      </c>
      <c r="G794" s="293" t="s">
        <v>5755</v>
      </c>
      <c r="H794" s="294">
        <v>43555</v>
      </c>
      <c r="I794" s="295">
        <v>609.73</v>
      </c>
    </row>
    <row r="795" spans="1:9" x14ac:dyDescent="0.2">
      <c r="A795" s="293" t="s">
        <v>10099</v>
      </c>
      <c r="B795" s="293" t="s">
        <v>9924</v>
      </c>
      <c r="C795" s="293" t="s">
        <v>9925</v>
      </c>
      <c r="D795" s="293" t="s">
        <v>5839</v>
      </c>
      <c r="E795" s="293" t="s">
        <v>9925</v>
      </c>
      <c r="F795" s="293" t="s">
        <v>10100</v>
      </c>
      <c r="G795" s="293" t="s">
        <v>5589</v>
      </c>
      <c r="H795" s="294">
        <v>43555</v>
      </c>
      <c r="I795" s="295">
        <v>-1013.15</v>
      </c>
    </row>
    <row r="796" spans="1:9" x14ac:dyDescent="0.2">
      <c r="A796" s="293" t="s">
        <v>10099</v>
      </c>
      <c r="B796" s="293" t="s">
        <v>9924</v>
      </c>
      <c r="C796" s="293" t="s">
        <v>9925</v>
      </c>
      <c r="D796" s="293" t="s">
        <v>5839</v>
      </c>
      <c r="E796" s="293" t="s">
        <v>9925</v>
      </c>
      <c r="F796" s="293" t="s">
        <v>10100</v>
      </c>
      <c r="G796" s="293" t="s">
        <v>5755</v>
      </c>
      <c r="H796" s="294">
        <v>43555</v>
      </c>
      <c r="I796" s="295">
        <v>609.73</v>
      </c>
    </row>
    <row r="797" spans="1:9" x14ac:dyDescent="0.2">
      <c r="A797" s="293" t="s">
        <v>10099</v>
      </c>
      <c r="B797" s="293" t="s">
        <v>9924</v>
      </c>
      <c r="C797" s="293" t="s">
        <v>9925</v>
      </c>
      <c r="D797" s="293" t="s">
        <v>5839</v>
      </c>
      <c r="E797" s="293" t="s">
        <v>9925</v>
      </c>
      <c r="F797" s="293" t="s">
        <v>10100</v>
      </c>
      <c r="G797" s="293" t="s">
        <v>5754</v>
      </c>
      <c r="H797" s="294">
        <v>43555</v>
      </c>
      <c r="I797" s="295">
        <v>-45.88</v>
      </c>
    </row>
    <row r="798" spans="1:9" x14ac:dyDescent="0.2">
      <c r="A798" s="293" t="s">
        <v>10101</v>
      </c>
      <c r="B798" s="293" t="s">
        <v>9924</v>
      </c>
      <c r="C798" s="293" t="s">
        <v>9939</v>
      </c>
      <c r="D798" s="293" t="s">
        <v>5839</v>
      </c>
      <c r="E798" s="293" t="s">
        <v>9939</v>
      </c>
      <c r="F798" s="293" t="s">
        <v>10100</v>
      </c>
      <c r="G798" s="293" t="s">
        <v>5755</v>
      </c>
      <c r="H798" s="294">
        <v>43555</v>
      </c>
      <c r="I798" s="295">
        <v>-609.73</v>
      </c>
    </row>
    <row r="799" spans="1:9" x14ac:dyDescent="0.2">
      <c r="A799" s="293" t="s">
        <v>10101</v>
      </c>
      <c r="B799" s="293" t="s">
        <v>9924</v>
      </c>
      <c r="C799" s="293" t="s">
        <v>9939</v>
      </c>
      <c r="D799" s="293" t="s">
        <v>5839</v>
      </c>
      <c r="E799" s="293" t="s">
        <v>9939</v>
      </c>
      <c r="F799" s="293" t="s">
        <v>10100</v>
      </c>
      <c r="G799" s="293" t="s">
        <v>5754</v>
      </c>
      <c r="H799" s="294">
        <v>43555</v>
      </c>
      <c r="I799" s="295">
        <v>45.88</v>
      </c>
    </row>
    <row r="800" spans="1:9" x14ac:dyDescent="0.2">
      <c r="A800" s="293" t="s">
        <v>10101</v>
      </c>
      <c r="B800" s="293" t="s">
        <v>9924</v>
      </c>
      <c r="C800" s="293" t="s">
        <v>9939</v>
      </c>
      <c r="D800" s="293" t="s">
        <v>5839</v>
      </c>
      <c r="E800" s="293" t="s">
        <v>9939</v>
      </c>
      <c r="F800" s="293" t="s">
        <v>10100</v>
      </c>
      <c r="G800" s="293" t="s">
        <v>5589</v>
      </c>
      <c r="H800" s="294">
        <v>43555</v>
      </c>
      <c r="I800" s="295">
        <v>1013.15</v>
      </c>
    </row>
    <row r="801" spans="1:9" x14ac:dyDescent="0.2">
      <c r="A801" s="293" t="s">
        <v>10102</v>
      </c>
      <c r="B801" s="293" t="s">
        <v>9924</v>
      </c>
      <c r="C801" s="293" t="s">
        <v>9925</v>
      </c>
      <c r="D801" s="293" t="s">
        <v>5839</v>
      </c>
      <c r="E801" s="293" t="s">
        <v>9925</v>
      </c>
      <c r="F801" s="293" t="s">
        <v>10103</v>
      </c>
      <c r="G801" s="293" t="s">
        <v>5755</v>
      </c>
      <c r="H801" s="294">
        <v>43585</v>
      </c>
      <c r="I801" s="295">
        <v>609.73</v>
      </c>
    </row>
    <row r="802" spans="1:9" x14ac:dyDescent="0.2">
      <c r="A802" s="293" t="s">
        <v>10102</v>
      </c>
      <c r="B802" s="293" t="s">
        <v>9924</v>
      </c>
      <c r="C802" s="293" t="s">
        <v>9925</v>
      </c>
      <c r="D802" s="293" t="s">
        <v>5839</v>
      </c>
      <c r="E802" s="293" t="s">
        <v>9925</v>
      </c>
      <c r="F802" s="293" t="s">
        <v>10103</v>
      </c>
      <c r="G802" s="293" t="s">
        <v>5589</v>
      </c>
      <c r="H802" s="294">
        <v>43585</v>
      </c>
      <c r="I802" s="295">
        <v>-1013.15</v>
      </c>
    </row>
    <row r="803" spans="1:9" x14ac:dyDescent="0.2">
      <c r="A803" s="293" t="s">
        <v>10102</v>
      </c>
      <c r="B803" s="293" t="s">
        <v>9924</v>
      </c>
      <c r="C803" s="293" t="s">
        <v>9925</v>
      </c>
      <c r="D803" s="293" t="s">
        <v>5839</v>
      </c>
      <c r="E803" s="293" t="s">
        <v>9925</v>
      </c>
      <c r="F803" s="293" t="s">
        <v>10103</v>
      </c>
      <c r="G803" s="293" t="s">
        <v>5754</v>
      </c>
      <c r="H803" s="294">
        <v>43585</v>
      </c>
      <c r="I803" s="295">
        <v>-45.88</v>
      </c>
    </row>
    <row r="804" spans="1:9" x14ac:dyDescent="0.2">
      <c r="A804" s="293" t="s">
        <v>10104</v>
      </c>
      <c r="B804" s="293" t="s">
        <v>9924</v>
      </c>
      <c r="C804" s="293" t="s">
        <v>9925</v>
      </c>
      <c r="D804" s="293" t="s">
        <v>5839</v>
      </c>
      <c r="E804" s="293" t="s">
        <v>9925</v>
      </c>
      <c r="F804" s="293" t="s">
        <v>10105</v>
      </c>
      <c r="G804" s="293" t="s">
        <v>5589</v>
      </c>
      <c r="H804" s="294">
        <v>43616</v>
      </c>
      <c r="I804" s="295">
        <v>-1013.13</v>
      </c>
    </row>
    <row r="805" spans="1:9" x14ac:dyDescent="0.2">
      <c r="A805" s="293" t="s">
        <v>10104</v>
      </c>
      <c r="B805" s="293" t="s">
        <v>9924</v>
      </c>
      <c r="C805" s="293" t="s">
        <v>9925</v>
      </c>
      <c r="D805" s="293" t="s">
        <v>5839</v>
      </c>
      <c r="E805" s="293" t="s">
        <v>9925</v>
      </c>
      <c r="F805" s="293" t="s">
        <v>10105</v>
      </c>
      <c r="G805" s="293" t="s">
        <v>5755</v>
      </c>
      <c r="H805" s="294">
        <v>43616</v>
      </c>
      <c r="I805" s="295">
        <v>609.72</v>
      </c>
    </row>
    <row r="806" spans="1:9" x14ac:dyDescent="0.2">
      <c r="A806" s="293" t="s">
        <v>10104</v>
      </c>
      <c r="B806" s="293" t="s">
        <v>9924</v>
      </c>
      <c r="C806" s="293" t="s">
        <v>9925</v>
      </c>
      <c r="D806" s="293" t="s">
        <v>5839</v>
      </c>
      <c r="E806" s="293" t="s">
        <v>9925</v>
      </c>
      <c r="F806" s="293" t="s">
        <v>10105</v>
      </c>
      <c r="G806" s="293" t="s">
        <v>5754</v>
      </c>
      <c r="H806" s="294">
        <v>43616</v>
      </c>
      <c r="I806" s="295">
        <v>-45.88</v>
      </c>
    </row>
    <row r="807" spans="1:9" x14ac:dyDescent="0.2">
      <c r="A807" s="293" t="s">
        <v>10106</v>
      </c>
      <c r="B807" s="293" t="s">
        <v>9924</v>
      </c>
      <c r="C807" s="293" t="s">
        <v>9925</v>
      </c>
      <c r="D807" s="293" t="s">
        <v>5839</v>
      </c>
      <c r="E807" s="293" t="s">
        <v>9925</v>
      </c>
      <c r="F807" s="293" t="s">
        <v>10107</v>
      </c>
      <c r="G807" s="293" t="s">
        <v>5754</v>
      </c>
      <c r="H807" s="294">
        <v>43646</v>
      </c>
      <c r="I807" s="295">
        <v>-45.88</v>
      </c>
    </row>
    <row r="808" spans="1:9" x14ac:dyDescent="0.2">
      <c r="A808" s="293" t="s">
        <v>10106</v>
      </c>
      <c r="B808" s="293" t="s">
        <v>9924</v>
      </c>
      <c r="C808" s="293" t="s">
        <v>9925</v>
      </c>
      <c r="D808" s="293" t="s">
        <v>5839</v>
      </c>
      <c r="E808" s="293" t="s">
        <v>9925</v>
      </c>
      <c r="F808" s="293" t="s">
        <v>10107</v>
      </c>
      <c r="G808" s="293" t="s">
        <v>5589</v>
      </c>
      <c r="H808" s="294">
        <v>43646</v>
      </c>
      <c r="I808" s="295">
        <v>-1013.15</v>
      </c>
    </row>
    <row r="809" spans="1:9" x14ac:dyDescent="0.2">
      <c r="A809" s="293" t="s">
        <v>10106</v>
      </c>
      <c r="B809" s="293" t="s">
        <v>9924</v>
      </c>
      <c r="C809" s="293" t="s">
        <v>9925</v>
      </c>
      <c r="D809" s="293" t="s">
        <v>5839</v>
      </c>
      <c r="E809" s="293" t="s">
        <v>9925</v>
      </c>
      <c r="F809" s="293" t="s">
        <v>10107</v>
      </c>
      <c r="G809" s="293" t="s">
        <v>5755</v>
      </c>
      <c r="H809" s="294">
        <v>43646</v>
      </c>
      <c r="I809" s="295">
        <v>609.73</v>
      </c>
    </row>
    <row r="810" spans="1:9" x14ac:dyDescent="0.2">
      <c r="A810" s="293" t="s">
        <v>10108</v>
      </c>
      <c r="B810" s="293" t="s">
        <v>9924</v>
      </c>
      <c r="C810" s="293" t="s">
        <v>9925</v>
      </c>
      <c r="D810" s="293" t="s">
        <v>5839</v>
      </c>
      <c r="E810" s="293" t="s">
        <v>9925</v>
      </c>
      <c r="F810" s="293" t="s">
        <v>8112</v>
      </c>
      <c r="G810" s="293" t="s">
        <v>5755</v>
      </c>
      <c r="H810" s="294">
        <v>43677</v>
      </c>
      <c r="I810" s="295">
        <v>609.73</v>
      </c>
    </row>
    <row r="811" spans="1:9" x14ac:dyDescent="0.2">
      <c r="A811" s="293" t="s">
        <v>10108</v>
      </c>
      <c r="B811" s="293" t="s">
        <v>9924</v>
      </c>
      <c r="C811" s="293" t="s">
        <v>9925</v>
      </c>
      <c r="D811" s="293" t="s">
        <v>5839</v>
      </c>
      <c r="E811" s="293" t="s">
        <v>9925</v>
      </c>
      <c r="F811" s="293" t="s">
        <v>8112</v>
      </c>
      <c r="G811" s="293" t="s">
        <v>5754</v>
      </c>
      <c r="H811" s="294">
        <v>43677</v>
      </c>
      <c r="I811" s="295">
        <v>-45.88</v>
      </c>
    </row>
    <row r="812" spans="1:9" x14ac:dyDescent="0.2">
      <c r="A812" s="293" t="s">
        <v>10108</v>
      </c>
      <c r="B812" s="293" t="s">
        <v>9924</v>
      </c>
      <c r="C812" s="293" t="s">
        <v>9925</v>
      </c>
      <c r="D812" s="293" t="s">
        <v>5839</v>
      </c>
      <c r="E812" s="293" t="s">
        <v>9925</v>
      </c>
      <c r="F812" s="293" t="s">
        <v>8112</v>
      </c>
      <c r="G812" s="293" t="s">
        <v>5589</v>
      </c>
      <c r="H812" s="294">
        <v>43677</v>
      </c>
      <c r="I812" s="295">
        <v>-1013.15</v>
      </c>
    </row>
    <row r="813" spans="1:9" x14ac:dyDescent="0.2">
      <c r="A813" s="293" t="s">
        <v>10109</v>
      </c>
      <c r="B813" s="293" t="s">
        <v>9924</v>
      </c>
      <c r="C813" s="293" t="s">
        <v>9925</v>
      </c>
      <c r="D813" s="293" t="s">
        <v>5839</v>
      </c>
      <c r="E813" s="293" t="s">
        <v>9925</v>
      </c>
      <c r="F813" s="293" t="s">
        <v>10110</v>
      </c>
      <c r="G813" s="293" t="s">
        <v>5755</v>
      </c>
      <c r="H813" s="294">
        <v>43708</v>
      </c>
      <c r="I813" s="295">
        <v>609.72</v>
      </c>
    </row>
    <row r="814" spans="1:9" x14ac:dyDescent="0.2">
      <c r="A814" s="293" t="s">
        <v>10109</v>
      </c>
      <c r="B814" s="293" t="s">
        <v>9924</v>
      </c>
      <c r="C814" s="293" t="s">
        <v>9925</v>
      </c>
      <c r="D814" s="293" t="s">
        <v>5839</v>
      </c>
      <c r="E814" s="293" t="s">
        <v>9925</v>
      </c>
      <c r="F814" s="293" t="s">
        <v>10110</v>
      </c>
      <c r="G814" s="293" t="s">
        <v>5754</v>
      </c>
      <c r="H814" s="294">
        <v>43708</v>
      </c>
      <c r="I814" s="295">
        <v>-45.88</v>
      </c>
    </row>
    <row r="815" spans="1:9" x14ac:dyDescent="0.2">
      <c r="A815" s="293" t="s">
        <v>10109</v>
      </c>
      <c r="B815" s="293" t="s">
        <v>9924</v>
      </c>
      <c r="C815" s="293" t="s">
        <v>9925</v>
      </c>
      <c r="D815" s="293" t="s">
        <v>5839</v>
      </c>
      <c r="E815" s="293" t="s">
        <v>9925</v>
      </c>
      <c r="F815" s="293" t="s">
        <v>10110</v>
      </c>
      <c r="G815" s="293" t="s">
        <v>5589</v>
      </c>
      <c r="H815" s="294">
        <v>43708</v>
      </c>
      <c r="I815" s="295">
        <v>-1013.13</v>
      </c>
    </row>
    <row r="816" spans="1:9" x14ac:dyDescent="0.2">
      <c r="A816" s="293" t="s">
        <v>10111</v>
      </c>
      <c r="B816" s="293" t="s">
        <v>9924</v>
      </c>
      <c r="C816" s="293" t="s">
        <v>9925</v>
      </c>
      <c r="D816" s="293" t="s">
        <v>5839</v>
      </c>
      <c r="E816" s="293" t="s">
        <v>9925</v>
      </c>
      <c r="F816" s="293" t="s">
        <v>10112</v>
      </c>
      <c r="G816" s="293" t="s">
        <v>5755</v>
      </c>
      <c r="H816" s="294">
        <v>43738</v>
      </c>
      <c r="I816" s="295">
        <v>609.73</v>
      </c>
    </row>
    <row r="817" spans="1:9" x14ac:dyDescent="0.2">
      <c r="A817" s="293" t="s">
        <v>10111</v>
      </c>
      <c r="B817" s="293" t="s">
        <v>9924</v>
      </c>
      <c r="C817" s="293" t="s">
        <v>9925</v>
      </c>
      <c r="D817" s="293" t="s">
        <v>5839</v>
      </c>
      <c r="E817" s="293" t="s">
        <v>9925</v>
      </c>
      <c r="F817" s="293" t="s">
        <v>10112</v>
      </c>
      <c r="G817" s="293" t="s">
        <v>5589</v>
      </c>
      <c r="H817" s="294">
        <v>43738</v>
      </c>
      <c r="I817" s="295">
        <v>-1013.15</v>
      </c>
    </row>
    <row r="818" spans="1:9" x14ac:dyDescent="0.2">
      <c r="A818" s="293" t="s">
        <v>10111</v>
      </c>
      <c r="B818" s="293" t="s">
        <v>9924</v>
      </c>
      <c r="C818" s="293" t="s">
        <v>9925</v>
      </c>
      <c r="D818" s="293" t="s">
        <v>5839</v>
      </c>
      <c r="E818" s="293" t="s">
        <v>9925</v>
      </c>
      <c r="F818" s="293" t="s">
        <v>10112</v>
      </c>
      <c r="G818" s="293" t="s">
        <v>5754</v>
      </c>
      <c r="H818" s="294">
        <v>43738</v>
      </c>
      <c r="I818" s="295">
        <v>-45.88</v>
      </c>
    </row>
    <row r="819" spans="1:9" x14ac:dyDescent="0.2">
      <c r="A819" s="293" t="s">
        <v>10113</v>
      </c>
      <c r="B819" s="293" t="s">
        <v>9924</v>
      </c>
      <c r="C819" s="293" t="s">
        <v>9925</v>
      </c>
      <c r="D819" s="293" t="s">
        <v>5839</v>
      </c>
      <c r="E819" s="293" t="s">
        <v>9925</v>
      </c>
      <c r="F819" s="293" t="s">
        <v>10114</v>
      </c>
      <c r="G819" s="293" t="s">
        <v>5589</v>
      </c>
      <c r="H819" s="294">
        <v>43738</v>
      </c>
      <c r="I819" s="295">
        <v>-1013.15</v>
      </c>
    </row>
    <row r="820" spans="1:9" x14ac:dyDescent="0.2">
      <c r="A820" s="293" t="s">
        <v>10113</v>
      </c>
      <c r="B820" s="293" t="s">
        <v>9924</v>
      </c>
      <c r="C820" s="293" t="s">
        <v>9925</v>
      </c>
      <c r="D820" s="293" t="s">
        <v>5839</v>
      </c>
      <c r="E820" s="293" t="s">
        <v>9925</v>
      </c>
      <c r="F820" s="293" t="s">
        <v>10114</v>
      </c>
      <c r="G820" s="293" t="s">
        <v>5754</v>
      </c>
      <c r="H820" s="294">
        <v>43738</v>
      </c>
      <c r="I820" s="295">
        <v>-45.88</v>
      </c>
    </row>
    <row r="821" spans="1:9" x14ac:dyDescent="0.2">
      <c r="A821" s="293" t="s">
        <v>10113</v>
      </c>
      <c r="B821" s="293" t="s">
        <v>9924</v>
      </c>
      <c r="C821" s="293" t="s">
        <v>9925</v>
      </c>
      <c r="D821" s="293" t="s">
        <v>5839</v>
      </c>
      <c r="E821" s="293" t="s">
        <v>9925</v>
      </c>
      <c r="F821" s="293" t="s">
        <v>10114</v>
      </c>
      <c r="G821" s="293" t="s">
        <v>5755</v>
      </c>
      <c r="H821" s="294">
        <v>43738</v>
      </c>
      <c r="I821" s="295">
        <v>609.73</v>
      </c>
    </row>
    <row r="822" spans="1:9" x14ac:dyDescent="0.2">
      <c r="A822" s="293" t="s">
        <v>10115</v>
      </c>
      <c r="B822" s="293" t="s">
        <v>9924</v>
      </c>
      <c r="C822" s="293" t="s">
        <v>9939</v>
      </c>
      <c r="D822" s="293" t="s">
        <v>5839</v>
      </c>
      <c r="E822" s="293" t="s">
        <v>9939</v>
      </c>
      <c r="F822" s="293" t="s">
        <v>10114</v>
      </c>
      <c r="G822" s="293" t="s">
        <v>5589</v>
      </c>
      <c r="H822" s="294">
        <v>43738</v>
      </c>
      <c r="I822" s="295">
        <v>1013.15</v>
      </c>
    </row>
    <row r="823" spans="1:9" x14ac:dyDescent="0.2">
      <c r="A823" s="293" t="s">
        <v>10115</v>
      </c>
      <c r="B823" s="293" t="s">
        <v>9924</v>
      </c>
      <c r="C823" s="293" t="s">
        <v>9939</v>
      </c>
      <c r="D823" s="293" t="s">
        <v>5839</v>
      </c>
      <c r="E823" s="293" t="s">
        <v>9939</v>
      </c>
      <c r="F823" s="293" t="s">
        <v>10114</v>
      </c>
      <c r="G823" s="293" t="s">
        <v>5754</v>
      </c>
      <c r="H823" s="294">
        <v>43738</v>
      </c>
      <c r="I823" s="295">
        <v>45.88</v>
      </c>
    </row>
    <row r="824" spans="1:9" x14ac:dyDescent="0.2">
      <c r="A824" s="293" t="s">
        <v>10115</v>
      </c>
      <c r="B824" s="293" t="s">
        <v>9924</v>
      </c>
      <c r="C824" s="293" t="s">
        <v>9939</v>
      </c>
      <c r="D824" s="293" t="s">
        <v>5839</v>
      </c>
      <c r="E824" s="293" t="s">
        <v>9939</v>
      </c>
      <c r="F824" s="293" t="s">
        <v>10114</v>
      </c>
      <c r="G824" s="293" t="s">
        <v>5755</v>
      </c>
      <c r="H824" s="294">
        <v>43738</v>
      </c>
      <c r="I824" s="295">
        <v>-609.73</v>
      </c>
    </row>
    <row r="825" spans="1:9" x14ac:dyDescent="0.2">
      <c r="A825" s="293" t="s">
        <v>10116</v>
      </c>
      <c r="B825" s="293" t="s">
        <v>9924</v>
      </c>
      <c r="C825" s="293" t="s">
        <v>9925</v>
      </c>
      <c r="D825" s="293" t="s">
        <v>5839</v>
      </c>
      <c r="E825" s="293" t="s">
        <v>9925</v>
      </c>
      <c r="F825" s="293" t="s">
        <v>10117</v>
      </c>
      <c r="G825" s="293" t="s">
        <v>5754</v>
      </c>
      <c r="H825" s="294">
        <v>43769</v>
      </c>
      <c r="I825" s="295">
        <v>-45.88</v>
      </c>
    </row>
    <row r="826" spans="1:9" x14ac:dyDescent="0.2">
      <c r="A826" s="293" t="s">
        <v>10116</v>
      </c>
      <c r="B826" s="293" t="s">
        <v>9924</v>
      </c>
      <c r="C826" s="293" t="s">
        <v>9925</v>
      </c>
      <c r="D826" s="293" t="s">
        <v>5839</v>
      </c>
      <c r="E826" s="293" t="s">
        <v>9925</v>
      </c>
      <c r="F826" s="293" t="s">
        <v>10117</v>
      </c>
      <c r="G826" s="293" t="s">
        <v>5755</v>
      </c>
      <c r="H826" s="294">
        <v>43769</v>
      </c>
      <c r="I826" s="295">
        <v>609.73</v>
      </c>
    </row>
    <row r="827" spans="1:9" x14ac:dyDescent="0.2">
      <c r="A827" s="293" t="s">
        <v>10116</v>
      </c>
      <c r="B827" s="293" t="s">
        <v>9924</v>
      </c>
      <c r="C827" s="293" t="s">
        <v>9925</v>
      </c>
      <c r="D827" s="293" t="s">
        <v>5839</v>
      </c>
      <c r="E827" s="293" t="s">
        <v>9925</v>
      </c>
      <c r="F827" s="293" t="s">
        <v>10117</v>
      </c>
      <c r="G827" s="293" t="s">
        <v>5589</v>
      </c>
      <c r="H827" s="294">
        <v>43769</v>
      </c>
      <c r="I827" s="295">
        <v>-1013.15</v>
      </c>
    </row>
    <row r="828" spans="1:9" x14ac:dyDescent="0.2">
      <c r="A828" s="293" t="s">
        <v>10118</v>
      </c>
      <c r="B828" s="293" t="s">
        <v>9924</v>
      </c>
      <c r="C828" s="293" t="s">
        <v>9925</v>
      </c>
      <c r="D828" s="293" t="s">
        <v>5839</v>
      </c>
      <c r="E828" s="293" t="s">
        <v>9925</v>
      </c>
      <c r="F828" s="293" t="s">
        <v>10119</v>
      </c>
      <c r="G828" s="293" t="s">
        <v>5755</v>
      </c>
      <c r="H828" s="294">
        <v>43799</v>
      </c>
      <c r="I828" s="295">
        <v>609.72</v>
      </c>
    </row>
    <row r="829" spans="1:9" x14ac:dyDescent="0.2">
      <c r="A829" s="293" t="s">
        <v>10118</v>
      </c>
      <c r="B829" s="293" t="s">
        <v>9924</v>
      </c>
      <c r="C829" s="293" t="s">
        <v>9925</v>
      </c>
      <c r="D829" s="293" t="s">
        <v>5839</v>
      </c>
      <c r="E829" s="293" t="s">
        <v>9925</v>
      </c>
      <c r="F829" s="293" t="s">
        <v>10119</v>
      </c>
      <c r="G829" s="293" t="s">
        <v>5754</v>
      </c>
      <c r="H829" s="294">
        <v>43799</v>
      </c>
      <c r="I829" s="295">
        <v>-45.88</v>
      </c>
    </row>
    <row r="830" spans="1:9" x14ac:dyDescent="0.2">
      <c r="A830" s="293" t="s">
        <v>10118</v>
      </c>
      <c r="B830" s="293" t="s">
        <v>9924</v>
      </c>
      <c r="C830" s="293" t="s">
        <v>9925</v>
      </c>
      <c r="D830" s="293" t="s">
        <v>5839</v>
      </c>
      <c r="E830" s="293" t="s">
        <v>9925</v>
      </c>
      <c r="F830" s="293" t="s">
        <v>10119</v>
      </c>
      <c r="G830" s="293" t="s">
        <v>5589</v>
      </c>
      <c r="H830" s="294">
        <v>43799</v>
      </c>
      <c r="I830" s="295">
        <v>-1013.13</v>
      </c>
    </row>
    <row r="831" spans="1:9" x14ac:dyDescent="0.2">
      <c r="A831" s="293" t="s">
        <v>10120</v>
      </c>
      <c r="B831" s="293" t="s">
        <v>9924</v>
      </c>
      <c r="C831" s="293" t="s">
        <v>9925</v>
      </c>
      <c r="D831" s="293" t="s">
        <v>5839</v>
      </c>
      <c r="E831" s="293" t="s">
        <v>9925</v>
      </c>
      <c r="F831" s="293" t="s">
        <v>10121</v>
      </c>
      <c r="G831" s="293" t="s">
        <v>5755</v>
      </c>
      <c r="H831" s="294">
        <v>43830</v>
      </c>
      <c r="I831" s="295">
        <v>609.73</v>
      </c>
    </row>
    <row r="832" spans="1:9" x14ac:dyDescent="0.2">
      <c r="A832" s="293" t="s">
        <v>10120</v>
      </c>
      <c r="B832" s="293" t="s">
        <v>9924</v>
      </c>
      <c r="C832" s="293" t="s">
        <v>9925</v>
      </c>
      <c r="D832" s="293" t="s">
        <v>5839</v>
      </c>
      <c r="E832" s="293" t="s">
        <v>9925</v>
      </c>
      <c r="F832" s="293" t="s">
        <v>10121</v>
      </c>
      <c r="G832" s="293" t="s">
        <v>5589</v>
      </c>
      <c r="H832" s="294">
        <v>43830</v>
      </c>
      <c r="I832" s="295">
        <v>-1013.15</v>
      </c>
    </row>
    <row r="833" spans="1:9" x14ac:dyDescent="0.2">
      <c r="A833" s="293" t="s">
        <v>10120</v>
      </c>
      <c r="B833" s="293" t="s">
        <v>9924</v>
      </c>
      <c r="C833" s="293" t="s">
        <v>9925</v>
      </c>
      <c r="D833" s="293" t="s">
        <v>5839</v>
      </c>
      <c r="E833" s="293" t="s">
        <v>9925</v>
      </c>
      <c r="F833" s="293" t="s">
        <v>10121</v>
      </c>
      <c r="G833" s="293" t="s">
        <v>5754</v>
      </c>
      <c r="H833" s="294">
        <v>43830</v>
      </c>
      <c r="I833" s="295">
        <v>-45.88</v>
      </c>
    </row>
    <row r="834" spans="1:9" x14ac:dyDescent="0.2">
      <c r="A834" s="293" t="s">
        <v>10122</v>
      </c>
      <c r="B834" s="293" t="s">
        <v>9924</v>
      </c>
      <c r="C834" s="293" t="s">
        <v>9925</v>
      </c>
      <c r="D834" s="293" t="s">
        <v>5839</v>
      </c>
      <c r="E834" s="293" t="s">
        <v>9925</v>
      </c>
      <c r="F834" s="293" t="s">
        <v>10123</v>
      </c>
      <c r="G834" s="293" t="s">
        <v>5755</v>
      </c>
      <c r="H834" s="294">
        <v>43830</v>
      </c>
      <c r="I834" s="295">
        <v>609.73</v>
      </c>
    </row>
    <row r="835" spans="1:9" x14ac:dyDescent="0.2">
      <c r="A835" s="293" t="s">
        <v>10122</v>
      </c>
      <c r="B835" s="293" t="s">
        <v>9924</v>
      </c>
      <c r="C835" s="293" t="s">
        <v>9925</v>
      </c>
      <c r="D835" s="293" t="s">
        <v>5839</v>
      </c>
      <c r="E835" s="293" t="s">
        <v>9925</v>
      </c>
      <c r="F835" s="293" t="s">
        <v>10123</v>
      </c>
      <c r="G835" s="293" t="s">
        <v>5754</v>
      </c>
      <c r="H835" s="294">
        <v>43830</v>
      </c>
      <c r="I835" s="295">
        <v>-45.88</v>
      </c>
    </row>
    <row r="836" spans="1:9" x14ac:dyDescent="0.2">
      <c r="A836" s="293" t="s">
        <v>10122</v>
      </c>
      <c r="B836" s="293" t="s">
        <v>9924</v>
      </c>
      <c r="C836" s="293" t="s">
        <v>9925</v>
      </c>
      <c r="D836" s="293" t="s">
        <v>5839</v>
      </c>
      <c r="E836" s="293" t="s">
        <v>9925</v>
      </c>
      <c r="F836" s="293" t="s">
        <v>10123</v>
      </c>
      <c r="G836" s="293" t="s">
        <v>5589</v>
      </c>
      <c r="H836" s="294">
        <v>43830</v>
      </c>
      <c r="I836" s="295">
        <v>-1013.15</v>
      </c>
    </row>
    <row r="837" spans="1:9" x14ac:dyDescent="0.2">
      <c r="A837" s="293" t="s">
        <v>10124</v>
      </c>
      <c r="B837" s="293" t="s">
        <v>9924</v>
      </c>
      <c r="C837" s="293" t="s">
        <v>9939</v>
      </c>
      <c r="D837" s="293" t="s">
        <v>5839</v>
      </c>
      <c r="E837" s="293" t="s">
        <v>9939</v>
      </c>
      <c r="F837" s="293" t="s">
        <v>10123</v>
      </c>
      <c r="G837" s="293" t="s">
        <v>5754</v>
      </c>
      <c r="H837" s="294">
        <v>43830</v>
      </c>
      <c r="I837" s="295">
        <v>45.88</v>
      </c>
    </row>
    <row r="838" spans="1:9" x14ac:dyDescent="0.2">
      <c r="A838" s="293" t="s">
        <v>10124</v>
      </c>
      <c r="B838" s="293" t="s">
        <v>9924</v>
      </c>
      <c r="C838" s="293" t="s">
        <v>9939</v>
      </c>
      <c r="D838" s="293" t="s">
        <v>5839</v>
      </c>
      <c r="E838" s="293" t="s">
        <v>9939</v>
      </c>
      <c r="F838" s="293" t="s">
        <v>10123</v>
      </c>
      <c r="G838" s="293" t="s">
        <v>5589</v>
      </c>
      <c r="H838" s="294">
        <v>43830</v>
      </c>
      <c r="I838" s="295">
        <v>1013.15</v>
      </c>
    </row>
    <row r="839" spans="1:9" x14ac:dyDescent="0.2">
      <c r="A839" s="293" t="s">
        <v>10124</v>
      </c>
      <c r="B839" s="293" t="s">
        <v>9924</v>
      </c>
      <c r="C839" s="293" t="s">
        <v>9939</v>
      </c>
      <c r="D839" s="293" t="s">
        <v>5839</v>
      </c>
      <c r="E839" s="293" t="s">
        <v>9939</v>
      </c>
      <c r="F839" s="293" t="s">
        <v>10123</v>
      </c>
      <c r="G839" s="293" t="s">
        <v>5755</v>
      </c>
      <c r="H839" s="294">
        <v>43830</v>
      </c>
      <c r="I839" s="295">
        <v>-609.73</v>
      </c>
    </row>
    <row r="840" spans="1:9" x14ac:dyDescent="0.2">
      <c r="A840" s="293" t="s">
        <v>10125</v>
      </c>
      <c r="B840" s="293" t="s">
        <v>6134</v>
      </c>
      <c r="C840" s="293" t="s">
        <v>10126</v>
      </c>
      <c r="D840" s="293" t="s">
        <v>5843</v>
      </c>
      <c r="E840" s="293" t="s">
        <v>10127</v>
      </c>
      <c r="F840" s="293" t="s">
        <v>10128</v>
      </c>
      <c r="G840" s="293" t="s">
        <v>5755</v>
      </c>
      <c r="H840" s="294">
        <v>42143</v>
      </c>
      <c r="I840" s="295">
        <v>-3990960</v>
      </c>
    </row>
    <row r="841" spans="1:9" x14ac:dyDescent="0.2">
      <c r="A841" s="293" t="s">
        <v>5772</v>
      </c>
      <c r="B841" s="293" t="s">
        <v>5632</v>
      </c>
      <c r="C841" s="293" t="s">
        <v>5773</v>
      </c>
      <c r="D841" s="293" t="s">
        <v>5843</v>
      </c>
      <c r="E841" s="293" t="s">
        <v>5844</v>
      </c>
      <c r="F841" s="293" t="s">
        <v>5776</v>
      </c>
      <c r="G841" s="293" t="s">
        <v>5637</v>
      </c>
      <c r="H841" s="294">
        <v>40543</v>
      </c>
      <c r="I841" s="295">
        <v>3571202.61</v>
      </c>
    </row>
    <row r="842" spans="1:9" x14ac:dyDescent="0.2">
      <c r="A842" s="293" t="s">
        <v>5777</v>
      </c>
      <c r="B842" s="293" t="s">
        <v>5632</v>
      </c>
      <c r="C842" s="293" t="s">
        <v>5773</v>
      </c>
      <c r="D842" s="293" t="s">
        <v>5843</v>
      </c>
      <c r="E842" s="293" t="s">
        <v>5844</v>
      </c>
      <c r="F842" s="293" t="s">
        <v>5776</v>
      </c>
      <c r="G842" s="293" t="s">
        <v>5637</v>
      </c>
      <c r="H842" s="294">
        <v>40543</v>
      </c>
      <c r="I842" s="295">
        <v>3571202.61</v>
      </c>
    </row>
    <row r="843" spans="1:9" x14ac:dyDescent="0.2">
      <c r="A843" s="293" t="s">
        <v>5778</v>
      </c>
      <c r="B843" s="293" t="s">
        <v>5632</v>
      </c>
      <c r="C843" s="293" t="s">
        <v>5773</v>
      </c>
      <c r="D843" s="293" t="s">
        <v>5843</v>
      </c>
      <c r="E843" s="293" t="s">
        <v>5844</v>
      </c>
      <c r="F843" s="293" t="s">
        <v>5776</v>
      </c>
      <c r="G843" s="293" t="s">
        <v>5637</v>
      </c>
      <c r="H843" s="294">
        <v>40543</v>
      </c>
      <c r="I843" s="295">
        <v>-3571202.61</v>
      </c>
    </row>
    <row r="844" spans="1:9" x14ac:dyDescent="0.2">
      <c r="A844" s="293" t="s">
        <v>5779</v>
      </c>
      <c r="B844" s="293" t="s">
        <v>5632</v>
      </c>
      <c r="C844" s="293" t="s">
        <v>5780</v>
      </c>
      <c r="D844" s="293" t="s">
        <v>5843</v>
      </c>
      <c r="E844" s="293" t="s">
        <v>5845</v>
      </c>
      <c r="F844" s="293" t="s">
        <v>5636</v>
      </c>
      <c r="G844" s="293" t="s">
        <v>5637</v>
      </c>
      <c r="H844" s="294">
        <v>40574</v>
      </c>
      <c r="I844" s="295">
        <v>-40352.57</v>
      </c>
    </row>
    <row r="845" spans="1:9" x14ac:dyDescent="0.2">
      <c r="A845" s="293" t="s">
        <v>5782</v>
      </c>
      <c r="B845" s="293" t="s">
        <v>5632</v>
      </c>
      <c r="C845" s="293" t="s">
        <v>5783</v>
      </c>
      <c r="D845" s="293" t="s">
        <v>5843</v>
      </c>
      <c r="E845" s="293" t="s">
        <v>5845</v>
      </c>
      <c r="F845" s="293" t="s">
        <v>5636</v>
      </c>
      <c r="G845" s="293" t="s">
        <v>5637</v>
      </c>
      <c r="H845" s="294">
        <v>40602</v>
      </c>
      <c r="I845" s="295">
        <v>-40352.57</v>
      </c>
    </row>
    <row r="846" spans="1:9" x14ac:dyDescent="0.2">
      <c r="A846" s="293" t="s">
        <v>5784</v>
      </c>
      <c r="B846" s="293" t="s">
        <v>5632</v>
      </c>
      <c r="C846" s="293" t="s">
        <v>5785</v>
      </c>
      <c r="D846" s="293" t="s">
        <v>5843</v>
      </c>
      <c r="E846" s="293" t="s">
        <v>5845</v>
      </c>
      <c r="F846" s="293" t="s">
        <v>5636</v>
      </c>
      <c r="G846" s="293" t="s">
        <v>5637</v>
      </c>
      <c r="H846" s="294">
        <v>40633</v>
      </c>
      <c r="I846" s="295">
        <v>-40352.57</v>
      </c>
    </row>
    <row r="847" spans="1:9" x14ac:dyDescent="0.2">
      <c r="A847" s="293" t="s">
        <v>5786</v>
      </c>
      <c r="B847" s="293" t="s">
        <v>5632</v>
      </c>
      <c r="C847" s="293" t="s">
        <v>5787</v>
      </c>
      <c r="D847" s="293" t="s">
        <v>5843</v>
      </c>
      <c r="E847" s="293" t="s">
        <v>5845</v>
      </c>
      <c r="F847" s="293" t="s">
        <v>5636</v>
      </c>
      <c r="G847" s="293" t="s">
        <v>5637</v>
      </c>
      <c r="H847" s="294">
        <v>40663</v>
      </c>
      <c r="I847" s="295">
        <v>-40352.57</v>
      </c>
    </row>
    <row r="848" spans="1:9" x14ac:dyDescent="0.2">
      <c r="A848" s="293" t="s">
        <v>5788</v>
      </c>
      <c r="B848" s="293" t="s">
        <v>5632</v>
      </c>
      <c r="C848" s="293" t="s">
        <v>5789</v>
      </c>
      <c r="D848" s="293" t="s">
        <v>5843</v>
      </c>
      <c r="E848" s="293" t="s">
        <v>5845</v>
      </c>
      <c r="F848" s="293" t="s">
        <v>5636</v>
      </c>
      <c r="G848" s="293" t="s">
        <v>5637</v>
      </c>
      <c r="H848" s="294">
        <v>40694</v>
      </c>
      <c r="I848" s="295">
        <v>-40352.57</v>
      </c>
    </row>
    <row r="849" spans="1:9" x14ac:dyDescent="0.2">
      <c r="A849" s="293" t="s">
        <v>5790</v>
      </c>
      <c r="B849" s="293" t="s">
        <v>5632</v>
      </c>
      <c r="C849" s="293" t="s">
        <v>5791</v>
      </c>
      <c r="D849" s="293" t="s">
        <v>5843</v>
      </c>
      <c r="E849" s="293" t="s">
        <v>5845</v>
      </c>
      <c r="F849" s="293" t="s">
        <v>5636</v>
      </c>
      <c r="G849" s="293" t="s">
        <v>5637</v>
      </c>
      <c r="H849" s="294">
        <v>40724</v>
      </c>
      <c r="I849" s="295">
        <v>-40352.57</v>
      </c>
    </row>
    <row r="850" spans="1:9" x14ac:dyDescent="0.2">
      <c r="A850" s="293" t="s">
        <v>5792</v>
      </c>
      <c r="B850" s="293" t="s">
        <v>5632</v>
      </c>
      <c r="C850" s="293" t="s">
        <v>5793</v>
      </c>
      <c r="D850" s="293" t="s">
        <v>5843</v>
      </c>
      <c r="E850" s="293" t="s">
        <v>5845</v>
      </c>
      <c r="F850" s="293" t="s">
        <v>5636</v>
      </c>
      <c r="G850" s="293" t="s">
        <v>5637</v>
      </c>
      <c r="H850" s="294">
        <v>40755</v>
      </c>
      <c r="I850" s="295">
        <v>-40352.57</v>
      </c>
    </row>
    <row r="851" spans="1:9" x14ac:dyDescent="0.2">
      <c r="A851" s="293" t="s">
        <v>5794</v>
      </c>
      <c r="B851" s="293" t="s">
        <v>5632</v>
      </c>
      <c r="C851" s="293" t="s">
        <v>5795</v>
      </c>
      <c r="D851" s="293" t="s">
        <v>5843</v>
      </c>
      <c r="E851" s="293" t="s">
        <v>5845</v>
      </c>
      <c r="F851" s="293" t="s">
        <v>5636</v>
      </c>
      <c r="G851" s="293" t="s">
        <v>5637</v>
      </c>
      <c r="H851" s="294">
        <v>40786</v>
      </c>
      <c r="I851" s="295">
        <v>-40352.57</v>
      </c>
    </row>
    <row r="852" spans="1:9" x14ac:dyDescent="0.2">
      <c r="A852" s="293" t="s">
        <v>5796</v>
      </c>
      <c r="B852" s="293" t="s">
        <v>5632</v>
      </c>
      <c r="C852" s="293" t="s">
        <v>5797</v>
      </c>
      <c r="D852" s="293" t="s">
        <v>5843</v>
      </c>
      <c r="E852" s="293" t="s">
        <v>5845</v>
      </c>
      <c r="F852" s="293" t="s">
        <v>5636</v>
      </c>
      <c r="G852" s="293" t="s">
        <v>5637</v>
      </c>
      <c r="H852" s="294">
        <v>40816</v>
      </c>
      <c r="I852" s="295">
        <v>-40352.57</v>
      </c>
    </row>
    <row r="853" spans="1:9" x14ac:dyDescent="0.2">
      <c r="A853" s="293" t="s">
        <v>5798</v>
      </c>
      <c r="B853" s="293" t="s">
        <v>5632</v>
      </c>
      <c r="C853" s="293" t="s">
        <v>5799</v>
      </c>
      <c r="D853" s="293" t="s">
        <v>5843</v>
      </c>
      <c r="E853" s="293" t="s">
        <v>5845</v>
      </c>
      <c r="F853" s="293" t="s">
        <v>5636</v>
      </c>
      <c r="G853" s="293" t="s">
        <v>5637</v>
      </c>
      <c r="H853" s="294">
        <v>40847</v>
      </c>
      <c r="I853" s="295">
        <v>-40352.57</v>
      </c>
    </row>
    <row r="854" spans="1:9" x14ac:dyDescent="0.2">
      <c r="A854" s="293" t="s">
        <v>5800</v>
      </c>
      <c r="B854" s="293" t="s">
        <v>5632</v>
      </c>
      <c r="C854" s="293" t="s">
        <v>5801</v>
      </c>
      <c r="D854" s="293" t="s">
        <v>5843</v>
      </c>
      <c r="E854" s="293" t="s">
        <v>5845</v>
      </c>
      <c r="F854" s="293" t="s">
        <v>5636</v>
      </c>
      <c r="G854" s="293" t="s">
        <v>5637</v>
      </c>
      <c r="H854" s="294">
        <v>40877</v>
      </c>
      <c r="I854" s="295">
        <v>-40352.57</v>
      </c>
    </row>
    <row r="855" spans="1:9" x14ac:dyDescent="0.2">
      <c r="A855" s="293" t="s">
        <v>5802</v>
      </c>
      <c r="B855" s="293" t="s">
        <v>5632</v>
      </c>
      <c r="C855" s="293" t="s">
        <v>5803</v>
      </c>
      <c r="D855" s="293" t="s">
        <v>5843</v>
      </c>
      <c r="E855" s="293" t="s">
        <v>5845</v>
      </c>
      <c r="F855" s="293" t="s">
        <v>5636</v>
      </c>
      <c r="G855" s="293" t="s">
        <v>5637</v>
      </c>
      <c r="H855" s="294">
        <v>40908</v>
      </c>
      <c r="I855" s="295">
        <v>-40352.57</v>
      </c>
    </row>
    <row r="856" spans="1:9" x14ac:dyDescent="0.2">
      <c r="A856" s="293" t="s">
        <v>5631</v>
      </c>
      <c r="B856" s="293" t="s">
        <v>5632</v>
      </c>
      <c r="C856" s="293" t="s">
        <v>5633</v>
      </c>
      <c r="D856" s="293" t="s">
        <v>5843</v>
      </c>
      <c r="E856" s="293" t="s">
        <v>5845</v>
      </c>
      <c r="F856" s="293" t="s">
        <v>5636</v>
      </c>
      <c r="G856" s="293" t="s">
        <v>5637</v>
      </c>
      <c r="H856" s="294">
        <v>40939</v>
      </c>
      <c r="I856" s="295">
        <v>-40352.57</v>
      </c>
    </row>
    <row r="857" spans="1:9" x14ac:dyDescent="0.2">
      <c r="A857" s="293" t="s">
        <v>5651</v>
      </c>
      <c r="B857" s="293" t="s">
        <v>5632</v>
      </c>
      <c r="C857" s="293" t="s">
        <v>5652</v>
      </c>
      <c r="D857" s="293" t="s">
        <v>5843</v>
      </c>
      <c r="E857" s="293" t="s">
        <v>5845</v>
      </c>
      <c r="F857" s="293" t="s">
        <v>5653</v>
      </c>
      <c r="G857" s="293" t="s">
        <v>5637</v>
      </c>
      <c r="H857" s="294">
        <v>40968</v>
      </c>
      <c r="I857" s="295">
        <v>-40352.57</v>
      </c>
    </row>
    <row r="858" spans="1:9" x14ac:dyDescent="0.2">
      <c r="A858" s="293" t="s">
        <v>5804</v>
      </c>
      <c r="B858" s="293" t="s">
        <v>5632</v>
      </c>
      <c r="C858" s="293" t="s">
        <v>5656</v>
      </c>
      <c r="D858" s="293" t="s">
        <v>5843</v>
      </c>
      <c r="E858" s="293" t="s">
        <v>5845</v>
      </c>
      <c r="F858" s="293" t="s">
        <v>5657</v>
      </c>
      <c r="G858" s="293" t="s">
        <v>5637</v>
      </c>
      <c r="H858" s="294">
        <v>40999</v>
      </c>
      <c r="I858" s="295">
        <v>-40352.57</v>
      </c>
    </row>
    <row r="859" spans="1:9" x14ac:dyDescent="0.2">
      <c r="A859" s="293" t="s">
        <v>5805</v>
      </c>
      <c r="B859" s="293" t="s">
        <v>5632</v>
      </c>
      <c r="C859" s="293" t="s">
        <v>5659</v>
      </c>
      <c r="D859" s="293" t="s">
        <v>5843</v>
      </c>
      <c r="E859" s="293" t="s">
        <v>5845</v>
      </c>
      <c r="F859" s="293" t="s">
        <v>5660</v>
      </c>
      <c r="G859" s="293" t="s">
        <v>5637</v>
      </c>
      <c r="H859" s="294">
        <v>41029</v>
      </c>
      <c r="I859" s="295">
        <v>346452.97</v>
      </c>
    </row>
    <row r="860" spans="1:9" x14ac:dyDescent="0.2">
      <c r="A860" s="293" t="s">
        <v>5661</v>
      </c>
      <c r="B860" s="293" t="s">
        <v>5632</v>
      </c>
      <c r="C860" s="293" t="s">
        <v>5662</v>
      </c>
      <c r="D860" s="293" t="s">
        <v>5843</v>
      </c>
      <c r="E860" s="293" t="s">
        <v>5845</v>
      </c>
      <c r="F860" s="293" t="s">
        <v>5663</v>
      </c>
      <c r="G860" s="293" t="s">
        <v>5637</v>
      </c>
      <c r="H860" s="294">
        <v>41060</v>
      </c>
      <c r="I860" s="295">
        <v>3646240.76</v>
      </c>
    </row>
    <row r="861" spans="1:9" x14ac:dyDescent="0.2">
      <c r="A861" s="293" t="s">
        <v>5806</v>
      </c>
      <c r="B861" s="293" t="s">
        <v>5666</v>
      </c>
      <c r="C861" s="293" t="s">
        <v>5807</v>
      </c>
      <c r="D861" s="293" t="s">
        <v>5843</v>
      </c>
      <c r="E861" s="293" t="s">
        <v>5088</v>
      </c>
      <c r="F861" s="293" t="s">
        <v>5668</v>
      </c>
      <c r="G861" s="293" t="s">
        <v>5591</v>
      </c>
      <c r="H861" s="294">
        <v>41113</v>
      </c>
      <c r="I861" s="295">
        <v>-40352.57</v>
      </c>
    </row>
    <row r="862" spans="1:9" x14ac:dyDescent="0.2">
      <c r="A862" s="293" t="s">
        <v>5806</v>
      </c>
      <c r="B862" s="293" t="s">
        <v>5666</v>
      </c>
      <c r="C862" s="293" t="s">
        <v>5807</v>
      </c>
      <c r="D862" s="293" t="s">
        <v>5843</v>
      </c>
      <c r="E862" s="293" t="s">
        <v>5088</v>
      </c>
      <c r="F862" s="293" t="s">
        <v>5668</v>
      </c>
      <c r="G862" s="293" t="s">
        <v>5589</v>
      </c>
      <c r="H862" s="294">
        <v>41113</v>
      </c>
      <c r="I862" s="295">
        <v>-11315</v>
      </c>
    </row>
    <row r="863" spans="1:9" x14ac:dyDescent="0.2">
      <c r="A863" s="293" t="s">
        <v>5808</v>
      </c>
      <c r="B863" s="293" t="s">
        <v>5632</v>
      </c>
      <c r="C863" s="293" t="s">
        <v>5670</v>
      </c>
      <c r="D863" s="293" t="s">
        <v>5843</v>
      </c>
      <c r="E863" s="293" t="s">
        <v>5845</v>
      </c>
      <c r="F863" s="293" t="s">
        <v>5671</v>
      </c>
      <c r="G863" s="293" t="s">
        <v>5637</v>
      </c>
      <c r="H863" s="294">
        <v>41090</v>
      </c>
      <c r="I863" s="295">
        <v>-51667.57</v>
      </c>
    </row>
    <row r="864" spans="1:9" x14ac:dyDescent="0.2">
      <c r="A864" s="293" t="s">
        <v>5809</v>
      </c>
      <c r="B864" s="293" t="s">
        <v>5632</v>
      </c>
      <c r="C864" s="293" t="s">
        <v>5670</v>
      </c>
      <c r="D864" s="293" t="s">
        <v>5843</v>
      </c>
      <c r="E864" s="293" t="s">
        <v>5845</v>
      </c>
      <c r="F864" s="293" t="s">
        <v>5671</v>
      </c>
      <c r="G864" s="293" t="s">
        <v>5637</v>
      </c>
      <c r="H864" s="294">
        <v>41090</v>
      </c>
      <c r="I864" s="295">
        <v>51667.57</v>
      </c>
    </row>
    <row r="865" spans="1:9" x14ac:dyDescent="0.2">
      <c r="A865" s="293" t="s">
        <v>5810</v>
      </c>
      <c r="B865" s="293" t="s">
        <v>5632</v>
      </c>
      <c r="C865" s="293" t="s">
        <v>5670</v>
      </c>
      <c r="D865" s="293" t="s">
        <v>5843</v>
      </c>
      <c r="E865" s="293" t="s">
        <v>5845</v>
      </c>
      <c r="F865" s="293" t="s">
        <v>5671</v>
      </c>
      <c r="G865" s="293" t="s">
        <v>5637</v>
      </c>
      <c r="H865" s="294">
        <v>41090</v>
      </c>
      <c r="I865" s="295">
        <v>-51667.57</v>
      </c>
    </row>
    <row r="866" spans="1:9" x14ac:dyDescent="0.2">
      <c r="A866" s="293" t="s">
        <v>5811</v>
      </c>
      <c r="B866" s="293" t="s">
        <v>5666</v>
      </c>
      <c r="C866" s="293" t="s">
        <v>5812</v>
      </c>
      <c r="D866" s="293" t="s">
        <v>5843</v>
      </c>
      <c r="E866" s="293" t="s">
        <v>5813</v>
      </c>
      <c r="F866" s="293" t="s">
        <v>5814</v>
      </c>
      <c r="G866" s="293" t="s">
        <v>5589</v>
      </c>
      <c r="H866" s="294">
        <v>41152</v>
      </c>
      <c r="I866" s="295">
        <v>-11315</v>
      </c>
    </row>
    <row r="867" spans="1:9" x14ac:dyDescent="0.2">
      <c r="A867" s="293" t="s">
        <v>5815</v>
      </c>
      <c r="B867" s="293" t="s">
        <v>5666</v>
      </c>
      <c r="C867" s="293" t="s">
        <v>5816</v>
      </c>
      <c r="D867" s="293" t="s">
        <v>5843</v>
      </c>
      <c r="E867" s="293" t="s">
        <v>5817</v>
      </c>
      <c r="F867" s="293" t="s">
        <v>5814</v>
      </c>
      <c r="G867" s="293" t="s">
        <v>5591</v>
      </c>
      <c r="H867" s="294">
        <v>41152</v>
      </c>
      <c r="I867" s="295">
        <v>-40352.57</v>
      </c>
    </row>
    <row r="868" spans="1:9" x14ac:dyDescent="0.2">
      <c r="A868" s="293" t="s">
        <v>5818</v>
      </c>
      <c r="B868" s="293" t="s">
        <v>5666</v>
      </c>
      <c r="C868" s="293" t="s">
        <v>5812</v>
      </c>
      <c r="D868" s="293" t="s">
        <v>5843</v>
      </c>
      <c r="E868" s="293" t="s">
        <v>5813</v>
      </c>
      <c r="F868" s="293" t="s">
        <v>5819</v>
      </c>
      <c r="G868" s="293" t="s">
        <v>5589</v>
      </c>
      <c r="H868" s="294">
        <v>41182</v>
      </c>
      <c r="I868" s="295">
        <v>-11315</v>
      </c>
    </row>
    <row r="869" spans="1:9" x14ac:dyDescent="0.2">
      <c r="A869" s="293" t="s">
        <v>5820</v>
      </c>
      <c r="B869" s="293" t="s">
        <v>5666</v>
      </c>
      <c r="C869" s="293" t="s">
        <v>5816</v>
      </c>
      <c r="D869" s="293" t="s">
        <v>5843</v>
      </c>
      <c r="E869" s="293" t="s">
        <v>5817</v>
      </c>
      <c r="F869" s="293" t="s">
        <v>5819</v>
      </c>
      <c r="G869" s="293" t="s">
        <v>5591</v>
      </c>
      <c r="H869" s="294">
        <v>41182</v>
      </c>
      <c r="I869" s="295">
        <v>-40352.57</v>
      </c>
    </row>
    <row r="870" spans="1:9" x14ac:dyDescent="0.2">
      <c r="A870" s="293" t="s">
        <v>5846</v>
      </c>
      <c r="B870" s="293" t="s">
        <v>5666</v>
      </c>
      <c r="C870" s="293" t="s">
        <v>5847</v>
      </c>
      <c r="D870" s="293" t="s">
        <v>5843</v>
      </c>
      <c r="E870" s="293" t="s">
        <v>5088</v>
      </c>
      <c r="F870" s="293" t="s">
        <v>5819</v>
      </c>
      <c r="G870" s="293" t="s">
        <v>5591</v>
      </c>
      <c r="H870" s="294">
        <v>41182</v>
      </c>
      <c r="I870" s="295">
        <v>1938623.27</v>
      </c>
    </row>
    <row r="871" spans="1:9" x14ac:dyDescent="0.2">
      <c r="A871" s="293" t="s">
        <v>5846</v>
      </c>
      <c r="B871" s="293" t="s">
        <v>5666</v>
      </c>
      <c r="C871" s="293" t="s">
        <v>5847</v>
      </c>
      <c r="D871" s="293" t="s">
        <v>5843</v>
      </c>
      <c r="E871" s="293" t="s">
        <v>5088</v>
      </c>
      <c r="F871" s="293" t="s">
        <v>5819</v>
      </c>
      <c r="G871" s="293" t="s">
        <v>5591</v>
      </c>
      <c r="H871" s="294">
        <v>41182</v>
      </c>
      <c r="I871" s="295">
        <v>-228073.32</v>
      </c>
    </row>
    <row r="872" spans="1:9" x14ac:dyDescent="0.2">
      <c r="A872" s="293" t="s">
        <v>5846</v>
      </c>
      <c r="B872" s="293" t="s">
        <v>5666</v>
      </c>
      <c r="C872" s="293" t="s">
        <v>5847</v>
      </c>
      <c r="D872" s="293" t="s">
        <v>5843</v>
      </c>
      <c r="E872" s="293" t="s">
        <v>5088</v>
      </c>
      <c r="F872" s="293" t="s">
        <v>5819</v>
      </c>
      <c r="G872" s="293" t="s">
        <v>5589</v>
      </c>
      <c r="H872" s="294">
        <v>41182</v>
      </c>
      <c r="I872" s="295">
        <v>2558101.13</v>
      </c>
    </row>
    <row r="873" spans="1:9" x14ac:dyDescent="0.2">
      <c r="A873" s="293" t="s">
        <v>5846</v>
      </c>
      <c r="B873" s="293" t="s">
        <v>5666</v>
      </c>
      <c r="C873" s="293" t="s">
        <v>5847</v>
      </c>
      <c r="D873" s="293" t="s">
        <v>5843</v>
      </c>
      <c r="E873" s="293" t="s">
        <v>5088</v>
      </c>
      <c r="F873" s="293" t="s">
        <v>5819</v>
      </c>
      <c r="G873" s="293" t="s">
        <v>5589</v>
      </c>
      <c r="H873" s="294">
        <v>41182</v>
      </c>
      <c r="I873" s="295">
        <v>-28423.360000000001</v>
      </c>
    </row>
    <row r="874" spans="1:9" x14ac:dyDescent="0.2">
      <c r="A874" s="293" t="s">
        <v>5821</v>
      </c>
      <c r="B874" s="293" t="s">
        <v>5666</v>
      </c>
      <c r="C874" s="293" t="s">
        <v>5812</v>
      </c>
      <c r="D874" s="293" t="s">
        <v>5843</v>
      </c>
      <c r="E874" s="293" t="s">
        <v>5813</v>
      </c>
      <c r="F874" s="293" t="s">
        <v>5822</v>
      </c>
      <c r="G874" s="293" t="s">
        <v>5589</v>
      </c>
      <c r="H874" s="294">
        <v>41213</v>
      </c>
      <c r="I874" s="295">
        <v>-11315</v>
      </c>
    </row>
    <row r="875" spans="1:9" x14ac:dyDescent="0.2">
      <c r="A875" s="293" t="s">
        <v>5823</v>
      </c>
      <c r="B875" s="293" t="s">
        <v>5666</v>
      </c>
      <c r="C875" s="293" t="s">
        <v>5816</v>
      </c>
      <c r="D875" s="293" t="s">
        <v>5843</v>
      </c>
      <c r="E875" s="293" t="s">
        <v>5817</v>
      </c>
      <c r="F875" s="293" t="s">
        <v>5822</v>
      </c>
      <c r="G875" s="293" t="s">
        <v>5591</v>
      </c>
      <c r="H875" s="294">
        <v>41213</v>
      </c>
      <c r="I875" s="295">
        <v>-40352.57</v>
      </c>
    </row>
    <row r="876" spans="1:9" x14ac:dyDescent="0.2">
      <c r="A876" s="293" t="s">
        <v>5824</v>
      </c>
      <c r="B876" s="293" t="s">
        <v>5825</v>
      </c>
      <c r="C876" s="293" t="s">
        <v>5812</v>
      </c>
      <c r="D876" s="293" t="s">
        <v>5843</v>
      </c>
      <c r="E876" s="293" t="s">
        <v>5813</v>
      </c>
      <c r="F876" s="293" t="s">
        <v>5822</v>
      </c>
      <c r="G876" s="293" t="s">
        <v>5589</v>
      </c>
      <c r="H876" s="294">
        <v>41213</v>
      </c>
      <c r="I876" s="295">
        <v>11315</v>
      </c>
    </row>
    <row r="877" spans="1:9" x14ac:dyDescent="0.2">
      <c r="A877" s="293" t="s">
        <v>5826</v>
      </c>
      <c r="B877" s="293" t="s">
        <v>5825</v>
      </c>
      <c r="C877" s="293" t="s">
        <v>5816</v>
      </c>
      <c r="D877" s="293" t="s">
        <v>5843</v>
      </c>
      <c r="E877" s="293" t="s">
        <v>5817</v>
      </c>
      <c r="F877" s="293" t="s">
        <v>5822</v>
      </c>
      <c r="G877" s="293" t="s">
        <v>5591</v>
      </c>
      <c r="H877" s="294">
        <v>41213</v>
      </c>
      <c r="I877" s="295">
        <v>40352.57</v>
      </c>
    </row>
    <row r="878" spans="1:9" x14ac:dyDescent="0.2">
      <c r="A878" s="293" t="s">
        <v>5827</v>
      </c>
      <c r="B878" s="293" t="s">
        <v>5666</v>
      </c>
      <c r="C878" s="293" t="s">
        <v>5816</v>
      </c>
      <c r="D878" s="293" t="s">
        <v>5843</v>
      </c>
      <c r="E878" s="293" t="s">
        <v>5848</v>
      </c>
      <c r="F878" s="293" t="s">
        <v>5822</v>
      </c>
      <c r="G878" s="293" t="s">
        <v>5591</v>
      </c>
      <c r="H878" s="294">
        <v>41213</v>
      </c>
      <c r="I878" s="295">
        <v>-65694.05</v>
      </c>
    </row>
    <row r="879" spans="1:9" x14ac:dyDescent="0.2">
      <c r="A879" s="293" t="s">
        <v>5829</v>
      </c>
      <c r="B879" s="293" t="s">
        <v>5666</v>
      </c>
      <c r="C879" s="293" t="s">
        <v>5812</v>
      </c>
      <c r="D879" s="293" t="s">
        <v>5843</v>
      </c>
      <c r="E879" s="293" t="s">
        <v>5849</v>
      </c>
      <c r="F879" s="293" t="s">
        <v>5822</v>
      </c>
      <c r="G879" s="293" t="s">
        <v>5589</v>
      </c>
      <c r="H879" s="294">
        <v>41213</v>
      </c>
      <c r="I879" s="295">
        <v>-18420.830000000002</v>
      </c>
    </row>
    <row r="880" spans="1:9" x14ac:dyDescent="0.2">
      <c r="A880" s="293" t="s">
        <v>5831</v>
      </c>
      <c r="B880" s="293" t="s">
        <v>5666</v>
      </c>
      <c r="C880" s="293" t="s">
        <v>5816</v>
      </c>
      <c r="D880" s="293" t="s">
        <v>5843</v>
      </c>
      <c r="E880" s="293" t="s">
        <v>5848</v>
      </c>
      <c r="F880" s="293" t="s">
        <v>5832</v>
      </c>
      <c r="G880" s="293" t="s">
        <v>5591</v>
      </c>
      <c r="H880" s="294">
        <v>41243</v>
      </c>
      <c r="I880" s="295">
        <v>-65694.05</v>
      </c>
    </row>
    <row r="881" spans="1:9" x14ac:dyDescent="0.2">
      <c r="A881" s="293" t="s">
        <v>5833</v>
      </c>
      <c r="B881" s="293" t="s">
        <v>5666</v>
      </c>
      <c r="C881" s="293" t="s">
        <v>5812</v>
      </c>
      <c r="D881" s="293" t="s">
        <v>5843</v>
      </c>
      <c r="E881" s="293" t="s">
        <v>5849</v>
      </c>
      <c r="F881" s="293" t="s">
        <v>5832</v>
      </c>
      <c r="G881" s="293" t="s">
        <v>5589</v>
      </c>
      <c r="H881" s="294">
        <v>41243</v>
      </c>
      <c r="I881" s="295">
        <v>-18420.830000000002</v>
      </c>
    </row>
    <row r="882" spans="1:9" x14ac:dyDescent="0.2">
      <c r="A882" s="293" t="s">
        <v>5834</v>
      </c>
      <c r="B882" s="293" t="s">
        <v>5666</v>
      </c>
      <c r="C882" s="293" t="s">
        <v>5835</v>
      </c>
      <c r="D882" s="293" t="s">
        <v>5843</v>
      </c>
      <c r="E882" s="293" t="s">
        <v>5088</v>
      </c>
      <c r="F882" s="293" t="s">
        <v>5686</v>
      </c>
      <c r="G882" s="293" t="s">
        <v>5589</v>
      </c>
      <c r="H882" s="294">
        <v>41274</v>
      </c>
      <c r="I882" s="295">
        <v>4073398.87</v>
      </c>
    </row>
    <row r="883" spans="1:9" x14ac:dyDescent="0.2">
      <c r="A883" s="293" t="s">
        <v>5834</v>
      </c>
      <c r="B883" s="293" t="s">
        <v>5666</v>
      </c>
      <c r="C883" s="293" t="s">
        <v>5835</v>
      </c>
      <c r="D883" s="293" t="s">
        <v>5843</v>
      </c>
      <c r="E883" s="293" t="s">
        <v>5088</v>
      </c>
      <c r="F883" s="293" t="s">
        <v>5686</v>
      </c>
      <c r="G883" s="293" t="s">
        <v>5591</v>
      </c>
      <c r="H883" s="294">
        <v>41274</v>
      </c>
      <c r="I883" s="295">
        <v>3571202.61</v>
      </c>
    </row>
    <row r="884" spans="1:9" x14ac:dyDescent="0.2">
      <c r="A884" s="293" t="s">
        <v>5834</v>
      </c>
      <c r="B884" s="293" t="s">
        <v>5666</v>
      </c>
      <c r="C884" s="293" t="s">
        <v>5835</v>
      </c>
      <c r="D884" s="293" t="s">
        <v>5843</v>
      </c>
      <c r="E884" s="293" t="s">
        <v>5088</v>
      </c>
      <c r="F884" s="293" t="s">
        <v>5686</v>
      </c>
      <c r="G884" s="293" t="s">
        <v>5637</v>
      </c>
      <c r="H884" s="294">
        <v>41274</v>
      </c>
      <c r="I884" s="295">
        <v>737661.26</v>
      </c>
    </row>
    <row r="885" spans="1:9" x14ac:dyDescent="0.2">
      <c r="A885" s="293" t="s">
        <v>5834</v>
      </c>
      <c r="B885" s="293" t="s">
        <v>5666</v>
      </c>
      <c r="C885" s="293" t="s">
        <v>5835</v>
      </c>
      <c r="D885" s="293" t="s">
        <v>5843</v>
      </c>
      <c r="E885" s="293" t="s">
        <v>5088</v>
      </c>
      <c r="F885" s="293" t="s">
        <v>5686</v>
      </c>
      <c r="G885" s="293" t="s">
        <v>5589</v>
      </c>
      <c r="H885" s="294">
        <v>41274</v>
      </c>
      <c r="I885" s="295">
        <v>-11315</v>
      </c>
    </row>
    <row r="886" spans="1:9" x14ac:dyDescent="0.2">
      <c r="A886" s="293" t="s">
        <v>5834</v>
      </c>
      <c r="B886" s="293" t="s">
        <v>5666</v>
      </c>
      <c r="C886" s="293" t="s">
        <v>5835</v>
      </c>
      <c r="D886" s="293" t="s">
        <v>5843</v>
      </c>
      <c r="E886" s="293" t="s">
        <v>5088</v>
      </c>
      <c r="F886" s="293" t="s">
        <v>5686</v>
      </c>
      <c r="G886" s="293" t="s">
        <v>5591</v>
      </c>
      <c r="H886" s="294">
        <v>41274</v>
      </c>
      <c r="I886" s="295">
        <v>-726346.26</v>
      </c>
    </row>
    <row r="887" spans="1:9" x14ac:dyDescent="0.2">
      <c r="A887" s="293" t="s">
        <v>5834</v>
      </c>
      <c r="B887" s="293" t="s">
        <v>5666</v>
      </c>
      <c r="C887" s="293" t="s">
        <v>5835</v>
      </c>
      <c r="D887" s="293" t="s">
        <v>5843</v>
      </c>
      <c r="E887" s="293" t="s">
        <v>5088</v>
      </c>
      <c r="F887" s="293" t="s">
        <v>5686</v>
      </c>
      <c r="G887" s="293" t="s">
        <v>5637</v>
      </c>
      <c r="H887" s="294">
        <v>41274</v>
      </c>
      <c r="I887" s="295">
        <v>-7644601.4800000004</v>
      </c>
    </row>
    <row r="888" spans="1:9" x14ac:dyDescent="0.2">
      <c r="A888" s="293" t="s">
        <v>5836</v>
      </c>
      <c r="B888" s="293" t="s">
        <v>5666</v>
      </c>
      <c r="C888" s="293" t="s">
        <v>5816</v>
      </c>
      <c r="D888" s="293" t="s">
        <v>5843</v>
      </c>
      <c r="E888" s="293" t="s">
        <v>5848</v>
      </c>
      <c r="F888" s="293" t="s">
        <v>5837</v>
      </c>
      <c r="G888" s="293" t="s">
        <v>5591</v>
      </c>
      <c r="H888" s="294">
        <v>41274</v>
      </c>
      <c r="I888" s="295">
        <v>-65694.05</v>
      </c>
    </row>
    <row r="889" spans="1:9" x14ac:dyDescent="0.2">
      <c r="A889" s="293" t="s">
        <v>5838</v>
      </c>
      <c r="B889" s="293" t="s">
        <v>5666</v>
      </c>
      <c r="C889" s="293" t="s">
        <v>5812</v>
      </c>
      <c r="D889" s="293" t="s">
        <v>5843</v>
      </c>
      <c r="E889" s="293" t="s">
        <v>5849</v>
      </c>
      <c r="F889" s="293" t="s">
        <v>5837</v>
      </c>
      <c r="G889" s="293" t="s">
        <v>5589</v>
      </c>
      <c r="H889" s="294">
        <v>41274</v>
      </c>
      <c r="I889" s="295">
        <v>-18420.830000000002</v>
      </c>
    </row>
    <row r="890" spans="1:9" x14ac:dyDescent="0.2">
      <c r="A890" s="293" t="s">
        <v>9907</v>
      </c>
      <c r="B890" s="293" t="s">
        <v>5666</v>
      </c>
      <c r="C890" s="293" t="s">
        <v>5816</v>
      </c>
      <c r="D890" s="293" t="s">
        <v>5843</v>
      </c>
      <c r="E890" s="293" t="s">
        <v>5848</v>
      </c>
      <c r="F890" s="293" t="s">
        <v>6436</v>
      </c>
      <c r="G890" s="293" t="s">
        <v>5591</v>
      </c>
      <c r="H890" s="294">
        <v>41305</v>
      </c>
      <c r="I890" s="295">
        <v>-65694.05</v>
      </c>
    </row>
    <row r="891" spans="1:9" x14ac:dyDescent="0.2">
      <c r="A891" s="293" t="s">
        <v>9908</v>
      </c>
      <c r="B891" s="293" t="s">
        <v>5666</v>
      </c>
      <c r="C891" s="293" t="s">
        <v>5812</v>
      </c>
      <c r="D891" s="293" t="s">
        <v>5843</v>
      </c>
      <c r="E891" s="293" t="s">
        <v>5849</v>
      </c>
      <c r="F891" s="293" t="s">
        <v>6436</v>
      </c>
      <c r="G891" s="293" t="s">
        <v>5589</v>
      </c>
      <c r="H891" s="294">
        <v>41305</v>
      </c>
      <c r="I891" s="295">
        <v>-18420.830000000002</v>
      </c>
    </row>
    <row r="892" spans="1:9" x14ac:dyDescent="0.2">
      <c r="A892" s="293" t="s">
        <v>6451</v>
      </c>
      <c r="B892" s="293" t="s">
        <v>5666</v>
      </c>
      <c r="C892" s="293" t="s">
        <v>6452</v>
      </c>
      <c r="D892" s="293" t="s">
        <v>5843</v>
      </c>
      <c r="E892" s="293" t="s">
        <v>5088</v>
      </c>
      <c r="F892" s="293" t="s">
        <v>6453</v>
      </c>
      <c r="G892" s="293" t="s">
        <v>5591</v>
      </c>
      <c r="H892" s="294">
        <v>41333</v>
      </c>
      <c r="I892" s="295">
        <v>0.15</v>
      </c>
    </row>
    <row r="893" spans="1:9" x14ac:dyDescent="0.2">
      <c r="A893" s="293" t="s">
        <v>6451</v>
      </c>
      <c r="B893" s="293" t="s">
        <v>5666</v>
      </c>
      <c r="C893" s="293" t="s">
        <v>6452</v>
      </c>
      <c r="D893" s="293" t="s">
        <v>5843</v>
      </c>
      <c r="E893" s="293" t="s">
        <v>5088</v>
      </c>
      <c r="F893" s="293" t="s">
        <v>6453</v>
      </c>
      <c r="G893" s="293" t="s">
        <v>5589</v>
      </c>
      <c r="H893" s="294">
        <v>41333</v>
      </c>
      <c r="I893" s="295">
        <v>0.04</v>
      </c>
    </row>
    <row r="894" spans="1:9" x14ac:dyDescent="0.2">
      <c r="A894" s="293" t="s">
        <v>9909</v>
      </c>
      <c r="B894" s="293" t="s">
        <v>5666</v>
      </c>
      <c r="C894" s="293" t="s">
        <v>5816</v>
      </c>
      <c r="D894" s="293" t="s">
        <v>5843</v>
      </c>
      <c r="E894" s="293" t="s">
        <v>5848</v>
      </c>
      <c r="F894" s="293" t="s">
        <v>6455</v>
      </c>
      <c r="G894" s="293" t="s">
        <v>5591</v>
      </c>
      <c r="H894" s="294">
        <v>41333</v>
      </c>
      <c r="I894" s="295">
        <v>-65694.05</v>
      </c>
    </row>
    <row r="895" spans="1:9" x14ac:dyDescent="0.2">
      <c r="A895" s="293" t="s">
        <v>7237</v>
      </c>
      <c r="B895" s="293" t="s">
        <v>5666</v>
      </c>
      <c r="C895" s="293" t="s">
        <v>5812</v>
      </c>
      <c r="D895" s="293" t="s">
        <v>5843</v>
      </c>
      <c r="E895" s="293" t="s">
        <v>5849</v>
      </c>
      <c r="F895" s="293" t="s">
        <v>6455</v>
      </c>
      <c r="G895" s="293" t="s">
        <v>5589</v>
      </c>
      <c r="H895" s="294">
        <v>41333</v>
      </c>
      <c r="I895" s="295">
        <v>-18420.830000000002</v>
      </c>
    </row>
    <row r="896" spans="1:9" x14ac:dyDescent="0.2">
      <c r="A896" s="293" t="s">
        <v>9910</v>
      </c>
      <c r="B896" s="293" t="s">
        <v>5666</v>
      </c>
      <c r="C896" s="293" t="s">
        <v>5816</v>
      </c>
      <c r="D896" s="293" t="s">
        <v>5843</v>
      </c>
      <c r="E896" s="293" t="s">
        <v>5848</v>
      </c>
      <c r="F896" s="293" t="s">
        <v>6476</v>
      </c>
      <c r="G896" s="293" t="s">
        <v>5591</v>
      </c>
      <c r="H896" s="294">
        <v>41364</v>
      </c>
      <c r="I896" s="295">
        <v>-65694.05</v>
      </c>
    </row>
    <row r="897" spans="1:9" x14ac:dyDescent="0.2">
      <c r="A897" s="293" t="s">
        <v>9911</v>
      </c>
      <c r="B897" s="293" t="s">
        <v>5666</v>
      </c>
      <c r="C897" s="293" t="s">
        <v>5812</v>
      </c>
      <c r="D897" s="293" t="s">
        <v>5843</v>
      </c>
      <c r="E897" s="293" t="s">
        <v>5849</v>
      </c>
      <c r="F897" s="293" t="s">
        <v>6476</v>
      </c>
      <c r="G897" s="293" t="s">
        <v>5589</v>
      </c>
      <c r="H897" s="294">
        <v>41364</v>
      </c>
      <c r="I897" s="295">
        <v>-18420.830000000002</v>
      </c>
    </row>
    <row r="898" spans="1:9" x14ac:dyDescent="0.2">
      <c r="A898" s="293" t="s">
        <v>9912</v>
      </c>
      <c r="B898" s="293" t="s">
        <v>5666</v>
      </c>
      <c r="C898" s="293" t="s">
        <v>5816</v>
      </c>
      <c r="D898" s="293" t="s">
        <v>5843</v>
      </c>
      <c r="E898" s="293" t="s">
        <v>5848</v>
      </c>
      <c r="F898" s="293" t="s">
        <v>6496</v>
      </c>
      <c r="G898" s="293" t="s">
        <v>5591</v>
      </c>
      <c r="H898" s="294">
        <v>41394</v>
      </c>
      <c r="I898" s="295">
        <v>-65694.05</v>
      </c>
    </row>
    <row r="899" spans="1:9" x14ac:dyDescent="0.2">
      <c r="A899" s="293" t="s">
        <v>9913</v>
      </c>
      <c r="B899" s="293" t="s">
        <v>5666</v>
      </c>
      <c r="C899" s="293" t="s">
        <v>5812</v>
      </c>
      <c r="D899" s="293" t="s">
        <v>5843</v>
      </c>
      <c r="E899" s="293" t="s">
        <v>5849</v>
      </c>
      <c r="F899" s="293" t="s">
        <v>6496</v>
      </c>
      <c r="G899" s="293" t="s">
        <v>5589</v>
      </c>
      <c r="H899" s="294">
        <v>41394</v>
      </c>
      <c r="I899" s="295">
        <v>-18420.830000000002</v>
      </c>
    </row>
    <row r="900" spans="1:9" x14ac:dyDescent="0.2">
      <c r="A900" s="293" t="s">
        <v>9914</v>
      </c>
      <c r="B900" s="293" t="s">
        <v>5666</v>
      </c>
      <c r="C900" s="293" t="s">
        <v>5816</v>
      </c>
      <c r="D900" s="293" t="s">
        <v>5843</v>
      </c>
      <c r="E900" s="293" t="s">
        <v>5848</v>
      </c>
      <c r="F900" s="293" t="s">
        <v>6514</v>
      </c>
      <c r="G900" s="293" t="s">
        <v>5591</v>
      </c>
      <c r="H900" s="294">
        <v>41425</v>
      </c>
      <c r="I900" s="295">
        <v>-65694.05</v>
      </c>
    </row>
    <row r="901" spans="1:9" x14ac:dyDescent="0.2">
      <c r="A901" s="293" t="s">
        <v>9915</v>
      </c>
      <c r="B901" s="293" t="s">
        <v>5666</v>
      </c>
      <c r="C901" s="293" t="s">
        <v>5812</v>
      </c>
      <c r="D901" s="293" t="s">
        <v>5843</v>
      </c>
      <c r="E901" s="293" t="s">
        <v>5849</v>
      </c>
      <c r="F901" s="293" t="s">
        <v>6514</v>
      </c>
      <c r="G901" s="293" t="s">
        <v>5589</v>
      </c>
      <c r="H901" s="294">
        <v>41425</v>
      </c>
      <c r="I901" s="295">
        <v>-18420.830000000002</v>
      </c>
    </row>
    <row r="902" spans="1:9" x14ac:dyDescent="0.2">
      <c r="A902" s="293" t="s">
        <v>9916</v>
      </c>
      <c r="B902" s="293" t="s">
        <v>5666</v>
      </c>
      <c r="C902" s="293" t="s">
        <v>5816</v>
      </c>
      <c r="D902" s="293" t="s">
        <v>5843</v>
      </c>
      <c r="E902" s="293" t="s">
        <v>5848</v>
      </c>
      <c r="F902" s="293" t="s">
        <v>6537</v>
      </c>
      <c r="G902" s="293" t="s">
        <v>5591</v>
      </c>
      <c r="H902" s="294">
        <v>41455</v>
      </c>
      <c r="I902" s="295">
        <v>-65694.05</v>
      </c>
    </row>
    <row r="903" spans="1:9" x14ac:dyDescent="0.2">
      <c r="A903" s="293" t="s">
        <v>9917</v>
      </c>
      <c r="B903" s="293" t="s">
        <v>5666</v>
      </c>
      <c r="C903" s="293" t="s">
        <v>5812</v>
      </c>
      <c r="D903" s="293" t="s">
        <v>5843</v>
      </c>
      <c r="E903" s="293" t="s">
        <v>5849</v>
      </c>
      <c r="F903" s="293" t="s">
        <v>6537</v>
      </c>
      <c r="G903" s="293" t="s">
        <v>5589</v>
      </c>
      <c r="H903" s="294">
        <v>41455</v>
      </c>
      <c r="I903" s="295">
        <v>-18420.830000000002</v>
      </c>
    </row>
    <row r="904" spans="1:9" x14ac:dyDescent="0.2">
      <c r="A904" s="293" t="s">
        <v>9927</v>
      </c>
      <c r="B904" s="293" t="s">
        <v>5666</v>
      </c>
      <c r="C904" s="293" t="s">
        <v>5816</v>
      </c>
      <c r="D904" s="293" t="s">
        <v>5843</v>
      </c>
      <c r="E904" s="293" t="s">
        <v>5848</v>
      </c>
      <c r="F904" s="293" t="s">
        <v>6561</v>
      </c>
      <c r="G904" s="293" t="s">
        <v>5591</v>
      </c>
      <c r="H904" s="294">
        <v>41486</v>
      </c>
      <c r="I904" s="295">
        <v>-65694.05</v>
      </c>
    </row>
    <row r="905" spans="1:9" x14ac:dyDescent="0.2">
      <c r="A905" s="293" t="s">
        <v>9928</v>
      </c>
      <c r="B905" s="293" t="s">
        <v>5666</v>
      </c>
      <c r="C905" s="293" t="s">
        <v>5812</v>
      </c>
      <c r="D905" s="293" t="s">
        <v>5843</v>
      </c>
      <c r="E905" s="293" t="s">
        <v>5849</v>
      </c>
      <c r="F905" s="293" t="s">
        <v>6561</v>
      </c>
      <c r="G905" s="293" t="s">
        <v>5589</v>
      </c>
      <c r="H905" s="294">
        <v>41486</v>
      </c>
      <c r="I905" s="295">
        <v>-18420.830000000002</v>
      </c>
    </row>
    <row r="906" spans="1:9" x14ac:dyDescent="0.2">
      <c r="A906" s="293" t="s">
        <v>10129</v>
      </c>
      <c r="B906" s="293" t="s">
        <v>5666</v>
      </c>
      <c r="C906" s="293" t="s">
        <v>5816</v>
      </c>
      <c r="D906" s="293" t="s">
        <v>5843</v>
      </c>
      <c r="E906" s="293" t="s">
        <v>10130</v>
      </c>
      <c r="F906" s="293" t="s">
        <v>6579</v>
      </c>
      <c r="G906" s="293" t="s">
        <v>5591</v>
      </c>
      <c r="H906" s="294">
        <v>41517</v>
      </c>
      <c r="I906" s="295">
        <v>-65694.05</v>
      </c>
    </row>
    <row r="907" spans="1:9" x14ac:dyDescent="0.2">
      <c r="A907" s="293" t="s">
        <v>10131</v>
      </c>
      <c r="B907" s="293" t="s">
        <v>5666</v>
      </c>
      <c r="C907" s="293" t="s">
        <v>5812</v>
      </c>
      <c r="D907" s="293" t="s">
        <v>5843</v>
      </c>
      <c r="E907" s="293" t="s">
        <v>10130</v>
      </c>
      <c r="F907" s="293" t="s">
        <v>6579</v>
      </c>
      <c r="G907" s="293" t="s">
        <v>5589</v>
      </c>
      <c r="H907" s="294">
        <v>41517</v>
      </c>
      <c r="I907" s="295">
        <v>-18420.830000000002</v>
      </c>
    </row>
    <row r="908" spans="1:9" x14ac:dyDescent="0.2">
      <c r="A908" s="293" t="s">
        <v>10132</v>
      </c>
      <c r="B908" s="293" t="s">
        <v>5666</v>
      </c>
      <c r="C908" s="293" t="s">
        <v>5816</v>
      </c>
      <c r="D908" s="293" t="s">
        <v>5843</v>
      </c>
      <c r="E908" s="293" t="s">
        <v>10130</v>
      </c>
      <c r="F908" s="293" t="s">
        <v>6601</v>
      </c>
      <c r="G908" s="293" t="s">
        <v>5591</v>
      </c>
      <c r="H908" s="294">
        <v>41547</v>
      </c>
      <c r="I908" s="295">
        <v>-65694.05</v>
      </c>
    </row>
    <row r="909" spans="1:9" x14ac:dyDescent="0.2">
      <c r="A909" s="293" t="s">
        <v>10133</v>
      </c>
      <c r="B909" s="293" t="s">
        <v>5666</v>
      </c>
      <c r="C909" s="293" t="s">
        <v>5812</v>
      </c>
      <c r="D909" s="293" t="s">
        <v>5843</v>
      </c>
      <c r="E909" s="293" t="s">
        <v>10130</v>
      </c>
      <c r="F909" s="293" t="s">
        <v>6601</v>
      </c>
      <c r="G909" s="293" t="s">
        <v>5589</v>
      </c>
      <c r="H909" s="294">
        <v>41547</v>
      </c>
      <c r="I909" s="295">
        <v>-18420.830000000002</v>
      </c>
    </row>
    <row r="910" spans="1:9" x14ac:dyDescent="0.2">
      <c r="A910" s="293" t="s">
        <v>10134</v>
      </c>
      <c r="B910" s="293" t="s">
        <v>5666</v>
      </c>
      <c r="C910" s="293" t="s">
        <v>5816</v>
      </c>
      <c r="D910" s="293" t="s">
        <v>5843</v>
      </c>
      <c r="E910" s="293" t="s">
        <v>10130</v>
      </c>
      <c r="F910" s="293" t="s">
        <v>6621</v>
      </c>
      <c r="G910" s="293" t="s">
        <v>5591</v>
      </c>
      <c r="H910" s="294">
        <v>41578</v>
      </c>
      <c r="I910" s="295">
        <v>-65694.05</v>
      </c>
    </row>
    <row r="911" spans="1:9" x14ac:dyDescent="0.2">
      <c r="A911" s="293" t="s">
        <v>10135</v>
      </c>
      <c r="B911" s="293" t="s">
        <v>5666</v>
      </c>
      <c r="C911" s="293" t="s">
        <v>5812</v>
      </c>
      <c r="D911" s="293" t="s">
        <v>5843</v>
      </c>
      <c r="E911" s="293" t="s">
        <v>10130</v>
      </c>
      <c r="F911" s="293" t="s">
        <v>6621</v>
      </c>
      <c r="G911" s="293" t="s">
        <v>5589</v>
      </c>
      <c r="H911" s="294">
        <v>41578</v>
      </c>
      <c r="I911" s="295">
        <v>-18420.830000000002</v>
      </c>
    </row>
    <row r="912" spans="1:9" x14ac:dyDescent="0.2">
      <c r="A912" s="293" t="s">
        <v>10136</v>
      </c>
      <c r="B912" s="293" t="s">
        <v>5666</v>
      </c>
      <c r="C912" s="293" t="s">
        <v>5816</v>
      </c>
      <c r="D912" s="293" t="s">
        <v>5843</v>
      </c>
      <c r="E912" s="293" t="s">
        <v>10130</v>
      </c>
      <c r="F912" s="293" t="s">
        <v>6640</v>
      </c>
      <c r="G912" s="293" t="s">
        <v>5591</v>
      </c>
      <c r="H912" s="294">
        <v>41608</v>
      </c>
      <c r="I912" s="295">
        <v>-65694.05</v>
      </c>
    </row>
    <row r="913" spans="1:9" x14ac:dyDescent="0.2">
      <c r="A913" s="293" t="s">
        <v>10137</v>
      </c>
      <c r="B913" s="293" t="s">
        <v>5666</v>
      </c>
      <c r="C913" s="293" t="s">
        <v>5812</v>
      </c>
      <c r="D913" s="293" t="s">
        <v>5843</v>
      </c>
      <c r="E913" s="293" t="s">
        <v>10130</v>
      </c>
      <c r="F913" s="293" t="s">
        <v>6640</v>
      </c>
      <c r="G913" s="293" t="s">
        <v>5589</v>
      </c>
      <c r="H913" s="294">
        <v>41608</v>
      </c>
      <c r="I913" s="295">
        <v>-18420.830000000002</v>
      </c>
    </row>
    <row r="914" spans="1:9" x14ac:dyDescent="0.2">
      <c r="A914" s="293" t="s">
        <v>10138</v>
      </c>
      <c r="B914" s="293" t="s">
        <v>5666</v>
      </c>
      <c r="C914" s="293" t="s">
        <v>5816</v>
      </c>
      <c r="D914" s="293" t="s">
        <v>5843</v>
      </c>
      <c r="E914" s="293" t="s">
        <v>10130</v>
      </c>
      <c r="F914" s="293" t="s">
        <v>6657</v>
      </c>
      <c r="G914" s="293" t="s">
        <v>5591</v>
      </c>
      <c r="H914" s="294">
        <v>41639</v>
      </c>
      <c r="I914" s="295">
        <v>-65694.05</v>
      </c>
    </row>
    <row r="915" spans="1:9" x14ac:dyDescent="0.2">
      <c r="A915" s="293" t="s">
        <v>10139</v>
      </c>
      <c r="B915" s="293" t="s">
        <v>5666</v>
      </c>
      <c r="C915" s="293" t="s">
        <v>5812</v>
      </c>
      <c r="D915" s="293" t="s">
        <v>5843</v>
      </c>
      <c r="E915" s="293" t="s">
        <v>10130</v>
      </c>
      <c r="F915" s="293" t="s">
        <v>6657</v>
      </c>
      <c r="G915" s="293" t="s">
        <v>5589</v>
      </c>
      <c r="H915" s="294">
        <v>41639</v>
      </c>
      <c r="I915" s="295">
        <v>-18420.830000000002</v>
      </c>
    </row>
    <row r="916" spans="1:9" x14ac:dyDescent="0.2">
      <c r="A916" s="293" t="s">
        <v>10140</v>
      </c>
      <c r="B916" s="293" t="s">
        <v>5666</v>
      </c>
      <c r="C916" s="293" t="s">
        <v>5816</v>
      </c>
      <c r="D916" s="293" t="s">
        <v>5843</v>
      </c>
      <c r="E916" s="293" t="s">
        <v>10130</v>
      </c>
      <c r="F916" s="293" t="s">
        <v>6677</v>
      </c>
      <c r="G916" s="293" t="s">
        <v>5591</v>
      </c>
      <c r="H916" s="294">
        <v>41670</v>
      </c>
      <c r="I916" s="295">
        <v>-65694.05</v>
      </c>
    </row>
    <row r="917" spans="1:9" x14ac:dyDescent="0.2">
      <c r="A917" s="293" t="s">
        <v>10141</v>
      </c>
      <c r="B917" s="293" t="s">
        <v>5666</v>
      </c>
      <c r="C917" s="293" t="s">
        <v>5812</v>
      </c>
      <c r="D917" s="293" t="s">
        <v>5843</v>
      </c>
      <c r="E917" s="293" t="s">
        <v>10130</v>
      </c>
      <c r="F917" s="293" t="s">
        <v>6677</v>
      </c>
      <c r="G917" s="293" t="s">
        <v>5589</v>
      </c>
      <c r="H917" s="294">
        <v>41670</v>
      </c>
      <c r="I917" s="295">
        <v>-18420.830000000002</v>
      </c>
    </row>
    <row r="918" spans="1:9" x14ac:dyDescent="0.2">
      <c r="A918" s="293" t="s">
        <v>10142</v>
      </c>
      <c r="B918" s="293" t="s">
        <v>5666</v>
      </c>
      <c r="C918" s="293" t="s">
        <v>5816</v>
      </c>
      <c r="D918" s="293" t="s">
        <v>5843</v>
      </c>
      <c r="E918" s="293" t="s">
        <v>10130</v>
      </c>
      <c r="F918" s="293" t="s">
        <v>6694</v>
      </c>
      <c r="G918" s="293" t="s">
        <v>5591</v>
      </c>
      <c r="H918" s="294">
        <v>41698</v>
      </c>
      <c r="I918" s="295">
        <v>-65694.05</v>
      </c>
    </row>
    <row r="919" spans="1:9" x14ac:dyDescent="0.2">
      <c r="A919" s="293" t="s">
        <v>10143</v>
      </c>
      <c r="B919" s="293" t="s">
        <v>5666</v>
      </c>
      <c r="C919" s="293" t="s">
        <v>5812</v>
      </c>
      <c r="D919" s="293" t="s">
        <v>5843</v>
      </c>
      <c r="E919" s="293" t="s">
        <v>10130</v>
      </c>
      <c r="F919" s="293" t="s">
        <v>6694</v>
      </c>
      <c r="G919" s="293" t="s">
        <v>5589</v>
      </c>
      <c r="H919" s="294">
        <v>41698</v>
      </c>
      <c r="I919" s="295">
        <v>-18420.830000000002</v>
      </c>
    </row>
    <row r="920" spans="1:9" x14ac:dyDescent="0.2">
      <c r="A920" s="293" t="s">
        <v>10144</v>
      </c>
      <c r="B920" s="293" t="s">
        <v>5666</v>
      </c>
      <c r="C920" s="293" t="s">
        <v>5816</v>
      </c>
      <c r="D920" s="293" t="s">
        <v>5843</v>
      </c>
      <c r="E920" s="293" t="s">
        <v>10130</v>
      </c>
      <c r="F920" s="293" t="s">
        <v>6711</v>
      </c>
      <c r="G920" s="293" t="s">
        <v>5591</v>
      </c>
      <c r="H920" s="294">
        <v>41729</v>
      </c>
      <c r="I920" s="295">
        <v>-65694.05</v>
      </c>
    </row>
    <row r="921" spans="1:9" x14ac:dyDescent="0.2">
      <c r="A921" s="293" t="s">
        <v>10145</v>
      </c>
      <c r="B921" s="293" t="s">
        <v>5666</v>
      </c>
      <c r="C921" s="293" t="s">
        <v>5812</v>
      </c>
      <c r="D921" s="293" t="s">
        <v>5843</v>
      </c>
      <c r="E921" s="293" t="s">
        <v>10130</v>
      </c>
      <c r="F921" s="293" t="s">
        <v>6711</v>
      </c>
      <c r="G921" s="293" t="s">
        <v>5589</v>
      </c>
      <c r="H921" s="294">
        <v>41729</v>
      </c>
      <c r="I921" s="295">
        <v>-18420.830000000002</v>
      </c>
    </row>
    <row r="922" spans="1:9" x14ac:dyDescent="0.2">
      <c r="A922" s="293" t="s">
        <v>10146</v>
      </c>
      <c r="B922" s="293" t="s">
        <v>5666</v>
      </c>
      <c r="C922" s="293" t="s">
        <v>5816</v>
      </c>
      <c r="D922" s="293" t="s">
        <v>5843</v>
      </c>
      <c r="E922" s="293" t="s">
        <v>10130</v>
      </c>
      <c r="F922" s="293" t="s">
        <v>6731</v>
      </c>
      <c r="G922" s="293" t="s">
        <v>5591</v>
      </c>
      <c r="H922" s="294">
        <v>41759</v>
      </c>
      <c r="I922" s="295">
        <v>-65694.05</v>
      </c>
    </row>
    <row r="923" spans="1:9" x14ac:dyDescent="0.2">
      <c r="A923" s="293" t="s">
        <v>10147</v>
      </c>
      <c r="B923" s="293" t="s">
        <v>5666</v>
      </c>
      <c r="C923" s="293" t="s">
        <v>5812</v>
      </c>
      <c r="D923" s="293" t="s">
        <v>5843</v>
      </c>
      <c r="E923" s="293" t="s">
        <v>10130</v>
      </c>
      <c r="F923" s="293" t="s">
        <v>6731</v>
      </c>
      <c r="G923" s="293" t="s">
        <v>5589</v>
      </c>
      <c r="H923" s="294">
        <v>41759</v>
      </c>
      <c r="I923" s="295">
        <v>-18420.830000000002</v>
      </c>
    </row>
    <row r="924" spans="1:9" x14ac:dyDescent="0.2">
      <c r="A924" s="293" t="s">
        <v>10148</v>
      </c>
      <c r="B924" s="293" t="s">
        <v>6010</v>
      </c>
      <c r="C924" s="293" t="s">
        <v>10149</v>
      </c>
      <c r="D924" s="293" t="s">
        <v>5843</v>
      </c>
      <c r="E924" s="293" t="s">
        <v>10150</v>
      </c>
      <c r="F924" s="293" t="s">
        <v>10151</v>
      </c>
      <c r="G924" s="293" t="s">
        <v>5754</v>
      </c>
      <c r="H924" s="294">
        <v>41759</v>
      </c>
      <c r="I924" s="295">
        <v>-69126.81</v>
      </c>
    </row>
    <row r="925" spans="1:9" x14ac:dyDescent="0.2">
      <c r="A925" s="293" t="s">
        <v>10152</v>
      </c>
      <c r="B925" s="293" t="s">
        <v>6010</v>
      </c>
      <c r="C925" s="293" t="s">
        <v>10153</v>
      </c>
      <c r="D925" s="293" t="s">
        <v>5843</v>
      </c>
      <c r="E925" s="293" t="s">
        <v>5088</v>
      </c>
      <c r="F925" s="293" t="s">
        <v>10154</v>
      </c>
      <c r="G925" s="293" t="s">
        <v>5754</v>
      </c>
      <c r="H925" s="294">
        <v>41773</v>
      </c>
      <c r="I925" s="295">
        <v>300312.40000000002</v>
      </c>
    </row>
    <row r="926" spans="1:9" x14ac:dyDescent="0.2">
      <c r="A926" s="293" t="s">
        <v>10155</v>
      </c>
      <c r="B926" s="293" t="s">
        <v>5666</v>
      </c>
      <c r="C926" s="293" t="s">
        <v>5816</v>
      </c>
      <c r="D926" s="293" t="s">
        <v>5843</v>
      </c>
      <c r="E926" s="293" t="s">
        <v>10130</v>
      </c>
      <c r="F926" s="293" t="s">
        <v>6767</v>
      </c>
      <c r="G926" s="293" t="s">
        <v>5591</v>
      </c>
      <c r="H926" s="294">
        <v>41790</v>
      </c>
      <c r="I926" s="295">
        <v>-65694.05</v>
      </c>
    </row>
    <row r="927" spans="1:9" x14ac:dyDescent="0.2">
      <c r="A927" s="293" t="s">
        <v>10156</v>
      </c>
      <c r="B927" s="293" t="s">
        <v>5666</v>
      </c>
      <c r="C927" s="293" t="s">
        <v>5812</v>
      </c>
      <c r="D927" s="293" t="s">
        <v>5843</v>
      </c>
      <c r="E927" s="293" t="s">
        <v>10130</v>
      </c>
      <c r="F927" s="293" t="s">
        <v>6767</v>
      </c>
      <c r="G927" s="293" t="s">
        <v>5589</v>
      </c>
      <c r="H927" s="294">
        <v>41790</v>
      </c>
      <c r="I927" s="295">
        <v>-18420.830000000002</v>
      </c>
    </row>
    <row r="928" spans="1:9" x14ac:dyDescent="0.2">
      <c r="A928" s="293" t="s">
        <v>10157</v>
      </c>
      <c r="B928" s="293" t="s">
        <v>5666</v>
      </c>
      <c r="C928" s="293" t="s">
        <v>10158</v>
      </c>
      <c r="D928" s="293" t="s">
        <v>5843</v>
      </c>
      <c r="E928" s="293" t="s">
        <v>10159</v>
      </c>
      <c r="F928" s="293" t="s">
        <v>6767</v>
      </c>
      <c r="G928" s="293" t="s">
        <v>5754</v>
      </c>
      <c r="H928" s="294">
        <v>41790</v>
      </c>
      <c r="I928" s="295">
        <v>-834.6</v>
      </c>
    </row>
    <row r="929" spans="1:9" x14ac:dyDescent="0.2">
      <c r="A929" s="293" t="s">
        <v>10160</v>
      </c>
      <c r="B929" s="293" t="s">
        <v>6010</v>
      </c>
      <c r="C929" s="293" t="s">
        <v>9921</v>
      </c>
      <c r="D929" s="293" t="s">
        <v>5843</v>
      </c>
      <c r="E929" s="293" t="s">
        <v>10161</v>
      </c>
      <c r="F929" s="293" t="s">
        <v>6785</v>
      </c>
      <c r="G929" s="293" t="s">
        <v>5754</v>
      </c>
      <c r="H929" s="294">
        <v>41790</v>
      </c>
      <c r="I929" s="295">
        <v>69126.81</v>
      </c>
    </row>
    <row r="930" spans="1:9" x14ac:dyDescent="0.2">
      <c r="A930" s="293" t="s">
        <v>10162</v>
      </c>
      <c r="B930" s="293" t="s">
        <v>5666</v>
      </c>
      <c r="C930" s="293" t="s">
        <v>5816</v>
      </c>
      <c r="D930" s="293" t="s">
        <v>5843</v>
      </c>
      <c r="E930" s="293" t="s">
        <v>10130</v>
      </c>
      <c r="F930" s="293" t="s">
        <v>6790</v>
      </c>
      <c r="G930" s="293" t="s">
        <v>5591</v>
      </c>
      <c r="H930" s="294">
        <v>41820</v>
      </c>
      <c r="I930" s="295">
        <v>-65694.05</v>
      </c>
    </row>
    <row r="931" spans="1:9" x14ac:dyDescent="0.2">
      <c r="A931" s="293" t="s">
        <v>10163</v>
      </c>
      <c r="B931" s="293" t="s">
        <v>5666</v>
      </c>
      <c r="C931" s="293" t="s">
        <v>5812</v>
      </c>
      <c r="D931" s="293" t="s">
        <v>5843</v>
      </c>
      <c r="E931" s="293" t="s">
        <v>10130</v>
      </c>
      <c r="F931" s="293" t="s">
        <v>6790</v>
      </c>
      <c r="G931" s="293" t="s">
        <v>5589</v>
      </c>
      <c r="H931" s="294">
        <v>41820</v>
      </c>
      <c r="I931" s="295">
        <v>-18420.830000000002</v>
      </c>
    </row>
    <row r="932" spans="1:9" x14ac:dyDescent="0.2">
      <c r="A932" s="293" t="s">
        <v>10164</v>
      </c>
      <c r="B932" s="293" t="s">
        <v>5666</v>
      </c>
      <c r="C932" s="293" t="s">
        <v>10158</v>
      </c>
      <c r="D932" s="293" t="s">
        <v>5843</v>
      </c>
      <c r="E932" s="293" t="s">
        <v>10159</v>
      </c>
      <c r="F932" s="293" t="s">
        <v>6790</v>
      </c>
      <c r="G932" s="293" t="s">
        <v>5754</v>
      </c>
      <c r="H932" s="294">
        <v>41820</v>
      </c>
      <c r="I932" s="295">
        <v>-834.2</v>
      </c>
    </row>
    <row r="933" spans="1:9" x14ac:dyDescent="0.2">
      <c r="A933" s="293" t="s">
        <v>10165</v>
      </c>
      <c r="B933" s="293" t="s">
        <v>5666</v>
      </c>
      <c r="C933" s="293" t="s">
        <v>5816</v>
      </c>
      <c r="D933" s="293" t="s">
        <v>5843</v>
      </c>
      <c r="E933" s="293" t="s">
        <v>10130</v>
      </c>
      <c r="F933" s="293" t="s">
        <v>6814</v>
      </c>
      <c r="G933" s="293" t="s">
        <v>5591</v>
      </c>
      <c r="H933" s="294">
        <v>41851</v>
      </c>
      <c r="I933" s="295">
        <v>-65694.05</v>
      </c>
    </row>
    <row r="934" spans="1:9" x14ac:dyDescent="0.2">
      <c r="A934" s="293" t="s">
        <v>10166</v>
      </c>
      <c r="B934" s="293" t="s">
        <v>5666</v>
      </c>
      <c r="C934" s="293" t="s">
        <v>5812</v>
      </c>
      <c r="D934" s="293" t="s">
        <v>5843</v>
      </c>
      <c r="E934" s="293" t="s">
        <v>10130</v>
      </c>
      <c r="F934" s="293" t="s">
        <v>6814</v>
      </c>
      <c r="G934" s="293" t="s">
        <v>5589</v>
      </c>
      <c r="H934" s="294">
        <v>41851</v>
      </c>
      <c r="I934" s="295">
        <v>-18420.830000000002</v>
      </c>
    </row>
    <row r="935" spans="1:9" x14ac:dyDescent="0.2">
      <c r="A935" s="293" t="s">
        <v>10167</v>
      </c>
      <c r="B935" s="293" t="s">
        <v>5666</v>
      </c>
      <c r="C935" s="293" t="s">
        <v>10158</v>
      </c>
      <c r="D935" s="293" t="s">
        <v>5843</v>
      </c>
      <c r="E935" s="293" t="s">
        <v>10159</v>
      </c>
      <c r="F935" s="293" t="s">
        <v>6814</v>
      </c>
      <c r="G935" s="293" t="s">
        <v>5754</v>
      </c>
      <c r="H935" s="294">
        <v>41851</v>
      </c>
      <c r="I935" s="295">
        <v>-834.2</v>
      </c>
    </row>
    <row r="936" spans="1:9" x14ac:dyDescent="0.2">
      <c r="A936" s="293" t="s">
        <v>10168</v>
      </c>
      <c r="B936" s="293" t="s">
        <v>5666</v>
      </c>
      <c r="C936" s="293" t="s">
        <v>5816</v>
      </c>
      <c r="D936" s="293" t="s">
        <v>5843</v>
      </c>
      <c r="E936" s="293" t="s">
        <v>10130</v>
      </c>
      <c r="F936" s="293" t="s">
        <v>6836</v>
      </c>
      <c r="G936" s="293" t="s">
        <v>5591</v>
      </c>
      <c r="H936" s="294">
        <v>41882</v>
      </c>
      <c r="I936" s="295">
        <v>-65694.05</v>
      </c>
    </row>
    <row r="937" spans="1:9" x14ac:dyDescent="0.2">
      <c r="A937" s="293" t="s">
        <v>10169</v>
      </c>
      <c r="B937" s="293" t="s">
        <v>5666</v>
      </c>
      <c r="C937" s="293" t="s">
        <v>5812</v>
      </c>
      <c r="D937" s="293" t="s">
        <v>5843</v>
      </c>
      <c r="E937" s="293" t="s">
        <v>10130</v>
      </c>
      <c r="F937" s="293" t="s">
        <v>6836</v>
      </c>
      <c r="G937" s="293" t="s">
        <v>5589</v>
      </c>
      <c r="H937" s="294">
        <v>41882</v>
      </c>
      <c r="I937" s="295">
        <v>-18420.830000000002</v>
      </c>
    </row>
    <row r="938" spans="1:9" x14ac:dyDescent="0.2">
      <c r="A938" s="293" t="s">
        <v>10170</v>
      </c>
      <c r="B938" s="293" t="s">
        <v>5666</v>
      </c>
      <c r="C938" s="293" t="s">
        <v>10158</v>
      </c>
      <c r="D938" s="293" t="s">
        <v>5843</v>
      </c>
      <c r="E938" s="293" t="s">
        <v>10159</v>
      </c>
      <c r="F938" s="293" t="s">
        <v>6836</v>
      </c>
      <c r="G938" s="293" t="s">
        <v>5754</v>
      </c>
      <c r="H938" s="294">
        <v>41882</v>
      </c>
      <c r="I938" s="295">
        <v>-834.2</v>
      </c>
    </row>
    <row r="939" spans="1:9" x14ac:dyDescent="0.2">
      <c r="A939" s="293" t="s">
        <v>10171</v>
      </c>
      <c r="B939" s="293" t="s">
        <v>5666</v>
      </c>
      <c r="C939" s="293" t="s">
        <v>5816</v>
      </c>
      <c r="D939" s="293" t="s">
        <v>5843</v>
      </c>
      <c r="E939" s="293" t="s">
        <v>10130</v>
      </c>
      <c r="F939" s="293" t="s">
        <v>6860</v>
      </c>
      <c r="G939" s="293" t="s">
        <v>5591</v>
      </c>
      <c r="H939" s="294">
        <v>41912</v>
      </c>
      <c r="I939" s="295">
        <v>-65694.05</v>
      </c>
    </row>
    <row r="940" spans="1:9" x14ac:dyDescent="0.2">
      <c r="A940" s="293" t="s">
        <v>10172</v>
      </c>
      <c r="B940" s="293" t="s">
        <v>5666</v>
      </c>
      <c r="C940" s="293" t="s">
        <v>5812</v>
      </c>
      <c r="D940" s="293" t="s">
        <v>5843</v>
      </c>
      <c r="E940" s="293" t="s">
        <v>10130</v>
      </c>
      <c r="F940" s="293" t="s">
        <v>6860</v>
      </c>
      <c r="G940" s="293" t="s">
        <v>5589</v>
      </c>
      <c r="H940" s="294">
        <v>41912</v>
      </c>
      <c r="I940" s="295">
        <v>-18420.830000000002</v>
      </c>
    </row>
    <row r="941" spans="1:9" x14ac:dyDescent="0.2">
      <c r="A941" s="293" t="s">
        <v>10173</v>
      </c>
      <c r="B941" s="293" t="s">
        <v>5666</v>
      </c>
      <c r="C941" s="293" t="s">
        <v>10158</v>
      </c>
      <c r="D941" s="293" t="s">
        <v>5843</v>
      </c>
      <c r="E941" s="293" t="s">
        <v>10159</v>
      </c>
      <c r="F941" s="293" t="s">
        <v>6860</v>
      </c>
      <c r="G941" s="293" t="s">
        <v>5754</v>
      </c>
      <c r="H941" s="294">
        <v>41912</v>
      </c>
      <c r="I941" s="295">
        <v>-834.2</v>
      </c>
    </row>
    <row r="942" spans="1:9" x14ac:dyDescent="0.2">
      <c r="A942" s="293" t="s">
        <v>10174</v>
      </c>
      <c r="B942" s="293" t="s">
        <v>5666</v>
      </c>
      <c r="C942" s="293" t="s">
        <v>5816</v>
      </c>
      <c r="D942" s="293" t="s">
        <v>5843</v>
      </c>
      <c r="E942" s="293" t="s">
        <v>10130</v>
      </c>
      <c r="F942" s="293" t="s">
        <v>6884</v>
      </c>
      <c r="G942" s="293" t="s">
        <v>5591</v>
      </c>
      <c r="H942" s="294">
        <v>41943</v>
      </c>
      <c r="I942" s="295">
        <v>-65694.05</v>
      </c>
    </row>
    <row r="943" spans="1:9" x14ac:dyDescent="0.2">
      <c r="A943" s="293" t="s">
        <v>10175</v>
      </c>
      <c r="B943" s="293" t="s">
        <v>5666</v>
      </c>
      <c r="C943" s="293" t="s">
        <v>5812</v>
      </c>
      <c r="D943" s="293" t="s">
        <v>5843</v>
      </c>
      <c r="E943" s="293" t="s">
        <v>10130</v>
      </c>
      <c r="F943" s="293" t="s">
        <v>6884</v>
      </c>
      <c r="G943" s="293" t="s">
        <v>5589</v>
      </c>
      <c r="H943" s="294">
        <v>41943</v>
      </c>
      <c r="I943" s="295">
        <v>-18420.830000000002</v>
      </c>
    </row>
    <row r="944" spans="1:9" x14ac:dyDescent="0.2">
      <c r="A944" s="293" t="s">
        <v>10176</v>
      </c>
      <c r="B944" s="293" t="s">
        <v>5666</v>
      </c>
      <c r="C944" s="293" t="s">
        <v>10158</v>
      </c>
      <c r="D944" s="293" t="s">
        <v>5843</v>
      </c>
      <c r="E944" s="293" t="s">
        <v>10159</v>
      </c>
      <c r="F944" s="293" t="s">
        <v>6884</v>
      </c>
      <c r="G944" s="293" t="s">
        <v>5754</v>
      </c>
      <c r="H944" s="294">
        <v>41943</v>
      </c>
      <c r="I944" s="295">
        <v>-834.2</v>
      </c>
    </row>
    <row r="945" spans="1:9" x14ac:dyDescent="0.2">
      <c r="A945" s="293" t="s">
        <v>10177</v>
      </c>
      <c r="B945" s="293" t="s">
        <v>5666</v>
      </c>
      <c r="C945" s="293" t="s">
        <v>5816</v>
      </c>
      <c r="D945" s="293" t="s">
        <v>5843</v>
      </c>
      <c r="E945" s="293" t="s">
        <v>10130</v>
      </c>
      <c r="F945" s="293" t="s">
        <v>6903</v>
      </c>
      <c r="G945" s="293" t="s">
        <v>5591</v>
      </c>
      <c r="H945" s="294">
        <v>41973</v>
      </c>
      <c r="I945" s="295">
        <v>-65694.05</v>
      </c>
    </row>
    <row r="946" spans="1:9" x14ac:dyDescent="0.2">
      <c r="A946" s="293" t="s">
        <v>10178</v>
      </c>
      <c r="B946" s="293" t="s">
        <v>5666</v>
      </c>
      <c r="C946" s="293" t="s">
        <v>5812</v>
      </c>
      <c r="D946" s="293" t="s">
        <v>5843</v>
      </c>
      <c r="E946" s="293" t="s">
        <v>10130</v>
      </c>
      <c r="F946" s="293" t="s">
        <v>6903</v>
      </c>
      <c r="G946" s="293" t="s">
        <v>5589</v>
      </c>
      <c r="H946" s="294">
        <v>41973</v>
      </c>
      <c r="I946" s="295">
        <v>-18420.830000000002</v>
      </c>
    </row>
    <row r="947" spans="1:9" x14ac:dyDescent="0.2">
      <c r="A947" s="293" t="s">
        <v>10179</v>
      </c>
      <c r="B947" s="293" t="s">
        <v>5666</v>
      </c>
      <c r="C947" s="293" t="s">
        <v>10158</v>
      </c>
      <c r="D947" s="293" t="s">
        <v>5843</v>
      </c>
      <c r="E947" s="293" t="s">
        <v>10159</v>
      </c>
      <c r="F947" s="293" t="s">
        <v>6903</v>
      </c>
      <c r="G947" s="293" t="s">
        <v>5754</v>
      </c>
      <c r="H947" s="294">
        <v>41973</v>
      </c>
      <c r="I947" s="295">
        <v>-834.2</v>
      </c>
    </row>
    <row r="948" spans="1:9" x14ac:dyDescent="0.2">
      <c r="A948" s="293" t="s">
        <v>10180</v>
      </c>
      <c r="B948" s="293" t="s">
        <v>5666</v>
      </c>
      <c r="C948" s="293" t="s">
        <v>5816</v>
      </c>
      <c r="D948" s="293" t="s">
        <v>5843</v>
      </c>
      <c r="E948" s="293" t="s">
        <v>10130</v>
      </c>
      <c r="F948" s="293" t="s">
        <v>6923</v>
      </c>
      <c r="G948" s="293" t="s">
        <v>5591</v>
      </c>
      <c r="H948" s="294">
        <v>42004</v>
      </c>
      <c r="I948" s="295">
        <v>-65694.05</v>
      </c>
    </row>
    <row r="949" spans="1:9" x14ac:dyDescent="0.2">
      <c r="A949" s="293" t="s">
        <v>10181</v>
      </c>
      <c r="B949" s="293" t="s">
        <v>5666</v>
      </c>
      <c r="C949" s="293" t="s">
        <v>5812</v>
      </c>
      <c r="D949" s="293" t="s">
        <v>5843</v>
      </c>
      <c r="E949" s="293" t="s">
        <v>10130</v>
      </c>
      <c r="F949" s="293" t="s">
        <v>6923</v>
      </c>
      <c r="G949" s="293" t="s">
        <v>5589</v>
      </c>
      <c r="H949" s="294">
        <v>42004</v>
      </c>
      <c r="I949" s="295">
        <v>-18420.830000000002</v>
      </c>
    </row>
    <row r="950" spans="1:9" x14ac:dyDescent="0.2">
      <c r="A950" s="293" t="s">
        <v>10182</v>
      </c>
      <c r="B950" s="293" t="s">
        <v>5666</v>
      </c>
      <c r="C950" s="293" t="s">
        <v>10158</v>
      </c>
      <c r="D950" s="293" t="s">
        <v>5843</v>
      </c>
      <c r="E950" s="293" t="s">
        <v>10159</v>
      </c>
      <c r="F950" s="293" t="s">
        <v>6923</v>
      </c>
      <c r="G950" s="293" t="s">
        <v>5754</v>
      </c>
      <c r="H950" s="294">
        <v>42004</v>
      </c>
      <c r="I950" s="295">
        <v>-834.2</v>
      </c>
    </row>
    <row r="951" spans="1:9" x14ac:dyDescent="0.2">
      <c r="A951" s="293" t="s">
        <v>10183</v>
      </c>
      <c r="B951" s="293" t="s">
        <v>5666</v>
      </c>
      <c r="C951" s="293" t="s">
        <v>5816</v>
      </c>
      <c r="D951" s="293" t="s">
        <v>5843</v>
      </c>
      <c r="E951" s="293" t="s">
        <v>10130</v>
      </c>
      <c r="F951" s="293" t="s">
        <v>6941</v>
      </c>
      <c r="G951" s="293" t="s">
        <v>5591</v>
      </c>
      <c r="H951" s="294">
        <v>42035</v>
      </c>
      <c r="I951" s="295">
        <v>-65694.05</v>
      </c>
    </row>
    <row r="952" spans="1:9" x14ac:dyDescent="0.2">
      <c r="A952" s="293" t="s">
        <v>10184</v>
      </c>
      <c r="B952" s="293" t="s">
        <v>5666</v>
      </c>
      <c r="C952" s="293" t="s">
        <v>5812</v>
      </c>
      <c r="D952" s="293" t="s">
        <v>5843</v>
      </c>
      <c r="E952" s="293" t="s">
        <v>10130</v>
      </c>
      <c r="F952" s="293" t="s">
        <v>6941</v>
      </c>
      <c r="G952" s="293" t="s">
        <v>5589</v>
      </c>
      <c r="H952" s="294">
        <v>42035</v>
      </c>
      <c r="I952" s="295">
        <v>-18420.830000000002</v>
      </c>
    </row>
    <row r="953" spans="1:9" x14ac:dyDescent="0.2">
      <c r="A953" s="293" t="s">
        <v>10185</v>
      </c>
      <c r="B953" s="293" t="s">
        <v>5666</v>
      </c>
      <c r="C953" s="293" t="s">
        <v>10158</v>
      </c>
      <c r="D953" s="293" t="s">
        <v>5843</v>
      </c>
      <c r="E953" s="293" t="s">
        <v>10159</v>
      </c>
      <c r="F953" s="293" t="s">
        <v>6941</v>
      </c>
      <c r="G953" s="293" t="s">
        <v>5754</v>
      </c>
      <c r="H953" s="294">
        <v>42035</v>
      </c>
      <c r="I953" s="295">
        <v>-834.2</v>
      </c>
    </row>
    <row r="954" spans="1:9" x14ac:dyDescent="0.2">
      <c r="A954" s="293" t="s">
        <v>10186</v>
      </c>
      <c r="B954" s="293" t="s">
        <v>5666</v>
      </c>
      <c r="C954" s="293" t="s">
        <v>5816</v>
      </c>
      <c r="D954" s="293" t="s">
        <v>5843</v>
      </c>
      <c r="E954" s="293" t="s">
        <v>10130</v>
      </c>
      <c r="F954" s="293" t="s">
        <v>6959</v>
      </c>
      <c r="G954" s="293" t="s">
        <v>5591</v>
      </c>
      <c r="H954" s="294">
        <v>42063</v>
      </c>
      <c r="I954" s="295">
        <v>-65694.05</v>
      </c>
    </row>
    <row r="955" spans="1:9" x14ac:dyDescent="0.2">
      <c r="A955" s="293" t="s">
        <v>10187</v>
      </c>
      <c r="B955" s="293" t="s">
        <v>5666</v>
      </c>
      <c r="C955" s="293" t="s">
        <v>5812</v>
      </c>
      <c r="D955" s="293" t="s">
        <v>5843</v>
      </c>
      <c r="E955" s="293" t="s">
        <v>10130</v>
      </c>
      <c r="F955" s="293" t="s">
        <v>6959</v>
      </c>
      <c r="G955" s="293" t="s">
        <v>5589</v>
      </c>
      <c r="H955" s="294">
        <v>42063</v>
      </c>
      <c r="I955" s="295">
        <v>-18420.830000000002</v>
      </c>
    </row>
    <row r="956" spans="1:9" x14ac:dyDescent="0.2">
      <c r="A956" s="293" t="s">
        <v>10188</v>
      </c>
      <c r="B956" s="293" t="s">
        <v>5666</v>
      </c>
      <c r="C956" s="293" t="s">
        <v>10158</v>
      </c>
      <c r="D956" s="293" t="s">
        <v>5843</v>
      </c>
      <c r="E956" s="293" t="s">
        <v>10159</v>
      </c>
      <c r="F956" s="293" t="s">
        <v>6959</v>
      </c>
      <c r="G956" s="293" t="s">
        <v>5754</v>
      </c>
      <c r="H956" s="294">
        <v>42063</v>
      </c>
      <c r="I956" s="295">
        <v>-834.2</v>
      </c>
    </row>
    <row r="957" spans="1:9" x14ac:dyDescent="0.2">
      <c r="A957" s="293" t="s">
        <v>10189</v>
      </c>
      <c r="B957" s="293" t="s">
        <v>5666</v>
      </c>
      <c r="C957" s="293" t="s">
        <v>5816</v>
      </c>
      <c r="D957" s="293" t="s">
        <v>5843</v>
      </c>
      <c r="E957" s="293" t="s">
        <v>10130</v>
      </c>
      <c r="F957" s="293" t="s">
        <v>6977</v>
      </c>
      <c r="G957" s="293" t="s">
        <v>5591</v>
      </c>
      <c r="H957" s="294">
        <v>42094</v>
      </c>
      <c r="I957" s="295">
        <v>-65694.05</v>
      </c>
    </row>
    <row r="958" spans="1:9" x14ac:dyDescent="0.2">
      <c r="A958" s="293" t="s">
        <v>10190</v>
      </c>
      <c r="B958" s="293" t="s">
        <v>5666</v>
      </c>
      <c r="C958" s="293" t="s">
        <v>5812</v>
      </c>
      <c r="D958" s="293" t="s">
        <v>5843</v>
      </c>
      <c r="E958" s="293" t="s">
        <v>10130</v>
      </c>
      <c r="F958" s="293" t="s">
        <v>6977</v>
      </c>
      <c r="G958" s="293" t="s">
        <v>5589</v>
      </c>
      <c r="H958" s="294">
        <v>42094</v>
      </c>
      <c r="I958" s="295">
        <v>-18420.830000000002</v>
      </c>
    </row>
    <row r="959" spans="1:9" x14ac:dyDescent="0.2">
      <c r="A959" s="293" t="s">
        <v>10191</v>
      </c>
      <c r="B959" s="293" t="s">
        <v>5666</v>
      </c>
      <c r="C959" s="293" t="s">
        <v>10158</v>
      </c>
      <c r="D959" s="293" t="s">
        <v>5843</v>
      </c>
      <c r="E959" s="293" t="s">
        <v>10159</v>
      </c>
      <c r="F959" s="293" t="s">
        <v>6977</v>
      </c>
      <c r="G959" s="293" t="s">
        <v>5754</v>
      </c>
      <c r="H959" s="294">
        <v>42094</v>
      </c>
      <c r="I959" s="295">
        <v>-834.2</v>
      </c>
    </row>
    <row r="960" spans="1:9" x14ac:dyDescent="0.2">
      <c r="A960" s="293" t="s">
        <v>10192</v>
      </c>
      <c r="B960" s="293" t="s">
        <v>5666</v>
      </c>
      <c r="C960" s="293" t="s">
        <v>10149</v>
      </c>
      <c r="D960" s="293" t="s">
        <v>5843</v>
      </c>
      <c r="E960" s="293" t="s">
        <v>5088</v>
      </c>
      <c r="F960" s="293" t="s">
        <v>10193</v>
      </c>
      <c r="G960" s="293" t="s">
        <v>5755</v>
      </c>
      <c r="H960" s="294">
        <v>42094</v>
      </c>
      <c r="I960" s="295">
        <v>-316525.08</v>
      </c>
    </row>
    <row r="961" spans="1:9" x14ac:dyDescent="0.2">
      <c r="A961" s="293" t="s">
        <v>10194</v>
      </c>
      <c r="B961" s="293" t="s">
        <v>5666</v>
      </c>
      <c r="C961" s="293" t="s">
        <v>5816</v>
      </c>
      <c r="D961" s="293" t="s">
        <v>5843</v>
      </c>
      <c r="E961" s="293" t="s">
        <v>10130</v>
      </c>
      <c r="F961" s="293" t="s">
        <v>6995</v>
      </c>
      <c r="G961" s="293" t="s">
        <v>5591</v>
      </c>
      <c r="H961" s="294">
        <v>42124</v>
      </c>
      <c r="I961" s="295">
        <v>-65694.05</v>
      </c>
    </row>
    <row r="962" spans="1:9" x14ac:dyDescent="0.2">
      <c r="A962" s="293" t="s">
        <v>10195</v>
      </c>
      <c r="B962" s="293" t="s">
        <v>5666</v>
      </c>
      <c r="C962" s="293" t="s">
        <v>5812</v>
      </c>
      <c r="D962" s="293" t="s">
        <v>5843</v>
      </c>
      <c r="E962" s="293" t="s">
        <v>10130</v>
      </c>
      <c r="F962" s="293" t="s">
        <v>6995</v>
      </c>
      <c r="G962" s="293" t="s">
        <v>5589</v>
      </c>
      <c r="H962" s="294">
        <v>42124</v>
      </c>
      <c r="I962" s="295">
        <v>-18420.830000000002</v>
      </c>
    </row>
    <row r="963" spans="1:9" x14ac:dyDescent="0.2">
      <c r="A963" s="293" t="s">
        <v>10196</v>
      </c>
      <c r="B963" s="293" t="s">
        <v>5666</v>
      </c>
      <c r="C963" s="293" t="s">
        <v>10158</v>
      </c>
      <c r="D963" s="293" t="s">
        <v>5843</v>
      </c>
      <c r="E963" s="293" t="s">
        <v>10159</v>
      </c>
      <c r="F963" s="293" t="s">
        <v>6995</v>
      </c>
      <c r="G963" s="293" t="s">
        <v>5754</v>
      </c>
      <c r="H963" s="294">
        <v>42124</v>
      </c>
      <c r="I963" s="295">
        <v>-834.2</v>
      </c>
    </row>
    <row r="964" spans="1:9" x14ac:dyDescent="0.2">
      <c r="A964" s="293" t="s">
        <v>10197</v>
      </c>
      <c r="B964" s="293" t="s">
        <v>5666</v>
      </c>
      <c r="C964" s="293" t="s">
        <v>10198</v>
      </c>
      <c r="D964" s="293" t="s">
        <v>5843</v>
      </c>
      <c r="E964" s="293" t="s">
        <v>10199</v>
      </c>
      <c r="F964" s="293" t="s">
        <v>10200</v>
      </c>
      <c r="G964" s="293" t="s">
        <v>5755</v>
      </c>
      <c r="H964" s="294">
        <v>42124</v>
      </c>
      <c r="I964" s="295">
        <v>316525.08</v>
      </c>
    </row>
    <row r="965" spans="1:9" x14ac:dyDescent="0.2">
      <c r="A965" s="293" t="s">
        <v>10197</v>
      </c>
      <c r="B965" s="293" t="s">
        <v>5666</v>
      </c>
      <c r="C965" s="293" t="s">
        <v>10198</v>
      </c>
      <c r="D965" s="293" t="s">
        <v>5843</v>
      </c>
      <c r="E965" s="293" t="s">
        <v>10201</v>
      </c>
      <c r="F965" s="293" t="s">
        <v>10200</v>
      </c>
      <c r="G965" s="293" t="s">
        <v>5755</v>
      </c>
      <c r="H965" s="294">
        <v>42124</v>
      </c>
      <c r="I965" s="295">
        <v>-2159561.08</v>
      </c>
    </row>
    <row r="966" spans="1:9" x14ac:dyDescent="0.2">
      <c r="A966" s="293" t="s">
        <v>10202</v>
      </c>
      <c r="B966" s="293" t="s">
        <v>5666</v>
      </c>
      <c r="C966" s="293" t="s">
        <v>5816</v>
      </c>
      <c r="D966" s="293" t="s">
        <v>5843</v>
      </c>
      <c r="E966" s="293" t="s">
        <v>10130</v>
      </c>
      <c r="F966" s="293" t="s">
        <v>7034</v>
      </c>
      <c r="G966" s="293" t="s">
        <v>5591</v>
      </c>
      <c r="H966" s="294">
        <v>42155</v>
      </c>
      <c r="I966" s="295">
        <v>-65694.05</v>
      </c>
    </row>
    <row r="967" spans="1:9" x14ac:dyDescent="0.2">
      <c r="A967" s="293" t="s">
        <v>10203</v>
      </c>
      <c r="B967" s="293" t="s">
        <v>5666</v>
      </c>
      <c r="C967" s="293" t="s">
        <v>5812</v>
      </c>
      <c r="D967" s="293" t="s">
        <v>5843</v>
      </c>
      <c r="E967" s="293" t="s">
        <v>10130</v>
      </c>
      <c r="F967" s="293" t="s">
        <v>7034</v>
      </c>
      <c r="G967" s="293" t="s">
        <v>5589</v>
      </c>
      <c r="H967" s="294">
        <v>42155</v>
      </c>
      <c r="I967" s="295">
        <v>-18420.830000000002</v>
      </c>
    </row>
    <row r="968" spans="1:9" x14ac:dyDescent="0.2">
      <c r="A968" s="293" t="s">
        <v>10204</v>
      </c>
      <c r="B968" s="293" t="s">
        <v>5666</v>
      </c>
      <c r="C968" s="293" t="s">
        <v>10158</v>
      </c>
      <c r="D968" s="293" t="s">
        <v>5843</v>
      </c>
      <c r="E968" s="293" t="s">
        <v>10159</v>
      </c>
      <c r="F968" s="293" t="s">
        <v>7034</v>
      </c>
      <c r="G968" s="293" t="s">
        <v>5754</v>
      </c>
      <c r="H968" s="294">
        <v>42155</v>
      </c>
      <c r="I968" s="295">
        <v>-834.2</v>
      </c>
    </row>
    <row r="969" spans="1:9" x14ac:dyDescent="0.2">
      <c r="A969" s="293" t="s">
        <v>10205</v>
      </c>
      <c r="B969" s="293" t="s">
        <v>5666</v>
      </c>
      <c r="C969" s="293" t="s">
        <v>5835</v>
      </c>
      <c r="D969" s="293" t="s">
        <v>5843</v>
      </c>
      <c r="E969" s="293" t="s">
        <v>10199</v>
      </c>
      <c r="F969" s="293" t="s">
        <v>10206</v>
      </c>
      <c r="G969" s="293" t="s">
        <v>5755</v>
      </c>
      <c r="H969" s="294">
        <v>42155</v>
      </c>
      <c r="I969" s="295">
        <v>2159561.08</v>
      </c>
    </row>
    <row r="970" spans="1:9" x14ac:dyDescent="0.2">
      <c r="A970" s="293" t="s">
        <v>10207</v>
      </c>
      <c r="B970" s="293" t="s">
        <v>5666</v>
      </c>
      <c r="C970" s="293" t="s">
        <v>5816</v>
      </c>
      <c r="D970" s="293" t="s">
        <v>5843</v>
      </c>
      <c r="E970" s="293" t="s">
        <v>10130</v>
      </c>
      <c r="F970" s="293" t="s">
        <v>7061</v>
      </c>
      <c r="G970" s="293" t="s">
        <v>5591</v>
      </c>
      <c r="H970" s="294">
        <v>42185</v>
      </c>
      <c r="I970" s="295">
        <v>-65694.05</v>
      </c>
    </row>
    <row r="971" spans="1:9" x14ac:dyDescent="0.2">
      <c r="A971" s="293" t="s">
        <v>10208</v>
      </c>
      <c r="B971" s="293" t="s">
        <v>5666</v>
      </c>
      <c r="C971" s="293" t="s">
        <v>5812</v>
      </c>
      <c r="D971" s="293" t="s">
        <v>5843</v>
      </c>
      <c r="E971" s="293" t="s">
        <v>10130</v>
      </c>
      <c r="F971" s="293" t="s">
        <v>7061</v>
      </c>
      <c r="G971" s="293" t="s">
        <v>5589</v>
      </c>
      <c r="H971" s="294">
        <v>42185</v>
      </c>
      <c r="I971" s="295">
        <v>-18420.830000000002</v>
      </c>
    </row>
    <row r="972" spans="1:9" x14ac:dyDescent="0.2">
      <c r="A972" s="293" t="s">
        <v>10209</v>
      </c>
      <c r="B972" s="293" t="s">
        <v>5666</v>
      </c>
      <c r="C972" s="293" t="s">
        <v>10158</v>
      </c>
      <c r="D972" s="293" t="s">
        <v>5843</v>
      </c>
      <c r="E972" s="293" t="s">
        <v>10159</v>
      </c>
      <c r="F972" s="293" t="s">
        <v>7061</v>
      </c>
      <c r="G972" s="293" t="s">
        <v>5754</v>
      </c>
      <c r="H972" s="294">
        <v>42185</v>
      </c>
      <c r="I972" s="295">
        <v>-834.2</v>
      </c>
    </row>
    <row r="973" spans="1:9" x14ac:dyDescent="0.2">
      <c r="A973" s="293" t="s">
        <v>10210</v>
      </c>
      <c r="B973" s="293" t="s">
        <v>5666</v>
      </c>
      <c r="C973" s="293" t="s">
        <v>10211</v>
      </c>
      <c r="D973" s="293" t="s">
        <v>5843</v>
      </c>
      <c r="E973" s="293" t="s">
        <v>10130</v>
      </c>
      <c r="F973" s="293" t="s">
        <v>7061</v>
      </c>
      <c r="G973" s="293" t="s">
        <v>5755</v>
      </c>
      <c r="H973" s="294">
        <v>42185</v>
      </c>
      <c r="I973" s="295">
        <v>11086</v>
      </c>
    </row>
    <row r="974" spans="1:9" x14ac:dyDescent="0.2">
      <c r="A974" s="293" t="s">
        <v>10212</v>
      </c>
      <c r="B974" s="293" t="s">
        <v>5666</v>
      </c>
      <c r="C974" s="293" t="s">
        <v>5816</v>
      </c>
      <c r="D974" s="293" t="s">
        <v>5843</v>
      </c>
      <c r="E974" s="293" t="s">
        <v>10130</v>
      </c>
      <c r="F974" s="293" t="s">
        <v>7089</v>
      </c>
      <c r="G974" s="293" t="s">
        <v>5591</v>
      </c>
      <c r="H974" s="294">
        <v>42216</v>
      </c>
      <c r="I974" s="295">
        <v>-65694.05</v>
      </c>
    </row>
    <row r="975" spans="1:9" x14ac:dyDescent="0.2">
      <c r="A975" s="293" t="s">
        <v>10213</v>
      </c>
      <c r="B975" s="293" t="s">
        <v>5666</v>
      </c>
      <c r="C975" s="293" t="s">
        <v>5812</v>
      </c>
      <c r="D975" s="293" t="s">
        <v>5843</v>
      </c>
      <c r="E975" s="293" t="s">
        <v>10130</v>
      </c>
      <c r="F975" s="293" t="s">
        <v>7089</v>
      </c>
      <c r="G975" s="293" t="s">
        <v>5589</v>
      </c>
      <c r="H975" s="294">
        <v>42216</v>
      </c>
      <c r="I975" s="295">
        <v>-18420.830000000002</v>
      </c>
    </row>
    <row r="976" spans="1:9" x14ac:dyDescent="0.2">
      <c r="A976" s="293" t="s">
        <v>10214</v>
      </c>
      <c r="B976" s="293" t="s">
        <v>5666</v>
      </c>
      <c r="C976" s="293" t="s">
        <v>10158</v>
      </c>
      <c r="D976" s="293" t="s">
        <v>5843</v>
      </c>
      <c r="E976" s="293" t="s">
        <v>10159</v>
      </c>
      <c r="F976" s="293" t="s">
        <v>7089</v>
      </c>
      <c r="G976" s="293" t="s">
        <v>5754</v>
      </c>
      <c r="H976" s="294">
        <v>42216</v>
      </c>
      <c r="I976" s="295">
        <v>-834.2</v>
      </c>
    </row>
    <row r="977" spans="1:9" x14ac:dyDescent="0.2">
      <c r="A977" s="293" t="s">
        <v>10215</v>
      </c>
      <c r="B977" s="293" t="s">
        <v>5666</v>
      </c>
      <c r="C977" s="293" t="s">
        <v>10211</v>
      </c>
      <c r="D977" s="293" t="s">
        <v>5843</v>
      </c>
      <c r="E977" s="293" t="s">
        <v>10130</v>
      </c>
      <c r="F977" s="293" t="s">
        <v>7089</v>
      </c>
      <c r="G977" s="293" t="s">
        <v>5755</v>
      </c>
      <c r="H977" s="294">
        <v>42216</v>
      </c>
      <c r="I977" s="295">
        <v>11086</v>
      </c>
    </row>
    <row r="978" spans="1:9" x14ac:dyDescent="0.2">
      <c r="A978" s="293" t="s">
        <v>10216</v>
      </c>
      <c r="B978" s="293" t="s">
        <v>5666</v>
      </c>
      <c r="C978" s="293" t="s">
        <v>5816</v>
      </c>
      <c r="D978" s="293" t="s">
        <v>5843</v>
      </c>
      <c r="E978" s="293" t="s">
        <v>10130</v>
      </c>
      <c r="F978" s="293" t="s">
        <v>7110</v>
      </c>
      <c r="G978" s="293" t="s">
        <v>5591</v>
      </c>
      <c r="H978" s="294">
        <v>42247</v>
      </c>
      <c r="I978" s="295">
        <v>-65694.05</v>
      </c>
    </row>
    <row r="979" spans="1:9" x14ac:dyDescent="0.2">
      <c r="A979" s="293" t="s">
        <v>10217</v>
      </c>
      <c r="B979" s="293" t="s">
        <v>5666</v>
      </c>
      <c r="C979" s="293" t="s">
        <v>5812</v>
      </c>
      <c r="D979" s="293" t="s">
        <v>5843</v>
      </c>
      <c r="E979" s="293" t="s">
        <v>10130</v>
      </c>
      <c r="F979" s="293" t="s">
        <v>7110</v>
      </c>
      <c r="G979" s="293" t="s">
        <v>5589</v>
      </c>
      <c r="H979" s="294">
        <v>42247</v>
      </c>
      <c r="I979" s="295">
        <v>-18420.830000000002</v>
      </c>
    </row>
    <row r="980" spans="1:9" x14ac:dyDescent="0.2">
      <c r="A980" s="293" t="s">
        <v>10218</v>
      </c>
      <c r="B980" s="293" t="s">
        <v>5666</v>
      </c>
      <c r="C980" s="293" t="s">
        <v>10158</v>
      </c>
      <c r="D980" s="293" t="s">
        <v>5843</v>
      </c>
      <c r="E980" s="293" t="s">
        <v>10159</v>
      </c>
      <c r="F980" s="293" t="s">
        <v>7110</v>
      </c>
      <c r="G980" s="293" t="s">
        <v>5754</v>
      </c>
      <c r="H980" s="294">
        <v>42247</v>
      </c>
      <c r="I980" s="295">
        <v>-834.2</v>
      </c>
    </row>
    <row r="981" spans="1:9" x14ac:dyDescent="0.2">
      <c r="A981" s="293" t="s">
        <v>10219</v>
      </c>
      <c r="B981" s="293" t="s">
        <v>5666</v>
      </c>
      <c r="C981" s="293" t="s">
        <v>10211</v>
      </c>
      <c r="D981" s="293" t="s">
        <v>5843</v>
      </c>
      <c r="E981" s="293" t="s">
        <v>10130</v>
      </c>
      <c r="F981" s="293" t="s">
        <v>7110</v>
      </c>
      <c r="G981" s="293" t="s">
        <v>5755</v>
      </c>
      <c r="H981" s="294">
        <v>42247</v>
      </c>
      <c r="I981" s="295">
        <v>11086</v>
      </c>
    </row>
    <row r="982" spans="1:9" x14ac:dyDescent="0.2">
      <c r="A982" s="293" t="s">
        <v>10220</v>
      </c>
      <c r="B982" s="293" t="s">
        <v>5666</v>
      </c>
      <c r="C982" s="293" t="s">
        <v>5816</v>
      </c>
      <c r="D982" s="293" t="s">
        <v>5843</v>
      </c>
      <c r="E982" s="293" t="s">
        <v>10130</v>
      </c>
      <c r="F982" s="293" t="s">
        <v>7133</v>
      </c>
      <c r="G982" s="293" t="s">
        <v>5591</v>
      </c>
      <c r="H982" s="294">
        <v>42277</v>
      </c>
      <c r="I982" s="295">
        <v>-65694.05</v>
      </c>
    </row>
    <row r="983" spans="1:9" x14ac:dyDescent="0.2">
      <c r="A983" s="293" t="s">
        <v>10221</v>
      </c>
      <c r="B983" s="293" t="s">
        <v>5666</v>
      </c>
      <c r="C983" s="293" t="s">
        <v>5812</v>
      </c>
      <c r="D983" s="293" t="s">
        <v>5843</v>
      </c>
      <c r="E983" s="293" t="s">
        <v>10130</v>
      </c>
      <c r="F983" s="293" t="s">
        <v>7133</v>
      </c>
      <c r="G983" s="293" t="s">
        <v>5589</v>
      </c>
      <c r="H983" s="294">
        <v>42277</v>
      </c>
      <c r="I983" s="295">
        <v>-18420.830000000002</v>
      </c>
    </row>
    <row r="984" spans="1:9" x14ac:dyDescent="0.2">
      <c r="A984" s="293" t="s">
        <v>10222</v>
      </c>
      <c r="B984" s="293" t="s">
        <v>5666</v>
      </c>
      <c r="C984" s="293" t="s">
        <v>10158</v>
      </c>
      <c r="D984" s="293" t="s">
        <v>5843</v>
      </c>
      <c r="E984" s="293" t="s">
        <v>10159</v>
      </c>
      <c r="F984" s="293" t="s">
        <v>7133</v>
      </c>
      <c r="G984" s="293" t="s">
        <v>5754</v>
      </c>
      <c r="H984" s="294">
        <v>42277</v>
      </c>
      <c r="I984" s="295">
        <v>-834.2</v>
      </c>
    </row>
    <row r="985" spans="1:9" x14ac:dyDescent="0.2">
      <c r="A985" s="293" t="s">
        <v>10223</v>
      </c>
      <c r="B985" s="293" t="s">
        <v>5666</v>
      </c>
      <c r="C985" s="293" t="s">
        <v>10211</v>
      </c>
      <c r="D985" s="293" t="s">
        <v>5843</v>
      </c>
      <c r="E985" s="293" t="s">
        <v>10130</v>
      </c>
      <c r="F985" s="293" t="s">
        <v>7133</v>
      </c>
      <c r="G985" s="293" t="s">
        <v>5755</v>
      </c>
      <c r="H985" s="294">
        <v>42277</v>
      </c>
      <c r="I985" s="295">
        <v>11086</v>
      </c>
    </row>
    <row r="986" spans="1:9" x14ac:dyDescent="0.2">
      <c r="A986" s="293" t="s">
        <v>10224</v>
      </c>
      <c r="B986" s="293" t="s">
        <v>5666</v>
      </c>
      <c r="C986" s="293" t="s">
        <v>5816</v>
      </c>
      <c r="D986" s="293" t="s">
        <v>5843</v>
      </c>
      <c r="E986" s="293" t="s">
        <v>10130</v>
      </c>
      <c r="F986" s="293" t="s">
        <v>7157</v>
      </c>
      <c r="G986" s="293" t="s">
        <v>5591</v>
      </c>
      <c r="H986" s="294">
        <v>42308</v>
      </c>
      <c r="I986" s="295">
        <v>-65694.05</v>
      </c>
    </row>
    <row r="987" spans="1:9" x14ac:dyDescent="0.2">
      <c r="A987" s="293" t="s">
        <v>10225</v>
      </c>
      <c r="B987" s="293" t="s">
        <v>5666</v>
      </c>
      <c r="C987" s="293" t="s">
        <v>5812</v>
      </c>
      <c r="D987" s="293" t="s">
        <v>5843</v>
      </c>
      <c r="E987" s="293" t="s">
        <v>10130</v>
      </c>
      <c r="F987" s="293" t="s">
        <v>7157</v>
      </c>
      <c r="G987" s="293" t="s">
        <v>5589</v>
      </c>
      <c r="H987" s="294">
        <v>42308</v>
      </c>
      <c r="I987" s="295">
        <v>-18420.830000000002</v>
      </c>
    </row>
    <row r="988" spans="1:9" x14ac:dyDescent="0.2">
      <c r="A988" s="293" t="s">
        <v>10226</v>
      </c>
      <c r="B988" s="293" t="s">
        <v>5666</v>
      </c>
      <c r="C988" s="293" t="s">
        <v>10158</v>
      </c>
      <c r="D988" s="293" t="s">
        <v>5843</v>
      </c>
      <c r="E988" s="293" t="s">
        <v>10159</v>
      </c>
      <c r="F988" s="293" t="s">
        <v>7157</v>
      </c>
      <c r="G988" s="293" t="s">
        <v>5754</v>
      </c>
      <c r="H988" s="294">
        <v>42308</v>
      </c>
      <c r="I988" s="295">
        <v>-834.2</v>
      </c>
    </row>
    <row r="989" spans="1:9" x14ac:dyDescent="0.2">
      <c r="A989" s="293" t="s">
        <v>10227</v>
      </c>
      <c r="B989" s="293" t="s">
        <v>5666</v>
      </c>
      <c r="C989" s="293" t="s">
        <v>10211</v>
      </c>
      <c r="D989" s="293" t="s">
        <v>5843</v>
      </c>
      <c r="E989" s="293" t="s">
        <v>10130</v>
      </c>
      <c r="F989" s="293" t="s">
        <v>7157</v>
      </c>
      <c r="G989" s="293" t="s">
        <v>5755</v>
      </c>
      <c r="H989" s="294">
        <v>42308</v>
      </c>
      <c r="I989" s="295">
        <v>11086</v>
      </c>
    </row>
    <row r="990" spans="1:9" x14ac:dyDescent="0.2">
      <c r="A990" s="293" t="s">
        <v>10228</v>
      </c>
      <c r="B990" s="293" t="s">
        <v>5666</v>
      </c>
      <c r="C990" s="293" t="s">
        <v>5816</v>
      </c>
      <c r="D990" s="293" t="s">
        <v>5843</v>
      </c>
      <c r="E990" s="293" t="s">
        <v>10130</v>
      </c>
      <c r="F990" s="293" t="s">
        <v>7180</v>
      </c>
      <c r="G990" s="293" t="s">
        <v>5591</v>
      </c>
      <c r="H990" s="294">
        <v>42338</v>
      </c>
      <c r="I990" s="295">
        <v>-65694.05</v>
      </c>
    </row>
    <row r="991" spans="1:9" x14ac:dyDescent="0.2">
      <c r="A991" s="293" t="s">
        <v>10229</v>
      </c>
      <c r="B991" s="293" t="s">
        <v>5666</v>
      </c>
      <c r="C991" s="293" t="s">
        <v>5812</v>
      </c>
      <c r="D991" s="293" t="s">
        <v>5843</v>
      </c>
      <c r="E991" s="293" t="s">
        <v>10130</v>
      </c>
      <c r="F991" s="293" t="s">
        <v>7180</v>
      </c>
      <c r="G991" s="293" t="s">
        <v>5589</v>
      </c>
      <c r="H991" s="294">
        <v>42338</v>
      </c>
      <c r="I991" s="295">
        <v>-18420.830000000002</v>
      </c>
    </row>
    <row r="992" spans="1:9" x14ac:dyDescent="0.2">
      <c r="A992" s="293" t="s">
        <v>10230</v>
      </c>
      <c r="B992" s="293" t="s">
        <v>5666</v>
      </c>
      <c r="C992" s="293" t="s">
        <v>10158</v>
      </c>
      <c r="D992" s="293" t="s">
        <v>5843</v>
      </c>
      <c r="E992" s="293" t="s">
        <v>10159</v>
      </c>
      <c r="F992" s="293" t="s">
        <v>7180</v>
      </c>
      <c r="G992" s="293" t="s">
        <v>5754</v>
      </c>
      <c r="H992" s="294">
        <v>42338</v>
      </c>
      <c r="I992" s="295">
        <v>-834.2</v>
      </c>
    </row>
    <row r="993" spans="1:9" x14ac:dyDescent="0.2">
      <c r="A993" s="293" t="s">
        <v>10231</v>
      </c>
      <c r="B993" s="293" t="s">
        <v>5666</v>
      </c>
      <c r="C993" s="293" t="s">
        <v>10211</v>
      </c>
      <c r="D993" s="293" t="s">
        <v>5843</v>
      </c>
      <c r="E993" s="293" t="s">
        <v>10130</v>
      </c>
      <c r="F993" s="293" t="s">
        <v>7180</v>
      </c>
      <c r="G993" s="293" t="s">
        <v>5755</v>
      </c>
      <c r="H993" s="294">
        <v>42338</v>
      </c>
      <c r="I993" s="295">
        <v>11086</v>
      </c>
    </row>
    <row r="994" spans="1:9" x14ac:dyDescent="0.2">
      <c r="A994" s="293" t="s">
        <v>10232</v>
      </c>
      <c r="B994" s="293" t="s">
        <v>5666</v>
      </c>
      <c r="C994" s="293" t="s">
        <v>5816</v>
      </c>
      <c r="D994" s="293" t="s">
        <v>5843</v>
      </c>
      <c r="E994" s="293" t="s">
        <v>10130</v>
      </c>
      <c r="F994" s="293" t="s">
        <v>7201</v>
      </c>
      <c r="G994" s="293" t="s">
        <v>5591</v>
      </c>
      <c r="H994" s="294">
        <v>42369</v>
      </c>
      <c r="I994" s="295">
        <v>-65694.05</v>
      </c>
    </row>
    <row r="995" spans="1:9" x14ac:dyDescent="0.2">
      <c r="A995" s="293" t="s">
        <v>10233</v>
      </c>
      <c r="B995" s="293" t="s">
        <v>5666</v>
      </c>
      <c r="C995" s="293" t="s">
        <v>5812</v>
      </c>
      <c r="D995" s="293" t="s">
        <v>5843</v>
      </c>
      <c r="E995" s="293" t="s">
        <v>10130</v>
      </c>
      <c r="F995" s="293" t="s">
        <v>7201</v>
      </c>
      <c r="G995" s="293" t="s">
        <v>5589</v>
      </c>
      <c r="H995" s="294">
        <v>42369</v>
      </c>
      <c r="I995" s="295">
        <v>-18420.830000000002</v>
      </c>
    </row>
    <row r="996" spans="1:9" x14ac:dyDescent="0.2">
      <c r="A996" s="293" t="s">
        <v>10234</v>
      </c>
      <c r="B996" s="293" t="s">
        <v>5666</v>
      </c>
      <c r="C996" s="293" t="s">
        <v>10158</v>
      </c>
      <c r="D996" s="293" t="s">
        <v>5843</v>
      </c>
      <c r="E996" s="293" t="s">
        <v>10159</v>
      </c>
      <c r="F996" s="293" t="s">
        <v>7201</v>
      </c>
      <c r="G996" s="293" t="s">
        <v>5754</v>
      </c>
      <c r="H996" s="294">
        <v>42369</v>
      </c>
      <c r="I996" s="295">
        <v>-834.2</v>
      </c>
    </row>
    <row r="997" spans="1:9" x14ac:dyDescent="0.2">
      <c r="A997" s="293" t="s">
        <v>10235</v>
      </c>
      <c r="B997" s="293" t="s">
        <v>5666</v>
      </c>
      <c r="C997" s="293" t="s">
        <v>10211</v>
      </c>
      <c r="D997" s="293" t="s">
        <v>5843</v>
      </c>
      <c r="E997" s="293" t="s">
        <v>10130</v>
      </c>
      <c r="F997" s="293" t="s">
        <v>7201</v>
      </c>
      <c r="G997" s="293" t="s">
        <v>5755</v>
      </c>
      <c r="H997" s="294">
        <v>42369</v>
      </c>
      <c r="I997" s="295">
        <v>11086</v>
      </c>
    </row>
    <row r="998" spans="1:9" x14ac:dyDescent="0.2">
      <c r="A998" s="293" t="s">
        <v>10236</v>
      </c>
      <c r="B998" s="293" t="s">
        <v>5666</v>
      </c>
      <c r="C998" s="293" t="s">
        <v>5816</v>
      </c>
      <c r="D998" s="293" t="s">
        <v>5843</v>
      </c>
      <c r="E998" s="293" t="s">
        <v>10130</v>
      </c>
      <c r="F998" s="293" t="s">
        <v>7224</v>
      </c>
      <c r="G998" s="293" t="s">
        <v>5591</v>
      </c>
      <c r="H998" s="294">
        <v>42400</v>
      </c>
      <c r="I998" s="295">
        <v>-65694.05</v>
      </c>
    </row>
    <row r="999" spans="1:9" x14ac:dyDescent="0.2">
      <c r="A999" s="293" t="s">
        <v>6470</v>
      </c>
      <c r="B999" s="293" t="s">
        <v>5666</v>
      </c>
      <c r="C999" s="293" t="s">
        <v>5812</v>
      </c>
      <c r="D999" s="293" t="s">
        <v>5843</v>
      </c>
      <c r="E999" s="293" t="s">
        <v>10130</v>
      </c>
      <c r="F999" s="293" t="s">
        <v>7224</v>
      </c>
      <c r="G999" s="293" t="s">
        <v>5589</v>
      </c>
      <c r="H999" s="294">
        <v>42400</v>
      </c>
      <c r="I999" s="295">
        <v>-18420.830000000002</v>
      </c>
    </row>
    <row r="1000" spans="1:9" x14ac:dyDescent="0.2">
      <c r="A1000" s="293" t="s">
        <v>10237</v>
      </c>
      <c r="B1000" s="293" t="s">
        <v>5666</v>
      </c>
      <c r="C1000" s="293" t="s">
        <v>10158</v>
      </c>
      <c r="D1000" s="293" t="s">
        <v>5843</v>
      </c>
      <c r="E1000" s="293" t="s">
        <v>10159</v>
      </c>
      <c r="F1000" s="293" t="s">
        <v>7224</v>
      </c>
      <c r="G1000" s="293" t="s">
        <v>5754</v>
      </c>
      <c r="H1000" s="294">
        <v>42400</v>
      </c>
      <c r="I1000" s="295">
        <v>-834.2</v>
      </c>
    </row>
    <row r="1001" spans="1:9" x14ac:dyDescent="0.2">
      <c r="A1001" s="293" t="s">
        <v>10238</v>
      </c>
      <c r="B1001" s="293" t="s">
        <v>5666</v>
      </c>
      <c r="C1001" s="293" t="s">
        <v>10211</v>
      </c>
      <c r="D1001" s="293" t="s">
        <v>5843</v>
      </c>
      <c r="E1001" s="293" t="s">
        <v>10130</v>
      </c>
      <c r="F1001" s="293" t="s">
        <v>7224</v>
      </c>
      <c r="G1001" s="293" t="s">
        <v>5755</v>
      </c>
      <c r="H1001" s="294">
        <v>42400</v>
      </c>
      <c r="I1001" s="295">
        <v>11086</v>
      </c>
    </row>
    <row r="1002" spans="1:9" x14ac:dyDescent="0.2">
      <c r="A1002" s="293" t="s">
        <v>10239</v>
      </c>
      <c r="B1002" s="293" t="s">
        <v>5666</v>
      </c>
      <c r="C1002" s="293" t="s">
        <v>5816</v>
      </c>
      <c r="D1002" s="293" t="s">
        <v>5843</v>
      </c>
      <c r="E1002" s="293" t="s">
        <v>10130</v>
      </c>
      <c r="F1002" s="293" t="s">
        <v>7247</v>
      </c>
      <c r="G1002" s="293" t="s">
        <v>5591</v>
      </c>
      <c r="H1002" s="294">
        <v>42429</v>
      </c>
      <c r="I1002" s="295">
        <v>-65694.05</v>
      </c>
    </row>
    <row r="1003" spans="1:9" x14ac:dyDescent="0.2">
      <c r="A1003" s="293" t="s">
        <v>10240</v>
      </c>
      <c r="B1003" s="293" t="s">
        <v>5666</v>
      </c>
      <c r="C1003" s="293" t="s">
        <v>5812</v>
      </c>
      <c r="D1003" s="293" t="s">
        <v>5843</v>
      </c>
      <c r="E1003" s="293" t="s">
        <v>10130</v>
      </c>
      <c r="F1003" s="293" t="s">
        <v>7247</v>
      </c>
      <c r="G1003" s="293" t="s">
        <v>5589</v>
      </c>
      <c r="H1003" s="294">
        <v>42429</v>
      </c>
      <c r="I1003" s="295">
        <v>-18420.830000000002</v>
      </c>
    </row>
    <row r="1004" spans="1:9" x14ac:dyDescent="0.2">
      <c r="A1004" s="293" t="s">
        <v>10241</v>
      </c>
      <c r="B1004" s="293" t="s">
        <v>5666</v>
      </c>
      <c r="C1004" s="293" t="s">
        <v>10158</v>
      </c>
      <c r="D1004" s="293" t="s">
        <v>5843</v>
      </c>
      <c r="E1004" s="293" t="s">
        <v>10159</v>
      </c>
      <c r="F1004" s="293" t="s">
        <v>7247</v>
      </c>
      <c r="G1004" s="293" t="s">
        <v>5754</v>
      </c>
      <c r="H1004" s="294">
        <v>42429</v>
      </c>
      <c r="I1004" s="295">
        <v>-834.2</v>
      </c>
    </row>
    <row r="1005" spans="1:9" x14ac:dyDescent="0.2">
      <c r="A1005" s="293" t="s">
        <v>10242</v>
      </c>
      <c r="B1005" s="293" t="s">
        <v>5666</v>
      </c>
      <c r="C1005" s="293" t="s">
        <v>10211</v>
      </c>
      <c r="D1005" s="293" t="s">
        <v>5843</v>
      </c>
      <c r="E1005" s="293" t="s">
        <v>10130</v>
      </c>
      <c r="F1005" s="293" t="s">
        <v>7247</v>
      </c>
      <c r="G1005" s="293" t="s">
        <v>5755</v>
      </c>
      <c r="H1005" s="294">
        <v>42429</v>
      </c>
      <c r="I1005" s="295">
        <v>11086</v>
      </c>
    </row>
    <row r="1006" spans="1:9" x14ac:dyDescent="0.2">
      <c r="A1006" s="293" t="s">
        <v>10243</v>
      </c>
      <c r="B1006" s="293" t="s">
        <v>5666</v>
      </c>
      <c r="C1006" s="293" t="s">
        <v>5816</v>
      </c>
      <c r="D1006" s="293" t="s">
        <v>5843</v>
      </c>
      <c r="E1006" s="293" t="s">
        <v>10130</v>
      </c>
      <c r="F1006" s="293" t="s">
        <v>7270</v>
      </c>
      <c r="G1006" s="293" t="s">
        <v>5591</v>
      </c>
      <c r="H1006" s="294">
        <v>42460</v>
      </c>
      <c r="I1006" s="295">
        <v>-65694.05</v>
      </c>
    </row>
    <row r="1007" spans="1:9" x14ac:dyDescent="0.2">
      <c r="A1007" s="293" t="s">
        <v>10244</v>
      </c>
      <c r="B1007" s="293" t="s">
        <v>5666</v>
      </c>
      <c r="C1007" s="293" t="s">
        <v>5812</v>
      </c>
      <c r="D1007" s="293" t="s">
        <v>5843</v>
      </c>
      <c r="E1007" s="293" t="s">
        <v>10130</v>
      </c>
      <c r="F1007" s="293" t="s">
        <v>7270</v>
      </c>
      <c r="G1007" s="293" t="s">
        <v>5589</v>
      </c>
      <c r="H1007" s="294">
        <v>42460</v>
      </c>
      <c r="I1007" s="295">
        <v>-18420.830000000002</v>
      </c>
    </row>
    <row r="1008" spans="1:9" x14ac:dyDescent="0.2">
      <c r="A1008" s="293" t="s">
        <v>10245</v>
      </c>
      <c r="B1008" s="293" t="s">
        <v>5666</v>
      </c>
      <c r="C1008" s="293" t="s">
        <v>10158</v>
      </c>
      <c r="D1008" s="293" t="s">
        <v>5843</v>
      </c>
      <c r="E1008" s="293" t="s">
        <v>10159</v>
      </c>
      <c r="F1008" s="293" t="s">
        <v>7270</v>
      </c>
      <c r="G1008" s="293" t="s">
        <v>5754</v>
      </c>
      <c r="H1008" s="294">
        <v>42460</v>
      </c>
      <c r="I1008" s="295">
        <v>-834.2</v>
      </c>
    </row>
    <row r="1009" spans="1:9" x14ac:dyDescent="0.2">
      <c r="A1009" s="293" t="s">
        <v>10246</v>
      </c>
      <c r="B1009" s="293" t="s">
        <v>5666</v>
      </c>
      <c r="C1009" s="293" t="s">
        <v>10211</v>
      </c>
      <c r="D1009" s="293" t="s">
        <v>5843</v>
      </c>
      <c r="E1009" s="293" t="s">
        <v>10130</v>
      </c>
      <c r="F1009" s="293" t="s">
        <v>7270</v>
      </c>
      <c r="G1009" s="293" t="s">
        <v>5755</v>
      </c>
      <c r="H1009" s="294">
        <v>42460</v>
      </c>
      <c r="I1009" s="295">
        <v>11086</v>
      </c>
    </row>
    <row r="1010" spans="1:9" x14ac:dyDescent="0.2">
      <c r="A1010" s="293" t="s">
        <v>10247</v>
      </c>
      <c r="B1010" s="293" t="s">
        <v>5666</v>
      </c>
      <c r="C1010" s="293" t="s">
        <v>5816</v>
      </c>
      <c r="D1010" s="293" t="s">
        <v>5843</v>
      </c>
      <c r="E1010" s="293" t="s">
        <v>10130</v>
      </c>
      <c r="F1010" s="293" t="s">
        <v>7288</v>
      </c>
      <c r="G1010" s="293" t="s">
        <v>5591</v>
      </c>
      <c r="H1010" s="294">
        <v>42490</v>
      </c>
      <c r="I1010" s="295">
        <v>-65694.05</v>
      </c>
    </row>
    <row r="1011" spans="1:9" x14ac:dyDescent="0.2">
      <c r="A1011" s="293" t="s">
        <v>10248</v>
      </c>
      <c r="B1011" s="293" t="s">
        <v>5666</v>
      </c>
      <c r="C1011" s="293" t="s">
        <v>5812</v>
      </c>
      <c r="D1011" s="293" t="s">
        <v>5843</v>
      </c>
      <c r="E1011" s="293" t="s">
        <v>10130</v>
      </c>
      <c r="F1011" s="293" t="s">
        <v>7288</v>
      </c>
      <c r="G1011" s="293" t="s">
        <v>5589</v>
      </c>
      <c r="H1011" s="294">
        <v>42490</v>
      </c>
      <c r="I1011" s="295">
        <v>-18420.830000000002</v>
      </c>
    </row>
    <row r="1012" spans="1:9" x14ac:dyDescent="0.2">
      <c r="A1012" s="293" t="s">
        <v>10249</v>
      </c>
      <c r="B1012" s="293" t="s">
        <v>5666</v>
      </c>
      <c r="C1012" s="293" t="s">
        <v>10158</v>
      </c>
      <c r="D1012" s="293" t="s">
        <v>5843</v>
      </c>
      <c r="E1012" s="293" t="s">
        <v>10159</v>
      </c>
      <c r="F1012" s="293" t="s">
        <v>7288</v>
      </c>
      <c r="G1012" s="293" t="s">
        <v>5754</v>
      </c>
      <c r="H1012" s="294">
        <v>42490</v>
      </c>
      <c r="I1012" s="295">
        <v>-834.2</v>
      </c>
    </row>
    <row r="1013" spans="1:9" x14ac:dyDescent="0.2">
      <c r="A1013" s="293" t="s">
        <v>10250</v>
      </c>
      <c r="B1013" s="293" t="s">
        <v>5666</v>
      </c>
      <c r="C1013" s="293" t="s">
        <v>10211</v>
      </c>
      <c r="D1013" s="293" t="s">
        <v>5843</v>
      </c>
      <c r="E1013" s="293" t="s">
        <v>10130</v>
      </c>
      <c r="F1013" s="293" t="s">
        <v>7288</v>
      </c>
      <c r="G1013" s="293" t="s">
        <v>5755</v>
      </c>
      <c r="H1013" s="294">
        <v>42490</v>
      </c>
      <c r="I1013" s="295">
        <v>11086</v>
      </c>
    </row>
    <row r="1014" spans="1:9" x14ac:dyDescent="0.2">
      <c r="A1014" s="293" t="s">
        <v>10251</v>
      </c>
      <c r="B1014" s="293" t="s">
        <v>5666</v>
      </c>
      <c r="C1014" s="293" t="s">
        <v>5816</v>
      </c>
      <c r="D1014" s="293" t="s">
        <v>5843</v>
      </c>
      <c r="E1014" s="293" t="s">
        <v>10130</v>
      </c>
      <c r="F1014" s="293" t="s">
        <v>7311</v>
      </c>
      <c r="G1014" s="293" t="s">
        <v>5591</v>
      </c>
      <c r="H1014" s="294">
        <v>42521</v>
      </c>
      <c r="I1014" s="295">
        <v>-65694.05</v>
      </c>
    </row>
    <row r="1015" spans="1:9" x14ac:dyDescent="0.2">
      <c r="A1015" s="293" t="s">
        <v>10252</v>
      </c>
      <c r="B1015" s="293" t="s">
        <v>5666</v>
      </c>
      <c r="C1015" s="293" t="s">
        <v>5812</v>
      </c>
      <c r="D1015" s="293" t="s">
        <v>5843</v>
      </c>
      <c r="E1015" s="293" t="s">
        <v>10130</v>
      </c>
      <c r="F1015" s="293" t="s">
        <v>7311</v>
      </c>
      <c r="G1015" s="293" t="s">
        <v>5589</v>
      </c>
      <c r="H1015" s="294">
        <v>42521</v>
      </c>
      <c r="I1015" s="295">
        <v>-18420.830000000002</v>
      </c>
    </row>
    <row r="1016" spans="1:9" x14ac:dyDescent="0.2">
      <c r="A1016" s="293" t="s">
        <v>10253</v>
      </c>
      <c r="B1016" s="293" t="s">
        <v>5666</v>
      </c>
      <c r="C1016" s="293" t="s">
        <v>10158</v>
      </c>
      <c r="D1016" s="293" t="s">
        <v>5843</v>
      </c>
      <c r="E1016" s="293" t="s">
        <v>10159</v>
      </c>
      <c r="F1016" s="293" t="s">
        <v>7311</v>
      </c>
      <c r="G1016" s="293" t="s">
        <v>5754</v>
      </c>
      <c r="H1016" s="294">
        <v>42521</v>
      </c>
      <c r="I1016" s="295">
        <v>-834.2</v>
      </c>
    </row>
    <row r="1017" spans="1:9" x14ac:dyDescent="0.2">
      <c r="A1017" s="293" t="s">
        <v>10254</v>
      </c>
      <c r="B1017" s="293" t="s">
        <v>5666</v>
      </c>
      <c r="C1017" s="293" t="s">
        <v>10211</v>
      </c>
      <c r="D1017" s="293" t="s">
        <v>5843</v>
      </c>
      <c r="E1017" s="293" t="s">
        <v>10130</v>
      </c>
      <c r="F1017" s="293" t="s">
        <v>7311</v>
      </c>
      <c r="G1017" s="293" t="s">
        <v>5755</v>
      </c>
      <c r="H1017" s="294">
        <v>42521</v>
      </c>
      <c r="I1017" s="295">
        <v>11086</v>
      </c>
    </row>
    <row r="1018" spans="1:9" x14ac:dyDescent="0.2">
      <c r="A1018" s="293" t="s">
        <v>10255</v>
      </c>
      <c r="B1018" s="293" t="s">
        <v>5666</v>
      </c>
      <c r="C1018" s="293" t="s">
        <v>5816</v>
      </c>
      <c r="D1018" s="293" t="s">
        <v>5843</v>
      </c>
      <c r="E1018" s="293" t="s">
        <v>10130</v>
      </c>
      <c r="F1018" s="293" t="s">
        <v>7329</v>
      </c>
      <c r="G1018" s="293" t="s">
        <v>5591</v>
      </c>
      <c r="H1018" s="294">
        <v>42551</v>
      </c>
      <c r="I1018" s="295">
        <v>-65694.05</v>
      </c>
    </row>
    <row r="1019" spans="1:9" x14ac:dyDescent="0.2">
      <c r="A1019" s="293" t="s">
        <v>10256</v>
      </c>
      <c r="B1019" s="293" t="s">
        <v>5666</v>
      </c>
      <c r="C1019" s="293" t="s">
        <v>5812</v>
      </c>
      <c r="D1019" s="293" t="s">
        <v>5843</v>
      </c>
      <c r="E1019" s="293" t="s">
        <v>10130</v>
      </c>
      <c r="F1019" s="293" t="s">
        <v>7329</v>
      </c>
      <c r="G1019" s="293" t="s">
        <v>5589</v>
      </c>
      <c r="H1019" s="294">
        <v>42551</v>
      </c>
      <c r="I1019" s="295">
        <v>-18420.830000000002</v>
      </c>
    </row>
    <row r="1020" spans="1:9" x14ac:dyDescent="0.2">
      <c r="A1020" s="293" t="s">
        <v>10257</v>
      </c>
      <c r="B1020" s="293" t="s">
        <v>5666</v>
      </c>
      <c r="C1020" s="293" t="s">
        <v>10158</v>
      </c>
      <c r="D1020" s="293" t="s">
        <v>5843</v>
      </c>
      <c r="E1020" s="293" t="s">
        <v>10159</v>
      </c>
      <c r="F1020" s="293" t="s">
        <v>7329</v>
      </c>
      <c r="G1020" s="293" t="s">
        <v>5754</v>
      </c>
      <c r="H1020" s="294">
        <v>42551</v>
      </c>
      <c r="I1020" s="295">
        <v>-834.2</v>
      </c>
    </row>
    <row r="1021" spans="1:9" x14ac:dyDescent="0.2">
      <c r="A1021" s="293" t="s">
        <v>10258</v>
      </c>
      <c r="B1021" s="293" t="s">
        <v>5666</v>
      </c>
      <c r="C1021" s="293" t="s">
        <v>10211</v>
      </c>
      <c r="D1021" s="293" t="s">
        <v>5843</v>
      </c>
      <c r="E1021" s="293" t="s">
        <v>10130</v>
      </c>
      <c r="F1021" s="293" t="s">
        <v>7329</v>
      </c>
      <c r="G1021" s="293" t="s">
        <v>5755</v>
      </c>
      <c r="H1021" s="294">
        <v>42551</v>
      </c>
      <c r="I1021" s="295">
        <v>11086</v>
      </c>
    </row>
    <row r="1022" spans="1:9" x14ac:dyDescent="0.2">
      <c r="A1022" s="293" t="s">
        <v>10259</v>
      </c>
      <c r="B1022" s="293" t="s">
        <v>5666</v>
      </c>
      <c r="C1022" s="293" t="s">
        <v>5816</v>
      </c>
      <c r="D1022" s="293" t="s">
        <v>5843</v>
      </c>
      <c r="E1022" s="293" t="s">
        <v>10130</v>
      </c>
      <c r="F1022" s="293" t="s">
        <v>7348</v>
      </c>
      <c r="G1022" s="293" t="s">
        <v>5591</v>
      </c>
      <c r="H1022" s="294">
        <v>42582</v>
      </c>
      <c r="I1022" s="295">
        <v>-65694.05</v>
      </c>
    </row>
    <row r="1023" spans="1:9" x14ac:dyDescent="0.2">
      <c r="A1023" s="293" t="s">
        <v>10260</v>
      </c>
      <c r="B1023" s="293" t="s">
        <v>5666</v>
      </c>
      <c r="C1023" s="293" t="s">
        <v>5812</v>
      </c>
      <c r="D1023" s="293" t="s">
        <v>5843</v>
      </c>
      <c r="E1023" s="293" t="s">
        <v>10130</v>
      </c>
      <c r="F1023" s="293" t="s">
        <v>7348</v>
      </c>
      <c r="G1023" s="293" t="s">
        <v>5589</v>
      </c>
      <c r="H1023" s="294">
        <v>42582</v>
      </c>
      <c r="I1023" s="295">
        <v>-18420.830000000002</v>
      </c>
    </row>
    <row r="1024" spans="1:9" x14ac:dyDescent="0.2">
      <c r="A1024" s="293" t="s">
        <v>10261</v>
      </c>
      <c r="B1024" s="293" t="s">
        <v>5666</v>
      </c>
      <c r="C1024" s="293" t="s">
        <v>10158</v>
      </c>
      <c r="D1024" s="293" t="s">
        <v>5843</v>
      </c>
      <c r="E1024" s="293" t="s">
        <v>10159</v>
      </c>
      <c r="F1024" s="293" t="s">
        <v>7348</v>
      </c>
      <c r="G1024" s="293" t="s">
        <v>5754</v>
      </c>
      <c r="H1024" s="294">
        <v>42582</v>
      </c>
      <c r="I1024" s="295">
        <v>-834.2</v>
      </c>
    </row>
    <row r="1025" spans="1:9" x14ac:dyDescent="0.2">
      <c r="A1025" s="293" t="s">
        <v>10262</v>
      </c>
      <c r="B1025" s="293" t="s">
        <v>5666</v>
      </c>
      <c r="C1025" s="293" t="s">
        <v>10211</v>
      </c>
      <c r="D1025" s="293" t="s">
        <v>5843</v>
      </c>
      <c r="E1025" s="293" t="s">
        <v>10130</v>
      </c>
      <c r="F1025" s="293" t="s">
        <v>7348</v>
      </c>
      <c r="G1025" s="293" t="s">
        <v>5755</v>
      </c>
      <c r="H1025" s="294">
        <v>42582</v>
      </c>
      <c r="I1025" s="295">
        <v>11086</v>
      </c>
    </row>
    <row r="1026" spans="1:9" x14ac:dyDescent="0.2">
      <c r="A1026" s="293" t="s">
        <v>10263</v>
      </c>
      <c r="B1026" s="293" t="s">
        <v>5666</v>
      </c>
      <c r="C1026" s="293" t="s">
        <v>5816</v>
      </c>
      <c r="D1026" s="293" t="s">
        <v>5843</v>
      </c>
      <c r="E1026" s="293" t="s">
        <v>10130</v>
      </c>
      <c r="F1026" s="293" t="s">
        <v>7366</v>
      </c>
      <c r="G1026" s="293" t="s">
        <v>5591</v>
      </c>
      <c r="H1026" s="294">
        <v>42613</v>
      </c>
      <c r="I1026" s="295">
        <v>-65694.05</v>
      </c>
    </row>
    <row r="1027" spans="1:9" x14ac:dyDescent="0.2">
      <c r="A1027" s="293" t="s">
        <v>10264</v>
      </c>
      <c r="B1027" s="293" t="s">
        <v>5666</v>
      </c>
      <c r="C1027" s="293" t="s">
        <v>5812</v>
      </c>
      <c r="D1027" s="293" t="s">
        <v>5843</v>
      </c>
      <c r="E1027" s="293" t="s">
        <v>10130</v>
      </c>
      <c r="F1027" s="293" t="s">
        <v>7366</v>
      </c>
      <c r="G1027" s="293" t="s">
        <v>5589</v>
      </c>
      <c r="H1027" s="294">
        <v>42613</v>
      </c>
      <c r="I1027" s="295">
        <v>-18420.830000000002</v>
      </c>
    </row>
    <row r="1028" spans="1:9" x14ac:dyDescent="0.2">
      <c r="A1028" s="293" t="s">
        <v>10265</v>
      </c>
      <c r="B1028" s="293" t="s">
        <v>5666</v>
      </c>
      <c r="C1028" s="293" t="s">
        <v>10158</v>
      </c>
      <c r="D1028" s="293" t="s">
        <v>5843</v>
      </c>
      <c r="E1028" s="293" t="s">
        <v>10159</v>
      </c>
      <c r="F1028" s="293" t="s">
        <v>7366</v>
      </c>
      <c r="G1028" s="293" t="s">
        <v>5754</v>
      </c>
      <c r="H1028" s="294">
        <v>42613</v>
      </c>
      <c r="I1028" s="295">
        <v>-834.2</v>
      </c>
    </row>
    <row r="1029" spans="1:9" x14ac:dyDescent="0.2">
      <c r="A1029" s="293" t="s">
        <v>10266</v>
      </c>
      <c r="B1029" s="293" t="s">
        <v>5666</v>
      </c>
      <c r="C1029" s="293" t="s">
        <v>10211</v>
      </c>
      <c r="D1029" s="293" t="s">
        <v>5843</v>
      </c>
      <c r="E1029" s="293" t="s">
        <v>10130</v>
      </c>
      <c r="F1029" s="293" t="s">
        <v>7366</v>
      </c>
      <c r="G1029" s="293" t="s">
        <v>5755</v>
      </c>
      <c r="H1029" s="294">
        <v>42613</v>
      </c>
      <c r="I1029" s="295">
        <v>11086</v>
      </c>
    </row>
    <row r="1030" spans="1:9" x14ac:dyDescent="0.2">
      <c r="A1030" s="293" t="s">
        <v>10267</v>
      </c>
      <c r="B1030" s="293" t="s">
        <v>5666</v>
      </c>
      <c r="C1030" s="293" t="s">
        <v>5816</v>
      </c>
      <c r="D1030" s="293" t="s">
        <v>5843</v>
      </c>
      <c r="E1030" s="293" t="s">
        <v>10130</v>
      </c>
      <c r="F1030" s="293" t="s">
        <v>7387</v>
      </c>
      <c r="G1030" s="293" t="s">
        <v>5591</v>
      </c>
      <c r="H1030" s="294">
        <v>42643</v>
      </c>
      <c r="I1030" s="295">
        <v>-65694.05</v>
      </c>
    </row>
    <row r="1031" spans="1:9" x14ac:dyDescent="0.2">
      <c r="A1031" s="293" t="s">
        <v>10268</v>
      </c>
      <c r="B1031" s="293" t="s">
        <v>5666</v>
      </c>
      <c r="C1031" s="293" t="s">
        <v>5812</v>
      </c>
      <c r="D1031" s="293" t="s">
        <v>5843</v>
      </c>
      <c r="E1031" s="293" t="s">
        <v>10130</v>
      </c>
      <c r="F1031" s="293" t="s">
        <v>7387</v>
      </c>
      <c r="G1031" s="293" t="s">
        <v>5589</v>
      </c>
      <c r="H1031" s="294">
        <v>42643</v>
      </c>
      <c r="I1031" s="295">
        <v>-18420.830000000002</v>
      </c>
    </row>
    <row r="1032" spans="1:9" x14ac:dyDescent="0.2">
      <c r="A1032" s="293" t="s">
        <v>10269</v>
      </c>
      <c r="B1032" s="293" t="s">
        <v>5666</v>
      </c>
      <c r="C1032" s="293" t="s">
        <v>10158</v>
      </c>
      <c r="D1032" s="293" t="s">
        <v>5843</v>
      </c>
      <c r="E1032" s="293" t="s">
        <v>10159</v>
      </c>
      <c r="F1032" s="293" t="s">
        <v>7387</v>
      </c>
      <c r="G1032" s="293" t="s">
        <v>5754</v>
      </c>
      <c r="H1032" s="294">
        <v>42643</v>
      </c>
      <c r="I1032" s="295">
        <v>-834.2</v>
      </c>
    </row>
    <row r="1033" spans="1:9" x14ac:dyDescent="0.2">
      <c r="A1033" s="293" t="s">
        <v>10270</v>
      </c>
      <c r="B1033" s="293" t="s">
        <v>5666</v>
      </c>
      <c r="C1033" s="293" t="s">
        <v>10211</v>
      </c>
      <c r="D1033" s="293" t="s">
        <v>5843</v>
      </c>
      <c r="E1033" s="293" t="s">
        <v>10130</v>
      </c>
      <c r="F1033" s="293" t="s">
        <v>7387</v>
      </c>
      <c r="G1033" s="293" t="s">
        <v>5755</v>
      </c>
      <c r="H1033" s="294">
        <v>42643</v>
      </c>
      <c r="I1033" s="295">
        <v>11086</v>
      </c>
    </row>
    <row r="1034" spans="1:9" x14ac:dyDescent="0.2">
      <c r="A1034" s="293" t="s">
        <v>10271</v>
      </c>
      <c r="B1034" s="293" t="s">
        <v>5666</v>
      </c>
      <c r="C1034" s="293" t="s">
        <v>5816</v>
      </c>
      <c r="D1034" s="293" t="s">
        <v>5843</v>
      </c>
      <c r="E1034" s="293" t="s">
        <v>10130</v>
      </c>
      <c r="F1034" s="293" t="s">
        <v>7405</v>
      </c>
      <c r="G1034" s="293" t="s">
        <v>5591</v>
      </c>
      <c r="H1034" s="294">
        <v>42674</v>
      </c>
      <c r="I1034" s="295">
        <v>-65694.05</v>
      </c>
    </row>
    <row r="1035" spans="1:9" x14ac:dyDescent="0.2">
      <c r="A1035" s="293" t="s">
        <v>10272</v>
      </c>
      <c r="B1035" s="293" t="s">
        <v>5666</v>
      </c>
      <c r="C1035" s="293" t="s">
        <v>5812</v>
      </c>
      <c r="D1035" s="293" t="s">
        <v>5843</v>
      </c>
      <c r="E1035" s="293" t="s">
        <v>10130</v>
      </c>
      <c r="F1035" s="293" t="s">
        <v>7405</v>
      </c>
      <c r="G1035" s="293" t="s">
        <v>5589</v>
      </c>
      <c r="H1035" s="294">
        <v>42674</v>
      </c>
      <c r="I1035" s="295">
        <v>-18420.830000000002</v>
      </c>
    </row>
    <row r="1036" spans="1:9" x14ac:dyDescent="0.2">
      <c r="A1036" s="293" t="s">
        <v>10273</v>
      </c>
      <c r="B1036" s="293" t="s">
        <v>5666</v>
      </c>
      <c r="C1036" s="293" t="s">
        <v>10158</v>
      </c>
      <c r="D1036" s="293" t="s">
        <v>5843</v>
      </c>
      <c r="E1036" s="293" t="s">
        <v>10159</v>
      </c>
      <c r="F1036" s="293" t="s">
        <v>7405</v>
      </c>
      <c r="G1036" s="293" t="s">
        <v>5754</v>
      </c>
      <c r="H1036" s="294">
        <v>42674</v>
      </c>
      <c r="I1036" s="295">
        <v>-834.2</v>
      </c>
    </row>
    <row r="1037" spans="1:9" x14ac:dyDescent="0.2">
      <c r="A1037" s="293" t="s">
        <v>10274</v>
      </c>
      <c r="B1037" s="293" t="s">
        <v>5666</v>
      </c>
      <c r="C1037" s="293" t="s">
        <v>10211</v>
      </c>
      <c r="D1037" s="293" t="s">
        <v>5843</v>
      </c>
      <c r="E1037" s="293" t="s">
        <v>10130</v>
      </c>
      <c r="F1037" s="293" t="s">
        <v>7405</v>
      </c>
      <c r="G1037" s="293" t="s">
        <v>5755</v>
      </c>
      <c r="H1037" s="294">
        <v>42674</v>
      </c>
      <c r="I1037" s="295">
        <v>11086</v>
      </c>
    </row>
    <row r="1038" spans="1:9" x14ac:dyDescent="0.2">
      <c r="A1038" s="293" t="s">
        <v>10275</v>
      </c>
      <c r="B1038" s="293" t="s">
        <v>5666</v>
      </c>
      <c r="C1038" s="293" t="s">
        <v>5816</v>
      </c>
      <c r="D1038" s="293" t="s">
        <v>5843</v>
      </c>
      <c r="E1038" s="293" t="s">
        <v>10130</v>
      </c>
      <c r="F1038" s="293" t="s">
        <v>7423</v>
      </c>
      <c r="G1038" s="293" t="s">
        <v>5591</v>
      </c>
      <c r="H1038" s="294">
        <v>42704</v>
      </c>
      <c r="I1038" s="295">
        <v>-65694.05</v>
      </c>
    </row>
    <row r="1039" spans="1:9" x14ac:dyDescent="0.2">
      <c r="A1039" s="293" t="s">
        <v>10276</v>
      </c>
      <c r="B1039" s="293" t="s">
        <v>5666</v>
      </c>
      <c r="C1039" s="293" t="s">
        <v>5812</v>
      </c>
      <c r="D1039" s="293" t="s">
        <v>5843</v>
      </c>
      <c r="E1039" s="293" t="s">
        <v>10130</v>
      </c>
      <c r="F1039" s="293" t="s">
        <v>7423</v>
      </c>
      <c r="G1039" s="293" t="s">
        <v>5589</v>
      </c>
      <c r="H1039" s="294">
        <v>42704</v>
      </c>
      <c r="I1039" s="295">
        <v>-18420.830000000002</v>
      </c>
    </row>
    <row r="1040" spans="1:9" x14ac:dyDescent="0.2">
      <c r="A1040" s="293" t="s">
        <v>10277</v>
      </c>
      <c r="B1040" s="293" t="s">
        <v>5666</v>
      </c>
      <c r="C1040" s="293" t="s">
        <v>10158</v>
      </c>
      <c r="D1040" s="293" t="s">
        <v>5843</v>
      </c>
      <c r="E1040" s="293" t="s">
        <v>10159</v>
      </c>
      <c r="F1040" s="293" t="s">
        <v>7423</v>
      </c>
      <c r="G1040" s="293" t="s">
        <v>5754</v>
      </c>
      <c r="H1040" s="294">
        <v>42704</v>
      </c>
      <c r="I1040" s="295">
        <v>-834.2</v>
      </c>
    </row>
    <row r="1041" spans="1:9" x14ac:dyDescent="0.2">
      <c r="A1041" s="293" t="s">
        <v>10278</v>
      </c>
      <c r="B1041" s="293" t="s">
        <v>5666</v>
      </c>
      <c r="C1041" s="293" t="s">
        <v>10211</v>
      </c>
      <c r="D1041" s="293" t="s">
        <v>5843</v>
      </c>
      <c r="E1041" s="293" t="s">
        <v>10130</v>
      </c>
      <c r="F1041" s="293" t="s">
        <v>7423</v>
      </c>
      <c r="G1041" s="293" t="s">
        <v>5755</v>
      </c>
      <c r="H1041" s="294">
        <v>42704</v>
      </c>
      <c r="I1041" s="295">
        <v>11086</v>
      </c>
    </row>
    <row r="1042" spans="1:9" x14ac:dyDescent="0.2">
      <c r="A1042" s="293" t="s">
        <v>10279</v>
      </c>
      <c r="B1042" s="293" t="s">
        <v>5666</v>
      </c>
      <c r="C1042" s="293" t="s">
        <v>5816</v>
      </c>
      <c r="D1042" s="293" t="s">
        <v>5843</v>
      </c>
      <c r="E1042" s="293" t="s">
        <v>10130</v>
      </c>
      <c r="F1042" s="293" t="s">
        <v>7441</v>
      </c>
      <c r="G1042" s="293" t="s">
        <v>5591</v>
      </c>
      <c r="H1042" s="294">
        <v>42735</v>
      </c>
      <c r="I1042" s="295">
        <v>-65694.05</v>
      </c>
    </row>
    <row r="1043" spans="1:9" x14ac:dyDescent="0.2">
      <c r="A1043" s="293" t="s">
        <v>10280</v>
      </c>
      <c r="B1043" s="293" t="s">
        <v>5666</v>
      </c>
      <c r="C1043" s="293" t="s">
        <v>5812</v>
      </c>
      <c r="D1043" s="293" t="s">
        <v>5843</v>
      </c>
      <c r="E1043" s="293" t="s">
        <v>10130</v>
      </c>
      <c r="F1043" s="293" t="s">
        <v>7441</v>
      </c>
      <c r="G1043" s="293" t="s">
        <v>5589</v>
      </c>
      <c r="H1043" s="294">
        <v>42735</v>
      </c>
      <c r="I1043" s="295">
        <v>-18420.830000000002</v>
      </c>
    </row>
    <row r="1044" spans="1:9" x14ac:dyDescent="0.2">
      <c r="A1044" s="293" t="s">
        <v>10281</v>
      </c>
      <c r="B1044" s="293" t="s">
        <v>5666</v>
      </c>
      <c r="C1044" s="293" t="s">
        <v>10158</v>
      </c>
      <c r="D1044" s="293" t="s">
        <v>5843</v>
      </c>
      <c r="E1044" s="293" t="s">
        <v>10159</v>
      </c>
      <c r="F1044" s="293" t="s">
        <v>7441</v>
      </c>
      <c r="G1044" s="293" t="s">
        <v>5754</v>
      </c>
      <c r="H1044" s="294">
        <v>42735</v>
      </c>
      <c r="I1044" s="295">
        <v>-834.2</v>
      </c>
    </row>
    <row r="1045" spans="1:9" x14ac:dyDescent="0.2">
      <c r="A1045" s="293" t="s">
        <v>10282</v>
      </c>
      <c r="B1045" s="293" t="s">
        <v>5666</v>
      </c>
      <c r="C1045" s="293" t="s">
        <v>10211</v>
      </c>
      <c r="D1045" s="293" t="s">
        <v>5843</v>
      </c>
      <c r="E1045" s="293" t="s">
        <v>10130</v>
      </c>
      <c r="F1045" s="293" t="s">
        <v>7441</v>
      </c>
      <c r="G1045" s="293" t="s">
        <v>5755</v>
      </c>
      <c r="H1045" s="294">
        <v>42735</v>
      </c>
      <c r="I1045" s="295">
        <v>11086</v>
      </c>
    </row>
    <row r="1046" spans="1:9" x14ac:dyDescent="0.2">
      <c r="A1046" s="293" t="s">
        <v>10283</v>
      </c>
      <c r="B1046" s="293" t="s">
        <v>5666</v>
      </c>
      <c r="C1046" s="293" t="s">
        <v>5816</v>
      </c>
      <c r="D1046" s="293" t="s">
        <v>5843</v>
      </c>
      <c r="E1046" s="293" t="s">
        <v>10130</v>
      </c>
      <c r="F1046" s="293" t="s">
        <v>7459</v>
      </c>
      <c r="G1046" s="293" t="s">
        <v>5591</v>
      </c>
      <c r="H1046" s="294">
        <v>42766</v>
      </c>
      <c r="I1046" s="295">
        <v>-65694.05</v>
      </c>
    </row>
    <row r="1047" spans="1:9" x14ac:dyDescent="0.2">
      <c r="A1047" s="293" t="s">
        <v>10284</v>
      </c>
      <c r="B1047" s="293" t="s">
        <v>5666</v>
      </c>
      <c r="C1047" s="293" t="s">
        <v>5812</v>
      </c>
      <c r="D1047" s="293" t="s">
        <v>5843</v>
      </c>
      <c r="E1047" s="293" t="s">
        <v>10130</v>
      </c>
      <c r="F1047" s="293" t="s">
        <v>7459</v>
      </c>
      <c r="G1047" s="293" t="s">
        <v>5589</v>
      </c>
      <c r="H1047" s="294">
        <v>42766</v>
      </c>
      <c r="I1047" s="295">
        <v>-18420.830000000002</v>
      </c>
    </row>
    <row r="1048" spans="1:9" x14ac:dyDescent="0.2">
      <c r="A1048" s="293" t="s">
        <v>10285</v>
      </c>
      <c r="B1048" s="293" t="s">
        <v>5666</v>
      </c>
      <c r="C1048" s="293" t="s">
        <v>10158</v>
      </c>
      <c r="D1048" s="293" t="s">
        <v>5843</v>
      </c>
      <c r="E1048" s="293" t="s">
        <v>10159</v>
      </c>
      <c r="F1048" s="293" t="s">
        <v>7459</v>
      </c>
      <c r="G1048" s="293" t="s">
        <v>5754</v>
      </c>
      <c r="H1048" s="294">
        <v>42766</v>
      </c>
      <c r="I1048" s="295">
        <v>-834.2</v>
      </c>
    </row>
    <row r="1049" spans="1:9" x14ac:dyDescent="0.2">
      <c r="A1049" s="293" t="s">
        <v>10286</v>
      </c>
      <c r="B1049" s="293" t="s">
        <v>5666</v>
      </c>
      <c r="C1049" s="293" t="s">
        <v>10211</v>
      </c>
      <c r="D1049" s="293" t="s">
        <v>5843</v>
      </c>
      <c r="E1049" s="293" t="s">
        <v>10130</v>
      </c>
      <c r="F1049" s="293" t="s">
        <v>7459</v>
      </c>
      <c r="G1049" s="293" t="s">
        <v>5755</v>
      </c>
      <c r="H1049" s="294">
        <v>42766</v>
      </c>
      <c r="I1049" s="295">
        <v>11086</v>
      </c>
    </row>
    <row r="1050" spans="1:9" x14ac:dyDescent="0.2">
      <c r="A1050" s="293" t="s">
        <v>10287</v>
      </c>
      <c r="B1050" s="293" t="s">
        <v>5666</v>
      </c>
      <c r="C1050" s="293" t="s">
        <v>5816</v>
      </c>
      <c r="D1050" s="293" t="s">
        <v>5843</v>
      </c>
      <c r="E1050" s="293" t="s">
        <v>10130</v>
      </c>
      <c r="F1050" s="293" t="s">
        <v>7480</v>
      </c>
      <c r="G1050" s="293" t="s">
        <v>5591</v>
      </c>
      <c r="H1050" s="294">
        <v>42794</v>
      </c>
      <c r="I1050" s="295">
        <v>-65694.05</v>
      </c>
    </row>
    <row r="1051" spans="1:9" x14ac:dyDescent="0.2">
      <c r="A1051" s="293" t="s">
        <v>10288</v>
      </c>
      <c r="B1051" s="293" t="s">
        <v>5666</v>
      </c>
      <c r="C1051" s="293" t="s">
        <v>5812</v>
      </c>
      <c r="D1051" s="293" t="s">
        <v>5843</v>
      </c>
      <c r="E1051" s="293" t="s">
        <v>10130</v>
      </c>
      <c r="F1051" s="293" t="s">
        <v>7480</v>
      </c>
      <c r="G1051" s="293" t="s">
        <v>5589</v>
      </c>
      <c r="H1051" s="294">
        <v>42794</v>
      </c>
      <c r="I1051" s="295">
        <v>-18420.830000000002</v>
      </c>
    </row>
    <row r="1052" spans="1:9" x14ac:dyDescent="0.2">
      <c r="A1052" s="293" t="s">
        <v>10289</v>
      </c>
      <c r="B1052" s="293" t="s">
        <v>5666</v>
      </c>
      <c r="C1052" s="293" t="s">
        <v>10158</v>
      </c>
      <c r="D1052" s="293" t="s">
        <v>5843</v>
      </c>
      <c r="E1052" s="293" t="s">
        <v>10159</v>
      </c>
      <c r="F1052" s="293" t="s">
        <v>7480</v>
      </c>
      <c r="G1052" s="293" t="s">
        <v>5754</v>
      </c>
      <c r="H1052" s="294">
        <v>42794</v>
      </c>
      <c r="I1052" s="295">
        <v>-834.2</v>
      </c>
    </row>
    <row r="1053" spans="1:9" x14ac:dyDescent="0.2">
      <c r="A1053" s="293" t="s">
        <v>10290</v>
      </c>
      <c r="B1053" s="293" t="s">
        <v>5666</v>
      </c>
      <c r="C1053" s="293" t="s">
        <v>10211</v>
      </c>
      <c r="D1053" s="293" t="s">
        <v>5843</v>
      </c>
      <c r="E1053" s="293" t="s">
        <v>10130</v>
      </c>
      <c r="F1053" s="293" t="s">
        <v>7480</v>
      </c>
      <c r="G1053" s="293" t="s">
        <v>5755</v>
      </c>
      <c r="H1053" s="294">
        <v>42794</v>
      </c>
      <c r="I1053" s="295">
        <v>11086</v>
      </c>
    </row>
    <row r="1054" spans="1:9" x14ac:dyDescent="0.2">
      <c r="A1054" s="293" t="s">
        <v>10291</v>
      </c>
      <c r="B1054" s="293" t="s">
        <v>5666</v>
      </c>
      <c r="C1054" s="293" t="s">
        <v>5816</v>
      </c>
      <c r="D1054" s="293" t="s">
        <v>5843</v>
      </c>
      <c r="E1054" s="293" t="s">
        <v>10130</v>
      </c>
      <c r="F1054" s="293" t="s">
        <v>7498</v>
      </c>
      <c r="G1054" s="293" t="s">
        <v>5591</v>
      </c>
      <c r="H1054" s="294">
        <v>42825</v>
      </c>
      <c r="I1054" s="295">
        <v>-65694.05</v>
      </c>
    </row>
    <row r="1055" spans="1:9" x14ac:dyDescent="0.2">
      <c r="A1055" s="293" t="s">
        <v>10292</v>
      </c>
      <c r="B1055" s="293" t="s">
        <v>5666</v>
      </c>
      <c r="C1055" s="293" t="s">
        <v>5812</v>
      </c>
      <c r="D1055" s="293" t="s">
        <v>5843</v>
      </c>
      <c r="E1055" s="293" t="s">
        <v>10130</v>
      </c>
      <c r="F1055" s="293" t="s">
        <v>7498</v>
      </c>
      <c r="G1055" s="293" t="s">
        <v>5589</v>
      </c>
      <c r="H1055" s="294">
        <v>42825</v>
      </c>
      <c r="I1055" s="295">
        <v>-18420.830000000002</v>
      </c>
    </row>
    <row r="1056" spans="1:9" x14ac:dyDescent="0.2">
      <c r="A1056" s="293" t="s">
        <v>10293</v>
      </c>
      <c r="B1056" s="293" t="s">
        <v>5666</v>
      </c>
      <c r="C1056" s="293" t="s">
        <v>10158</v>
      </c>
      <c r="D1056" s="293" t="s">
        <v>5843</v>
      </c>
      <c r="E1056" s="293" t="s">
        <v>10159</v>
      </c>
      <c r="F1056" s="293" t="s">
        <v>7498</v>
      </c>
      <c r="G1056" s="293" t="s">
        <v>5754</v>
      </c>
      <c r="H1056" s="294">
        <v>42825</v>
      </c>
      <c r="I1056" s="295">
        <v>-834.2</v>
      </c>
    </row>
    <row r="1057" spans="1:9" x14ac:dyDescent="0.2">
      <c r="A1057" s="293" t="s">
        <v>10294</v>
      </c>
      <c r="B1057" s="293" t="s">
        <v>5666</v>
      </c>
      <c r="C1057" s="293" t="s">
        <v>10211</v>
      </c>
      <c r="D1057" s="293" t="s">
        <v>5843</v>
      </c>
      <c r="E1057" s="293" t="s">
        <v>10130</v>
      </c>
      <c r="F1057" s="293" t="s">
        <v>7498</v>
      </c>
      <c r="G1057" s="293" t="s">
        <v>5755</v>
      </c>
      <c r="H1057" s="294">
        <v>42825</v>
      </c>
      <c r="I1057" s="295">
        <v>11086</v>
      </c>
    </row>
    <row r="1058" spans="1:9" x14ac:dyDescent="0.2">
      <c r="A1058" s="293" t="s">
        <v>10295</v>
      </c>
      <c r="B1058" s="293" t="s">
        <v>5666</v>
      </c>
      <c r="C1058" s="293" t="s">
        <v>5816</v>
      </c>
      <c r="D1058" s="293" t="s">
        <v>5843</v>
      </c>
      <c r="E1058" s="293" t="s">
        <v>10130</v>
      </c>
      <c r="F1058" s="293" t="s">
        <v>7516</v>
      </c>
      <c r="G1058" s="293" t="s">
        <v>5591</v>
      </c>
      <c r="H1058" s="294">
        <v>42855</v>
      </c>
      <c r="I1058" s="295">
        <v>-65694.05</v>
      </c>
    </row>
    <row r="1059" spans="1:9" x14ac:dyDescent="0.2">
      <c r="A1059" s="293" t="s">
        <v>10296</v>
      </c>
      <c r="B1059" s="293" t="s">
        <v>5666</v>
      </c>
      <c r="C1059" s="293" t="s">
        <v>5812</v>
      </c>
      <c r="D1059" s="293" t="s">
        <v>5843</v>
      </c>
      <c r="E1059" s="293" t="s">
        <v>10130</v>
      </c>
      <c r="F1059" s="293" t="s">
        <v>7516</v>
      </c>
      <c r="G1059" s="293" t="s">
        <v>5589</v>
      </c>
      <c r="H1059" s="294">
        <v>42855</v>
      </c>
      <c r="I1059" s="295">
        <v>-18420.830000000002</v>
      </c>
    </row>
    <row r="1060" spans="1:9" x14ac:dyDescent="0.2">
      <c r="A1060" s="293" t="s">
        <v>10297</v>
      </c>
      <c r="B1060" s="293" t="s">
        <v>5666</v>
      </c>
      <c r="C1060" s="293" t="s">
        <v>10158</v>
      </c>
      <c r="D1060" s="293" t="s">
        <v>5843</v>
      </c>
      <c r="E1060" s="293" t="s">
        <v>10159</v>
      </c>
      <c r="F1060" s="293" t="s">
        <v>7516</v>
      </c>
      <c r="G1060" s="293" t="s">
        <v>5754</v>
      </c>
      <c r="H1060" s="294">
        <v>42855</v>
      </c>
      <c r="I1060" s="295">
        <v>-834.2</v>
      </c>
    </row>
    <row r="1061" spans="1:9" x14ac:dyDescent="0.2">
      <c r="A1061" s="293" t="s">
        <v>10298</v>
      </c>
      <c r="B1061" s="293" t="s">
        <v>5666</v>
      </c>
      <c r="C1061" s="293" t="s">
        <v>10211</v>
      </c>
      <c r="D1061" s="293" t="s">
        <v>5843</v>
      </c>
      <c r="E1061" s="293" t="s">
        <v>10130</v>
      </c>
      <c r="F1061" s="293" t="s">
        <v>7516</v>
      </c>
      <c r="G1061" s="293" t="s">
        <v>5755</v>
      </c>
      <c r="H1061" s="294">
        <v>42855</v>
      </c>
      <c r="I1061" s="295">
        <v>11086</v>
      </c>
    </row>
    <row r="1062" spans="1:9" x14ac:dyDescent="0.2">
      <c r="A1062" s="293" t="s">
        <v>10299</v>
      </c>
      <c r="B1062" s="293" t="s">
        <v>5666</v>
      </c>
      <c r="C1062" s="293" t="s">
        <v>5816</v>
      </c>
      <c r="D1062" s="293" t="s">
        <v>5843</v>
      </c>
      <c r="E1062" s="293" t="s">
        <v>10130</v>
      </c>
      <c r="F1062" s="293" t="s">
        <v>7534</v>
      </c>
      <c r="G1062" s="293" t="s">
        <v>5591</v>
      </c>
      <c r="H1062" s="294">
        <v>42886</v>
      </c>
      <c r="I1062" s="295">
        <v>-65694.05</v>
      </c>
    </row>
    <row r="1063" spans="1:9" x14ac:dyDescent="0.2">
      <c r="A1063" s="293" t="s">
        <v>10300</v>
      </c>
      <c r="B1063" s="293" t="s">
        <v>5666</v>
      </c>
      <c r="C1063" s="293" t="s">
        <v>5812</v>
      </c>
      <c r="D1063" s="293" t="s">
        <v>5843</v>
      </c>
      <c r="E1063" s="293" t="s">
        <v>10130</v>
      </c>
      <c r="F1063" s="293" t="s">
        <v>7534</v>
      </c>
      <c r="G1063" s="293" t="s">
        <v>5589</v>
      </c>
      <c r="H1063" s="294">
        <v>42886</v>
      </c>
      <c r="I1063" s="295">
        <v>-18420.830000000002</v>
      </c>
    </row>
    <row r="1064" spans="1:9" x14ac:dyDescent="0.2">
      <c r="A1064" s="293" t="s">
        <v>10301</v>
      </c>
      <c r="B1064" s="293" t="s">
        <v>5666</v>
      </c>
      <c r="C1064" s="293" t="s">
        <v>10158</v>
      </c>
      <c r="D1064" s="293" t="s">
        <v>5843</v>
      </c>
      <c r="E1064" s="293" t="s">
        <v>10159</v>
      </c>
      <c r="F1064" s="293" t="s">
        <v>7534</v>
      </c>
      <c r="G1064" s="293" t="s">
        <v>5754</v>
      </c>
      <c r="H1064" s="294">
        <v>42886</v>
      </c>
      <c r="I1064" s="295">
        <v>-834.2</v>
      </c>
    </row>
    <row r="1065" spans="1:9" x14ac:dyDescent="0.2">
      <c r="A1065" s="293" t="s">
        <v>10302</v>
      </c>
      <c r="B1065" s="293" t="s">
        <v>5666</v>
      </c>
      <c r="C1065" s="293" t="s">
        <v>10211</v>
      </c>
      <c r="D1065" s="293" t="s">
        <v>5843</v>
      </c>
      <c r="E1065" s="293" t="s">
        <v>10130</v>
      </c>
      <c r="F1065" s="293" t="s">
        <v>7534</v>
      </c>
      <c r="G1065" s="293" t="s">
        <v>5755</v>
      </c>
      <c r="H1065" s="294">
        <v>42886</v>
      </c>
      <c r="I1065" s="295">
        <v>11086</v>
      </c>
    </row>
    <row r="1066" spans="1:9" x14ac:dyDescent="0.2">
      <c r="A1066" s="293" t="s">
        <v>10303</v>
      </c>
      <c r="B1066" s="293" t="s">
        <v>5666</v>
      </c>
      <c r="C1066" s="293" t="s">
        <v>5816</v>
      </c>
      <c r="D1066" s="293" t="s">
        <v>5843</v>
      </c>
      <c r="E1066" s="293" t="s">
        <v>10130</v>
      </c>
      <c r="F1066" s="293" t="s">
        <v>7552</v>
      </c>
      <c r="G1066" s="293" t="s">
        <v>5591</v>
      </c>
      <c r="H1066" s="294">
        <v>42916</v>
      </c>
      <c r="I1066" s="295">
        <v>-65694.05</v>
      </c>
    </row>
    <row r="1067" spans="1:9" x14ac:dyDescent="0.2">
      <c r="A1067" s="293" t="s">
        <v>10304</v>
      </c>
      <c r="B1067" s="293" t="s">
        <v>5666</v>
      </c>
      <c r="C1067" s="293" t="s">
        <v>5812</v>
      </c>
      <c r="D1067" s="293" t="s">
        <v>5843</v>
      </c>
      <c r="E1067" s="293" t="s">
        <v>10130</v>
      </c>
      <c r="F1067" s="293" t="s">
        <v>7552</v>
      </c>
      <c r="G1067" s="293" t="s">
        <v>5589</v>
      </c>
      <c r="H1067" s="294">
        <v>42916</v>
      </c>
      <c r="I1067" s="295">
        <v>-18420.830000000002</v>
      </c>
    </row>
    <row r="1068" spans="1:9" x14ac:dyDescent="0.2">
      <c r="A1068" s="293" t="s">
        <v>10305</v>
      </c>
      <c r="B1068" s="293" t="s">
        <v>5666</v>
      </c>
      <c r="C1068" s="293" t="s">
        <v>10158</v>
      </c>
      <c r="D1068" s="293" t="s">
        <v>5843</v>
      </c>
      <c r="E1068" s="293" t="s">
        <v>10159</v>
      </c>
      <c r="F1068" s="293" t="s">
        <v>7552</v>
      </c>
      <c r="G1068" s="293" t="s">
        <v>5754</v>
      </c>
      <c r="H1068" s="294">
        <v>42916</v>
      </c>
      <c r="I1068" s="295">
        <v>-834.2</v>
      </c>
    </row>
    <row r="1069" spans="1:9" x14ac:dyDescent="0.2">
      <c r="A1069" s="293" t="s">
        <v>10306</v>
      </c>
      <c r="B1069" s="293" t="s">
        <v>5666</v>
      </c>
      <c r="C1069" s="293" t="s">
        <v>10211</v>
      </c>
      <c r="D1069" s="293" t="s">
        <v>5843</v>
      </c>
      <c r="E1069" s="293" t="s">
        <v>10130</v>
      </c>
      <c r="F1069" s="293" t="s">
        <v>7552</v>
      </c>
      <c r="G1069" s="293" t="s">
        <v>5755</v>
      </c>
      <c r="H1069" s="294">
        <v>42916</v>
      </c>
      <c r="I1069" s="295">
        <v>11086</v>
      </c>
    </row>
    <row r="1070" spans="1:9" x14ac:dyDescent="0.2">
      <c r="A1070" s="293" t="s">
        <v>10307</v>
      </c>
      <c r="B1070" s="293" t="s">
        <v>5666</v>
      </c>
      <c r="C1070" s="293" t="s">
        <v>5816</v>
      </c>
      <c r="D1070" s="293" t="s">
        <v>5843</v>
      </c>
      <c r="E1070" s="293" t="s">
        <v>10130</v>
      </c>
      <c r="F1070" s="293" t="s">
        <v>7570</v>
      </c>
      <c r="G1070" s="293" t="s">
        <v>5591</v>
      </c>
      <c r="H1070" s="294">
        <v>42947</v>
      </c>
      <c r="I1070" s="295">
        <v>-65694.05</v>
      </c>
    </row>
    <row r="1071" spans="1:9" x14ac:dyDescent="0.2">
      <c r="A1071" s="293" t="s">
        <v>10308</v>
      </c>
      <c r="B1071" s="293" t="s">
        <v>5666</v>
      </c>
      <c r="C1071" s="293" t="s">
        <v>5812</v>
      </c>
      <c r="D1071" s="293" t="s">
        <v>5843</v>
      </c>
      <c r="E1071" s="293" t="s">
        <v>10130</v>
      </c>
      <c r="F1071" s="293" t="s">
        <v>7570</v>
      </c>
      <c r="G1071" s="293" t="s">
        <v>5589</v>
      </c>
      <c r="H1071" s="294">
        <v>42947</v>
      </c>
      <c r="I1071" s="295">
        <v>-18420.830000000002</v>
      </c>
    </row>
    <row r="1072" spans="1:9" x14ac:dyDescent="0.2">
      <c r="A1072" s="293" t="s">
        <v>10309</v>
      </c>
      <c r="B1072" s="293" t="s">
        <v>5666</v>
      </c>
      <c r="C1072" s="293" t="s">
        <v>10158</v>
      </c>
      <c r="D1072" s="293" t="s">
        <v>5843</v>
      </c>
      <c r="E1072" s="293" t="s">
        <v>10159</v>
      </c>
      <c r="F1072" s="293" t="s">
        <v>7570</v>
      </c>
      <c r="G1072" s="293" t="s">
        <v>5754</v>
      </c>
      <c r="H1072" s="294">
        <v>42947</v>
      </c>
      <c r="I1072" s="295">
        <v>-834.2</v>
      </c>
    </row>
    <row r="1073" spans="1:9" x14ac:dyDescent="0.2">
      <c r="A1073" s="293" t="s">
        <v>10310</v>
      </c>
      <c r="B1073" s="293" t="s">
        <v>5666</v>
      </c>
      <c r="C1073" s="293" t="s">
        <v>10211</v>
      </c>
      <c r="D1073" s="293" t="s">
        <v>5843</v>
      </c>
      <c r="E1073" s="293" t="s">
        <v>10130</v>
      </c>
      <c r="F1073" s="293" t="s">
        <v>7570</v>
      </c>
      <c r="G1073" s="293" t="s">
        <v>5755</v>
      </c>
      <c r="H1073" s="294">
        <v>42947</v>
      </c>
      <c r="I1073" s="295">
        <v>11086</v>
      </c>
    </row>
    <row r="1074" spans="1:9" x14ac:dyDescent="0.2">
      <c r="A1074" s="293" t="s">
        <v>10311</v>
      </c>
      <c r="B1074" s="293" t="s">
        <v>5666</v>
      </c>
      <c r="C1074" s="293" t="s">
        <v>5816</v>
      </c>
      <c r="D1074" s="293" t="s">
        <v>5843</v>
      </c>
      <c r="E1074" s="293" t="s">
        <v>10130</v>
      </c>
      <c r="F1074" s="293" t="s">
        <v>7588</v>
      </c>
      <c r="G1074" s="293" t="s">
        <v>5591</v>
      </c>
      <c r="H1074" s="294">
        <v>42978</v>
      </c>
      <c r="I1074" s="295">
        <v>-65694.05</v>
      </c>
    </row>
    <row r="1075" spans="1:9" x14ac:dyDescent="0.2">
      <c r="A1075" s="293" t="s">
        <v>10312</v>
      </c>
      <c r="B1075" s="293" t="s">
        <v>5666</v>
      </c>
      <c r="C1075" s="293" t="s">
        <v>5812</v>
      </c>
      <c r="D1075" s="293" t="s">
        <v>5843</v>
      </c>
      <c r="E1075" s="293" t="s">
        <v>10130</v>
      </c>
      <c r="F1075" s="293" t="s">
        <v>7588</v>
      </c>
      <c r="G1075" s="293" t="s">
        <v>5589</v>
      </c>
      <c r="H1075" s="294">
        <v>42978</v>
      </c>
      <c r="I1075" s="295">
        <v>-18420.830000000002</v>
      </c>
    </row>
    <row r="1076" spans="1:9" x14ac:dyDescent="0.2">
      <c r="A1076" s="293" t="s">
        <v>10313</v>
      </c>
      <c r="B1076" s="293" t="s">
        <v>5666</v>
      </c>
      <c r="C1076" s="293" t="s">
        <v>10158</v>
      </c>
      <c r="D1076" s="293" t="s">
        <v>5843</v>
      </c>
      <c r="E1076" s="293" t="s">
        <v>10159</v>
      </c>
      <c r="F1076" s="293" t="s">
        <v>7588</v>
      </c>
      <c r="G1076" s="293" t="s">
        <v>5754</v>
      </c>
      <c r="H1076" s="294">
        <v>42978</v>
      </c>
      <c r="I1076" s="295">
        <v>-834.2</v>
      </c>
    </row>
    <row r="1077" spans="1:9" x14ac:dyDescent="0.2">
      <c r="A1077" s="293" t="s">
        <v>10314</v>
      </c>
      <c r="B1077" s="293" t="s">
        <v>5666</v>
      </c>
      <c r="C1077" s="293" t="s">
        <v>10211</v>
      </c>
      <c r="D1077" s="293" t="s">
        <v>5843</v>
      </c>
      <c r="E1077" s="293" t="s">
        <v>10130</v>
      </c>
      <c r="F1077" s="293" t="s">
        <v>7588</v>
      </c>
      <c r="G1077" s="293" t="s">
        <v>5755</v>
      </c>
      <c r="H1077" s="294">
        <v>42978</v>
      </c>
      <c r="I1077" s="295">
        <v>11086</v>
      </c>
    </row>
    <row r="1078" spans="1:9" x14ac:dyDescent="0.2">
      <c r="A1078" s="293" t="s">
        <v>10315</v>
      </c>
      <c r="B1078" s="293" t="s">
        <v>5666</v>
      </c>
      <c r="C1078" s="293" t="s">
        <v>5816</v>
      </c>
      <c r="D1078" s="293" t="s">
        <v>5843</v>
      </c>
      <c r="E1078" s="293" t="s">
        <v>10130</v>
      </c>
      <c r="F1078" s="293" t="s">
        <v>7609</v>
      </c>
      <c r="G1078" s="293" t="s">
        <v>5591</v>
      </c>
      <c r="H1078" s="294">
        <v>43008</v>
      </c>
      <c r="I1078" s="295">
        <v>-65694.05</v>
      </c>
    </row>
    <row r="1079" spans="1:9" x14ac:dyDescent="0.2">
      <c r="A1079" s="293" t="s">
        <v>10316</v>
      </c>
      <c r="B1079" s="293" t="s">
        <v>5666</v>
      </c>
      <c r="C1079" s="293" t="s">
        <v>5812</v>
      </c>
      <c r="D1079" s="293" t="s">
        <v>5843</v>
      </c>
      <c r="E1079" s="293" t="s">
        <v>10130</v>
      </c>
      <c r="F1079" s="293" t="s">
        <v>7609</v>
      </c>
      <c r="G1079" s="293" t="s">
        <v>5589</v>
      </c>
      <c r="H1079" s="294">
        <v>43008</v>
      </c>
      <c r="I1079" s="295">
        <v>-18420.830000000002</v>
      </c>
    </row>
    <row r="1080" spans="1:9" x14ac:dyDescent="0.2">
      <c r="A1080" s="293" t="s">
        <v>10317</v>
      </c>
      <c r="B1080" s="293" t="s">
        <v>5666</v>
      </c>
      <c r="C1080" s="293" t="s">
        <v>10158</v>
      </c>
      <c r="D1080" s="293" t="s">
        <v>5843</v>
      </c>
      <c r="E1080" s="293" t="s">
        <v>10159</v>
      </c>
      <c r="F1080" s="293" t="s">
        <v>7609</v>
      </c>
      <c r="G1080" s="293" t="s">
        <v>5754</v>
      </c>
      <c r="H1080" s="294">
        <v>43008</v>
      </c>
      <c r="I1080" s="295">
        <v>-834.2</v>
      </c>
    </row>
    <row r="1081" spans="1:9" x14ac:dyDescent="0.2">
      <c r="A1081" s="293" t="s">
        <v>10318</v>
      </c>
      <c r="B1081" s="293" t="s">
        <v>5666</v>
      </c>
      <c r="C1081" s="293" t="s">
        <v>10211</v>
      </c>
      <c r="D1081" s="293" t="s">
        <v>5843</v>
      </c>
      <c r="E1081" s="293" t="s">
        <v>10130</v>
      </c>
      <c r="F1081" s="293" t="s">
        <v>7609</v>
      </c>
      <c r="G1081" s="293" t="s">
        <v>5755</v>
      </c>
      <c r="H1081" s="294">
        <v>43008</v>
      </c>
      <c r="I1081" s="295">
        <v>11086</v>
      </c>
    </row>
    <row r="1082" spans="1:9" x14ac:dyDescent="0.2">
      <c r="A1082" s="293" t="s">
        <v>10319</v>
      </c>
      <c r="B1082" s="293" t="s">
        <v>5666</v>
      </c>
      <c r="C1082" s="293" t="s">
        <v>5816</v>
      </c>
      <c r="D1082" s="293" t="s">
        <v>5843</v>
      </c>
      <c r="E1082" s="293" t="s">
        <v>10130</v>
      </c>
      <c r="F1082" s="293" t="s">
        <v>7628</v>
      </c>
      <c r="G1082" s="293" t="s">
        <v>5591</v>
      </c>
      <c r="H1082" s="294">
        <v>43039</v>
      </c>
      <c r="I1082" s="295">
        <v>-65694.05</v>
      </c>
    </row>
    <row r="1083" spans="1:9" x14ac:dyDescent="0.2">
      <c r="A1083" s="293" t="s">
        <v>10320</v>
      </c>
      <c r="B1083" s="293" t="s">
        <v>5666</v>
      </c>
      <c r="C1083" s="293" t="s">
        <v>5812</v>
      </c>
      <c r="D1083" s="293" t="s">
        <v>5843</v>
      </c>
      <c r="E1083" s="293" t="s">
        <v>10130</v>
      </c>
      <c r="F1083" s="293" t="s">
        <v>7628</v>
      </c>
      <c r="G1083" s="293" t="s">
        <v>5589</v>
      </c>
      <c r="H1083" s="294">
        <v>43039</v>
      </c>
      <c r="I1083" s="295">
        <v>-18420.830000000002</v>
      </c>
    </row>
    <row r="1084" spans="1:9" x14ac:dyDescent="0.2">
      <c r="A1084" s="293" t="s">
        <v>10321</v>
      </c>
      <c r="B1084" s="293" t="s">
        <v>5666</v>
      </c>
      <c r="C1084" s="293" t="s">
        <v>10158</v>
      </c>
      <c r="D1084" s="293" t="s">
        <v>5843</v>
      </c>
      <c r="E1084" s="293" t="s">
        <v>10159</v>
      </c>
      <c r="F1084" s="293" t="s">
        <v>7628</v>
      </c>
      <c r="G1084" s="293" t="s">
        <v>5754</v>
      </c>
      <c r="H1084" s="294">
        <v>43039</v>
      </c>
      <c r="I1084" s="295">
        <v>-834.2</v>
      </c>
    </row>
    <row r="1085" spans="1:9" x14ac:dyDescent="0.2">
      <c r="A1085" s="293" t="s">
        <v>10322</v>
      </c>
      <c r="B1085" s="293" t="s">
        <v>5666</v>
      </c>
      <c r="C1085" s="293" t="s">
        <v>10211</v>
      </c>
      <c r="D1085" s="293" t="s">
        <v>5843</v>
      </c>
      <c r="E1085" s="293" t="s">
        <v>10130</v>
      </c>
      <c r="F1085" s="293" t="s">
        <v>7628</v>
      </c>
      <c r="G1085" s="293" t="s">
        <v>5755</v>
      </c>
      <c r="H1085" s="294">
        <v>43039</v>
      </c>
      <c r="I1085" s="295">
        <v>11086</v>
      </c>
    </row>
    <row r="1086" spans="1:9" x14ac:dyDescent="0.2">
      <c r="A1086" s="293" t="s">
        <v>10323</v>
      </c>
      <c r="B1086" s="293" t="s">
        <v>5666</v>
      </c>
      <c r="C1086" s="293" t="s">
        <v>5816</v>
      </c>
      <c r="D1086" s="293" t="s">
        <v>5843</v>
      </c>
      <c r="E1086" s="293" t="s">
        <v>10130</v>
      </c>
      <c r="F1086" s="293" t="s">
        <v>7646</v>
      </c>
      <c r="G1086" s="293" t="s">
        <v>5591</v>
      </c>
      <c r="H1086" s="294">
        <v>43069</v>
      </c>
      <c r="I1086" s="295">
        <v>-65694.05</v>
      </c>
    </row>
    <row r="1087" spans="1:9" x14ac:dyDescent="0.2">
      <c r="A1087" s="293" t="s">
        <v>10324</v>
      </c>
      <c r="B1087" s="293" t="s">
        <v>5666</v>
      </c>
      <c r="C1087" s="293" t="s">
        <v>5812</v>
      </c>
      <c r="D1087" s="293" t="s">
        <v>5843</v>
      </c>
      <c r="E1087" s="293" t="s">
        <v>10130</v>
      </c>
      <c r="F1087" s="293" t="s">
        <v>7646</v>
      </c>
      <c r="G1087" s="293" t="s">
        <v>5589</v>
      </c>
      <c r="H1087" s="294">
        <v>43069</v>
      </c>
      <c r="I1087" s="295">
        <v>-18420.830000000002</v>
      </c>
    </row>
    <row r="1088" spans="1:9" x14ac:dyDescent="0.2">
      <c r="A1088" s="293" t="s">
        <v>10325</v>
      </c>
      <c r="B1088" s="293" t="s">
        <v>5666</v>
      </c>
      <c r="C1088" s="293" t="s">
        <v>10158</v>
      </c>
      <c r="D1088" s="293" t="s">
        <v>5843</v>
      </c>
      <c r="E1088" s="293" t="s">
        <v>10159</v>
      </c>
      <c r="F1088" s="293" t="s">
        <v>7646</v>
      </c>
      <c r="G1088" s="293" t="s">
        <v>5754</v>
      </c>
      <c r="H1088" s="294">
        <v>43069</v>
      </c>
      <c r="I1088" s="295">
        <v>-834.2</v>
      </c>
    </row>
    <row r="1089" spans="1:9" x14ac:dyDescent="0.2">
      <c r="A1089" s="293" t="s">
        <v>10326</v>
      </c>
      <c r="B1089" s="293" t="s">
        <v>5666</v>
      </c>
      <c r="C1089" s="293" t="s">
        <v>10211</v>
      </c>
      <c r="D1089" s="293" t="s">
        <v>5843</v>
      </c>
      <c r="E1089" s="293" t="s">
        <v>10130</v>
      </c>
      <c r="F1089" s="293" t="s">
        <v>7646</v>
      </c>
      <c r="G1089" s="293" t="s">
        <v>5755</v>
      </c>
      <c r="H1089" s="294">
        <v>43069</v>
      </c>
      <c r="I1089" s="295">
        <v>11086</v>
      </c>
    </row>
    <row r="1090" spans="1:9" x14ac:dyDescent="0.2">
      <c r="A1090" s="293" t="s">
        <v>10327</v>
      </c>
      <c r="B1090" s="293" t="s">
        <v>5666</v>
      </c>
      <c r="C1090" s="293" t="s">
        <v>5816</v>
      </c>
      <c r="D1090" s="293" t="s">
        <v>5843</v>
      </c>
      <c r="E1090" s="293" t="s">
        <v>10130</v>
      </c>
      <c r="F1090" s="293" t="s">
        <v>7664</v>
      </c>
      <c r="G1090" s="293" t="s">
        <v>5591</v>
      </c>
      <c r="H1090" s="294">
        <v>43100</v>
      </c>
      <c r="I1090" s="295">
        <v>-65694.05</v>
      </c>
    </row>
    <row r="1091" spans="1:9" x14ac:dyDescent="0.2">
      <c r="A1091" s="293" t="s">
        <v>10328</v>
      </c>
      <c r="B1091" s="293" t="s">
        <v>5666</v>
      </c>
      <c r="C1091" s="293" t="s">
        <v>5812</v>
      </c>
      <c r="D1091" s="293" t="s">
        <v>5843</v>
      </c>
      <c r="E1091" s="293" t="s">
        <v>10130</v>
      </c>
      <c r="F1091" s="293" t="s">
        <v>7664</v>
      </c>
      <c r="G1091" s="293" t="s">
        <v>5589</v>
      </c>
      <c r="H1091" s="294">
        <v>43100</v>
      </c>
      <c r="I1091" s="295">
        <v>-18420.830000000002</v>
      </c>
    </row>
    <row r="1092" spans="1:9" x14ac:dyDescent="0.2">
      <c r="A1092" s="293" t="s">
        <v>10329</v>
      </c>
      <c r="B1092" s="293" t="s">
        <v>5666</v>
      </c>
      <c r="C1092" s="293" t="s">
        <v>10158</v>
      </c>
      <c r="D1092" s="293" t="s">
        <v>5843</v>
      </c>
      <c r="E1092" s="293" t="s">
        <v>10159</v>
      </c>
      <c r="F1092" s="293" t="s">
        <v>7664</v>
      </c>
      <c r="G1092" s="293" t="s">
        <v>5754</v>
      </c>
      <c r="H1092" s="294">
        <v>43100</v>
      </c>
      <c r="I1092" s="295">
        <v>-834.2</v>
      </c>
    </row>
    <row r="1093" spans="1:9" x14ac:dyDescent="0.2">
      <c r="A1093" s="293" t="s">
        <v>10330</v>
      </c>
      <c r="B1093" s="293" t="s">
        <v>5666</v>
      </c>
      <c r="C1093" s="293" t="s">
        <v>10211</v>
      </c>
      <c r="D1093" s="293" t="s">
        <v>5843</v>
      </c>
      <c r="E1093" s="293" t="s">
        <v>10130</v>
      </c>
      <c r="F1093" s="293" t="s">
        <v>7664</v>
      </c>
      <c r="G1093" s="293" t="s">
        <v>5755</v>
      </c>
      <c r="H1093" s="294">
        <v>43100</v>
      </c>
      <c r="I1093" s="295">
        <v>11086</v>
      </c>
    </row>
    <row r="1094" spans="1:9" x14ac:dyDescent="0.2">
      <c r="A1094" s="293" t="s">
        <v>10331</v>
      </c>
      <c r="B1094" s="293" t="s">
        <v>5666</v>
      </c>
      <c r="C1094" s="293" t="s">
        <v>5816</v>
      </c>
      <c r="D1094" s="293" t="s">
        <v>5843</v>
      </c>
      <c r="E1094" s="293" t="s">
        <v>10130</v>
      </c>
      <c r="F1094" s="293" t="s">
        <v>7682</v>
      </c>
      <c r="G1094" s="293" t="s">
        <v>5591</v>
      </c>
      <c r="H1094" s="294">
        <v>43131</v>
      </c>
      <c r="I1094" s="295">
        <v>-65694.05</v>
      </c>
    </row>
    <row r="1095" spans="1:9" x14ac:dyDescent="0.2">
      <c r="A1095" s="293" t="s">
        <v>10332</v>
      </c>
      <c r="B1095" s="293" t="s">
        <v>5666</v>
      </c>
      <c r="C1095" s="293" t="s">
        <v>5812</v>
      </c>
      <c r="D1095" s="293" t="s">
        <v>5843</v>
      </c>
      <c r="E1095" s="293" t="s">
        <v>10130</v>
      </c>
      <c r="F1095" s="293" t="s">
        <v>7682</v>
      </c>
      <c r="G1095" s="293" t="s">
        <v>5589</v>
      </c>
      <c r="H1095" s="294">
        <v>43131</v>
      </c>
      <c r="I1095" s="295">
        <v>-18420.830000000002</v>
      </c>
    </row>
    <row r="1096" spans="1:9" x14ac:dyDescent="0.2">
      <c r="A1096" s="293" t="s">
        <v>10333</v>
      </c>
      <c r="B1096" s="293" t="s">
        <v>5666</v>
      </c>
      <c r="C1096" s="293" t="s">
        <v>10158</v>
      </c>
      <c r="D1096" s="293" t="s">
        <v>5843</v>
      </c>
      <c r="E1096" s="293" t="s">
        <v>10159</v>
      </c>
      <c r="F1096" s="293" t="s">
        <v>7682</v>
      </c>
      <c r="G1096" s="293" t="s">
        <v>5754</v>
      </c>
      <c r="H1096" s="294">
        <v>43131</v>
      </c>
      <c r="I1096" s="295">
        <v>-834.2</v>
      </c>
    </row>
    <row r="1097" spans="1:9" x14ac:dyDescent="0.2">
      <c r="A1097" s="293" t="s">
        <v>10334</v>
      </c>
      <c r="B1097" s="293" t="s">
        <v>5666</v>
      </c>
      <c r="C1097" s="293" t="s">
        <v>10211</v>
      </c>
      <c r="D1097" s="293" t="s">
        <v>5843</v>
      </c>
      <c r="E1097" s="293" t="s">
        <v>10130</v>
      </c>
      <c r="F1097" s="293" t="s">
        <v>7682</v>
      </c>
      <c r="G1097" s="293" t="s">
        <v>5755</v>
      </c>
      <c r="H1097" s="294">
        <v>43131</v>
      </c>
      <c r="I1097" s="295">
        <v>11086</v>
      </c>
    </row>
    <row r="1098" spans="1:9" x14ac:dyDescent="0.2">
      <c r="A1098" s="293" t="s">
        <v>10335</v>
      </c>
      <c r="B1098" s="293" t="s">
        <v>5666</v>
      </c>
      <c r="C1098" s="293" t="s">
        <v>5816</v>
      </c>
      <c r="D1098" s="293" t="s">
        <v>5843</v>
      </c>
      <c r="E1098" s="293" t="s">
        <v>10130</v>
      </c>
      <c r="F1098" s="293" t="s">
        <v>7700</v>
      </c>
      <c r="G1098" s="293" t="s">
        <v>5591</v>
      </c>
      <c r="H1098" s="294">
        <v>43159</v>
      </c>
      <c r="I1098" s="295">
        <v>-65694.05</v>
      </c>
    </row>
    <row r="1099" spans="1:9" x14ac:dyDescent="0.2">
      <c r="A1099" s="293" t="s">
        <v>7996</v>
      </c>
      <c r="B1099" s="293" t="s">
        <v>5666</v>
      </c>
      <c r="C1099" s="293" t="s">
        <v>5812</v>
      </c>
      <c r="D1099" s="293" t="s">
        <v>5843</v>
      </c>
      <c r="E1099" s="293" t="s">
        <v>10130</v>
      </c>
      <c r="F1099" s="293" t="s">
        <v>7700</v>
      </c>
      <c r="G1099" s="293" t="s">
        <v>5589</v>
      </c>
      <c r="H1099" s="294">
        <v>43159</v>
      </c>
      <c r="I1099" s="295">
        <v>-18420.830000000002</v>
      </c>
    </row>
    <row r="1100" spans="1:9" x14ac:dyDescent="0.2">
      <c r="A1100" s="293" t="s">
        <v>7997</v>
      </c>
      <c r="B1100" s="293" t="s">
        <v>5666</v>
      </c>
      <c r="C1100" s="293" t="s">
        <v>10158</v>
      </c>
      <c r="D1100" s="293" t="s">
        <v>5843</v>
      </c>
      <c r="E1100" s="293" t="s">
        <v>10159</v>
      </c>
      <c r="F1100" s="293" t="s">
        <v>7700</v>
      </c>
      <c r="G1100" s="293" t="s">
        <v>5754</v>
      </c>
      <c r="H1100" s="294">
        <v>43159</v>
      </c>
      <c r="I1100" s="295">
        <v>-834.2</v>
      </c>
    </row>
    <row r="1101" spans="1:9" x14ac:dyDescent="0.2">
      <c r="A1101" s="293" t="s">
        <v>9737</v>
      </c>
      <c r="B1101" s="293" t="s">
        <v>5666</v>
      </c>
      <c r="C1101" s="293" t="s">
        <v>10211</v>
      </c>
      <c r="D1101" s="293" t="s">
        <v>5843</v>
      </c>
      <c r="E1101" s="293" t="s">
        <v>10130</v>
      </c>
      <c r="F1101" s="293" t="s">
        <v>7700</v>
      </c>
      <c r="G1101" s="293" t="s">
        <v>5755</v>
      </c>
      <c r="H1101" s="294">
        <v>43159</v>
      </c>
      <c r="I1101" s="295">
        <v>11086</v>
      </c>
    </row>
    <row r="1102" spans="1:9" x14ac:dyDescent="0.2">
      <c r="A1102" s="293" t="s">
        <v>10336</v>
      </c>
      <c r="B1102" s="293" t="s">
        <v>5666</v>
      </c>
      <c r="C1102" s="293" t="s">
        <v>5816</v>
      </c>
      <c r="D1102" s="293" t="s">
        <v>5843</v>
      </c>
      <c r="E1102" s="293" t="s">
        <v>10130</v>
      </c>
      <c r="F1102" s="293" t="s">
        <v>7718</v>
      </c>
      <c r="G1102" s="293" t="s">
        <v>5591</v>
      </c>
      <c r="H1102" s="294">
        <v>43190</v>
      </c>
      <c r="I1102" s="295">
        <v>-65694.05</v>
      </c>
    </row>
    <row r="1103" spans="1:9" x14ac:dyDescent="0.2">
      <c r="A1103" s="293" t="s">
        <v>10337</v>
      </c>
      <c r="B1103" s="293" t="s">
        <v>5666</v>
      </c>
      <c r="C1103" s="293" t="s">
        <v>5812</v>
      </c>
      <c r="D1103" s="293" t="s">
        <v>5843</v>
      </c>
      <c r="E1103" s="293" t="s">
        <v>10130</v>
      </c>
      <c r="F1103" s="293" t="s">
        <v>7718</v>
      </c>
      <c r="G1103" s="293" t="s">
        <v>5589</v>
      </c>
      <c r="H1103" s="294">
        <v>43190</v>
      </c>
      <c r="I1103" s="295">
        <v>-18420.830000000002</v>
      </c>
    </row>
    <row r="1104" spans="1:9" x14ac:dyDescent="0.2">
      <c r="A1104" s="293" t="s">
        <v>10338</v>
      </c>
      <c r="B1104" s="293" t="s">
        <v>5666</v>
      </c>
      <c r="C1104" s="293" t="s">
        <v>10158</v>
      </c>
      <c r="D1104" s="293" t="s">
        <v>5843</v>
      </c>
      <c r="E1104" s="293" t="s">
        <v>10159</v>
      </c>
      <c r="F1104" s="293" t="s">
        <v>7718</v>
      </c>
      <c r="G1104" s="293" t="s">
        <v>5754</v>
      </c>
      <c r="H1104" s="294">
        <v>43190</v>
      </c>
      <c r="I1104" s="295">
        <v>-834.2</v>
      </c>
    </row>
    <row r="1105" spans="1:9" x14ac:dyDescent="0.2">
      <c r="A1105" s="293" t="s">
        <v>10339</v>
      </c>
      <c r="B1105" s="293" t="s">
        <v>5666</v>
      </c>
      <c r="C1105" s="293" t="s">
        <v>10211</v>
      </c>
      <c r="D1105" s="293" t="s">
        <v>5843</v>
      </c>
      <c r="E1105" s="293" t="s">
        <v>10130</v>
      </c>
      <c r="F1105" s="293" t="s">
        <v>7718</v>
      </c>
      <c r="G1105" s="293" t="s">
        <v>5755</v>
      </c>
      <c r="H1105" s="294">
        <v>43190</v>
      </c>
      <c r="I1105" s="295">
        <v>11086</v>
      </c>
    </row>
    <row r="1106" spans="1:9" x14ac:dyDescent="0.2">
      <c r="A1106" s="293" t="s">
        <v>10340</v>
      </c>
      <c r="B1106" s="293" t="s">
        <v>5666</v>
      </c>
      <c r="C1106" s="293" t="s">
        <v>5816</v>
      </c>
      <c r="D1106" s="293" t="s">
        <v>5843</v>
      </c>
      <c r="E1106" s="293" t="s">
        <v>10130</v>
      </c>
      <c r="F1106" s="293" t="s">
        <v>7741</v>
      </c>
      <c r="G1106" s="293" t="s">
        <v>5591</v>
      </c>
      <c r="H1106" s="294">
        <v>43220</v>
      </c>
      <c r="I1106" s="295">
        <v>-65694.05</v>
      </c>
    </row>
    <row r="1107" spans="1:9" x14ac:dyDescent="0.2">
      <c r="A1107" s="293" t="s">
        <v>10341</v>
      </c>
      <c r="B1107" s="293" t="s">
        <v>5666</v>
      </c>
      <c r="C1107" s="293" t="s">
        <v>5812</v>
      </c>
      <c r="D1107" s="293" t="s">
        <v>5843</v>
      </c>
      <c r="E1107" s="293" t="s">
        <v>10130</v>
      </c>
      <c r="F1107" s="293" t="s">
        <v>7741</v>
      </c>
      <c r="G1107" s="293" t="s">
        <v>5589</v>
      </c>
      <c r="H1107" s="294">
        <v>43220</v>
      </c>
      <c r="I1107" s="295">
        <v>-18420.830000000002</v>
      </c>
    </row>
    <row r="1108" spans="1:9" x14ac:dyDescent="0.2">
      <c r="A1108" s="293" t="s">
        <v>10342</v>
      </c>
      <c r="B1108" s="293" t="s">
        <v>5666</v>
      </c>
      <c r="C1108" s="293" t="s">
        <v>10158</v>
      </c>
      <c r="D1108" s="293" t="s">
        <v>5843</v>
      </c>
      <c r="E1108" s="293" t="s">
        <v>10159</v>
      </c>
      <c r="F1108" s="293" t="s">
        <v>7741</v>
      </c>
      <c r="G1108" s="293" t="s">
        <v>5754</v>
      </c>
      <c r="H1108" s="294">
        <v>43220</v>
      </c>
      <c r="I1108" s="295">
        <v>-834.2</v>
      </c>
    </row>
    <row r="1109" spans="1:9" x14ac:dyDescent="0.2">
      <c r="A1109" s="293" t="s">
        <v>10343</v>
      </c>
      <c r="B1109" s="293" t="s">
        <v>5666</v>
      </c>
      <c r="C1109" s="293" t="s">
        <v>10211</v>
      </c>
      <c r="D1109" s="293" t="s">
        <v>5843</v>
      </c>
      <c r="E1109" s="293" t="s">
        <v>10130</v>
      </c>
      <c r="F1109" s="293" t="s">
        <v>7741</v>
      </c>
      <c r="G1109" s="293" t="s">
        <v>5755</v>
      </c>
      <c r="H1109" s="294">
        <v>43220</v>
      </c>
      <c r="I1109" s="295">
        <v>11086</v>
      </c>
    </row>
    <row r="1110" spans="1:9" x14ac:dyDescent="0.2">
      <c r="A1110" s="293" t="s">
        <v>10344</v>
      </c>
      <c r="B1110" s="293" t="s">
        <v>5666</v>
      </c>
      <c r="C1110" s="293" t="s">
        <v>5812</v>
      </c>
      <c r="D1110" s="293" t="s">
        <v>5843</v>
      </c>
      <c r="E1110" s="293" t="s">
        <v>10130</v>
      </c>
      <c r="F1110" s="293" t="s">
        <v>7755</v>
      </c>
      <c r="G1110" s="293" t="s">
        <v>5589</v>
      </c>
      <c r="H1110" s="294">
        <v>43251</v>
      </c>
      <c r="I1110" s="295">
        <v>-18420.830000000002</v>
      </c>
    </row>
    <row r="1111" spans="1:9" x14ac:dyDescent="0.2">
      <c r="A1111" s="293" t="s">
        <v>10345</v>
      </c>
      <c r="B1111" s="293" t="s">
        <v>5666</v>
      </c>
      <c r="C1111" s="293" t="s">
        <v>5816</v>
      </c>
      <c r="D1111" s="293" t="s">
        <v>5843</v>
      </c>
      <c r="E1111" s="293" t="s">
        <v>10130</v>
      </c>
      <c r="F1111" s="293" t="s">
        <v>7755</v>
      </c>
      <c r="G1111" s="293" t="s">
        <v>5591</v>
      </c>
      <c r="H1111" s="294">
        <v>43251</v>
      </c>
      <c r="I1111" s="295">
        <v>-32847.39</v>
      </c>
    </row>
    <row r="1112" spans="1:9" x14ac:dyDescent="0.2">
      <c r="A1112" s="293" t="s">
        <v>10346</v>
      </c>
      <c r="B1112" s="293" t="s">
        <v>5666</v>
      </c>
      <c r="C1112" s="293" t="s">
        <v>10158</v>
      </c>
      <c r="D1112" s="293" t="s">
        <v>5843</v>
      </c>
      <c r="E1112" s="293" t="s">
        <v>10159</v>
      </c>
      <c r="F1112" s="293" t="s">
        <v>7755</v>
      </c>
      <c r="G1112" s="293" t="s">
        <v>5754</v>
      </c>
      <c r="H1112" s="294">
        <v>43251</v>
      </c>
      <c r="I1112" s="295">
        <v>-834.2</v>
      </c>
    </row>
    <row r="1113" spans="1:9" x14ac:dyDescent="0.2">
      <c r="A1113" s="293" t="s">
        <v>10347</v>
      </c>
      <c r="B1113" s="293" t="s">
        <v>5666</v>
      </c>
      <c r="C1113" s="293" t="s">
        <v>10211</v>
      </c>
      <c r="D1113" s="293" t="s">
        <v>5843</v>
      </c>
      <c r="E1113" s="293" t="s">
        <v>10130</v>
      </c>
      <c r="F1113" s="293" t="s">
        <v>7755</v>
      </c>
      <c r="G1113" s="293" t="s">
        <v>5755</v>
      </c>
      <c r="H1113" s="294">
        <v>43251</v>
      </c>
      <c r="I1113" s="295">
        <v>11086</v>
      </c>
    </row>
    <row r="1114" spans="1:9" x14ac:dyDescent="0.2">
      <c r="A1114" s="293" t="s">
        <v>10348</v>
      </c>
      <c r="B1114" s="293" t="s">
        <v>5666</v>
      </c>
      <c r="C1114" s="293" t="s">
        <v>5812</v>
      </c>
      <c r="D1114" s="293" t="s">
        <v>5843</v>
      </c>
      <c r="E1114" s="293" t="s">
        <v>10130</v>
      </c>
      <c r="F1114" s="293" t="s">
        <v>7802</v>
      </c>
      <c r="G1114" s="293" t="s">
        <v>5589</v>
      </c>
      <c r="H1114" s="294">
        <v>43281</v>
      </c>
      <c r="I1114" s="295">
        <v>-18420.830000000002</v>
      </c>
    </row>
    <row r="1115" spans="1:9" x14ac:dyDescent="0.2">
      <c r="A1115" s="293" t="s">
        <v>10349</v>
      </c>
      <c r="B1115" s="293" t="s">
        <v>5666</v>
      </c>
      <c r="C1115" s="293" t="s">
        <v>10158</v>
      </c>
      <c r="D1115" s="293" t="s">
        <v>5843</v>
      </c>
      <c r="E1115" s="293" t="s">
        <v>10159</v>
      </c>
      <c r="F1115" s="293" t="s">
        <v>7802</v>
      </c>
      <c r="G1115" s="293" t="s">
        <v>5754</v>
      </c>
      <c r="H1115" s="294">
        <v>43281</v>
      </c>
      <c r="I1115" s="295">
        <v>-834.2</v>
      </c>
    </row>
    <row r="1116" spans="1:9" x14ac:dyDescent="0.2">
      <c r="A1116" s="293" t="s">
        <v>10350</v>
      </c>
      <c r="B1116" s="293" t="s">
        <v>5666</v>
      </c>
      <c r="C1116" s="293" t="s">
        <v>10211</v>
      </c>
      <c r="D1116" s="293" t="s">
        <v>5843</v>
      </c>
      <c r="E1116" s="293" t="s">
        <v>10130</v>
      </c>
      <c r="F1116" s="293" t="s">
        <v>7802</v>
      </c>
      <c r="G1116" s="293" t="s">
        <v>5755</v>
      </c>
      <c r="H1116" s="294">
        <v>43281</v>
      </c>
      <c r="I1116" s="295">
        <v>11086</v>
      </c>
    </row>
    <row r="1117" spans="1:9" x14ac:dyDescent="0.2">
      <c r="A1117" s="293" t="s">
        <v>10351</v>
      </c>
      <c r="B1117" s="293" t="s">
        <v>5666</v>
      </c>
      <c r="C1117" s="293" t="s">
        <v>5812</v>
      </c>
      <c r="D1117" s="293" t="s">
        <v>5843</v>
      </c>
      <c r="E1117" s="293" t="s">
        <v>10130</v>
      </c>
      <c r="F1117" s="293" t="s">
        <v>7826</v>
      </c>
      <c r="G1117" s="293" t="s">
        <v>5589</v>
      </c>
      <c r="H1117" s="294">
        <v>43312</v>
      </c>
      <c r="I1117" s="295">
        <v>-18420.830000000002</v>
      </c>
    </row>
    <row r="1118" spans="1:9" x14ac:dyDescent="0.2">
      <c r="A1118" s="293" t="s">
        <v>10352</v>
      </c>
      <c r="B1118" s="293" t="s">
        <v>5666</v>
      </c>
      <c r="C1118" s="293" t="s">
        <v>10158</v>
      </c>
      <c r="D1118" s="293" t="s">
        <v>5843</v>
      </c>
      <c r="E1118" s="293" t="s">
        <v>10159</v>
      </c>
      <c r="F1118" s="293" t="s">
        <v>7826</v>
      </c>
      <c r="G1118" s="293" t="s">
        <v>5754</v>
      </c>
      <c r="H1118" s="294">
        <v>43312</v>
      </c>
      <c r="I1118" s="295">
        <v>-834.2</v>
      </c>
    </row>
    <row r="1119" spans="1:9" x14ac:dyDescent="0.2">
      <c r="A1119" s="293" t="s">
        <v>10353</v>
      </c>
      <c r="B1119" s="293" t="s">
        <v>5666</v>
      </c>
      <c r="C1119" s="293" t="s">
        <v>10211</v>
      </c>
      <c r="D1119" s="293" t="s">
        <v>5843</v>
      </c>
      <c r="E1119" s="293" t="s">
        <v>10130</v>
      </c>
      <c r="F1119" s="293" t="s">
        <v>7826</v>
      </c>
      <c r="G1119" s="293" t="s">
        <v>5755</v>
      </c>
      <c r="H1119" s="294">
        <v>43312</v>
      </c>
      <c r="I1119" s="295">
        <v>11086</v>
      </c>
    </row>
    <row r="1120" spans="1:9" x14ac:dyDescent="0.2">
      <c r="A1120" s="293" t="s">
        <v>10354</v>
      </c>
      <c r="B1120" s="293" t="s">
        <v>5666</v>
      </c>
      <c r="C1120" s="293" t="s">
        <v>5812</v>
      </c>
      <c r="D1120" s="293" t="s">
        <v>5843</v>
      </c>
      <c r="E1120" s="293" t="s">
        <v>10130</v>
      </c>
      <c r="F1120" s="293" t="s">
        <v>7849</v>
      </c>
      <c r="G1120" s="293" t="s">
        <v>5589</v>
      </c>
      <c r="H1120" s="294">
        <v>43343</v>
      </c>
      <c r="I1120" s="295">
        <v>-18420.830000000002</v>
      </c>
    </row>
    <row r="1121" spans="1:9" x14ac:dyDescent="0.2">
      <c r="A1121" s="293" t="s">
        <v>10355</v>
      </c>
      <c r="B1121" s="293" t="s">
        <v>5666</v>
      </c>
      <c r="C1121" s="293" t="s">
        <v>10158</v>
      </c>
      <c r="D1121" s="293" t="s">
        <v>5843</v>
      </c>
      <c r="E1121" s="293" t="s">
        <v>10159</v>
      </c>
      <c r="F1121" s="293" t="s">
        <v>7849</v>
      </c>
      <c r="G1121" s="293" t="s">
        <v>5754</v>
      </c>
      <c r="H1121" s="294">
        <v>43343</v>
      </c>
      <c r="I1121" s="295">
        <v>-834.2</v>
      </c>
    </row>
    <row r="1122" spans="1:9" x14ac:dyDescent="0.2">
      <c r="A1122" s="293" t="s">
        <v>10356</v>
      </c>
      <c r="B1122" s="293" t="s">
        <v>5666</v>
      </c>
      <c r="C1122" s="293" t="s">
        <v>10211</v>
      </c>
      <c r="D1122" s="293" t="s">
        <v>5843</v>
      </c>
      <c r="E1122" s="293" t="s">
        <v>10130</v>
      </c>
      <c r="F1122" s="293" t="s">
        <v>7849</v>
      </c>
      <c r="G1122" s="293" t="s">
        <v>5755</v>
      </c>
      <c r="H1122" s="294">
        <v>43343</v>
      </c>
      <c r="I1122" s="295">
        <v>11086</v>
      </c>
    </row>
    <row r="1123" spans="1:9" x14ac:dyDescent="0.2">
      <c r="A1123" s="293" t="s">
        <v>10357</v>
      </c>
      <c r="B1123" s="293" t="s">
        <v>5666</v>
      </c>
      <c r="C1123" s="293" t="s">
        <v>5812</v>
      </c>
      <c r="D1123" s="293" t="s">
        <v>5843</v>
      </c>
      <c r="E1123" s="293" t="s">
        <v>10130</v>
      </c>
      <c r="F1123" s="293" t="s">
        <v>7869</v>
      </c>
      <c r="G1123" s="293" t="s">
        <v>5589</v>
      </c>
      <c r="H1123" s="294">
        <v>43373</v>
      </c>
      <c r="I1123" s="295">
        <v>-18420.830000000002</v>
      </c>
    </row>
    <row r="1124" spans="1:9" x14ac:dyDescent="0.2">
      <c r="A1124" s="293" t="s">
        <v>10358</v>
      </c>
      <c r="B1124" s="293" t="s">
        <v>5666</v>
      </c>
      <c r="C1124" s="293" t="s">
        <v>10158</v>
      </c>
      <c r="D1124" s="293" t="s">
        <v>5843</v>
      </c>
      <c r="E1124" s="293" t="s">
        <v>10159</v>
      </c>
      <c r="F1124" s="293" t="s">
        <v>7869</v>
      </c>
      <c r="G1124" s="293" t="s">
        <v>5754</v>
      </c>
      <c r="H1124" s="294">
        <v>43373</v>
      </c>
      <c r="I1124" s="295">
        <v>-834.2</v>
      </c>
    </row>
    <row r="1125" spans="1:9" x14ac:dyDescent="0.2">
      <c r="A1125" s="293" t="s">
        <v>10359</v>
      </c>
      <c r="B1125" s="293" t="s">
        <v>5666</v>
      </c>
      <c r="C1125" s="293" t="s">
        <v>10211</v>
      </c>
      <c r="D1125" s="293" t="s">
        <v>5843</v>
      </c>
      <c r="E1125" s="293" t="s">
        <v>10130</v>
      </c>
      <c r="F1125" s="293" t="s">
        <v>7869</v>
      </c>
      <c r="G1125" s="293" t="s">
        <v>5755</v>
      </c>
      <c r="H1125" s="294">
        <v>43373</v>
      </c>
      <c r="I1125" s="295">
        <v>11086</v>
      </c>
    </row>
    <row r="1126" spans="1:9" x14ac:dyDescent="0.2">
      <c r="A1126" s="293" t="s">
        <v>10360</v>
      </c>
      <c r="B1126" s="293" t="s">
        <v>5666</v>
      </c>
      <c r="C1126" s="293" t="s">
        <v>5812</v>
      </c>
      <c r="D1126" s="293" t="s">
        <v>5843</v>
      </c>
      <c r="E1126" s="293" t="s">
        <v>10130</v>
      </c>
      <c r="F1126" s="293" t="s">
        <v>7907</v>
      </c>
      <c r="G1126" s="293" t="s">
        <v>5589</v>
      </c>
      <c r="H1126" s="294">
        <v>43404</v>
      </c>
      <c r="I1126" s="295">
        <v>-18420.830000000002</v>
      </c>
    </row>
    <row r="1127" spans="1:9" x14ac:dyDescent="0.2">
      <c r="A1127" s="293" t="s">
        <v>10361</v>
      </c>
      <c r="B1127" s="293" t="s">
        <v>5666</v>
      </c>
      <c r="C1127" s="293" t="s">
        <v>10158</v>
      </c>
      <c r="D1127" s="293" t="s">
        <v>5843</v>
      </c>
      <c r="E1127" s="293" t="s">
        <v>10159</v>
      </c>
      <c r="F1127" s="293" t="s">
        <v>7907</v>
      </c>
      <c r="G1127" s="293" t="s">
        <v>5754</v>
      </c>
      <c r="H1127" s="294">
        <v>43404</v>
      </c>
      <c r="I1127" s="295">
        <v>-834.2</v>
      </c>
    </row>
    <row r="1128" spans="1:9" x14ac:dyDescent="0.2">
      <c r="A1128" s="293" t="s">
        <v>10362</v>
      </c>
      <c r="B1128" s="293" t="s">
        <v>5666</v>
      </c>
      <c r="C1128" s="293" t="s">
        <v>10211</v>
      </c>
      <c r="D1128" s="293" t="s">
        <v>5843</v>
      </c>
      <c r="E1128" s="293" t="s">
        <v>10130</v>
      </c>
      <c r="F1128" s="293" t="s">
        <v>7907</v>
      </c>
      <c r="G1128" s="293" t="s">
        <v>5755</v>
      </c>
      <c r="H1128" s="294">
        <v>43404</v>
      </c>
      <c r="I1128" s="295">
        <v>11086</v>
      </c>
    </row>
    <row r="1129" spans="1:9" x14ac:dyDescent="0.2">
      <c r="A1129" s="293" t="s">
        <v>10363</v>
      </c>
      <c r="B1129" s="293" t="s">
        <v>5666</v>
      </c>
      <c r="C1129" s="293" t="s">
        <v>5812</v>
      </c>
      <c r="D1129" s="293" t="s">
        <v>5843</v>
      </c>
      <c r="E1129" s="293" t="s">
        <v>10130</v>
      </c>
      <c r="F1129" s="293" t="s">
        <v>7930</v>
      </c>
      <c r="G1129" s="293" t="s">
        <v>5589</v>
      </c>
      <c r="H1129" s="294">
        <v>43434</v>
      </c>
      <c r="I1129" s="295">
        <v>-18420.830000000002</v>
      </c>
    </row>
    <row r="1130" spans="1:9" x14ac:dyDescent="0.2">
      <c r="A1130" s="293" t="s">
        <v>10364</v>
      </c>
      <c r="B1130" s="293" t="s">
        <v>5666</v>
      </c>
      <c r="C1130" s="293" t="s">
        <v>10158</v>
      </c>
      <c r="D1130" s="293" t="s">
        <v>5843</v>
      </c>
      <c r="E1130" s="293" t="s">
        <v>10159</v>
      </c>
      <c r="F1130" s="293" t="s">
        <v>7930</v>
      </c>
      <c r="G1130" s="293" t="s">
        <v>5754</v>
      </c>
      <c r="H1130" s="294">
        <v>43434</v>
      </c>
      <c r="I1130" s="295">
        <v>-834.2</v>
      </c>
    </row>
    <row r="1131" spans="1:9" x14ac:dyDescent="0.2">
      <c r="A1131" s="293" t="s">
        <v>10365</v>
      </c>
      <c r="B1131" s="293" t="s">
        <v>5666</v>
      </c>
      <c r="C1131" s="293" t="s">
        <v>10211</v>
      </c>
      <c r="D1131" s="293" t="s">
        <v>5843</v>
      </c>
      <c r="E1131" s="293" t="s">
        <v>10130</v>
      </c>
      <c r="F1131" s="293" t="s">
        <v>7930</v>
      </c>
      <c r="G1131" s="293" t="s">
        <v>5755</v>
      </c>
      <c r="H1131" s="294">
        <v>43434</v>
      </c>
      <c r="I1131" s="295">
        <v>11086</v>
      </c>
    </row>
    <row r="1132" spans="1:9" x14ac:dyDescent="0.2">
      <c r="A1132" s="293" t="s">
        <v>10366</v>
      </c>
      <c r="B1132" s="293" t="s">
        <v>5666</v>
      </c>
      <c r="C1132" s="293" t="s">
        <v>5812</v>
      </c>
      <c r="D1132" s="293" t="s">
        <v>5843</v>
      </c>
      <c r="E1132" s="293" t="s">
        <v>10130</v>
      </c>
      <c r="F1132" s="293" t="s">
        <v>7946</v>
      </c>
      <c r="G1132" s="293" t="s">
        <v>5589</v>
      </c>
      <c r="H1132" s="294">
        <v>43465</v>
      </c>
      <c r="I1132" s="295">
        <v>-18420.830000000002</v>
      </c>
    </row>
    <row r="1133" spans="1:9" x14ac:dyDescent="0.2">
      <c r="A1133" s="293" t="s">
        <v>10367</v>
      </c>
      <c r="B1133" s="293" t="s">
        <v>5666</v>
      </c>
      <c r="C1133" s="293" t="s">
        <v>10158</v>
      </c>
      <c r="D1133" s="293" t="s">
        <v>5843</v>
      </c>
      <c r="E1133" s="293" t="s">
        <v>10159</v>
      </c>
      <c r="F1133" s="293" t="s">
        <v>7946</v>
      </c>
      <c r="G1133" s="293" t="s">
        <v>5754</v>
      </c>
      <c r="H1133" s="294">
        <v>43465</v>
      </c>
      <c r="I1133" s="295">
        <v>-834.2</v>
      </c>
    </row>
    <row r="1134" spans="1:9" x14ac:dyDescent="0.2">
      <c r="A1134" s="293" t="s">
        <v>10368</v>
      </c>
      <c r="B1134" s="293" t="s">
        <v>5666</v>
      </c>
      <c r="C1134" s="293" t="s">
        <v>10211</v>
      </c>
      <c r="D1134" s="293" t="s">
        <v>5843</v>
      </c>
      <c r="E1134" s="293" t="s">
        <v>10130</v>
      </c>
      <c r="F1134" s="293" t="s">
        <v>7946</v>
      </c>
      <c r="G1134" s="293" t="s">
        <v>5755</v>
      </c>
      <c r="H1134" s="294">
        <v>43465</v>
      </c>
      <c r="I1134" s="295">
        <v>11086</v>
      </c>
    </row>
    <row r="1135" spans="1:9" x14ac:dyDescent="0.2">
      <c r="A1135" s="293" t="s">
        <v>10369</v>
      </c>
      <c r="B1135" s="293" t="s">
        <v>5666</v>
      </c>
      <c r="C1135" s="293" t="s">
        <v>5812</v>
      </c>
      <c r="D1135" s="293" t="s">
        <v>5843</v>
      </c>
      <c r="E1135" s="293" t="s">
        <v>10130</v>
      </c>
      <c r="F1135" s="293" t="s">
        <v>7966</v>
      </c>
      <c r="G1135" s="293" t="s">
        <v>5589</v>
      </c>
      <c r="H1135" s="294">
        <v>43496</v>
      </c>
      <c r="I1135" s="295">
        <v>-18420.830000000002</v>
      </c>
    </row>
    <row r="1136" spans="1:9" x14ac:dyDescent="0.2">
      <c r="A1136" s="293" t="s">
        <v>10370</v>
      </c>
      <c r="B1136" s="293" t="s">
        <v>5666</v>
      </c>
      <c r="C1136" s="293" t="s">
        <v>10158</v>
      </c>
      <c r="D1136" s="293" t="s">
        <v>5843</v>
      </c>
      <c r="E1136" s="293" t="s">
        <v>10159</v>
      </c>
      <c r="F1136" s="293" t="s">
        <v>7966</v>
      </c>
      <c r="G1136" s="293" t="s">
        <v>5754</v>
      </c>
      <c r="H1136" s="294">
        <v>43496</v>
      </c>
      <c r="I1136" s="295">
        <v>-834.2</v>
      </c>
    </row>
    <row r="1137" spans="1:9" x14ac:dyDescent="0.2">
      <c r="A1137" s="293" t="s">
        <v>10371</v>
      </c>
      <c r="B1137" s="293" t="s">
        <v>5666</v>
      </c>
      <c r="C1137" s="293" t="s">
        <v>10211</v>
      </c>
      <c r="D1137" s="293" t="s">
        <v>5843</v>
      </c>
      <c r="E1137" s="293" t="s">
        <v>10130</v>
      </c>
      <c r="F1137" s="293" t="s">
        <v>7966</v>
      </c>
      <c r="G1137" s="293" t="s">
        <v>5755</v>
      </c>
      <c r="H1137" s="294">
        <v>43496</v>
      </c>
      <c r="I1137" s="295">
        <v>11086</v>
      </c>
    </row>
    <row r="1138" spans="1:9" x14ac:dyDescent="0.2">
      <c r="A1138" s="293" t="s">
        <v>10372</v>
      </c>
      <c r="B1138" s="293" t="s">
        <v>5666</v>
      </c>
      <c r="C1138" s="293" t="s">
        <v>5812</v>
      </c>
      <c r="D1138" s="293" t="s">
        <v>5843</v>
      </c>
      <c r="E1138" s="293" t="s">
        <v>10130</v>
      </c>
      <c r="F1138" s="293" t="s">
        <v>7987</v>
      </c>
      <c r="G1138" s="293" t="s">
        <v>5589</v>
      </c>
      <c r="H1138" s="294">
        <v>43524</v>
      </c>
      <c r="I1138" s="295">
        <v>-18420.830000000002</v>
      </c>
    </row>
    <row r="1139" spans="1:9" x14ac:dyDescent="0.2">
      <c r="A1139" s="293" t="s">
        <v>10373</v>
      </c>
      <c r="B1139" s="293" t="s">
        <v>5666</v>
      </c>
      <c r="C1139" s="293" t="s">
        <v>10158</v>
      </c>
      <c r="D1139" s="293" t="s">
        <v>5843</v>
      </c>
      <c r="E1139" s="293" t="s">
        <v>10159</v>
      </c>
      <c r="F1139" s="293" t="s">
        <v>7987</v>
      </c>
      <c r="G1139" s="293" t="s">
        <v>5754</v>
      </c>
      <c r="H1139" s="294">
        <v>43524</v>
      </c>
      <c r="I1139" s="295">
        <v>-834.2</v>
      </c>
    </row>
    <row r="1140" spans="1:9" x14ac:dyDescent="0.2">
      <c r="A1140" s="293" t="s">
        <v>10374</v>
      </c>
      <c r="B1140" s="293" t="s">
        <v>5666</v>
      </c>
      <c r="C1140" s="293" t="s">
        <v>10211</v>
      </c>
      <c r="D1140" s="293" t="s">
        <v>5843</v>
      </c>
      <c r="E1140" s="293" t="s">
        <v>10130</v>
      </c>
      <c r="F1140" s="293" t="s">
        <v>7987</v>
      </c>
      <c r="G1140" s="293" t="s">
        <v>5755</v>
      </c>
      <c r="H1140" s="294">
        <v>43524</v>
      </c>
      <c r="I1140" s="295">
        <v>11086</v>
      </c>
    </row>
    <row r="1141" spans="1:9" x14ac:dyDescent="0.2">
      <c r="A1141" s="293" t="s">
        <v>9539</v>
      </c>
      <c r="B1141" s="293" t="s">
        <v>5666</v>
      </c>
      <c r="C1141" s="293" t="s">
        <v>5812</v>
      </c>
      <c r="D1141" s="293" t="s">
        <v>5843</v>
      </c>
      <c r="E1141" s="293" t="s">
        <v>10130</v>
      </c>
      <c r="F1141" s="293" t="s">
        <v>8007</v>
      </c>
      <c r="G1141" s="293" t="s">
        <v>5589</v>
      </c>
      <c r="H1141" s="294">
        <v>43555</v>
      </c>
      <c r="I1141" s="295">
        <v>-18420.830000000002</v>
      </c>
    </row>
    <row r="1142" spans="1:9" x14ac:dyDescent="0.2">
      <c r="A1142" s="293" t="s">
        <v>9540</v>
      </c>
      <c r="B1142" s="293" t="s">
        <v>5666</v>
      </c>
      <c r="C1142" s="293" t="s">
        <v>10158</v>
      </c>
      <c r="D1142" s="293" t="s">
        <v>5843</v>
      </c>
      <c r="E1142" s="293" t="s">
        <v>10159</v>
      </c>
      <c r="F1142" s="293" t="s">
        <v>8007</v>
      </c>
      <c r="G1142" s="293" t="s">
        <v>5754</v>
      </c>
      <c r="H1142" s="294">
        <v>43555</v>
      </c>
      <c r="I1142" s="295">
        <v>-834.2</v>
      </c>
    </row>
    <row r="1143" spans="1:9" x14ac:dyDescent="0.2">
      <c r="A1143" s="293" t="s">
        <v>7733</v>
      </c>
      <c r="B1143" s="293" t="s">
        <v>5666</v>
      </c>
      <c r="C1143" s="293" t="s">
        <v>10211</v>
      </c>
      <c r="D1143" s="293" t="s">
        <v>5843</v>
      </c>
      <c r="E1143" s="293" t="s">
        <v>10130</v>
      </c>
      <c r="F1143" s="293" t="s">
        <v>8007</v>
      </c>
      <c r="G1143" s="293" t="s">
        <v>5755</v>
      </c>
      <c r="H1143" s="294">
        <v>43555</v>
      </c>
      <c r="I1143" s="295">
        <v>11086</v>
      </c>
    </row>
    <row r="1144" spans="1:9" x14ac:dyDescent="0.2">
      <c r="A1144" s="293" t="s">
        <v>10375</v>
      </c>
      <c r="B1144" s="293" t="s">
        <v>5666</v>
      </c>
      <c r="C1144" s="293" t="s">
        <v>5812</v>
      </c>
      <c r="D1144" s="293" t="s">
        <v>5843</v>
      </c>
      <c r="E1144" s="293" t="s">
        <v>10130</v>
      </c>
      <c r="F1144" s="293" t="s">
        <v>8018</v>
      </c>
      <c r="G1144" s="293" t="s">
        <v>5589</v>
      </c>
      <c r="H1144" s="294">
        <v>43585</v>
      </c>
      <c r="I1144" s="295">
        <v>-18420.830000000002</v>
      </c>
    </row>
    <row r="1145" spans="1:9" x14ac:dyDescent="0.2">
      <c r="A1145" s="293" t="s">
        <v>10376</v>
      </c>
      <c r="B1145" s="293" t="s">
        <v>5666</v>
      </c>
      <c r="C1145" s="293" t="s">
        <v>10158</v>
      </c>
      <c r="D1145" s="293" t="s">
        <v>5843</v>
      </c>
      <c r="E1145" s="293" t="s">
        <v>10159</v>
      </c>
      <c r="F1145" s="293" t="s">
        <v>8018</v>
      </c>
      <c r="G1145" s="293" t="s">
        <v>5754</v>
      </c>
      <c r="H1145" s="294">
        <v>43585</v>
      </c>
      <c r="I1145" s="295">
        <v>-834.2</v>
      </c>
    </row>
    <row r="1146" spans="1:9" x14ac:dyDescent="0.2">
      <c r="A1146" s="293" t="s">
        <v>10377</v>
      </c>
      <c r="B1146" s="293" t="s">
        <v>5666</v>
      </c>
      <c r="C1146" s="293" t="s">
        <v>10211</v>
      </c>
      <c r="D1146" s="293" t="s">
        <v>5843</v>
      </c>
      <c r="E1146" s="293" t="s">
        <v>10130</v>
      </c>
      <c r="F1146" s="293" t="s">
        <v>8018</v>
      </c>
      <c r="G1146" s="293" t="s">
        <v>5755</v>
      </c>
      <c r="H1146" s="294">
        <v>43585</v>
      </c>
      <c r="I1146" s="295">
        <v>11086</v>
      </c>
    </row>
    <row r="1147" spans="1:9" x14ac:dyDescent="0.2">
      <c r="A1147" s="293" t="s">
        <v>10378</v>
      </c>
      <c r="B1147" s="293" t="s">
        <v>5666</v>
      </c>
      <c r="C1147" s="293" t="s">
        <v>5812</v>
      </c>
      <c r="D1147" s="293" t="s">
        <v>5843</v>
      </c>
      <c r="E1147" s="293" t="s">
        <v>10130</v>
      </c>
      <c r="F1147" s="293" t="s">
        <v>8037</v>
      </c>
      <c r="G1147" s="293" t="s">
        <v>5589</v>
      </c>
      <c r="H1147" s="294">
        <v>43616</v>
      </c>
      <c r="I1147" s="295">
        <v>-18420.830000000002</v>
      </c>
    </row>
    <row r="1148" spans="1:9" x14ac:dyDescent="0.2">
      <c r="A1148" s="293" t="s">
        <v>10379</v>
      </c>
      <c r="B1148" s="293" t="s">
        <v>5666</v>
      </c>
      <c r="C1148" s="293" t="s">
        <v>10158</v>
      </c>
      <c r="D1148" s="293" t="s">
        <v>5843</v>
      </c>
      <c r="E1148" s="293" t="s">
        <v>10159</v>
      </c>
      <c r="F1148" s="293" t="s">
        <v>8037</v>
      </c>
      <c r="G1148" s="293" t="s">
        <v>5754</v>
      </c>
      <c r="H1148" s="294">
        <v>43616</v>
      </c>
      <c r="I1148" s="295">
        <v>-834.2</v>
      </c>
    </row>
    <row r="1149" spans="1:9" x14ac:dyDescent="0.2">
      <c r="A1149" s="293" t="s">
        <v>10380</v>
      </c>
      <c r="B1149" s="293" t="s">
        <v>5666</v>
      </c>
      <c r="C1149" s="293" t="s">
        <v>10211</v>
      </c>
      <c r="D1149" s="293" t="s">
        <v>5843</v>
      </c>
      <c r="E1149" s="293" t="s">
        <v>10130</v>
      </c>
      <c r="F1149" s="293" t="s">
        <v>8037</v>
      </c>
      <c r="G1149" s="293" t="s">
        <v>5755</v>
      </c>
      <c r="H1149" s="294">
        <v>43616</v>
      </c>
      <c r="I1149" s="295">
        <v>11086</v>
      </c>
    </row>
    <row r="1150" spans="1:9" x14ac:dyDescent="0.2">
      <c r="A1150" s="293" t="s">
        <v>10381</v>
      </c>
      <c r="B1150" s="293" t="s">
        <v>5666</v>
      </c>
      <c r="C1150" s="293" t="s">
        <v>5812</v>
      </c>
      <c r="D1150" s="293" t="s">
        <v>5843</v>
      </c>
      <c r="E1150" s="293" t="s">
        <v>10130</v>
      </c>
      <c r="F1150" s="293" t="s">
        <v>8053</v>
      </c>
      <c r="G1150" s="293" t="s">
        <v>5589</v>
      </c>
      <c r="H1150" s="294">
        <v>43646</v>
      </c>
      <c r="I1150" s="295">
        <v>-18420.830000000002</v>
      </c>
    </row>
    <row r="1151" spans="1:9" x14ac:dyDescent="0.2">
      <c r="A1151" s="293" t="s">
        <v>10382</v>
      </c>
      <c r="B1151" s="293" t="s">
        <v>5666</v>
      </c>
      <c r="C1151" s="293" t="s">
        <v>10158</v>
      </c>
      <c r="D1151" s="293" t="s">
        <v>5843</v>
      </c>
      <c r="E1151" s="293" t="s">
        <v>10159</v>
      </c>
      <c r="F1151" s="293" t="s">
        <v>8053</v>
      </c>
      <c r="G1151" s="293" t="s">
        <v>5754</v>
      </c>
      <c r="H1151" s="294">
        <v>43646</v>
      </c>
      <c r="I1151" s="295">
        <v>-834.2</v>
      </c>
    </row>
    <row r="1152" spans="1:9" x14ac:dyDescent="0.2">
      <c r="A1152" s="293" t="s">
        <v>10383</v>
      </c>
      <c r="B1152" s="293" t="s">
        <v>5666</v>
      </c>
      <c r="C1152" s="293" t="s">
        <v>10211</v>
      </c>
      <c r="D1152" s="293" t="s">
        <v>5843</v>
      </c>
      <c r="E1152" s="293" t="s">
        <v>10130</v>
      </c>
      <c r="F1152" s="293" t="s">
        <v>8053</v>
      </c>
      <c r="G1152" s="293" t="s">
        <v>5755</v>
      </c>
      <c r="H1152" s="294">
        <v>43646</v>
      </c>
      <c r="I1152" s="295">
        <v>11086</v>
      </c>
    </row>
    <row r="1153" spans="1:9" x14ac:dyDescent="0.2">
      <c r="A1153" s="293" t="s">
        <v>10384</v>
      </c>
      <c r="B1153" s="293" t="s">
        <v>5666</v>
      </c>
      <c r="C1153" s="293" t="s">
        <v>5812</v>
      </c>
      <c r="D1153" s="293" t="s">
        <v>5843</v>
      </c>
      <c r="E1153" s="293" t="s">
        <v>10130</v>
      </c>
      <c r="F1153" s="293" t="s">
        <v>8087</v>
      </c>
      <c r="G1153" s="293" t="s">
        <v>5589</v>
      </c>
      <c r="H1153" s="294">
        <v>43677</v>
      </c>
      <c r="I1153" s="295">
        <v>-18420.830000000002</v>
      </c>
    </row>
    <row r="1154" spans="1:9" x14ac:dyDescent="0.2">
      <c r="A1154" s="293" t="s">
        <v>10385</v>
      </c>
      <c r="B1154" s="293" t="s">
        <v>5666</v>
      </c>
      <c r="C1154" s="293" t="s">
        <v>10158</v>
      </c>
      <c r="D1154" s="293" t="s">
        <v>5843</v>
      </c>
      <c r="E1154" s="293" t="s">
        <v>10159</v>
      </c>
      <c r="F1154" s="293" t="s">
        <v>8087</v>
      </c>
      <c r="G1154" s="293" t="s">
        <v>5754</v>
      </c>
      <c r="H1154" s="294">
        <v>43677</v>
      </c>
      <c r="I1154" s="295">
        <v>-834.2</v>
      </c>
    </row>
    <row r="1155" spans="1:9" x14ac:dyDescent="0.2">
      <c r="A1155" s="293" t="s">
        <v>10386</v>
      </c>
      <c r="B1155" s="293" t="s">
        <v>5666</v>
      </c>
      <c r="C1155" s="293" t="s">
        <v>10211</v>
      </c>
      <c r="D1155" s="293" t="s">
        <v>5843</v>
      </c>
      <c r="E1155" s="293" t="s">
        <v>10130</v>
      </c>
      <c r="F1155" s="293" t="s">
        <v>8087</v>
      </c>
      <c r="G1155" s="293" t="s">
        <v>5755</v>
      </c>
      <c r="H1155" s="294">
        <v>43677</v>
      </c>
      <c r="I1155" s="295">
        <v>11086</v>
      </c>
    </row>
    <row r="1156" spans="1:9" x14ac:dyDescent="0.2">
      <c r="A1156" s="293" t="s">
        <v>10387</v>
      </c>
      <c r="B1156" s="293" t="s">
        <v>5666</v>
      </c>
      <c r="C1156" s="293" t="s">
        <v>5812</v>
      </c>
      <c r="D1156" s="293" t="s">
        <v>5843</v>
      </c>
      <c r="E1156" s="293" t="s">
        <v>10130</v>
      </c>
      <c r="F1156" s="293" t="s">
        <v>8131</v>
      </c>
      <c r="G1156" s="293" t="s">
        <v>5589</v>
      </c>
      <c r="H1156" s="294">
        <v>43708</v>
      </c>
      <c r="I1156" s="295">
        <v>-18420.830000000002</v>
      </c>
    </row>
    <row r="1157" spans="1:9" x14ac:dyDescent="0.2">
      <c r="A1157" s="293" t="s">
        <v>10388</v>
      </c>
      <c r="B1157" s="293" t="s">
        <v>5666</v>
      </c>
      <c r="C1157" s="293" t="s">
        <v>10158</v>
      </c>
      <c r="D1157" s="293" t="s">
        <v>5843</v>
      </c>
      <c r="E1157" s="293" t="s">
        <v>10159</v>
      </c>
      <c r="F1157" s="293" t="s">
        <v>8131</v>
      </c>
      <c r="G1157" s="293" t="s">
        <v>5754</v>
      </c>
      <c r="H1157" s="294">
        <v>43708</v>
      </c>
      <c r="I1157" s="295">
        <v>-834.2</v>
      </c>
    </row>
    <row r="1158" spans="1:9" x14ac:dyDescent="0.2">
      <c r="A1158" s="293" t="s">
        <v>10389</v>
      </c>
      <c r="B1158" s="293" t="s">
        <v>5666</v>
      </c>
      <c r="C1158" s="293" t="s">
        <v>10211</v>
      </c>
      <c r="D1158" s="293" t="s">
        <v>5843</v>
      </c>
      <c r="E1158" s="293" t="s">
        <v>10130</v>
      </c>
      <c r="F1158" s="293" t="s">
        <v>8131</v>
      </c>
      <c r="G1158" s="293" t="s">
        <v>5755</v>
      </c>
      <c r="H1158" s="294">
        <v>43708</v>
      </c>
      <c r="I1158" s="295">
        <v>11086</v>
      </c>
    </row>
    <row r="1159" spans="1:9" x14ac:dyDescent="0.2">
      <c r="A1159" s="293" t="s">
        <v>8912</v>
      </c>
      <c r="B1159" s="293" t="s">
        <v>5666</v>
      </c>
      <c r="C1159" s="293" t="s">
        <v>5812</v>
      </c>
      <c r="D1159" s="293" t="s">
        <v>5843</v>
      </c>
      <c r="E1159" s="293" t="s">
        <v>10130</v>
      </c>
      <c r="F1159" s="293" t="s">
        <v>8158</v>
      </c>
      <c r="G1159" s="293" t="s">
        <v>5589</v>
      </c>
      <c r="H1159" s="294">
        <v>43738</v>
      </c>
      <c r="I1159" s="295">
        <v>-18420.830000000002</v>
      </c>
    </row>
    <row r="1160" spans="1:9" x14ac:dyDescent="0.2">
      <c r="A1160" s="293" t="s">
        <v>8913</v>
      </c>
      <c r="B1160" s="293" t="s">
        <v>5666</v>
      </c>
      <c r="C1160" s="293" t="s">
        <v>10158</v>
      </c>
      <c r="D1160" s="293" t="s">
        <v>5843</v>
      </c>
      <c r="E1160" s="293" t="s">
        <v>10159</v>
      </c>
      <c r="F1160" s="293" t="s">
        <v>8158</v>
      </c>
      <c r="G1160" s="293" t="s">
        <v>5754</v>
      </c>
      <c r="H1160" s="294">
        <v>43738</v>
      </c>
      <c r="I1160" s="295">
        <v>-834.2</v>
      </c>
    </row>
    <row r="1161" spans="1:9" x14ac:dyDescent="0.2">
      <c r="A1161" s="293" t="s">
        <v>8918</v>
      </c>
      <c r="B1161" s="293" t="s">
        <v>5666</v>
      </c>
      <c r="C1161" s="293" t="s">
        <v>10211</v>
      </c>
      <c r="D1161" s="293" t="s">
        <v>5843</v>
      </c>
      <c r="E1161" s="293" t="s">
        <v>10130</v>
      </c>
      <c r="F1161" s="293" t="s">
        <v>8158</v>
      </c>
      <c r="G1161" s="293" t="s">
        <v>5755</v>
      </c>
      <c r="H1161" s="294">
        <v>43738</v>
      </c>
      <c r="I1161" s="295">
        <v>11086</v>
      </c>
    </row>
    <row r="1162" spans="1:9" x14ac:dyDescent="0.2">
      <c r="A1162" s="293" t="s">
        <v>10390</v>
      </c>
      <c r="B1162" s="293" t="s">
        <v>5666</v>
      </c>
      <c r="C1162" s="293" t="s">
        <v>5812</v>
      </c>
      <c r="D1162" s="293" t="s">
        <v>5843</v>
      </c>
      <c r="E1162" s="293" t="s">
        <v>10130</v>
      </c>
      <c r="F1162" s="293" t="s">
        <v>8171</v>
      </c>
      <c r="G1162" s="293" t="s">
        <v>5589</v>
      </c>
      <c r="H1162" s="294">
        <v>43769</v>
      </c>
      <c r="I1162" s="295">
        <v>-18420.830000000002</v>
      </c>
    </row>
    <row r="1163" spans="1:9" x14ac:dyDescent="0.2">
      <c r="A1163" s="293" t="s">
        <v>10391</v>
      </c>
      <c r="B1163" s="293" t="s">
        <v>5666</v>
      </c>
      <c r="C1163" s="293" t="s">
        <v>10158</v>
      </c>
      <c r="D1163" s="293" t="s">
        <v>5843</v>
      </c>
      <c r="E1163" s="293" t="s">
        <v>10159</v>
      </c>
      <c r="F1163" s="293" t="s">
        <v>8171</v>
      </c>
      <c r="G1163" s="293" t="s">
        <v>5754</v>
      </c>
      <c r="H1163" s="294">
        <v>43769</v>
      </c>
      <c r="I1163" s="295">
        <v>-834.2</v>
      </c>
    </row>
    <row r="1164" spans="1:9" x14ac:dyDescent="0.2">
      <c r="A1164" s="293" t="s">
        <v>10392</v>
      </c>
      <c r="B1164" s="293" t="s">
        <v>5666</v>
      </c>
      <c r="C1164" s="293" t="s">
        <v>10211</v>
      </c>
      <c r="D1164" s="293" t="s">
        <v>5843</v>
      </c>
      <c r="E1164" s="293" t="s">
        <v>10130</v>
      </c>
      <c r="F1164" s="293" t="s">
        <v>8171</v>
      </c>
      <c r="G1164" s="293" t="s">
        <v>5755</v>
      </c>
      <c r="H1164" s="294">
        <v>43769</v>
      </c>
      <c r="I1164" s="295">
        <v>11086</v>
      </c>
    </row>
    <row r="1165" spans="1:9" x14ac:dyDescent="0.2">
      <c r="A1165" s="293" t="s">
        <v>10393</v>
      </c>
      <c r="B1165" s="293" t="s">
        <v>5666</v>
      </c>
      <c r="C1165" s="293" t="s">
        <v>5812</v>
      </c>
      <c r="D1165" s="293" t="s">
        <v>5843</v>
      </c>
      <c r="E1165" s="293" t="s">
        <v>10130</v>
      </c>
      <c r="F1165" s="293" t="s">
        <v>8188</v>
      </c>
      <c r="G1165" s="293" t="s">
        <v>5589</v>
      </c>
      <c r="H1165" s="294">
        <v>43799</v>
      </c>
      <c r="I1165" s="295">
        <v>-18420.830000000002</v>
      </c>
    </row>
    <row r="1166" spans="1:9" x14ac:dyDescent="0.2">
      <c r="A1166" s="293" t="s">
        <v>10394</v>
      </c>
      <c r="B1166" s="293" t="s">
        <v>5666</v>
      </c>
      <c r="C1166" s="293" t="s">
        <v>10158</v>
      </c>
      <c r="D1166" s="293" t="s">
        <v>5843</v>
      </c>
      <c r="E1166" s="293" t="s">
        <v>10159</v>
      </c>
      <c r="F1166" s="293" t="s">
        <v>8188</v>
      </c>
      <c r="G1166" s="293" t="s">
        <v>5754</v>
      </c>
      <c r="H1166" s="294">
        <v>43799</v>
      </c>
      <c r="I1166" s="295">
        <v>-834.2</v>
      </c>
    </row>
    <row r="1167" spans="1:9" x14ac:dyDescent="0.2">
      <c r="A1167" s="293" t="s">
        <v>10395</v>
      </c>
      <c r="B1167" s="293" t="s">
        <v>5666</v>
      </c>
      <c r="C1167" s="293" t="s">
        <v>10211</v>
      </c>
      <c r="D1167" s="293" t="s">
        <v>5843</v>
      </c>
      <c r="E1167" s="293" t="s">
        <v>10130</v>
      </c>
      <c r="F1167" s="293" t="s">
        <v>8188</v>
      </c>
      <c r="G1167" s="293" t="s">
        <v>5755</v>
      </c>
      <c r="H1167" s="294">
        <v>43799</v>
      </c>
      <c r="I1167" s="295">
        <v>11086</v>
      </c>
    </row>
    <row r="1168" spans="1:9" x14ac:dyDescent="0.2">
      <c r="A1168" s="293" t="s">
        <v>10396</v>
      </c>
      <c r="B1168" s="293" t="s">
        <v>5666</v>
      </c>
      <c r="C1168" s="293" t="s">
        <v>5812</v>
      </c>
      <c r="D1168" s="293" t="s">
        <v>5843</v>
      </c>
      <c r="E1168" s="293" t="s">
        <v>10130</v>
      </c>
      <c r="F1168" s="293" t="s">
        <v>8204</v>
      </c>
      <c r="G1168" s="293" t="s">
        <v>5589</v>
      </c>
      <c r="H1168" s="294">
        <v>43830</v>
      </c>
      <c r="I1168" s="295">
        <v>-18420.830000000002</v>
      </c>
    </row>
    <row r="1169" spans="1:9" x14ac:dyDescent="0.2">
      <c r="A1169" s="293" t="s">
        <v>10397</v>
      </c>
      <c r="B1169" s="293" t="s">
        <v>5666</v>
      </c>
      <c r="C1169" s="293" t="s">
        <v>10158</v>
      </c>
      <c r="D1169" s="293" t="s">
        <v>5843</v>
      </c>
      <c r="E1169" s="293" t="s">
        <v>10159</v>
      </c>
      <c r="F1169" s="293" t="s">
        <v>8204</v>
      </c>
      <c r="G1169" s="293" t="s">
        <v>5754</v>
      </c>
      <c r="H1169" s="294">
        <v>43830</v>
      </c>
      <c r="I1169" s="295">
        <v>-834.2</v>
      </c>
    </row>
    <row r="1170" spans="1:9" x14ac:dyDescent="0.2">
      <c r="A1170" s="293" t="s">
        <v>10398</v>
      </c>
      <c r="B1170" s="293" t="s">
        <v>5666</v>
      </c>
      <c r="C1170" s="293" t="s">
        <v>10211</v>
      </c>
      <c r="D1170" s="293" t="s">
        <v>5843</v>
      </c>
      <c r="E1170" s="293" t="s">
        <v>10130</v>
      </c>
      <c r="F1170" s="293" t="s">
        <v>8204</v>
      </c>
      <c r="G1170" s="293" t="s">
        <v>5755</v>
      </c>
      <c r="H1170" s="294">
        <v>43830</v>
      </c>
      <c r="I1170" s="295">
        <v>11086</v>
      </c>
    </row>
    <row r="1171" spans="1:9" x14ac:dyDescent="0.2">
      <c r="A1171" s="293" t="s">
        <v>5846</v>
      </c>
      <c r="B1171" s="293" t="s">
        <v>5666</v>
      </c>
      <c r="C1171" s="293" t="s">
        <v>5847</v>
      </c>
      <c r="D1171" s="293" t="s">
        <v>5850</v>
      </c>
      <c r="E1171" s="293" t="s">
        <v>5088</v>
      </c>
      <c r="F1171" s="293" t="s">
        <v>5819</v>
      </c>
      <c r="G1171" s="293" t="s">
        <v>5591</v>
      </c>
      <c r="H1171" s="294">
        <v>41182</v>
      </c>
      <c r="I1171" s="295">
        <v>-1938623.27</v>
      </c>
    </row>
    <row r="1172" spans="1:9" x14ac:dyDescent="0.2">
      <c r="A1172" s="293" t="s">
        <v>5846</v>
      </c>
      <c r="B1172" s="293" t="s">
        <v>5666</v>
      </c>
      <c r="C1172" s="293" t="s">
        <v>5847</v>
      </c>
      <c r="D1172" s="293" t="s">
        <v>5850</v>
      </c>
      <c r="E1172" s="293" t="s">
        <v>5088</v>
      </c>
      <c r="F1172" s="293" t="s">
        <v>5819</v>
      </c>
      <c r="G1172" s="293" t="s">
        <v>5591</v>
      </c>
      <c r="H1172" s="294">
        <v>41182</v>
      </c>
      <c r="I1172" s="295">
        <v>228073.32</v>
      </c>
    </row>
    <row r="1173" spans="1:9" x14ac:dyDescent="0.2">
      <c r="A1173" s="293" t="s">
        <v>5846</v>
      </c>
      <c r="B1173" s="293" t="s">
        <v>5666</v>
      </c>
      <c r="C1173" s="293" t="s">
        <v>5847</v>
      </c>
      <c r="D1173" s="293" t="s">
        <v>5850</v>
      </c>
      <c r="E1173" s="293" t="s">
        <v>5088</v>
      </c>
      <c r="F1173" s="293" t="s">
        <v>5819</v>
      </c>
      <c r="G1173" s="293" t="s">
        <v>5589</v>
      </c>
      <c r="H1173" s="294">
        <v>41182</v>
      </c>
      <c r="I1173" s="295">
        <v>-2558101.13</v>
      </c>
    </row>
    <row r="1174" spans="1:9" x14ac:dyDescent="0.2">
      <c r="A1174" s="293" t="s">
        <v>5846</v>
      </c>
      <c r="B1174" s="293" t="s">
        <v>5666</v>
      </c>
      <c r="C1174" s="293" t="s">
        <v>5847</v>
      </c>
      <c r="D1174" s="293" t="s">
        <v>5850</v>
      </c>
      <c r="E1174" s="293" t="s">
        <v>5088</v>
      </c>
      <c r="F1174" s="293" t="s">
        <v>5819</v>
      </c>
      <c r="G1174" s="293" t="s">
        <v>5589</v>
      </c>
      <c r="H1174" s="294">
        <v>41182</v>
      </c>
      <c r="I1174" s="295">
        <v>28423.360000000001</v>
      </c>
    </row>
    <row r="1175" spans="1:9" x14ac:dyDescent="0.2">
      <c r="A1175" s="293" t="s">
        <v>5827</v>
      </c>
      <c r="B1175" s="293" t="s">
        <v>5666</v>
      </c>
      <c r="C1175" s="293" t="s">
        <v>5816</v>
      </c>
      <c r="D1175" s="293" t="s">
        <v>5850</v>
      </c>
      <c r="E1175" s="293" t="s">
        <v>5851</v>
      </c>
      <c r="F1175" s="293" t="s">
        <v>5822</v>
      </c>
      <c r="G1175" s="293" t="s">
        <v>5591</v>
      </c>
      <c r="H1175" s="294">
        <v>41213</v>
      </c>
      <c r="I1175" s="295">
        <v>3613.17</v>
      </c>
    </row>
    <row r="1176" spans="1:9" x14ac:dyDescent="0.2">
      <c r="A1176" s="293" t="s">
        <v>5827</v>
      </c>
      <c r="B1176" s="293" t="s">
        <v>5666</v>
      </c>
      <c r="C1176" s="293" t="s">
        <v>5816</v>
      </c>
      <c r="D1176" s="293" t="s">
        <v>5850</v>
      </c>
      <c r="E1176" s="293" t="s">
        <v>5852</v>
      </c>
      <c r="F1176" s="293" t="s">
        <v>5822</v>
      </c>
      <c r="G1176" s="293" t="s">
        <v>5591</v>
      </c>
      <c r="H1176" s="294">
        <v>41213</v>
      </c>
      <c r="I1176" s="295">
        <v>21728.31</v>
      </c>
    </row>
    <row r="1177" spans="1:9" x14ac:dyDescent="0.2">
      <c r="A1177" s="293" t="s">
        <v>5829</v>
      </c>
      <c r="B1177" s="293" t="s">
        <v>5666</v>
      </c>
      <c r="C1177" s="293" t="s">
        <v>5812</v>
      </c>
      <c r="D1177" s="293" t="s">
        <v>5850</v>
      </c>
      <c r="E1177" s="293" t="s">
        <v>5853</v>
      </c>
      <c r="F1177" s="293" t="s">
        <v>5822</v>
      </c>
      <c r="G1177" s="293" t="s">
        <v>5589</v>
      </c>
      <c r="H1177" s="294">
        <v>41213</v>
      </c>
      <c r="I1177" s="295">
        <v>1013.15</v>
      </c>
    </row>
    <row r="1178" spans="1:9" x14ac:dyDescent="0.2">
      <c r="A1178" s="293" t="s">
        <v>5829</v>
      </c>
      <c r="B1178" s="293" t="s">
        <v>5666</v>
      </c>
      <c r="C1178" s="293" t="s">
        <v>5812</v>
      </c>
      <c r="D1178" s="293" t="s">
        <v>5850</v>
      </c>
      <c r="E1178" s="293" t="s">
        <v>5854</v>
      </c>
      <c r="F1178" s="293" t="s">
        <v>5822</v>
      </c>
      <c r="G1178" s="293" t="s">
        <v>5589</v>
      </c>
      <c r="H1178" s="294">
        <v>41213</v>
      </c>
      <c r="I1178" s="295">
        <v>6092.69</v>
      </c>
    </row>
    <row r="1179" spans="1:9" x14ac:dyDescent="0.2">
      <c r="A1179" s="293" t="s">
        <v>5831</v>
      </c>
      <c r="B1179" s="293" t="s">
        <v>5666</v>
      </c>
      <c r="C1179" s="293" t="s">
        <v>5816</v>
      </c>
      <c r="D1179" s="293" t="s">
        <v>5850</v>
      </c>
      <c r="E1179" s="293" t="s">
        <v>5851</v>
      </c>
      <c r="F1179" s="293" t="s">
        <v>5832</v>
      </c>
      <c r="G1179" s="293" t="s">
        <v>5591</v>
      </c>
      <c r="H1179" s="294">
        <v>41243</v>
      </c>
      <c r="I1179" s="295">
        <v>3613.17</v>
      </c>
    </row>
    <row r="1180" spans="1:9" x14ac:dyDescent="0.2">
      <c r="A1180" s="293" t="s">
        <v>5831</v>
      </c>
      <c r="B1180" s="293" t="s">
        <v>5666</v>
      </c>
      <c r="C1180" s="293" t="s">
        <v>5816</v>
      </c>
      <c r="D1180" s="293" t="s">
        <v>5850</v>
      </c>
      <c r="E1180" s="293" t="s">
        <v>5852</v>
      </c>
      <c r="F1180" s="293" t="s">
        <v>5832</v>
      </c>
      <c r="G1180" s="293" t="s">
        <v>5591</v>
      </c>
      <c r="H1180" s="294">
        <v>41243</v>
      </c>
      <c r="I1180" s="295">
        <v>21728.31</v>
      </c>
    </row>
    <row r="1181" spans="1:9" x14ac:dyDescent="0.2">
      <c r="A1181" s="293" t="s">
        <v>5833</v>
      </c>
      <c r="B1181" s="293" t="s">
        <v>5666</v>
      </c>
      <c r="C1181" s="293" t="s">
        <v>5812</v>
      </c>
      <c r="D1181" s="293" t="s">
        <v>5850</v>
      </c>
      <c r="E1181" s="293" t="s">
        <v>5853</v>
      </c>
      <c r="F1181" s="293" t="s">
        <v>5832</v>
      </c>
      <c r="G1181" s="293" t="s">
        <v>5589</v>
      </c>
      <c r="H1181" s="294">
        <v>41243</v>
      </c>
      <c r="I1181" s="295">
        <v>1013.15</v>
      </c>
    </row>
    <row r="1182" spans="1:9" x14ac:dyDescent="0.2">
      <c r="A1182" s="293" t="s">
        <v>5833</v>
      </c>
      <c r="B1182" s="293" t="s">
        <v>5666</v>
      </c>
      <c r="C1182" s="293" t="s">
        <v>5812</v>
      </c>
      <c r="D1182" s="293" t="s">
        <v>5850</v>
      </c>
      <c r="E1182" s="293" t="s">
        <v>5854</v>
      </c>
      <c r="F1182" s="293" t="s">
        <v>5832</v>
      </c>
      <c r="G1182" s="293" t="s">
        <v>5589</v>
      </c>
      <c r="H1182" s="294">
        <v>41243</v>
      </c>
      <c r="I1182" s="295">
        <v>6092.69</v>
      </c>
    </row>
    <row r="1183" spans="1:9" x14ac:dyDescent="0.2">
      <c r="A1183" s="293" t="s">
        <v>5836</v>
      </c>
      <c r="B1183" s="293" t="s">
        <v>5666</v>
      </c>
      <c r="C1183" s="293" t="s">
        <v>5816</v>
      </c>
      <c r="D1183" s="293" t="s">
        <v>5850</v>
      </c>
      <c r="E1183" s="293" t="s">
        <v>5851</v>
      </c>
      <c r="F1183" s="293" t="s">
        <v>5837</v>
      </c>
      <c r="G1183" s="293" t="s">
        <v>5591</v>
      </c>
      <c r="H1183" s="294">
        <v>41274</v>
      </c>
      <c r="I1183" s="295">
        <v>3613.17</v>
      </c>
    </row>
    <row r="1184" spans="1:9" x14ac:dyDescent="0.2">
      <c r="A1184" s="293" t="s">
        <v>5836</v>
      </c>
      <c r="B1184" s="293" t="s">
        <v>5666</v>
      </c>
      <c r="C1184" s="293" t="s">
        <v>5816</v>
      </c>
      <c r="D1184" s="293" t="s">
        <v>5850</v>
      </c>
      <c r="E1184" s="293" t="s">
        <v>5852</v>
      </c>
      <c r="F1184" s="293" t="s">
        <v>5837</v>
      </c>
      <c r="G1184" s="293" t="s">
        <v>5591</v>
      </c>
      <c r="H1184" s="294">
        <v>41274</v>
      </c>
      <c r="I1184" s="295">
        <v>21728.31</v>
      </c>
    </row>
    <row r="1185" spans="1:9" x14ac:dyDescent="0.2">
      <c r="A1185" s="293" t="s">
        <v>5838</v>
      </c>
      <c r="B1185" s="293" t="s">
        <v>5666</v>
      </c>
      <c r="C1185" s="293" t="s">
        <v>5812</v>
      </c>
      <c r="D1185" s="293" t="s">
        <v>5850</v>
      </c>
      <c r="E1185" s="293" t="s">
        <v>5853</v>
      </c>
      <c r="F1185" s="293" t="s">
        <v>5837</v>
      </c>
      <c r="G1185" s="293" t="s">
        <v>5589</v>
      </c>
      <c r="H1185" s="294">
        <v>41274</v>
      </c>
      <c r="I1185" s="295">
        <v>1013.15</v>
      </c>
    </row>
    <row r="1186" spans="1:9" x14ac:dyDescent="0.2">
      <c r="A1186" s="293" t="s">
        <v>5838</v>
      </c>
      <c r="B1186" s="293" t="s">
        <v>5666</v>
      </c>
      <c r="C1186" s="293" t="s">
        <v>5812</v>
      </c>
      <c r="D1186" s="293" t="s">
        <v>5850</v>
      </c>
      <c r="E1186" s="293" t="s">
        <v>5854</v>
      </c>
      <c r="F1186" s="293" t="s">
        <v>5837</v>
      </c>
      <c r="G1186" s="293" t="s">
        <v>5589</v>
      </c>
      <c r="H1186" s="294">
        <v>41274</v>
      </c>
      <c r="I1186" s="295">
        <v>6092.69</v>
      </c>
    </row>
    <row r="1187" spans="1:9" x14ac:dyDescent="0.2">
      <c r="A1187" s="293" t="s">
        <v>9907</v>
      </c>
      <c r="B1187" s="293" t="s">
        <v>5666</v>
      </c>
      <c r="C1187" s="293" t="s">
        <v>5816</v>
      </c>
      <c r="D1187" s="293" t="s">
        <v>5850</v>
      </c>
      <c r="E1187" s="293" t="s">
        <v>5851</v>
      </c>
      <c r="F1187" s="293" t="s">
        <v>6436</v>
      </c>
      <c r="G1187" s="293" t="s">
        <v>5591</v>
      </c>
      <c r="H1187" s="294">
        <v>41305</v>
      </c>
      <c r="I1187" s="295">
        <v>3613.17</v>
      </c>
    </row>
    <row r="1188" spans="1:9" x14ac:dyDescent="0.2">
      <c r="A1188" s="293" t="s">
        <v>9907</v>
      </c>
      <c r="B1188" s="293" t="s">
        <v>5666</v>
      </c>
      <c r="C1188" s="293" t="s">
        <v>5816</v>
      </c>
      <c r="D1188" s="293" t="s">
        <v>5850</v>
      </c>
      <c r="E1188" s="293" t="s">
        <v>5852</v>
      </c>
      <c r="F1188" s="293" t="s">
        <v>6436</v>
      </c>
      <c r="G1188" s="293" t="s">
        <v>5591</v>
      </c>
      <c r="H1188" s="294">
        <v>41305</v>
      </c>
      <c r="I1188" s="295">
        <v>21728.31</v>
      </c>
    </row>
    <row r="1189" spans="1:9" x14ac:dyDescent="0.2">
      <c r="A1189" s="293" t="s">
        <v>9908</v>
      </c>
      <c r="B1189" s="293" t="s">
        <v>5666</v>
      </c>
      <c r="C1189" s="293" t="s">
        <v>5812</v>
      </c>
      <c r="D1189" s="293" t="s">
        <v>5850</v>
      </c>
      <c r="E1189" s="293" t="s">
        <v>5853</v>
      </c>
      <c r="F1189" s="293" t="s">
        <v>6436</v>
      </c>
      <c r="G1189" s="293" t="s">
        <v>5589</v>
      </c>
      <c r="H1189" s="294">
        <v>41305</v>
      </c>
      <c r="I1189" s="295">
        <v>1013.15</v>
      </c>
    </row>
    <row r="1190" spans="1:9" x14ac:dyDescent="0.2">
      <c r="A1190" s="293" t="s">
        <v>9908</v>
      </c>
      <c r="B1190" s="293" t="s">
        <v>5666</v>
      </c>
      <c r="C1190" s="293" t="s">
        <v>5812</v>
      </c>
      <c r="D1190" s="293" t="s">
        <v>5850</v>
      </c>
      <c r="E1190" s="293" t="s">
        <v>5854</v>
      </c>
      <c r="F1190" s="293" t="s">
        <v>6436</v>
      </c>
      <c r="G1190" s="293" t="s">
        <v>5589</v>
      </c>
      <c r="H1190" s="294">
        <v>41305</v>
      </c>
      <c r="I1190" s="295">
        <v>6092.69</v>
      </c>
    </row>
    <row r="1191" spans="1:9" x14ac:dyDescent="0.2">
      <c r="A1191" s="293" t="s">
        <v>9909</v>
      </c>
      <c r="B1191" s="293" t="s">
        <v>5666</v>
      </c>
      <c r="C1191" s="293" t="s">
        <v>5816</v>
      </c>
      <c r="D1191" s="293" t="s">
        <v>5850</v>
      </c>
      <c r="E1191" s="293" t="s">
        <v>5851</v>
      </c>
      <c r="F1191" s="293" t="s">
        <v>6455</v>
      </c>
      <c r="G1191" s="293" t="s">
        <v>5591</v>
      </c>
      <c r="H1191" s="294">
        <v>41333</v>
      </c>
      <c r="I1191" s="295">
        <v>3613.17</v>
      </c>
    </row>
    <row r="1192" spans="1:9" x14ac:dyDescent="0.2">
      <c r="A1192" s="293" t="s">
        <v>9909</v>
      </c>
      <c r="B1192" s="293" t="s">
        <v>5666</v>
      </c>
      <c r="C1192" s="293" t="s">
        <v>5816</v>
      </c>
      <c r="D1192" s="293" t="s">
        <v>5850</v>
      </c>
      <c r="E1192" s="293" t="s">
        <v>5852</v>
      </c>
      <c r="F1192" s="293" t="s">
        <v>6455</v>
      </c>
      <c r="G1192" s="293" t="s">
        <v>5591</v>
      </c>
      <c r="H1192" s="294">
        <v>41333</v>
      </c>
      <c r="I1192" s="295">
        <v>21728.31</v>
      </c>
    </row>
    <row r="1193" spans="1:9" x14ac:dyDescent="0.2">
      <c r="A1193" s="293" t="s">
        <v>7237</v>
      </c>
      <c r="B1193" s="293" t="s">
        <v>5666</v>
      </c>
      <c r="C1193" s="293" t="s">
        <v>5812</v>
      </c>
      <c r="D1193" s="293" t="s">
        <v>5850</v>
      </c>
      <c r="E1193" s="293" t="s">
        <v>5853</v>
      </c>
      <c r="F1193" s="293" t="s">
        <v>6455</v>
      </c>
      <c r="G1193" s="293" t="s">
        <v>5589</v>
      </c>
      <c r="H1193" s="294">
        <v>41333</v>
      </c>
      <c r="I1193" s="295">
        <v>1013.15</v>
      </c>
    </row>
    <row r="1194" spans="1:9" x14ac:dyDescent="0.2">
      <c r="A1194" s="293" t="s">
        <v>7237</v>
      </c>
      <c r="B1194" s="293" t="s">
        <v>5666</v>
      </c>
      <c r="C1194" s="293" t="s">
        <v>5812</v>
      </c>
      <c r="D1194" s="293" t="s">
        <v>5850</v>
      </c>
      <c r="E1194" s="293" t="s">
        <v>5854</v>
      </c>
      <c r="F1194" s="293" t="s">
        <v>6455</v>
      </c>
      <c r="G1194" s="293" t="s">
        <v>5589</v>
      </c>
      <c r="H1194" s="294">
        <v>41333</v>
      </c>
      <c r="I1194" s="295">
        <v>6092.69</v>
      </c>
    </row>
    <row r="1195" spans="1:9" x14ac:dyDescent="0.2">
      <c r="A1195" s="293" t="s">
        <v>9910</v>
      </c>
      <c r="B1195" s="293" t="s">
        <v>5666</v>
      </c>
      <c r="C1195" s="293" t="s">
        <v>5816</v>
      </c>
      <c r="D1195" s="293" t="s">
        <v>5850</v>
      </c>
      <c r="E1195" s="293" t="s">
        <v>5851</v>
      </c>
      <c r="F1195" s="293" t="s">
        <v>6476</v>
      </c>
      <c r="G1195" s="293" t="s">
        <v>5591</v>
      </c>
      <c r="H1195" s="294">
        <v>41364</v>
      </c>
      <c r="I1195" s="295">
        <v>3613.17</v>
      </c>
    </row>
    <row r="1196" spans="1:9" x14ac:dyDescent="0.2">
      <c r="A1196" s="293" t="s">
        <v>9910</v>
      </c>
      <c r="B1196" s="293" t="s">
        <v>5666</v>
      </c>
      <c r="C1196" s="293" t="s">
        <v>5816</v>
      </c>
      <c r="D1196" s="293" t="s">
        <v>5850</v>
      </c>
      <c r="E1196" s="293" t="s">
        <v>5852</v>
      </c>
      <c r="F1196" s="293" t="s">
        <v>6476</v>
      </c>
      <c r="G1196" s="293" t="s">
        <v>5591</v>
      </c>
      <c r="H1196" s="294">
        <v>41364</v>
      </c>
      <c r="I1196" s="295">
        <v>21728.31</v>
      </c>
    </row>
    <row r="1197" spans="1:9" x14ac:dyDescent="0.2">
      <c r="A1197" s="293" t="s">
        <v>9911</v>
      </c>
      <c r="B1197" s="293" t="s">
        <v>5666</v>
      </c>
      <c r="C1197" s="293" t="s">
        <v>5812</v>
      </c>
      <c r="D1197" s="293" t="s">
        <v>5850</v>
      </c>
      <c r="E1197" s="293" t="s">
        <v>5853</v>
      </c>
      <c r="F1197" s="293" t="s">
        <v>6476</v>
      </c>
      <c r="G1197" s="293" t="s">
        <v>5589</v>
      </c>
      <c r="H1197" s="294">
        <v>41364</v>
      </c>
      <c r="I1197" s="295">
        <v>1013.15</v>
      </c>
    </row>
    <row r="1198" spans="1:9" x14ac:dyDescent="0.2">
      <c r="A1198" s="293" t="s">
        <v>9911</v>
      </c>
      <c r="B1198" s="293" t="s">
        <v>5666</v>
      </c>
      <c r="C1198" s="293" t="s">
        <v>5812</v>
      </c>
      <c r="D1198" s="293" t="s">
        <v>5850</v>
      </c>
      <c r="E1198" s="293" t="s">
        <v>5854</v>
      </c>
      <c r="F1198" s="293" t="s">
        <v>6476</v>
      </c>
      <c r="G1198" s="293" t="s">
        <v>5589</v>
      </c>
      <c r="H1198" s="294">
        <v>41364</v>
      </c>
      <c r="I1198" s="295">
        <v>6092.69</v>
      </c>
    </row>
    <row r="1199" spans="1:9" x14ac:dyDescent="0.2">
      <c r="A1199" s="293" t="s">
        <v>9912</v>
      </c>
      <c r="B1199" s="293" t="s">
        <v>5666</v>
      </c>
      <c r="C1199" s="293" t="s">
        <v>5816</v>
      </c>
      <c r="D1199" s="293" t="s">
        <v>5850</v>
      </c>
      <c r="E1199" s="293" t="s">
        <v>5851</v>
      </c>
      <c r="F1199" s="293" t="s">
        <v>6496</v>
      </c>
      <c r="G1199" s="293" t="s">
        <v>5591</v>
      </c>
      <c r="H1199" s="294">
        <v>41394</v>
      </c>
      <c r="I1199" s="295">
        <v>3613.17</v>
      </c>
    </row>
    <row r="1200" spans="1:9" x14ac:dyDescent="0.2">
      <c r="A1200" s="293" t="s">
        <v>9912</v>
      </c>
      <c r="B1200" s="293" t="s">
        <v>5666</v>
      </c>
      <c r="C1200" s="293" t="s">
        <v>5816</v>
      </c>
      <c r="D1200" s="293" t="s">
        <v>5850</v>
      </c>
      <c r="E1200" s="293" t="s">
        <v>5852</v>
      </c>
      <c r="F1200" s="293" t="s">
        <v>6496</v>
      </c>
      <c r="G1200" s="293" t="s">
        <v>5591</v>
      </c>
      <c r="H1200" s="294">
        <v>41394</v>
      </c>
      <c r="I1200" s="295">
        <v>21728.31</v>
      </c>
    </row>
    <row r="1201" spans="1:9" x14ac:dyDescent="0.2">
      <c r="A1201" s="293" t="s">
        <v>9913</v>
      </c>
      <c r="B1201" s="293" t="s">
        <v>5666</v>
      </c>
      <c r="C1201" s="293" t="s">
        <v>5812</v>
      </c>
      <c r="D1201" s="293" t="s">
        <v>5850</v>
      </c>
      <c r="E1201" s="293" t="s">
        <v>5853</v>
      </c>
      <c r="F1201" s="293" t="s">
        <v>6496</v>
      </c>
      <c r="G1201" s="293" t="s">
        <v>5589</v>
      </c>
      <c r="H1201" s="294">
        <v>41394</v>
      </c>
      <c r="I1201" s="295">
        <v>1013.15</v>
      </c>
    </row>
    <row r="1202" spans="1:9" x14ac:dyDescent="0.2">
      <c r="A1202" s="293" t="s">
        <v>9913</v>
      </c>
      <c r="B1202" s="293" t="s">
        <v>5666</v>
      </c>
      <c r="C1202" s="293" t="s">
        <v>5812</v>
      </c>
      <c r="D1202" s="293" t="s">
        <v>5850</v>
      </c>
      <c r="E1202" s="293" t="s">
        <v>5854</v>
      </c>
      <c r="F1202" s="293" t="s">
        <v>6496</v>
      </c>
      <c r="G1202" s="293" t="s">
        <v>5589</v>
      </c>
      <c r="H1202" s="294">
        <v>41394</v>
      </c>
      <c r="I1202" s="295">
        <v>6092.69</v>
      </c>
    </row>
    <row r="1203" spans="1:9" x14ac:dyDescent="0.2">
      <c r="A1203" s="293" t="s">
        <v>9914</v>
      </c>
      <c r="B1203" s="293" t="s">
        <v>5666</v>
      </c>
      <c r="C1203" s="293" t="s">
        <v>5816</v>
      </c>
      <c r="D1203" s="293" t="s">
        <v>5850</v>
      </c>
      <c r="E1203" s="293" t="s">
        <v>5851</v>
      </c>
      <c r="F1203" s="293" t="s">
        <v>6514</v>
      </c>
      <c r="G1203" s="293" t="s">
        <v>5591</v>
      </c>
      <c r="H1203" s="294">
        <v>41425</v>
      </c>
      <c r="I1203" s="295">
        <v>3613.17</v>
      </c>
    </row>
    <row r="1204" spans="1:9" x14ac:dyDescent="0.2">
      <c r="A1204" s="293" t="s">
        <v>9914</v>
      </c>
      <c r="B1204" s="293" t="s">
        <v>5666</v>
      </c>
      <c r="C1204" s="293" t="s">
        <v>5816</v>
      </c>
      <c r="D1204" s="293" t="s">
        <v>5850</v>
      </c>
      <c r="E1204" s="293" t="s">
        <v>5852</v>
      </c>
      <c r="F1204" s="293" t="s">
        <v>6514</v>
      </c>
      <c r="G1204" s="293" t="s">
        <v>5591</v>
      </c>
      <c r="H1204" s="294">
        <v>41425</v>
      </c>
      <c r="I1204" s="295">
        <v>21728.31</v>
      </c>
    </row>
    <row r="1205" spans="1:9" x14ac:dyDescent="0.2">
      <c r="A1205" s="293" t="s">
        <v>9915</v>
      </c>
      <c r="B1205" s="293" t="s">
        <v>5666</v>
      </c>
      <c r="C1205" s="293" t="s">
        <v>5812</v>
      </c>
      <c r="D1205" s="293" t="s">
        <v>5850</v>
      </c>
      <c r="E1205" s="293" t="s">
        <v>5853</v>
      </c>
      <c r="F1205" s="293" t="s">
        <v>6514</v>
      </c>
      <c r="G1205" s="293" t="s">
        <v>5589</v>
      </c>
      <c r="H1205" s="294">
        <v>41425</v>
      </c>
      <c r="I1205" s="295">
        <v>1013.15</v>
      </c>
    </row>
    <row r="1206" spans="1:9" x14ac:dyDescent="0.2">
      <c r="A1206" s="293" t="s">
        <v>9915</v>
      </c>
      <c r="B1206" s="293" t="s">
        <v>5666</v>
      </c>
      <c r="C1206" s="293" t="s">
        <v>5812</v>
      </c>
      <c r="D1206" s="293" t="s">
        <v>5850</v>
      </c>
      <c r="E1206" s="293" t="s">
        <v>5854</v>
      </c>
      <c r="F1206" s="293" t="s">
        <v>6514</v>
      </c>
      <c r="G1206" s="293" t="s">
        <v>5589</v>
      </c>
      <c r="H1206" s="294">
        <v>41425</v>
      </c>
      <c r="I1206" s="295">
        <v>6092.69</v>
      </c>
    </row>
    <row r="1207" spans="1:9" x14ac:dyDescent="0.2">
      <c r="A1207" s="293" t="s">
        <v>9916</v>
      </c>
      <c r="B1207" s="293" t="s">
        <v>5666</v>
      </c>
      <c r="C1207" s="293" t="s">
        <v>5816</v>
      </c>
      <c r="D1207" s="293" t="s">
        <v>5850</v>
      </c>
      <c r="E1207" s="293" t="s">
        <v>5851</v>
      </c>
      <c r="F1207" s="293" t="s">
        <v>6537</v>
      </c>
      <c r="G1207" s="293" t="s">
        <v>5591</v>
      </c>
      <c r="H1207" s="294">
        <v>41455</v>
      </c>
      <c r="I1207" s="295">
        <v>3613.17</v>
      </c>
    </row>
    <row r="1208" spans="1:9" x14ac:dyDescent="0.2">
      <c r="A1208" s="293" t="s">
        <v>9916</v>
      </c>
      <c r="B1208" s="293" t="s">
        <v>5666</v>
      </c>
      <c r="C1208" s="293" t="s">
        <v>5816</v>
      </c>
      <c r="D1208" s="293" t="s">
        <v>5850</v>
      </c>
      <c r="E1208" s="293" t="s">
        <v>5852</v>
      </c>
      <c r="F1208" s="293" t="s">
        <v>6537</v>
      </c>
      <c r="G1208" s="293" t="s">
        <v>5591</v>
      </c>
      <c r="H1208" s="294">
        <v>41455</v>
      </c>
      <c r="I1208" s="295">
        <v>21728.31</v>
      </c>
    </row>
    <row r="1209" spans="1:9" x14ac:dyDescent="0.2">
      <c r="A1209" s="293" t="s">
        <v>9917</v>
      </c>
      <c r="B1209" s="293" t="s">
        <v>5666</v>
      </c>
      <c r="C1209" s="293" t="s">
        <v>5812</v>
      </c>
      <c r="D1209" s="293" t="s">
        <v>5850</v>
      </c>
      <c r="E1209" s="293" t="s">
        <v>5853</v>
      </c>
      <c r="F1209" s="293" t="s">
        <v>6537</v>
      </c>
      <c r="G1209" s="293" t="s">
        <v>5589</v>
      </c>
      <c r="H1209" s="294">
        <v>41455</v>
      </c>
      <c r="I1209" s="295">
        <v>1013.15</v>
      </c>
    </row>
    <row r="1210" spans="1:9" x14ac:dyDescent="0.2">
      <c r="A1210" s="293" t="s">
        <v>9917</v>
      </c>
      <c r="B1210" s="293" t="s">
        <v>5666</v>
      </c>
      <c r="C1210" s="293" t="s">
        <v>5812</v>
      </c>
      <c r="D1210" s="293" t="s">
        <v>5850</v>
      </c>
      <c r="E1210" s="293" t="s">
        <v>5854</v>
      </c>
      <c r="F1210" s="293" t="s">
        <v>6537</v>
      </c>
      <c r="G1210" s="293" t="s">
        <v>5589</v>
      </c>
      <c r="H1210" s="294">
        <v>41455</v>
      </c>
      <c r="I1210" s="295">
        <v>6092.69</v>
      </c>
    </row>
    <row r="1211" spans="1:9" x14ac:dyDescent="0.2">
      <c r="A1211" s="293" t="s">
        <v>9918</v>
      </c>
      <c r="B1211" s="293" t="s">
        <v>5666</v>
      </c>
      <c r="C1211" s="293" t="s">
        <v>9919</v>
      </c>
      <c r="D1211" s="293" t="s">
        <v>5850</v>
      </c>
      <c r="E1211" s="293" t="s">
        <v>5088</v>
      </c>
      <c r="F1211" s="293" t="s">
        <v>6537</v>
      </c>
      <c r="G1211" s="293" t="s">
        <v>5637</v>
      </c>
      <c r="H1211" s="294">
        <v>41455</v>
      </c>
      <c r="I1211" s="295">
        <v>-194683.92</v>
      </c>
    </row>
    <row r="1212" spans="1:9" x14ac:dyDescent="0.2">
      <c r="A1212" s="293" t="s">
        <v>9920</v>
      </c>
      <c r="B1212" s="293" t="s">
        <v>5666</v>
      </c>
      <c r="C1212" s="293" t="s">
        <v>9921</v>
      </c>
      <c r="D1212" s="293" t="s">
        <v>5850</v>
      </c>
      <c r="E1212" s="293" t="s">
        <v>9922</v>
      </c>
      <c r="F1212" s="293" t="s">
        <v>6556</v>
      </c>
      <c r="G1212" s="293" t="s">
        <v>5637</v>
      </c>
      <c r="H1212" s="294">
        <v>41486</v>
      </c>
      <c r="I1212" s="295">
        <v>-32447.33</v>
      </c>
    </row>
    <row r="1213" spans="1:9" x14ac:dyDescent="0.2">
      <c r="A1213" s="293" t="s">
        <v>9923</v>
      </c>
      <c r="B1213" s="293" t="s">
        <v>9924</v>
      </c>
      <c r="C1213" s="293" t="s">
        <v>9925</v>
      </c>
      <c r="D1213" s="293" t="s">
        <v>5850</v>
      </c>
      <c r="E1213" s="293" t="s">
        <v>9925</v>
      </c>
      <c r="F1213" s="293" t="s">
        <v>9926</v>
      </c>
      <c r="G1213" s="293" t="s">
        <v>5637</v>
      </c>
      <c r="H1213" s="294">
        <v>41455</v>
      </c>
      <c r="I1213" s="295">
        <v>194683.81</v>
      </c>
    </row>
    <row r="1214" spans="1:9" x14ac:dyDescent="0.2">
      <c r="A1214" s="293" t="s">
        <v>9927</v>
      </c>
      <c r="B1214" s="293" t="s">
        <v>5666</v>
      </c>
      <c r="C1214" s="293" t="s">
        <v>5816</v>
      </c>
      <c r="D1214" s="293" t="s">
        <v>5850</v>
      </c>
      <c r="E1214" s="293" t="s">
        <v>5851</v>
      </c>
      <c r="F1214" s="293" t="s">
        <v>6561</v>
      </c>
      <c r="G1214" s="293" t="s">
        <v>5591</v>
      </c>
      <c r="H1214" s="294">
        <v>41486</v>
      </c>
      <c r="I1214" s="295">
        <v>3613.17</v>
      </c>
    </row>
    <row r="1215" spans="1:9" x14ac:dyDescent="0.2">
      <c r="A1215" s="293" t="s">
        <v>9927</v>
      </c>
      <c r="B1215" s="293" t="s">
        <v>5666</v>
      </c>
      <c r="C1215" s="293" t="s">
        <v>5816</v>
      </c>
      <c r="D1215" s="293" t="s">
        <v>5850</v>
      </c>
      <c r="E1215" s="293" t="s">
        <v>5852</v>
      </c>
      <c r="F1215" s="293" t="s">
        <v>6561</v>
      </c>
      <c r="G1215" s="293" t="s">
        <v>5591</v>
      </c>
      <c r="H1215" s="294">
        <v>41486</v>
      </c>
      <c r="I1215" s="295">
        <v>21728.31</v>
      </c>
    </row>
    <row r="1216" spans="1:9" x14ac:dyDescent="0.2">
      <c r="A1216" s="293" t="s">
        <v>9928</v>
      </c>
      <c r="B1216" s="293" t="s">
        <v>5666</v>
      </c>
      <c r="C1216" s="293" t="s">
        <v>5812</v>
      </c>
      <c r="D1216" s="293" t="s">
        <v>5850</v>
      </c>
      <c r="E1216" s="293" t="s">
        <v>5853</v>
      </c>
      <c r="F1216" s="293" t="s">
        <v>6561</v>
      </c>
      <c r="G1216" s="293" t="s">
        <v>5589</v>
      </c>
      <c r="H1216" s="294">
        <v>41486</v>
      </c>
      <c r="I1216" s="295">
        <v>1013.15</v>
      </c>
    </row>
    <row r="1217" spans="1:9" x14ac:dyDescent="0.2">
      <c r="A1217" s="293" t="s">
        <v>9928</v>
      </c>
      <c r="B1217" s="293" t="s">
        <v>5666</v>
      </c>
      <c r="C1217" s="293" t="s">
        <v>5812</v>
      </c>
      <c r="D1217" s="293" t="s">
        <v>5850</v>
      </c>
      <c r="E1217" s="293" t="s">
        <v>5854</v>
      </c>
      <c r="F1217" s="293" t="s">
        <v>6561</v>
      </c>
      <c r="G1217" s="293" t="s">
        <v>5589</v>
      </c>
      <c r="H1217" s="294">
        <v>41486</v>
      </c>
      <c r="I1217" s="295">
        <v>6092.69</v>
      </c>
    </row>
    <row r="1218" spans="1:9" x14ac:dyDescent="0.2">
      <c r="A1218" s="293" t="s">
        <v>9929</v>
      </c>
      <c r="B1218" s="293" t="s">
        <v>9924</v>
      </c>
      <c r="C1218" s="293" t="s">
        <v>9925</v>
      </c>
      <c r="D1218" s="293" t="s">
        <v>5850</v>
      </c>
      <c r="E1218" s="293" t="s">
        <v>9925</v>
      </c>
      <c r="F1218" s="293" t="s">
        <v>9930</v>
      </c>
      <c r="G1218" s="293" t="s">
        <v>5637</v>
      </c>
      <c r="H1218" s="294">
        <v>41486</v>
      </c>
      <c r="I1218" s="295">
        <v>32447.32</v>
      </c>
    </row>
    <row r="1219" spans="1:9" x14ac:dyDescent="0.2">
      <c r="A1219" s="293" t="s">
        <v>9931</v>
      </c>
      <c r="B1219" s="293" t="s">
        <v>9924</v>
      </c>
      <c r="C1219" s="293" t="s">
        <v>9925</v>
      </c>
      <c r="D1219" s="293" t="s">
        <v>5850</v>
      </c>
      <c r="E1219" s="293" t="s">
        <v>9925</v>
      </c>
      <c r="F1219" s="293" t="s">
        <v>9932</v>
      </c>
      <c r="G1219" s="293" t="s">
        <v>5589</v>
      </c>
      <c r="H1219" s="294">
        <v>41517</v>
      </c>
      <c r="I1219" s="295">
        <v>7105.96</v>
      </c>
    </row>
    <row r="1220" spans="1:9" x14ac:dyDescent="0.2">
      <c r="A1220" s="293" t="s">
        <v>9931</v>
      </c>
      <c r="B1220" s="293" t="s">
        <v>9924</v>
      </c>
      <c r="C1220" s="293" t="s">
        <v>9925</v>
      </c>
      <c r="D1220" s="293" t="s">
        <v>5850</v>
      </c>
      <c r="E1220" s="293" t="s">
        <v>9925</v>
      </c>
      <c r="F1220" s="293" t="s">
        <v>9932</v>
      </c>
      <c r="G1220" s="293" t="s">
        <v>5591</v>
      </c>
      <c r="H1220" s="294">
        <v>41517</v>
      </c>
      <c r="I1220" s="295">
        <v>25341.35</v>
      </c>
    </row>
    <row r="1221" spans="1:9" x14ac:dyDescent="0.2">
      <c r="A1221" s="293" t="s">
        <v>9933</v>
      </c>
      <c r="B1221" s="293" t="s">
        <v>9924</v>
      </c>
      <c r="C1221" s="293" t="s">
        <v>9925</v>
      </c>
      <c r="D1221" s="293" t="s">
        <v>5850</v>
      </c>
      <c r="E1221" s="293" t="s">
        <v>9925</v>
      </c>
      <c r="F1221" s="293" t="s">
        <v>9932</v>
      </c>
      <c r="G1221" s="293" t="s">
        <v>5589</v>
      </c>
      <c r="H1221" s="294">
        <v>41517</v>
      </c>
      <c r="I1221" s="295">
        <v>7105.96</v>
      </c>
    </row>
    <row r="1222" spans="1:9" x14ac:dyDescent="0.2">
      <c r="A1222" s="293" t="s">
        <v>9933</v>
      </c>
      <c r="B1222" s="293" t="s">
        <v>9924</v>
      </c>
      <c r="C1222" s="293" t="s">
        <v>9925</v>
      </c>
      <c r="D1222" s="293" t="s">
        <v>5850</v>
      </c>
      <c r="E1222" s="293" t="s">
        <v>9925</v>
      </c>
      <c r="F1222" s="293" t="s">
        <v>9932</v>
      </c>
      <c r="G1222" s="293" t="s">
        <v>5591</v>
      </c>
      <c r="H1222" s="294">
        <v>41517</v>
      </c>
      <c r="I1222" s="295">
        <v>25341.35</v>
      </c>
    </row>
    <row r="1223" spans="1:9" x14ac:dyDescent="0.2">
      <c r="A1223" s="293" t="s">
        <v>9934</v>
      </c>
      <c r="B1223" s="293" t="s">
        <v>9924</v>
      </c>
      <c r="C1223" s="293" t="s">
        <v>9925</v>
      </c>
      <c r="D1223" s="293" t="s">
        <v>5850</v>
      </c>
      <c r="E1223" s="293" t="s">
        <v>9925</v>
      </c>
      <c r="F1223" s="293" t="s">
        <v>9932</v>
      </c>
      <c r="G1223" s="293" t="s">
        <v>5589</v>
      </c>
      <c r="H1223" s="294">
        <v>41517</v>
      </c>
      <c r="I1223" s="295">
        <v>-7105.96</v>
      </c>
    </row>
    <row r="1224" spans="1:9" x14ac:dyDescent="0.2">
      <c r="A1224" s="293" t="s">
        <v>9934</v>
      </c>
      <c r="B1224" s="293" t="s">
        <v>9924</v>
      </c>
      <c r="C1224" s="293" t="s">
        <v>9925</v>
      </c>
      <c r="D1224" s="293" t="s">
        <v>5850</v>
      </c>
      <c r="E1224" s="293" t="s">
        <v>9925</v>
      </c>
      <c r="F1224" s="293" t="s">
        <v>9932</v>
      </c>
      <c r="G1224" s="293" t="s">
        <v>5591</v>
      </c>
      <c r="H1224" s="294">
        <v>41517</v>
      </c>
      <c r="I1224" s="295">
        <v>-25341.35</v>
      </c>
    </row>
    <row r="1225" spans="1:9" x14ac:dyDescent="0.2">
      <c r="A1225" s="293" t="s">
        <v>9935</v>
      </c>
      <c r="B1225" s="293" t="s">
        <v>9924</v>
      </c>
      <c r="C1225" s="293" t="s">
        <v>9925</v>
      </c>
      <c r="D1225" s="293" t="s">
        <v>5850</v>
      </c>
      <c r="E1225" s="293" t="s">
        <v>9925</v>
      </c>
      <c r="F1225" s="293" t="s">
        <v>9936</v>
      </c>
      <c r="G1225" s="293" t="s">
        <v>5591</v>
      </c>
      <c r="H1225" s="294">
        <v>41547</v>
      </c>
      <c r="I1225" s="295">
        <v>50682.71</v>
      </c>
    </row>
    <row r="1226" spans="1:9" x14ac:dyDescent="0.2">
      <c r="A1226" s="293" t="s">
        <v>9935</v>
      </c>
      <c r="B1226" s="293" t="s">
        <v>9924</v>
      </c>
      <c r="C1226" s="293" t="s">
        <v>9925</v>
      </c>
      <c r="D1226" s="293" t="s">
        <v>5850</v>
      </c>
      <c r="E1226" s="293" t="s">
        <v>9925</v>
      </c>
      <c r="F1226" s="293" t="s">
        <v>9936</v>
      </c>
      <c r="G1226" s="293" t="s">
        <v>5589</v>
      </c>
      <c r="H1226" s="294">
        <v>41547</v>
      </c>
      <c r="I1226" s="295">
        <v>14211.93</v>
      </c>
    </row>
    <row r="1227" spans="1:9" x14ac:dyDescent="0.2">
      <c r="A1227" s="293" t="s">
        <v>9937</v>
      </c>
      <c r="B1227" s="293" t="s">
        <v>9924</v>
      </c>
      <c r="C1227" s="293" t="s">
        <v>9925</v>
      </c>
      <c r="D1227" s="293" t="s">
        <v>5850</v>
      </c>
      <c r="E1227" s="293" t="s">
        <v>9925</v>
      </c>
      <c r="F1227" s="293" t="s">
        <v>9936</v>
      </c>
      <c r="G1227" s="293" t="s">
        <v>5591</v>
      </c>
      <c r="H1227" s="294">
        <v>41547</v>
      </c>
      <c r="I1227" s="295">
        <v>25341.360000000001</v>
      </c>
    </row>
    <row r="1228" spans="1:9" x14ac:dyDescent="0.2">
      <c r="A1228" s="293" t="s">
        <v>9937</v>
      </c>
      <c r="B1228" s="293" t="s">
        <v>9924</v>
      </c>
      <c r="C1228" s="293" t="s">
        <v>9925</v>
      </c>
      <c r="D1228" s="293" t="s">
        <v>5850</v>
      </c>
      <c r="E1228" s="293" t="s">
        <v>9925</v>
      </c>
      <c r="F1228" s="293" t="s">
        <v>9936</v>
      </c>
      <c r="G1228" s="293" t="s">
        <v>5589</v>
      </c>
      <c r="H1228" s="294">
        <v>41547</v>
      </c>
      <c r="I1228" s="295">
        <v>7105.96</v>
      </c>
    </row>
    <row r="1229" spans="1:9" x14ac:dyDescent="0.2">
      <c r="A1229" s="293" t="s">
        <v>9938</v>
      </c>
      <c r="B1229" s="293" t="s">
        <v>9924</v>
      </c>
      <c r="C1229" s="293" t="s">
        <v>9939</v>
      </c>
      <c r="D1229" s="293" t="s">
        <v>5850</v>
      </c>
      <c r="E1229" s="293" t="s">
        <v>9939</v>
      </c>
      <c r="F1229" s="293" t="s">
        <v>9936</v>
      </c>
      <c r="G1229" s="293" t="s">
        <v>5589</v>
      </c>
      <c r="H1229" s="294">
        <v>41547</v>
      </c>
      <c r="I1229" s="295">
        <v>-14211.93</v>
      </c>
    </row>
    <row r="1230" spans="1:9" x14ac:dyDescent="0.2">
      <c r="A1230" s="293" t="s">
        <v>9938</v>
      </c>
      <c r="B1230" s="293" t="s">
        <v>9924</v>
      </c>
      <c r="C1230" s="293" t="s">
        <v>9939</v>
      </c>
      <c r="D1230" s="293" t="s">
        <v>5850</v>
      </c>
      <c r="E1230" s="293" t="s">
        <v>9939</v>
      </c>
      <c r="F1230" s="293" t="s">
        <v>9936</v>
      </c>
      <c r="G1230" s="293" t="s">
        <v>5591</v>
      </c>
      <c r="H1230" s="294">
        <v>41547</v>
      </c>
      <c r="I1230" s="295">
        <v>-50682.71</v>
      </c>
    </row>
    <row r="1231" spans="1:9" x14ac:dyDescent="0.2">
      <c r="A1231" s="293" t="s">
        <v>9940</v>
      </c>
      <c r="B1231" s="293" t="s">
        <v>9924</v>
      </c>
      <c r="C1231" s="293" t="s">
        <v>9925</v>
      </c>
      <c r="D1231" s="293" t="s">
        <v>5850</v>
      </c>
      <c r="E1231" s="293" t="s">
        <v>9925</v>
      </c>
      <c r="F1231" s="293" t="s">
        <v>9941</v>
      </c>
      <c r="G1231" s="293" t="s">
        <v>5589</v>
      </c>
      <c r="H1231" s="294">
        <v>41578</v>
      </c>
      <c r="I1231" s="295">
        <v>7105.97</v>
      </c>
    </row>
    <row r="1232" spans="1:9" x14ac:dyDescent="0.2">
      <c r="A1232" s="293" t="s">
        <v>9940</v>
      </c>
      <c r="B1232" s="293" t="s">
        <v>9924</v>
      </c>
      <c r="C1232" s="293" t="s">
        <v>9925</v>
      </c>
      <c r="D1232" s="293" t="s">
        <v>5850</v>
      </c>
      <c r="E1232" s="293" t="s">
        <v>9925</v>
      </c>
      <c r="F1232" s="293" t="s">
        <v>9941</v>
      </c>
      <c r="G1232" s="293" t="s">
        <v>5591</v>
      </c>
      <c r="H1232" s="294">
        <v>41578</v>
      </c>
      <c r="I1232" s="295">
        <v>25341.35</v>
      </c>
    </row>
    <row r="1233" spans="1:9" x14ac:dyDescent="0.2">
      <c r="A1233" s="293" t="s">
        <v>9942</v>
      </c>
      <c r="B1233" s="293" t="s">
        <v>9924</v>
      </c>
      <c r="C1233" s="293" t="s">
        <v>9925</v>
      </c>
      <c r="D1233" s="293" t="s">
        <v>5850</v>
      </c>
      <c r="E1233" s="293" t="s">
        <v>9925</v>
      </c>
      <c r="F1233" s="293" t="s">
        <v>9943</v>
      </c>
      <c r="G1233" s="293" t="s">
        <v>5591</v>
      </c>
      <c r="H1233" s="294">
        <v>41608</v>
      </c>
      <c r="I1233" s="295">
        <v>25341.35</v>
      </c>
    </row>
    <row r="1234" spans="1:9" x14ac:dyDescent="0.2">
      <c r="A1234" s="293" t="s">
        <v>9942</v>
      </c>
      <c r="B1234" s="293" t="s">
        <v>9924</v>
      </c>
      <c r="C1234" s="293" t="s">
        <v>9925</v>
      </c>
      <c r="D1234" s="293" t="s">
        <v>5850</v>
      </c>
      <c r="E1234" s="293" t="s">
        <v>9925</v>
      </c>
      <c r="F1234" s="293" t="s">
        <v>9943</v>
      </c>
      <c r="G1234" s="293" t="s">
        <v>5589</v>
      </c>
      <c r="H1234" s="294">
        <v>41608</v>
      </c>
      <c r="I1234" s="295">
        <v>7105.95</v>
      </c>
    </row>
    <row r="1235" spans="1:9" x14ac:dyDescent="0.2">
      <c r="A1235" s="293" t="s">
        <v>9944</v>
      </c>
      <c r="B1235" s="293" t="s">
        <v>9924</v>
      </c>
      <c r="C1235" s="293" t="s">
        <v>9925</v>
      </c>
      <c r="D1235" s="293" t="s">
        <v>5850</v>
      </c>
      <c r="E1235" s="293" t="s">
        <v>9925</v>
      </c>
      <c r="F1235" s="293" t="s">
        <v>9945</v>
      </c>
      <c r="G1235" s="293" t="s">
        <v>5589</v>
      </c>
      <c r="H1235" s="294">
        <v>41639</v>
      </c>
      <c r="I1235" s="295">
        <v>7105.96</v>
      </c>
    </row>
    <row r="1236" spans="1:9" x14ac:dyDescent="0.2">
      <c r="A1236" s="293" t="s">
        <v>9944</v>
      </c>
      <c r="B1236" s="293" t="s">
        <v>9924</v>
      </c>
      <c r="C1236" s="293" t="s">
        <v>9925</v>
      </c>
      <c r="D1236" s="293" t="s">
        <v>5850</v>
      </c>
      <c r="E1236" s="293" t="s">
        <v>9925</v>
      </c>
      <c r="F1236" s="293" t="s">
        <v>9945</v>
      </c>
      <c r="G1236" s="293" t="s">
        <v>5591</v>
      </c>
      <c r="H1236" s="294">
        <v>41639</v>
      </c>
      <c r="I1236" s="295">
        <v>25341.360000000001</v>
      </c>
    </row>
    <row r="1237" spans="1:9" x14ac:dyDescent="0.2">
      <c r="A1237" s="293" t="s">
        <v>9946</v>
      </c>
      <c r="B1237" s="293" t="s">
        <v>9924</v>
      </c>
      <c r="C1237" s="293" t="s">
        <v>9925</v>
      </c>
      <c r="D1237" s="293" t="s">
        <v>5850</v>
      </c>
      <c r="E1237" s="293" t="s">
        <v>9925</v>
      </c>
      <c r="F1237" s="293" t="s">
        <v>9945</v>
      </c>
      <c r="G1237" s="293" t="s">
        <v>5591</v>
      </c>
      <c r="H1237" s="294">
        <v>41639</v>
      </c>
      <c r="I1237" s="295">
        <v>25341.360000000001</v>
      </c>
    </row>
    <row r="1238" spans="1:9" x14ac:dyDescent="0.2">
      <c r="A1238" s="293" t="s">
        <v>9946</v>
      </c>
      <c r="B1238" s="293" t="s">
        <v>9924</v>
      </c>
      <c r="C1238" s="293" t="s">
        <v>9925</v>
      </c>
      <c r="D1238" s="293" t="s">
        <v>5850</v>
      </c>
      <c r="E1238" s="293" t="s">
        <v>9925</v>
      </c>
      <c r="F1238" s="293" t="s">
        <v>9945</v>
      </c>
      <c r="G1238" s="293" t="s">
        <v>5589</v>
      </c>
      <c r="H1238" s="294">
        <v>41639</v>
      </c>
      <c r="I1238" s="295">
        <v>7105.96</v>
      </c>
    </row>
    <row r="1239" spans="1:9" x14ac:dyDescent="0.2">
      <c r="A1239" s="293" t="s">
        <v>9947</v>
      </c>
      <c r="B1239" s="293" t="s">
        <v>9924</v>
      </c>
      <c r="C1239" s="293" t="s">
        <v>9939</v>
      </c>
      <c r="D1239" s="293" t="s">
        <v>5850</v>
      </c>
      <c r="E1239" s="293" t="s">
        <v>9939</v>
      </c>
      <c r="F1239" s="293" t="s">
        <v>9945</v>
      </c>
      <c r="G1239" s="293" t="s">
        <v>5589</v>
      </c>
      <c r="H1239" s="294">
        <v>41639</v>
      </c>
      <c r="I1239" s="295">
        <v>-7105.96</v>
      </c>
    </row>
    <row r="1240" spans="1:9" x14ac:dyDescent="0.2">
      <c r="A1240" s="293" t="s">
        <v>9947</v>
      </c>
      <c r="B1240" s="293" t="s">
        <v>9924</v>
      </c>
      <c r="C1240" s="293" t="s">
        <v>9939</v>
      </c>
      <c r="D1240" s="293" t="s">
        <v>5850</v>
      </c>
      <c r="E1240" s="293" t="s">
        <v>9939</v>
      </c>
      <c r="F1240" s="293" t="s">
        <v>9945</v>
      </c>
      <c r="G1240" s="293" t="s">
        <v>5591</v>
      </c>
      <c r="H1240" s="294">
        <v>41639</v>
      </c>
      <c r="I1240" s="295">
        <v>-25341.360000000001</v>
      </c>
    </row>
    <row r="1241" spans="1:9" x14ac:dyDescent="0.2">
      <c r="A1241" s="293" t="s">
        <v>9948</v>
      </c>
      <c r="B1241" s="293" t="s">
        <v>9924</v>
      </c>
      <c r="C1241" s="293" t="s">
        <v>9925</v>
      </c>
      <c r="D1241" s="293" t="s">
        <v>5850</v>
      </c>
      <c r="E1241" s="293" t="s">
        <v>9925</v>
      </c>
      <c r="F1241" s="293" t="s">
        <v>9949</v>
      </c>
      <c r="G1241" s="293" t="s">
        <v>5591</v>
      </c>
      <c r="H1241" s="294">
        <v>41639</v>
      </c>
      <c r="I1241" s="295">
        <v>25341.360000000001</v>
      </c>
    </row>
    <row r="1242" spans="1:9" x14ac:dyDescent="0.2">
      <c r="A1242" s="293" t="s">
        <v>9948</v>
      </c>
      <c r="B1242" s="293" t="s">
        <v>9924</v>
      </c>
      <c r="C1242" s="293" t="s">
        <v>9925</v>
      </c>
      <c r="D1242" s="293" t="s">
        <v>5850</v>
      </c>
      <c r="E1242" s="293" t="s">
        <v>9925</v>
      </c>
      <c r="F1242" s="293" t="s">
        <v>9949</v>
      </c>
      <c r="G1242" s="293" t="s">
        <v>5589</v>
      </c>
      <c r="H1242" s="294">
        <v>41639</v>
      </c>
      <c r="I1242" s="295">
        <v>7105.96</v>
      </c>
    </row>
    <row r="1243" spans="1:9" x14ac:dyDescent="0.2">
      <c r="A1243" s="293" t="s">
        <v>9950</v>
      </c>
      <c r="B1243" s="293" t="s">
        <v>9924</v>
      </c>
      <c r="C1243" s="293" t="s">
        <v>9939</v>
      </c>
      <c r="D1243" s="293" t="s">
        <v>5850</v>
      </c>
      <c r="E1243" s="293" t="s">
        <v>9939</v>
      </c>
      <c r="F1243" s="293" t="s">
        <v>9949</v>
      </c>
      <c r="G1243" s="293" t="s">
        <v>5591</v>
      </c>
      <c r="H1243" s="294">
        <v>41639</v>
      </c>
      <c r="I1243" s="295">
        <v>-25341.360000000001</v>
      </c>
    </row>
    <row r="1244" spans="1:9" x14ac:dyDescent="0.2">
      <c r="A1244" s="293" t="s">
        <v>9950</v>
      </c>
      <c r="B1244" s="293" t="s">
        <v>9924</v>
      </c>
      <c r="C1244" s="293" t="s">
        <v>9939</v>
      </c>
      <c r="D1244" s="293" t="s">
        <v>5850</v>
      </c>
      <c r="E1244" s="293" t="s">
        <v>9939</v>
      </c>
      <c r="F1244" s="293" t="s">
        <v>9949</v>
      </c>
      <c r="G1244" s="293" t="s">
        <v>5589</v>
      </c>
      <c r="H1244" s="294">
        <v>41639</v>
      </c>
      <c r="I1244" s="295">
        <v>-7105.96</v>
      </c>
    </row>
    <row r="1245" spans="1:9" x14ac:dyDescent="0.2">
      <c r="A1245" s="293" t="s">
        <v>9951</v>
      </c>
      <c r="B1245" s="293" t="s">
        <v>9924</v>
      </c>
      <c r="C1245" s="293" t="s">
        <v>9925</v>
      </c>
      <c r="D1245" s="293" t="s">
        <v>5850</v>
      </c>
      <c r="E1245" s="293" t="s">
        <v>9925</v>
      </c>
      <c r="F1245" s="293" t="s">
        <v>9952</v>
      </c>
      <c r="G1245" s="293" t="s">
        <v>5589</v>
      </c>
      <c r="H1245" s="294">
        <v>41670</v>
      </c>
      <c r="I1245" s="295">
        <v>7105.96</v>
      </c>
    </row>
    <row r="1246" spans="1:9" x14ac:dyDescent="0.2">
      <c r="A1246" s="293" t="s">
        <v>9951</v>
      </c>
      <c r="B1246" s="293" t="s">
        <v>9924</v>
      </c>
      <c r="C1246" s="293" t="s">
        <v>9925</v>
      </c>
      <c r="D1246" s="293" t="s">
        <v>5850</v>
      </c>
      <c r="E1246" s="293" t="s">
        <v>9925</v>
      </c>
      <c r="F1246" s="293" t="s">
        <v>9952</v>
      </c>
      <c r="G1246" s="293" t="s">
        <v>5591</v>
      </c>
      <c r="H1246" s="294">
        <v>41670</v>
      </c>
      <c r="I1246" s="295">
        <v>25341.360000000001</v>
      </c>
    </row>
    <row r="1247" spans="1:9" x14ac:dyDescent="0.2">
      <c r="A1247" s="293" t="s">
        <v>9953</v>
      </c>
      <c r="B1247" s="293" t="s">
        <v>9924</v>
      </c>
      <c r="C1247" s="293" t="s">
        <v>9925</v>
      </c>
      <c r="D1247" s="293" t="s">
        <v>5850</v>
      </c>
      <c r="E1247" s="293" t="s">
        <v>9925</v>
      </c>
      <c r="F1247" s="293" t="s">
        <v>9954</v>
      </c>
      <c r="G1247" s="293" t="s">
        <v>5589</v>
      </c>
      <c r="H1247" s="294">
        <v>41698</v>
      </c>
      <c r="I1247" s="295">
        <v>7105.96</v>
      </c>
    </row>
    <row r="1248" spans="1:9" x14ac:dyDescent="0.2">
      <c r="A1248" s="293" t="s">
        <v>9953</v>
      </c>
      <c r="B1248" s="293" t="s">
        <v>9924</v>
      </c>
      <c r="C1248" s="293" t="s">
        <v>9925</v>
      </c>
      <c r="D1248" s="293" t="s">
        <v>5850</v>
      </c>
      <c r="E1248" s="293" t="s">
        <v>9925</v>
      </c>
      <c r="F1248" s="293" t="s">
        <v>9954</v>
      </c>
      <c r="G1248" s="293" t="s">
        <v>5591</v>
      </c>
      <c r="H1248" s="294">
        <v>41698</v>
      </c>
      <c r="I1248" s="295">
        <v>25341.35</v>
      </c>
    </row>
    <row r="1249" spans="1:9" x14ac:dyDescent="0.2">
      <c r="A1249" s="293" t="s">
        <v>9955</v>
      </c>
      <c r="B1249" s="293" t="s">
        <v>9924</v>
      </c>
      <c r="C1249" s="293" t="s">
        <v>9925</v>
      </c>
      <c r="D1249" s="293" t="s">
        <v>5850</v>
      </c>
      <c r="E1249" s="293" t="s">
        <v>9925</v>
      </c>
      <c r="F1249" s="293" t="s">
        <v>9956</v>
      </c>
      <c r="G1249" s="293" t="s">
        <v>5589</v>
      </c>
      <c r="H1249" s="294">
        <v>41729</v>
      </c>
      <c r="I1249" s="295">
        <v>7105.96</v>
      </c>
    </row>
    <row r="1250" spans="1:9" x14ac:dyDescent="0.2">
      <c r="A1250" s="293" t="s">
        <v>9955</v>
      </c>
      <c r="B1250" s="293" t="s">
        <v>9924</v>
      </c>
      <c r="C1250" s="293" t="s">
        <v>9925</v>
      </c>
      <c r="D1250" s="293" t="s">
        <v>5850</v>
      </c>
      <c r="E1250" s="293" t="s">
        <v>9925</v>
      </c>
      <c r="F1250" s="293" t="s">
        <v>9956</v>
      </c>
      <c r="G1250" s="293" t="s">
        <v>5591</v>
      </c>
      <c r="H1250" s="294">
        <v>41729</v>
      </c>
      <c r="I1250" s="295">
        <v>25341.360000000001</v>
      </c>
    </row>
    <row r="1251" spans="1:9" x14ac:dyDescent="0.2">
      <c r="A1251" s="293" t="s">
        <v>9957</v>
      </c>
      <c r="B1251" s="293" t="s">
        <v>9924</v>
      </c>
      <c r="C1251" s="293" t="s">
        <v>9925</v>
      </c>
      <c r="D1251" s="293" t="s">
        <v>5850</v>
      </c>
      <c r="E1251" s="293" t="s">
        <v>9925</v>
      </c>
      <c r="F1251" s="293" t="s">
        <v>9958</v>
      </c>
      <c r="G1251" s="293" t="s">
        <v>5754</v>
      </c>
      <c r="H1251" s="294">
        <v>41759</v>
      </c>
      <c r="I1251" s="295">
        <v>26665.279999999999</v>
      </c>
    </row>
    <row r="1252" spans="1:9" x14ac:dyDescent="0.2">
      <c r="A1252" s="293" t="s">
        <v>9957</v>
      </c>
      <c r="B1252" s="293" t="s">
        <v>9924</v>
      </c>
      <c r="C1252" s="293" t="s">
        <v>9925</v>
      </c>
      <c r="D1252" s="293" t="s">
        <v>5850</v>
      </c>
      <c r="E1252" s="293" t="s">
        <v>9925</v>
      </c>
      <c r="F1252" s="293" t="s">
        <v>9958</v>
      </c>
      <c r="G1252" s="293" t="s">
        <v>5589</v>
      </c>
      <c r="H1252" s="294">
        <v>41759</v>
      </c>
      <c r="I1252" s="295">
        <v>7105.98</v>
      </c>
    </row>
    <row r="1253" spans="1:9" x14ac:dyDescent="0.2">
      <c r="A1253" s="293" t="s">
        <v>9957</v>
      </c>
      <c r="B1253" s="293" t="s">
        <v>9924</v>
      </c>
      <c r="C1253" s="293" t="s">
        <v>9925</v>
      </c>
      <c r="D1253" s="293" t="s">
        <v>5850</v>
      </c>
      <c r="E1253" s="293" t="s">
        <v>9925</v>
      </c>
      <c r="F1253" s="293" t="s">
        <v>9958</v>
      </c>
      <c r="G1253" s="293" t="s">
        <v>5591</v>
      </c>
      <c r="H1253" s="294">
        <v>41759</v>
      </c>
      <c r="I1253" s="295">
        <v>25341.74</v>
      </c>
    </row>
    <row r="1254" spans="1:9" x14ac:dyDescent="0.2">
      <c r="A1254" s="293" t="s">
        <v>9959</v>
      </c>
      <c r="B1254" s="293" t="s">
        <v>9924</v>
      </c>
      <c r="C1254" s="293" t="s">
        <v>9925</v>
      </c>
      <c r="D1254" s="293" t="s">
        <v>5850</v>
      </c>
      <c r="E1254" s="293" t="s">
        <v>9925</v>
      </c>
      <c r="F1254" s="293" t="s">
        <v>9960</v>
      </c>
      <c r="G1254" s="293" t="s">
        <v>5591</v>
      </c>
      <c r="H1254" s="294">
        <v>41790</v>
      </c>
      <c r="I1254" s="295">
        <v>25341.37</v>
      </c>
    </row>
    <row r="1255" spans="1:9" x14ac:dyDescent="0.2">
      <c r="A1255" s="293" t="s">
        <v>9959</v>
      </c>
      <c r="B1255" s="293" t="s">
        <v>9924</v>
      </c>
      <c r="C1255" s="293" t="s">
        <v>9925</v>
      </c>
      <c r="D1255" s="293" t="s">
        <v>5850</v>
      </c>
      <c r="E1255" s="293" t="s">
        <v>9925</v>
      </c>
      <c r="F1255" s="293" t="s">
        <v>9960</v>
      </c>
      <c r="G1255" s="293" t="s">
        <v>5754</v>
      </c>
      <c r="H1255" s="294">
        <v>41790</v>
      </c>
      <c r="I1255" s="295">
        <v>-142189.25</v>
      </c>
    </row>
    <row r="1256" spans="1:9" x14ac:dyDescent="0.2">
      <c r="A1256" s="293" t="s">
        <v>9959</v>
      </c>
      <c r="B1256" s="293" t="s">
        <v>9924</v>
      </c>
      <c r="C1256" s="293" t="s">
        <v>9925</v>
      </c>
      <c r="D1256" s="293" t="s">
        <v>5850</v>
      </c>
      <c r="E1256" s="293" t="s">
        <v>9925</v>
      </c>
      <c r="F1256" s="293" t="s">
        <v>9960</v>
      </c>
      <c r="G1256" s="293" t="s">
        <v>5589</v>
      </c>
      <c r="H1256" s="294">
        <v>41790</v>
      </c>
      <c r="I1256" s="295">
        <v>7105.96</v>
      </c>
    </row>
    <row r="1257" spans="1:9" x14ac:dyDescent="0.2">
      <c r="A1257" s="293" t="s">
        <v>9961</v>
      </c>
      <c r="B1257" s="293" t="s">
        <v>9924</v>
      </c>
      <c r="C1257" s="293" t="s">
        <v>9925</v>
      </c>
      <c r="D1257" s="293" t="s">
        <v>5850</v>
      </c>
      <c r="E1257" s="293" t="s">
        <v>9925</v>
      </c>
      <c r="F1257" s="293" t="s">
        <v>9962</v>
      </c>
      <c r="G1257" s="293" t="s">
        <v>5591</v>
      </c>
      <c r="H1257" s="294">
        <v>41820</v>
      </c>
      <c r="I1257" s="295">
        <v>25341.360000000001</v>
      </c>
    </row>
    <row r="1258" spans="1:9" x14ac:dyDescent="0.2">
      <c r="A1258" s="293" t="s">
        <v>9961</v>
      </c>
      <c r="B1258" s="293" t="s">
        <v>9924</v>
      </c>
      <c r="C1258" s="293" t="s">
        <v>9925</v>
      </c>
      <c r="D1258" s="293" t="s">
        <v>5850</v>
      </c>
      <c r="E1258" s="293" t="s">
        <v>9925</v>
      </c>
      <c r="F1258" s="293" t="s">
        <v>9962</v>
      </c>
      <c r="G1258" s="293" t="s">
        <v>5589</v>
      </c>
      <c r="H1258" s="294">
        <v>41820</v>
      </c>
      <c r="I1258" s="295">
        <v>7105.96</v>
      </c>
    </row>
    <row r="1259" spans="1:9" x14ac:dyDescent="0.2">
      <c r="A1259" s="293" t="s">
        <v>9961</v>
      </c>
      <c r="B1259" s="293" t="s">
        <v>9924</v>
      </c>
      <c r="C1259" s="293" t="s">
        <v>9925</v>
      </c>
      <c r="D1259" s="293" t="s">
        <v>5850</v>
      </c>
      <c r="E1259" s="293" t="s">
        <v>9925</v>
      </c>
      <c r="F1259" s="293" t="s">
        <v>9962</v>
      </c>
      <c r="G1259" s="293" t="s">
        <v>5754</v>
      </c>
      <c r="H1259" s="294">
        <v>41820</v>
      </c>
      <c r="I1259" s="295">
        <v>321.79000000000002</v>
      </c>
    </row>
    <row r="1260" spans="1:9" x14ac:dyDescent="0.2">
      <c r="A1260" s="293" t="s">
        <v>9963</v>
      </c>
      <c r="B1260" s="293" t="s">
        <v>9924</v>
      </c>
      <c r="C1260" s="293" t="s">
        <v>9925</v>
      </c>
      <c r="D1260" s="293" t="s">
        <v>5850</v>
      </c>
      <c r="E1260" s="293" t="s">
        <v>9925</v>
      </c>
      <c r="F1260" s="293" t="s">
        <v>9964</v>
      </c>
      <c r="G1260" s="293" t="s">
        <v>5591</v>
      </c>
      <c r="H1260" s="294">
        <v>41851</v>
      </c>
      <c r="I1260" s="295">
        <v>25341.360000000001</v>
      </c>
    </row>
    <row r="1261" spans="1:9" x14ac:dyDescent="0.2">
      <c r="A1261" s="293" t="s">
        <v>9963</v>
      </c>
      <c r="B1261" s="293" t="s">
        <v>9924</v>
      </c>
      <c r="C1261" s="293" t="s">
        <v>9925</v>
      </c>
      <c r="D1261" s="293" t="s">
        <v>5850</v>
      </c>
      <c r="E1261" s="293" t="s">
        <v>9925</v>
      </c>
      <c r="F1261" s="293" t="s">
        <v>9964</v>
      </c>
      <c r="G1261" s="293" t="s">
        <v>5754</v>
      </c>
      <c r="H1261" s="294">
        <v>41851</v>
      </c>
      <c r="I1261" s="295">
        <v>321.79000000000002</v>
      </c>
    </row>
    <row r="1262" spans="1:9" x14ac:dyDescent="0.2">
      <c r="A1262" s="293" t="s">
        <v>9963</v>
      </c>
      <c r="B1262" s="293" t="s">
        <v>9924</v>
      </c>
      <c r="C1262" s="293" t="s">
        <v>9925</v>
      </c>
      <c r="D1262" s="293" t="s">
        <v>5850</v>
      </c>
      <c r="E1262" s="293" t="s">
        <v>9925</v>
      </c>
      <c r="F1262" s="293" t="s">
        <v>9964</v>
      </c>
      <c r="G1262" s="293" t="s">
        <v>5589</v>
      </c>
      <c r="H1262" s="294">
        <v>41851</v>
      </c>
      <c r="I1262" s="295">
        <v>7105.96</v>
      </c>
    </row>
    <row r="1263" spans="1:9" x14ac:dyDescent="0.2">
      <c r="A1263" s="293" t="s">
        <v>9965</v>
      </c>
      <c r="B1263" s="293" t="s">
        <v>9924</v>
      </c>
      <c r="C1263" s="293" t="s">
        <v>9925</v>
      </c>
      <c r="D1263" s="293" t="s">
        <v>5850</v>
      </c>
      <c r="E1263" s="293" t="s">
        <v>9925</v>
      </c>
      <c r="F1263" s="293" t="s">
        <v>9966</v>
      </c>
      <c r="G1263" s="293" t="s">
        <v>5589</v>
      </c>
      <c r="H1263" s="294">
        <v>41882</v>
      </c>
      <c r="I1263" s="295">
        <v>7105.96</v>
      </c>
    </row>
    <row r="1264" spans="1:9" x14ac:dyDescent="0.2">
      <c r="A1264" s="293" t="s">
        <v>9965</v>
      </c>
      <c r="B1264" s="293" t="s">
        <v>9924</v>
      </c>
      <c r="C1264" s="293" t="s">
        <v>9925</v>
      </c>
      <c r="D1264" s="293" t="s">
        <v>5850</v>
      </c>
      <c r="E1264" s="293" t="s">
        <v>9925</v>
      </c>
      <c r="F1264" s="293" t="s">
        <v>9966</v>
      </c>
      <c r="G1264" s="293" t="s">
        <v>5591</v>
      </c>
      <c r="H1264" s="294">
        <v>41882</v>
      </c>
      <c r="I1264" s="295">
        <v>25341.360000000001</v>
      </c>
    </row>
    <row r="1265" spans="1:9" x14ac:dyDescent="0.2">
      <c r="A1265" s="293" t="s">
        <v>9965</v>
      </c>
      <c r="B1265" s="293" t="s">
        <v>9924</v>
      </c>
      <c r="C1265" s="293" t="s">
        <v>9925</v>
      </c>
      <c r="D1265" s="293" t="s">
        <v>5850</v>
      </c>
      <c r="E1265" s="293" t="s">
        <v>9925</v>
      </c>
      <c r="F1265" s="293" t="s">
        <v>9966</v>
      </c>
      <c r="G1265" s="293" t="s">
        <v>5754</v>
      </c>
      <c r="H1265" s="294">
        <v>41882</v>
      </c>
      <c r="I1265" s="295">
        <v>321.79000000000002</v>
      </c>
    </row>
    <row r="1266" spans="1:9" x14ac:dyDescent="0.2">
      <c r="A1266" s="293" t="s">
        <v>9967</v>
      </c>
      <c r="B1266" s="293" t="s">
        <v>9924</v>
      </c>
      <c r="C1266" s="293" t="s">
        <v>9925</v>
      </c>
      <c r="D1266" s="293" t="s">
        <v>5850</v>
      </c>
      <c r="E1266" s="293" t="s">
        <v>9925</v>
      </c>
      <c r="F1266" s="293" t="s">
        <v>9968</v>
      </c>
      <c r="G1266" s="293" t="s">
        <v>5591</v>
      </c>
      <c r="H1266" s="294">
        <v>41912</v>
      </c>
      <c r="I1266" s="295">
        <v>25341.35</v>
      </c>
    </row>
    <row r="1267" spans="1:9" x14ac:dyDescent="0.2">
      <c r="A1267" s="293" t="s">
        <v>9967</v>
      </c>
      <c r="B1267" s="293" t="s">
        <v>9924</v>
      </c>
      <c r="C1267" s="293" t="s">
        <v>9925</v>
      </c>
      <c r="D1267" s="293" t="s">
        <v>5850</v>
      </c>
      <c r="E1267" s="293" t="s">
        <v>9925</v>
      </c>
      <c r="F1267" s="293" t="s">
        <v>9968</v>
      </c>
      <c r="G1267" s="293" t="s">
        <v>5754</v>
      </c>
      <c r="H1267" s="294">
        <v>41912</v>
      </c>
      <c r="I1267" s="295">
        <v>321.79000000000002</v>
      </c>
    </row>
    <row r="1268" spans="1:9" x14ac:dyDescent="0.2">
      <c r="A1268" s="293" t="s">
        <v>9967</v>
      </c>
      <c r="B1268" s="293" t="s">
        <v>9924</v>
      </c>
      <c r="C1268" s="293" t="s">
        <v>9925</v>
      </c>
      <c r="D1268" s="293" t="s">
        <v>5850</v>
      </c>
      <c r="E1268" s="293" t="s">
        <v>9925</v>
      </c>
      <c r="F1268" s="293" t="s">
        <v>9968</v>
      </c>
      <c r="G1268" s="293" t="s">
        <v>5589</v>
      </c>
      <c r="H1268" s="294">
        <v>41912</v>
      </c>
      <c r="I1268" s="295">
        <v>7105.96</v>
      </c>
    </row>
    <row r="1269" spans="1:9" x14ac:dyDescent="0.2">
      <c r="A1269" s="293" t="s">
        <v>9969</v>
      </c>
      <c r="B1269" s="293" t="s">
        <v>9924</v>
      </c>
      <c r="C1269" s="293" t="s">
        <v>9925</v>
      </c>
      <c r="D1269" s="293" t="s">
        <v>5850</v>
      </c>
      <c r="E1269" s="293" t="s">
        <v>9925</v>
      </c>
      <c r="F1269" s="293" t="s">
        <v>9970</v>
      </c>
      <c r="G1269" s="293" t="s">
        <v>5754</v>
      </c>
      <c r="H1269" s="294">
        <v>41943</v>
      </c>
      <c r="I1269" s="295">
        <v>321.79000000000002</v>
      </c>
    </row>
    <row r="1270" spans="1:9" x14ac:dyDescent="0.2">
      <c r="A1270" s="293" t="s">
        <v>9969</v>
      </c>
      <c r="B1270" s="293" t="s">
        <v>9924</v>
      </c>
      <c r="C1270" s="293" t="s">
        <v>9925</v>
      </c>
      <c r="D1270" s="293" t="s">
        <v>5850</v>
      </c>
      <c r="E1270" s="293" t="s">
        <v>9925</v>
      </c>
      <c r="F1270" s="293" t="s">
        <v>9970</v>
      </c>
      <c r="G1270" s="293" t="s">
        <v>5589</v>
      </c>
      <c r="H1270" s="294">
        <v>41943</v>
      </c>
      <c r="I1270" s="295">
        <v>7105.96</v>
      </c>
    </row>
    <row r="1271" spans="1:9" x14ac:dyDescent="0.2">
      <c r="A1271" s="293" t="s">
        <v>9969</v>
      </c>
      <c r="B1271" s="293" t="s">
        <v>9924</v>
      </c>
      <c r="C1271" s="293" t="s">
        <v>9925</v>
      </c>
      <c r="D1271" s="293" t="s">
        <v>5850</v>
      </c>
      <c r="E1271" s="293" t="s">
        <v>9925</v>
      </c>
      <c r="F1271" s="293" t="s">
        <v>9970</v>
      </c>
      <c r="G1271" s="293" t="s">
        <v>5591</v>
      </c>
      <c r="H1271" s="294">
        <v>41943</v>
      </c>
      <c r="I1271" s="295">
        <v>25341.360000000001</v>
      </c>
    </row>
    <row r="1272" spans="1:9" x14ac:dyDescent="0.2">
      <c r="A1272" s="293" t="s">
        <v>9971</v>
      </c>
      <c r="B1272" s="293" t="s">
        <v>9924</v>
      </c>
      <c r="C1272" s="293" t="s">
        <v>9925</v>
      </c>
      <c r="D1272" s="293" t="s">
        <v>5850</v>
      </c>
      <c r="E1272" s="293" t="s">
        <v>9925</v>
      </c>
      <c r="F1272" s="293" t="s">
        <v>9972</v>
      </c>
      <c r="G1272" s="293" t="s">
        <v>5754</v>
      </c>
      <c r="H1272" s="294">
        <v>41973</v>
      </c>
      <c r="I1272" s="295">
        <v>321.79000000000002</v>
      </c>
    </row>
    <row r="1273" spans="1:9" x14ac:dyDescent="0.2">
      <c r="A1273" s="293" t="s">
        <v>9971</v>
      </c>
      <c r="B1273" s="293" t="s">
        <v>9924</v>
      </c>
      <c r="C1273" s="293" t="s">
        <v>9925</v>
      </c>
      <c r="D1273" s="293" t="s">
        <v>5850</v>
      </c>
      <c r="E1273" s="293" t="s">
        <v>9925</v>
      </c>
      <c r="F1273" s="293" t="s">
        <v>9972</v>
      </c>
      <c r="G1273" s="293" t="s">
        <v>5589</v>
      </c>
      <c r="H1273" s="294">
        <v>41973</v>
      </c>
      <c r="I1273" s="295">
        <v>7105.96</v>
      </c>
    </row>
    <row r="1274" spans="1:9" x14ac:dyDescent="0.2">
      <c r="A1274" s="293" t="s">
        <v>9971</v>
      </c>
      <c r="B1274" s="293" t="s">
        <v>9924</v>
      </c>
      <c r="C1274" s="293" t="s">
        <v>9925</v>
      </c>
      <c r="D1274" s="293" t="s">
        <v>5850</v>
      </c>
      <c r="E1274" s="293" t="s">
        <v>9925</v>
      </c>
      <c r="F1274" s="293" t="s">
        <v>9972</v>
      </c>
      <c r="G1274" s="293" t="s">
        <v>5591</v>
      </c>
      <c r="H1274" s="294">
        <v>41973</v>
      </c>
      <c r="I1274" s="295">
        <v>25341.360000000001</v>
      </c>
    </row>
    <row r="1275" spans="1:9" x14ac:dyDescent="0.2">
      <c r="A1275" s="293" t="s">
        <v>9973</v>
      </c>
      <c r="B1275" s="293" t="s">
        <v>9924</v>
      </c>
      <c r="C1275" s="293" t="s">
        <v>9925</v>
      </c>
      <c r="D1275" s="293" t="s">
        <v>5850</v>
      </c>
      <c r="E1275" s="293" t="s">
        <v>9925</v>
      </c>
      <c r="F1275" s="293" t="s">
        <v>9974</v>
      </c>
      <c r="G1275" s="293" t="s">
        <v>5591</v>
      </c>
      <c r="H1275" s="294">
        <v>42004</v>
      </c>
      <c r="I1275" s="295">
        <v>25341.360000000001</v>
      </c>
    </row>
    <row r="1276" spans="1:9" x14ac:dyDescent="0.2">
      <c r="A1276" s="293" t="s">
        <v>9973</v>
      </c>
      <c r="B1276" s="293" t="s">
        <v>9924</v>
      </c>
      <c r="C1276" s="293" t="s">
        <v>9925</v>
      </c>
      <c r="D1276" s="293" t="s">
        <v>5850</v>
      </c>
      <c r="E1276" s="293" t="s">
        <v>9925</v>
      </c>
      <c r="F1276" s="293" t="s">
        <v>9974</v>
      </c>
      <c r="G1276" s="293" t="s">
        <v>5754</v>
      </c>
      <c r="H1276" s="294">
        <v>42004</v>
      </c>
      <c r="I1276" s="295">
        <v>321.79000000000002</v>
      </c>
    </row>
    <row r="1277" spans="1:9" x14ac:dyDescent="0.2">
      <c r="A1277" s="293" t="s">
        <v>9973</v>
      </c>
      <c r="B1277" s="293" t="s">
        <v>9924</v>
      </c>
      <c r="C1277" s="293" t="s">
        <v>9925</v>
      </c>
      <c r="D1277" s="293" t="s">
        <v>5850</v>
      </c>
      <c r="E1277" s="293" t="s">
        <v>9925</v>
      </c>
      <c r="F1277" s="293" t="s">
        <v>9974</v>
      </c>
      <c r="G1277" s="293" t="s">
        <v>5589</v>
      </c>
      <c r="H1277" s="294">
        <v>42004</v>
      </c>
      <c r="I1277" s="295">
        <v>7105.96</v>
      </c>
    </row>
    <row r="1278" spans="1:9" x14ac:dyDescent="0.2">
      <c r="A1278" s="293" t="s">
        <v>9975</v>
      </c>
      <c r="B1278" s="293" t="s">
        <v>9924</v>
      </c>
      <c r="C1278" s="293" t="s">
        <v>9925</v>
      </c>
      <c r="D1278" s="293" t="s">
        <v>5850</v>
      </c>
      <c r="E1278" s="293" t="s">
        <v>9925</v>
      </c>
      <c r="F1278" s="293" t="s">
        <v>9976</v>
      </c>
      <c r="G1278" s="293" t="s">
        <v>5591</v>
      </c>
      <c r="H1278" s="294">
        <v>42004</v>
      </c>
      <c r="I1278" s="295">
        <v>25341.360000000001</v>
      </c>
    </row>
    <row r="1279" spans="1:9" x14ac:dyDescent="0.2">
      <c r="A1279" s="293" t="s">
        <v>9975</v>
      </c>
      <c r="B1279" s="293" t="s">
        <v>9924</v>
      </c>
      <c r="C1279" s="293" t="s">
        <v>9925</v>
      </c>
      <c r="D1279" s="293" t="s">
        <v>5850</v>
      </c>
      <c r="E1279" s="293" t="s">
        <v>9925</v>
      </c>
      <c r="F1279" s="293" t="s">
        <v>9976</v>
      </c>
      <c r="G1279" s="293" t="s">
        <v>5754</v>
      </c>
      <c r="H1279" s="294">
        <v>42004</v>
      </c>
      <c r="I1279" s="295">
        <v>321.79000000000002</v>
      </c>
    </row>
    <row r="1280" spans="1:9" x14ac:dyDescent="0.2">
      <c r="A1280" s="293" t="s">
        <v>9975</v>
      </c>
      <c r="B1280" s="293" t="s">
        <v>9924</v>
      </c>
      <c r="C1280" s="293" t="s">
        <v>9925</v>
      </c>
      <c r="D1280" s="293" t="s">
        <v>5850</v>
      </c>
      <c r="E1280" s="293" t="s">
        <v>9925</v>
      </c>
      <c r="F1280" s="293" t="s">
        <v>9976</v>
      </c>
      <c r="G1280" s="293" t="s">
        <v>5589</v>
      </c>
      <c r="H1280" s="294">
        <v>42004</v>
      </c>
      <c r="I1280" s="295">
        <v>7105.96</v>
      </c>
    </row>
    <row r="1281" spans="1:9" x14ac:dyDescent="0.2">
      <c r="A1281" s="293" t="s">
        <v>9977</v>
      </c>
      <c r="B1281" s="293" t="s">
        <v>9924</v>
      </c>
      <c r="C1281" s="293" t="s">
        <v>9939</v>
      </c>
      <c r="D1281" s="293" t="s">
        <v>5850</v>
      </c>
      <c r="E1281" s="293" t="s">
        <v>9939</v>
      </c>
      <c r="F1281" s="293" t="s">
        <v>9976</v>
      </c>
      <c r="G1281" s="293" t="s">
        <v>5754</v>
      </c>
      <c r="H1281" s="294">
        <v>42004</v>
      </c>
      <c r="I1281" s="295">
        <v>-321.79000000000002</v>
      </c>
    </row>
    <row r="1282" spans="1:9" x14ac:dyDescent="0.2">
      <c r="A1282" s="293" t="s">
        <v>9977</v>
      </c>
      <c r="B1282" s="293" t="s">
        <v>9924</v>
      </c>
      <c r="C1282" s="293" t="s">
        <v>9939</v>
      </c>
      <c r="D1282" s="293" t="s">
        <v>5850</v>
      </c>
      <c r="E1282" s="293" t="s">
        <v>9939</v>
      </c>
      <c r="F1282" s="293" t="s">
        <v>9976</v>
      </c>
      <c r="G1282" s="293" t="s">
        <v>5591</v>
      </c>
      <c r="H1282" s="294">
        <v>42004</v>
      </c>
      <c r="I1282" s="295">
        <v>-25341.360000000001</v>
      </c>
    </row>
    <row r="1283" spans="1:9" x14ac:dyDescent="0.2">
      <c r="A1283" s="293" t="s">
        <v>9977</v>
      </c>
      <c r="B1283" s="293" t="s">
        <v>9924</v>
      </c>
      <c r="C1283" s="293" t="s">
        <v>9939</v>
      </c>
      <c r="D1283" s="293" t="s">
        <v>5850</v>
      </c>
      <c r="E1283" s="293" t="s">
        <v>9939</v>
      </c>
      <c r="F1283" s="293" t="s">
        <v>9976</v>
      </c>
      <c r="G1283" s="293" t="s">
        <v>5589</v>
      </c>
      <c r="H1283" s="294">
        <v>42004</v>
      </c>
      <c r="I1283" s="295">
        <v>-7105.96</v>
      </c>
    </row>
    <row r="1284" spans="1:9" x14ac:dyDescent="0.2">
      <c r="A1284" s="293" t="s">
        <v>9978</v>
      </c>
      <c r="B1284" s="293" t="s">
        <v>9924</v>
      </c>
      <c r="C1284" s="293" t="s">
        <v>9925</v>
      </c>
      <c r="D1284" s="293" t="s">
        <v>5850</v>
      </c>
      <c r="E1284" s="293" t="s">
        <v>9925</v>
      </c>
      <c r="F1284" s="293" t="s">
        <v>9979</v>
      </c>
      <c r="G1284" s="293" t="s">
        <v>5754</v>
      </c>
      <c r="H1284" s="294">
        <v>42035</v>
      </c>
      <c r="I1284" s="295">
        <v>321.79000000000002</v>
      </c>
    </row>
    <row r="1285" spans="1:9" x14ac:dyDescent="0.2">
      <c r="A1285" s="293" t="s">
        <v>9978</v>
      </c>
      <c r="B1285" s="293" t="s">
        <v>9924</v>
      </c>
      <c r="C1285" s="293" t="s">
        <v>9925</v>
      </c>
      <c r="D1285" s="293" t="s">
        <v>5850</v>
      </c>
      <c r="E1285" s="293" t="s">
        <v>9925</v>
      </c>
      <c r="F1285" s="293" t="s">
        <v>9979</v>
      </c>
      <c r="G1285" s="293" t="s">
        <v>5589</v>
      </c>
      <c r="H1285" s="294">
        <v>42035</v>
      </c>
      <c r="I1285" s="295">
        <v>7105.96</v>
      </c>
    </row>
    <row r="1286" spans="1:9" x14ac:dyDescent="0.2">
      <c r="A1286" s="293" t="s">
        <v>9978</v>
      </c>
      <c r="B1286" s="293" t="s">
        <v>9924</v>
      </c>
      <c r="C1286" s="293" t="s">
        <v>9925</v>
      </c>
      <c r="D1286" s="293" t="s">
        <v>5850</v>
      </c>
      <c r="E1286" s="293" t="s">
        <v>9925</v>
      </c>
      <c r="F1286" s="293" t="s">
        <v>9979</v>
      </c>
      <c r="G1286" s="293" t="s">
        <v>5591</v>
      </c>
      <c r="H1286" s="294">
        <v>42035</v>
      </c>
      <c r="I1286" s="295">
        <v>25341.360000000001</v>
      </c>
    </row>
    <row r="1287" spans="1:9" x14ac:dyDescent="0.2">
      <c r="A1287" s="293" t="s">
        <v>9980</v>
      </c>
      <c r="B1287" s="293" t="s">
        <v>9924</v>
      </c>
      <c r="C1287" s="293" t="s">
        <v>9925</v>
      </c>
      <c r="D1287" s="293" t="s">
        <v>5850</v>
      </c>
      <c r="E1287" s="293" t="s">
        <v>9925</v>
      </c>
      <c r="F1287" s="293" t="s">
        <v>9981</v>
      </c>
      <c r="G1287" s="293" t="s">
        <v>5591</v>
      </c>
      <c r="H1287" s="294">
        <v>42063</v>
      </c>
      <c r="I1287" s="295">
        <v>25341.360000000001</v>
      </c>
    </row>
    <row r="1288" spans="1:9" x14ac:dyDescent="0.2">
      <c r="A1288" s="293" t="s">
        <v>9980</v>
      </c>
      <c r="B1288" s="293" t="s">
        <v>9924</v>
      </c>
      <c r="C1288" s="293" t="s">
        <v>9925</v>
      </c>
      <c r="D1288" s="293" t="s">
        <v>5850</v>
      </c>
      <c r="E1288" s="293" t="s">
        <v>9925</v>
      </c>
      <c r="F1288" s="293" t="s">
        <v>9981</v>
      </c>
      <c r="G1288" s="293" t="s">
        <v>5754</v>
      </c>
      <c r="H1288" s="294">
        <v>42063</v>
      </c>
      <c r="I1288" s="295">
        <v>321.79000000000002</v>
      </c>
    </row>
    <row r="1289" spans="1:9" x14ac:dyDescent="0.2">
      <c r="A1289" s="293" t="s">
        <v>9980</v>
      </c>
      <c r="B1289" s="293" t="s">
        <v>9924</v>
      </c>
      <c r="C1289" s="293" t="s">
        <v>9925</v>
      </c>
      <c r="D1289" s="293" t="s">
        <v>5850</v>
      </c>
      <c r="E1289" s="293" t="s">
        <v>9925</v>
      </c>
      <c r="F1289" s="293" t="s">
        <v>9981</v>
      </c>
      <c r="G1289" s="293" t="s">
        <v>5589</v>
      </c>
      <c r="H1289" s="294">
        <v>42063</v>
      </c>
      <c r="I1289" s="295">
        <v>7105.96</v>
      </c>
    </row>
    <row r="1290" spans="1:9" x14ac:dyDescent="0.2">
      <c r="A1290" s="293" t="s">
        <v>9982</v>
      </c>
      <c r="B1290" s="293" t="s">
        <v>9924</v>
      </c>
      <c r="C1290" s="293" t="s">
        <v>9925</v>
      </c>
      <c r="D1290" s="293" t="s">
        <v>5850</v>
      </c>
      <c r="E1290" s="293" t="s">
        <v>9925</v>
      </c>
      <c r="F1290" s="293" t="s">
        <v>9983</v>
      </c>
      <c r="G1290" s="293" t="s">
        <v>5754</v>
      </c>
      <c r="H1290" s="294">
        <v>42094</v>
      </c>
      <c r="I1290" s="295">
        <v>321.79000000000002</v>
      </c>
    </row>
    <row r="1291" spans="1:9" x14ac:dyDescent="0.2">
      <c r="A1291" s="293" t="s">
        <v>9982</v>
      </c>
      <c r="B1291" s="293" t="s">
        <v>9924</v>
      </c>
      <c r="C1291" s="293" t="s">
        <v>9925</v>
      </c>
      <c r="D1291" s="293" t="s">
        <v>5850</v>
      </c>
      <c r="E1291" s="293" t="s">
        <v>9925</v>
      </c>
      <c r="F1291" s="293" t="s">
        <v>9983</v>
      </c>
      <c r="G1291" s="293" t="s">
        <v>5589</v>
      </c>
      <c r="H1291" s="294">
        <v>42094</v>
      </c>
      <c r="I1291" s="295">
        <v>7105.96</v>
      </c>
    </row>
    <row r="1292" spans="1:9" x14ac:dyDescent="0.2">
      <c r="A1292" s="293" t="s">
        <v>9982</v>
      </c>
      <c r="B1292" s="293" t="s">
        <v>9924</v>
      </c>
      <c r="C1292" s="293" t="s">
        <v>9925</v>
      </c>
      <c r="D1292" s="293" t="s">
        <v>5850</v>
      </c>
      <c r="E1292" s="293" t="s">
        <v>9925</v>
      </c>
      <c r="F1292" s="293" t="s">
        <v>9983</v>
      </c>
      <c r="G1292" s="293" t="s">
        <v>5591</v>
      </c>
      <c r="H1292" s="294">
        <v>42094</v>
      </c>
      <c r="I1292" s="295">
        <v>25341.35</v>
      </c>
    </row>
    <row r="1293" spans="1:9" x14ac:dyDescent="0.2">
      <c r="A1293" s="293" t="s">
        <v>9982</v>
      </c>
      <c r="B1293" s="293" t="s">
        <v>9924</v>
      </c>
      <c r="C1293" s="293" t="s">
        <v>9925</v>
      </c>
      <c r="D1293" s="293" t="s">
        <v>5850</v>
      </c>
      <c r="E1293" s="293" t="s">
        <v>9925</v>
      </c>
      <c r="F1293" s="293" t="s">
        <v>9983</v>
      </c>
      <c r="G1293" s="293" t="s">
        <v>5755</v>
      </c>
      <c r="H1293" s="294">
        <v>42094</v>
      </c>
      <c r="I1293" s="295">
        <v>122099.54</v>
      </c>
    </row>
    <row r="1294" spans="1:9" x14ac:dyDescent="0.2">
      <c r="A1294" s="293" t="s">
        <v>9984</v>
      </c>
      <c r="B1294" s="293" t="s">
        <v>9924</v>
      </c>
      <c r="C1294" s="293" t="s">
        <v>9925</v>
      </c>
      <c r="D1294" s="293" t="s">
        <v>5850</v>
      </c>
      <c r="E1294" s="293" t="s">
        <v>9925</v>
      </c>
      <c r="F1294" s="293" t="s">
        <v>9985</v>
      </c>
      <c r="G1294" s="293" t="s">
        <v>5589</v>
      </c>
      <c r="H1294" s="294">
        <v>42124</v>
      </c>
      <c r="I1294" s="295">
        <v>7105.96</v>
      </c>
    </row>
    <row r="1295" spans="1:9" x14ac:dyDescent="0.2">
      <c r="A1295" s="293" t="s">
        <v>9984</v>
      </c>
      <c r="B1295" s="293" t="s">
        <v>9924</v>
      </c>
      <c r="C1295" s="293" t="s">
        <v>9925</v>
      </c>
      <c r="D1295" s="293" t="s">
        <v>5850</v>
      </c>
      <c r="E1295" s="293" t="s">
        <v>9925</v>
      </c>
      <c r="F1295" s="293" t="s">
        <v>9985</v>
      </c>
      <c r="G1295" s="293" t="s">
        <v>5755</v>
      </c>
      <c r="H1295" s="294">
        <v>42124</v>
      </c>
      <c r="I1295" s="295">
        <v>710951.13</v>
      </c>
    </row>
    <row r="1296" spans="1:9" x14ac:dyDescent="0.2">
      <c r="A1296" s="293" t="s">
        <v>9984</v>
      </c>
      <c r="B1296" s="293" t="s">
        <v>9924</v>
      </c>
      <c r="C1296" s="293" t="s">
        <v>9925</v>
      </c>
      <c r="D1296" s="293" t="s">
        <v>5850</v>
      </c>
      <c r="E1296" s="293" t="s">
        <v>9925</v>
      </c>
      <c r="F1296" s="293" t="s">
        <v>9985</v>
      </c>
      <c r="G1296" s="293" t="s">
        <v>5754</v>
      </c>
      <c r="H1296" s="294">
        <v>42124</v>
      </c>
      <c r="I1296" s="295">
        <v>321.79000000000002</v>
      </c>
    </row>
    <row r="1297" spans="1:9" x14ac:dyDescent="0.2">
      <c r="A1297" s="293" t="s">
        <v>9984</v>
      </c>
      <c r="B1297" s="293" t="s">
        <v>9924</v>
      </c>
      <c r="C1297" s="293" t="s">
        <v>9925</v>
      </c>
      <c r="D1297" s="293" t="s">
        <v>5850</v>
      </c>
      <c r="E1297" s="293" t="s">
        <v>9925</v>
      </c>
      <c r="F1297" s="293" t="s">
        <v>9985</v>
      </c>
      <c r="G1297" s="293" t="s">
        <v>5591</v>
      </c>
      <c r="H1297" s="294">
        <v>42124</v>
      </c>
      <c r="I1297" s="295">
        <v>25341.360000000001</v>
      </c>
    </row>
    <row r="1298" spans="1:9" x14ac:dyDescent="0.2">
      <c r="A1298" s="293" t="s">
        <v>9986</v>
      </c>
      <c r="B1298" s="293" t="s">
        <v>9924</v>
      </c>
      <c r="C1298" s="293" t="s">
        <v>9925</v>
      </c>
      <c r="D1298" s="293" t="s">
        <v>5850</v>
      </c>
      <c r="E1298" s="293" t="s">
        <v>9925</v>
      </c>
      <c r="F1298" s="293" t="s">
        <v>9987</v>
      </c>
      <c r="G1298" s="293" t="s">
        <v>5754</v>
      </c>
      <c r="H1298" s="294">
        <v>42155</v>
      </c>
      <c r="I1298" s="295">
        <v>321.79000000000002</v>
      </c>
    </row>
    <row r="1299" spans="1:9" x14ac:dyDescent="0.2">
      <c r="A1299" s="293" t="s">
        <v>9986</v>
      </c>
      <c r="B1299" s="293" t="s">
        <v>9924</v>
      </c>
      <c r="C1299" s="293" t="s">
        <v>9925</v>
      </c>
      <c r="D1299" s="293" t="s">
        <v>5850</v>
      </c>
      <c r="E1299" s="293" t="s">
        <v>9925</v>
      </c>
      <c r="F1299" s="293" t="s">
        <v>9987</v>
      </c>
      <c r="G1299" s="293" t="s">
        <v>5755</v>
      </c>
      <c r="H1299" s="294">
        <v>42155</v>
      </c>
      <c r="I1299" s="295">
        <v>706462.14</v>
      </c>
    </row>
    <row r="1300" spans="1:9" x14ac:dyDescent="0.2">
      <c r="A1300" s="293" t="s">
        <v>9986</v>
      </c>
      <c r="B1300" s="293" t="s">
        <v>9924</v>
      </c>
      <c r="C1300" s="293" t="s">
        <v>9925</v>
      </c>
      <c r="D1300" s="293" t="s">
        <v>5850</v>
      </c>
      <c r="E1300" s="293" t="s">
        <v>9925</v>
      </c>
      <c r="F1300" s="293" t="s">
        <v>9987</v>
      </c>
      <c r="G1300" s="293" t="s">
        <v>5591</v>
      </c>
      <c r="H1300" s="294">
        <v>42155</v>
      </c>
      <c r="I1300" s="295">
        <v>25341.360000000001</v>
      </c>
    </row>
    <row r="1301" spans="1:9" x14ac:dyDescent="0.2">
      <c r="A1301" s="293" t="s">
        <v>9986</v>
      </c>
      <c r="B1301" s="293" t="s">
        <v>9924</v>
      </c>
      <c r="C1301" s="293" t="s">
        <v>9925</v>
      </c>
      <c r="D1301" s="293" t="s">
        <v>5850</v>
      </c>
      <c r="E1301" s="293" t="s">
        <v>9925</v>
      </c>
      <c r="F1301" s="293" t="s">
        <v>9987</v>
      </c>
      <c r="G1301" s="293" t="s">
        <v>5589</v>
      </c>
      <c r="H1301" s="294">
        <v>42155</v>
      </c>
      <c r="I1301" s="295">
        <v>7105.96</v>
      </c>
    </row>
    <row r="1302" spans="1:9" x14ac:dyDescent="0.2">
      <c r="A1302" s="293" t="s">
        <v>9988</v>
      </c>
      <c r="B1302" s="293" t="s">
        <v>9924</v>
      </c>
      <c r="C1302" s="293" t="s">
        <v>9925</v>
      </c>
      <c r="D1302" s="293" t="s">
        <v>5850</v>
      </c>
      <c r="E1302" s="293" t="s">
        <v>9925</v>
      </c>
      <c r="F1302" s="293" t="s">
        <v>9989</v>
      </c>
      <c r="G1302" s="293" t="s">
        <v>5755</v>
      </c>
      <c r="H1302" s="294">
        <v>42185</v>
      </c>
      <c r="I1302" s="295">
        <v>-4276.43</v>
      </c>
    </row>
    <row r="1303" spans="1:9" x14ac:dyDescent="0.2">
      <c r="A1303" s="293" t="s">
        <v>9988</v>
      </c>
      <c r="B1303" s="293" t="s">
        <v>9924</v>
      </c>
      <c r="C1303" s="293" t="s">
        <v>9925</v>
      </c>
      <c r="D1303" s="293" t="s">
        <v>5850</v>
      </c>
      <c r="E1303" s="293" t="s">
        <v>9925</v>
      </c>
      <c r="F1303" s="293" t="s">
        <v>9989</v>
      </c>
      <c r="G1303" s="293" t="s">
        <v>5754</v>
      </c>
      <c r="H1303" s="294">
        <v>42185</v>
      </c>
      <c r="I1303" s="295">
        <v>321.79000000000002</v>
      </c>
    </row>
    <row r="1304" spans="1:9" x14ac:dyDescent="0.2">
      <c r="A1304" s="293" t="s">
        <v>9988</v>
      </c>
      <c r="B1304" s="293" t="s">
        <v>9924</v>
      </c>
      <c r="C1304" s="293" t="s">
        <v>9925</v>
      </c>
      <c r="D1304" s="293" t="s">
        <v>5850</v>
      </c>
      <c r="E1304" s="293" t="s">
        <v>9925</v>
      </c>
      <c r="F1304" s="293" t="s">
        <v>9989</v>
      </c>
      <c r="G1304" s="293" t="s">
        <v>5591</v>
      </c>
      <c r="H1304" s="294">
        <v>42185</v>
      </c>
      <c r="I1304" s="295">
        <v>25341.360000000001</v>
      </c>
    </row>
    <row r="1305" spans="1:9" x14ac:dyDescent="0.2">
      <c r="A1305" s="293" t="s">
        <v>9988</v>
      </c>
      <c r="B1305" s="293" t="s">
        <v>9924</v>
      </c>
      <c r="C1305" s="293" t="s">
        <v>9925</v>
      </c>
      <c r="D1305" s="293" t="s">
        <v>5850</v>
      </c>
      <c r="E1305" s="293" t="s">
        <v>9925</v>
      </c>
      <c r="F1305" s="293" t="s">
        <v>9989</v>
      </c>
      <c r="G1305" s="293" t="s">
        <v>5589</v>
      </c>
      <c r="H1305" s="294">
        <v>42185</v>
      </c>
      <c r="I1305" s="295">
        <v>7105.96</v>
      </c>
    </row>
    <row r="1306" spans="1:9" x14ac:dyDescent="0.2">
      <c r="A1306" s="293" t="s">
        <v>9990</v>
      </c>
      <c r="B1306" s="293" t="s">
        <v>9924</v>
      </c>
      <c r="C1306" s="293" t="s">
        <v>9925</v>
      </c>
      <c r="D1306" s="293" t="s">
        <v>5850</v>
      </c>
      <c r="E1306" s="293" t="s">
        <v>9925</v>
      </c>
      <c r="F1306" s="293" t="s">
        <v>9991</v>
      </c>
      <c r="G1306" s="293" t="s">
        <v>5591</v>
      </c>
      <c r="H1306" s="294">
        <v>42216</v>
      </c>
      <c r="I1306" s="295">
        <v>25341.360000000001</v>
      </c>
    </row>
    <row r="1307" spans="1:9" x14ac:dyDescent="0.2">
      <c r="A1307" s="293" t="s">
        <v>9990</v>
      </c>
      <c r="B1307" s="293" t="s">
        <v>9924</v>
      </c>
      <c r="C1307" s="293" t="s">
        <v>9925</v>
      </c>
      <c r="D1307" s="293" t="s">
        <v>5850</v>
      </c>
      <c r="E1307" s="293" t="s">
        <v>9925</v>
      </c>
      <c r="F1307" s="293" t="s">
        <v>9991</v>
      </c>
      <c r="G1307" s="293" t="s">
        <v>5754</v>
      </c>
      <c r="H1307" s="294">
        <v>42216</v>
      </c>
      <c r="I1307" s="295">
        <v>321.79000000000002</v>
      </c>
    </row>
    <row r="1308" spans="1:9" x14ac:dyDescent="0.2">
      <c r="A1308" s="293" t="s">
        <v>9990</v>
      </c>
      <c r="B1308" s="293" t="s">
        <v>9924</v>
      </c>
      <c r="C1308" s="293" t="s">
        <v>9925</v>
      </c>
      <c r="D1308" s="293" t="s">
        <v>5850</v>
      </c>
      <c r="E1308" s="293" t="s">
        <v>9925</v>
      </c>
      <c r="F1308" s="293" t="s">
        <v>9991</v>
      </c>
      <c r="G1308" s="293" t="s">
        <v>5755</v>
      </c>
      <c r="H1308" s="294">
        <v>42216</v>
      </c>
      <c r="I1308" s="295">
        <v>-4276.43</v>
      </c>
    </row>
    <row r="1309" spans="1:9" x14ac:dyDescent="0.2">
      <c r="A1309" s="293" t="s">
        <v>9990</v>
      </c>
      <c r="B1309" s="293" t="s">
        <v>9924</v>
      </c>
      <c r="C1309" s="293" t="s">
        <v>9925</v>
      </c>
      <c r="D1309" s="293" t="s">
        <v>5850</v>
      </c>
      <c r="E1309" s="293" t="s">
        <v>9925</v>
      </c>
      <c r="F1309" s="293" t="s">
        <v>9991</v>
      </c>
      <c r="G1309" s="293" t="s">
        <v>5589</v>
      </c>
      <c r="H1309" s="294">
        <v>42216</v>
      </c>
      <c r="I1309" s="295">
        <v>7105.96</v>
      </c>
    </row>
    <row r="1310" spans="1:9" x14ac:dyDescent="0.2">
      <c r="A1310" s="293" t="s">
        <v>9992</v>
      </c>
      <c r="B1310" s="293" t="s">
        <v>9924</v>
      </c>
      <c r="C1310" s="293" t="s">
        <v>9925</v>
      </c>
      <c r="D1310" s="293" t="s">
        <v>5850</v>
      </c>
      <c r="E1310" s="293" t="s">
        <v>9925</v>
      </c>
      <c r="F1310" s="293" t="s">
        <v>9993</v>
      </c>
      <c r="G1310" s="293" t="s">
        <v>5755</v>
      </c>
      <c r="H1310" s="294">
        <v>42247</v>
      </c>
      <c r="I1310" s="295">
        <v>-4276.43</v>
      </c>
    </row>
    <row r="1311" spans="1:9" x14ac:dyDescent="0.2">
      <c r="A1311" s="293" t="s">
        <v>9992</v>
      </c>
      <c r="B1311" s="293" t="s">
        <v>9924</v>
      </c>
      <c r="C1311" s="293" t="s">
        <v>9925</v>
      </c>
      <c r="D1311" s="293" t="s">
        <v>5850</v>
      </c>
      <c r="E1311" s="293" t="s">
        <v>9925</v>
      </c>
      <c r="F1311" s="293" t="s">
        <v>9993</v>
      </c>
      <c r="G1311" s="293" t="s">
        <v>5754</v>
      </c>
      <c r="H1311" s="294">
        <v>42247</v>
      </c>
      <c r="I1311" s="295">
        <v>321.79000000000002</v>
      </c>
    </row>
    <row r="1312" spans="1:9" x14ac:dyDescent="0.2">
      <c r="A1312" s="293" t="s">
        <v>9992</v>
      </c>
      <c r="B1312" s="293" t="s">
        <v>9924</v>
      </c>
      <c r="C1312" s="293" t="s">
        <v>9925</v>
      </c>
      <c r="D1312" s="293" t="s">
        <v>5850</v>
      </c>
      <c r="E1312" s="293" t="s">
        <v>9925</v>
      </c>
      <c r="F1312" s="293" t="s">
        <v>9993</v>
      </c>
      <c r="G1312" s="293" t="s">
        <v>5591</v>
      </c>
      <c r="H1312" s="294">
        <v>42247</v>
      </c>
      <c r="I1312" s="295">
        <v>25341.360000000001</v>
      </c>
    </row>
    <row r="1313" spans="1:9" x14ac:dyDescent="0.2">
      <c r="A1313" s="293" t="s">
        <v>9992</v>
      </c>
      <c r="B1313" s="293" t="s">
        <v>9924</v>
      </c>
      <c r="C1313" s="293" t="s">
        <v>9925</v>
      </c>
      <c r="D1313" s="293" t="s">
        <v>5850</v>
      </c>
      <c r="E1313" s="293" t="s">
        <v>9925</v>
      </c>
      <c r="F1313" s="293" t="s">
        <v>9993</v>
      </c>
      <c r="G1313" s="293" t="s">
        <v>5589</v>
      </c>
      <c r="H1313" s="294">
        <v>42247</v>
      </c>
      <c r="I1313" s="295">
        <v>7105.96</v>
      </c>
    </row>
    <row r="1314" spans="1:9" x14ac:dyDescent="0.2">
      <c r="A1314" s="293" t="s">
        <v>9994</v>
      </c>
      <c r="B1314" s="293" t="s">
        <v>9924</v>
      </c>
      <c r="C1314" s="293" t="s">
        <v>9925</v>
      </c>
      <c r="D1314" s="293" t="s">
        <v>5850</v>
      </c>
      <c r="E1314" s="293" t="s">
        <v>9925</v>
      </c>
      <c r="F1314" s="293" t="s">
        <v>9995</v>
      </c>
      <c r="G1314" s="293" t="s">
        <v>5755</v>
      </c>
      <c r="H1314" s="294">
        <v>42277</v>
      </c>
      <c r="I1314" s="295">
        <v>-4276.43</v>
      </c>
    </row>
    <row r="1315" spans="1:9" x14ac:dyDescent="0.2">
      <c r="A1315" s="293" t="s">
        <v>9994</v>
      </c>
      <c r="B1315" s="293" t="s">
        <v>9924</v>
      </c>
      <c r="C1315" s="293" t="s">
        <v>9925</v>
      </c>
      <c r="D1315" s="293" t="s">
        <v>5850</v>
      </c>
      <c r="E1315" s="293" t="s">
        <v>9925</v>
      </c>
      <c r="F1315" s="293" t="s">
        <v>9995</v>
      </c>
      <c r="G1315" s="293" t="s">
        <v>5591</v>
      </c>
      <c r="H1315" s="294">
        <v>42277</v>
      </c>
      <c r="I1315" s="295">
        <v>25341.37</v>
      </c>
    </row>
    <row r="1316" spans="1:9" x14ac:dyDescent="0.2">
      <c r="A1316" s="293" t="s">
        <v>9994</v>
      </c>
      <c r="B1316" s="293" t="s">
        <v>9924</v>
      </c>
      <c r="C1316" s="293" t="s">
        <v>9925</v>
      </c>
      <c r="D1316" s="293" t="s">
        <v>5850</v>
      </c>
      <c r="E1316" s="293" t="s">
        <v>9925</v>
      </c>
      <c r="F1316" s="293" t="s">
        <v>9995</v>
      </c>
      <c r="G1316" s="293" t="s">
        <v>5754</v>
      </c>
      <c r="H1316" s="294">
        <v>42277</v>
      </c>
      <c r="I1316" s="295">
        <v>321.79000000000002</v>
      </c>
    </row>
    <row r="1317" spans="1:9" x14ac:dyDescent="0.2">
      <c r="A1317" s="293" t="s">
        <v>9994</v>
      </c>
      <c r="B1317" s="293" t="s">
        <v>9924</v>
      </c>
      <c r="C1317" s="293" t="s">
        <v>9925</v>
      </c>
      <c r="D1317" s="293" t="s">
        <v>5850</v>
      </c>
      <c r="E1317" s="293" t="s">
        <v>9925</v>
      </c>
      <c r="F1317" s="293" t="s">
        <v>9995</v>
      </c>
      <c r="G1317" s="293" t="s">
        <v>5589</v>
      </c>
      <c r="H1317" s="294">
        <v>42277</v>
      </c>
      <c r="I1317" s="295">
        <v>7105.96</v>
      </c>
    </row>
    <row r="1318" spans="1:9" x14ac:dyDescent="0.2">
      <c r="A1318" s="293" t="s">
        <v>9996</v>
      </c>
      <c r="B1318" s="293" t="s">
        <v>9924</v>
      </c>
      <c r="C1318" s="293" t="s">
        <v>9925</v>
      </c>
      <c r="D1318" s="293" t="s">
        <v>5850</v>
      </c>
      <c r="E1318" s="293" t="s">
        <v>9925</v>
      </c>
      <c r="F1318" s="293" t="s">
        <v>9997</v>
      </c>
      <c r="G1318" s="293" t="s">
        <v>5591</v>
      </c>
      <c r="H1318" s="294">
        <v>42308</v>
      </c>
      <c r="I1318" s="295">
        <v>25341.360000000001</v>
      </c>
    </row>
    <row r="1319" spans="1:9" x14ac:dyDescent="0.2">
      <c r="A1319" s="293" t="s">
        <v>9996</v>
      </c>
      <c r="B1319" s="293" t="s">
        <v>9924</v>
      </c>
      <c r="C1319" s="293" t="s">
        <v>9925</v>
      </c>
      <c r="D1319" s="293" t="s">
        <v>5850</v>
      </c>
      <c r="E1319" s="293" t="s">
        <v>9925</v>
      </c>
      <c r="F1319" s="293" t="s">
        <v>9997</v>
      </c>
      <c r="G1319" s="293" t="s">
        <v>5754</v>
      </c>
      <c r="H1319" s="294">
        <v>42308</v>
      </c>
      <c r="I1319" s="295">
        <v>321.79000000000002</v>
      </c>
    </row>
    <row r="1320" spans="1:9" x14ac:dyDescent="0.2">
      <c r="A1320" s="293" t="s">
        <v>9996</v>
      </c>
      <c r="B1320" s="293" t="s">
        <v>9924</v>
      </c>
      <c r="C1320" s="293" t="s">
        <v>9925</v>
      </c>
      <c r="D1320" s="293" t="s">
        <v>5850</v>
      </c>
      <c r="E1320" s="293" t="s">
        <v>9925</v>
      </c>
      <c r="F1320" s="293" t="s">
        <v>9997</v>
      </c>
      <c r="G1320" s="293" t="s">
        <v>5589</v>
      </c>
      <c r="H1320" s="294">
        <v>42308</v>
      </c>
      <c r="I1320" s="295">
        <v>7105.96</v>
      </c>
    </row>
    <row r="1321" spans="1:9" x14ac:dyDescent="0.2">
      <c r="A1321" s="293" t="s">
        <v>9996</v>
      </c>
      <c r="B1321" s="293" t="s">
        <v>9924</v>
      </c>
      <c r="C1321" s="293" t="s">
        <v>9925</v>
      </c>
      <c r="D1321" s="293" t="s">
        <v>5850</v>
      </c>
      <c r="E1321" s="293" t="s">
        <v>9925</v>
      </c>
      <c r="F1321" s="293" t="s">
        <v>9997</v>
      </c>
      <c r="G1321" s="293" t="s">
        <v>5755</v>
      </c>
      <c r="H1321" s="294">
        <v>42308</v>
      </c>
      <c r="I1321" s="295">
        <v>-4276.43</v>
      </c>
    </row>
    <row r="1322" spans="1:9" x14ac:dyDescent="0.2">
      <c r="A1322" s="293" t="s">
        <v>9998</v>
      </c>
      <c r="B1322" s="293" t="s">
        <v>9924</v>
      </c>
      <c r="C1322" s="293" t="s">
        <v>9925</v>
      </c>
      <c r="D1322" s="293" t="s">
        <v>5850</v>
      </c>
      <c r="E1322" s="293" t="s">
        <v>9925</v>
      </c>
      <c r="F1322" s="293" t="s">
        <v>9999</v>
      </c>
      <c r="G1322" s="293" t="s">
        <v>5589</v>
      </c>
      <c r="H1322" s="294">
        <v>42338</v>
      </c>
      <c r="I1322" s="295">
        <v>7105.96</v>
      </c>
    </row>
    <row r="1323" spans="1:9" x14ac:dyDescent="0.2">
      <c r="A1323" s="293" t="s">
        <v>9998</v>
      </c>
      <c r="B1323" s="293" t="s">
        <v>9924</v>
      </c>
      <c r="C1323" s="293" t="s">
        <v>9925</v>
      </c>
      <c r="D1323" s="293" t="s">
        <v>5850</v>
      </c>
      <c r="E1323" s="293" t="s">
        <v>9925</v>
      </c>
      <c r="F1323" s="293" t="s">
        <v>9999</v>
      </c>
      <c r="G1323" s="293" t="s">
        <v>5755</v>
      </c>
      <c r="H1323" s="294">
        <v>42338</v>
      </c>
      <c r="I1323" s="295">
        <v>-4276.43</v>
      </c>
    </row>
    <row r="1324" spans="1:9" x14ac:dyDescent="0.2">
      <c r="A1324" s="293" t="s">
        <v>9998</v>
      </c>
      <c r="B1324" s="293" t="s">
        <v>9924</v>
      </c>
      <c r="C1324" s="293" t="s">
        <v>9925</v>
      </c>
      <c r="D1324" s="293" t="s">
        <v>5850</v>
      </c>
      <c r="E1324" s="293" t="s">
        <v>9925</v>
      </c>
      <c r="F1324" s="293" t="s">
        <v>9999</v>
      </c>
      <c r="G1324" s="293" t="s">
        <v>5591</v>
      </c>
      <c r="H1324" s="294">
        <v>42338</v>
      </c>
      <c r="I1324" s="295">
        <v>25341.37</v>
      </c>
    </row>
    <row r="1325" spans="1:9" x14ac:dyDescent="0.2">
      <c r="A1325" s="293" t="s">
        <v>9998</v>
      </c>
      <c r="B1325" s="293" t="s">
        <v>9924</v>
      </c>
      <c r="C1325" s="293" t="s">
        <v>9925</v>
      </c>
      <c r="D1325" s="293" t="s">
        <v>5850</v>
      </c>
      <c r="E1325" s="293" t="s">
        <v>9925</v>
      </c>
      <c r="F1325" s="293" t="s">
        <v>9999</v>
      </c>
      <c r="G1325" s="293" t="s">
        <v>5754</v>
      </c>
      <c r="H1325" s="294">
        <v>42338</v>
      </c>
      <c r="I1325" s="295">
        <v>321.79000000000002</v>
      </c>
    </row>
    <row r="1326" spans="1:9" x14ac:dyDescent="0.2">
      <c r="A1326" s="293" t="s">
        <v>10000</v>
      </c>
      <c r="B1326" s="293" t="s">
        <v>9924</v>
      </c>
      <c r="C1326" s="293" t="s">
        <v>9925</v>
      </c>
      <c r="D1326" s="293" t="s">
        <v>5850</v>
      </c>
      <c r="E1326" s="293" t="s">
        <v>9925</v>
      </c>
      <c r="F1326" s="293" t="s">
        <v>10001</v>
      </c>
      <c r="G1326" s="293" t="s">
        <v>5755</v>
      </c>
      <c r="H1326" s="294">
        <v>42369</v>
      </c>
      <c r="I1326" s="295">
        <v>-4276.43</v>
      </c>
    </row>
    <row r="1327" spans="1:9" x14ac:dyDescent="0.2">
      <c r="A1327" s="293" t="s">
        <v>10000</v>
      </c>
      <c r="B1327" s="293" t="s">
        <v>9924</v>
      </c>
      <c r="C1327" s="293" t="s">
        <v>9925</v>
      </c>
      <c r="D1327" s="293" t="s">
        <v>5850</v>
      </c>
      <c r="E1327" s="293" t="s">
        <v>9925</v>
      </c>
      <c r="F1327" s="293" t="s">
        <v>10001</v>
      </c>
      <c r="G1327" s="293" t="s">
        <v>5591</v>
      </c>
      <c r="H1327" s="294">
        <v>42369</v>
      </c>
      <c r="I1327" s="295">
        <v>25341.360000000001</v>
      </c>
    </row>
    <row r="1328" spans="1:9" x14ac:dyDescent="0.2">
      <c r="A1328" s="293" t="s">
        <v>10000</v>
      </c>
      <c r="B1328" s="293" t="s">
        <v>9924</v>
      </c>
      <c r="C1328" s="293" t="s">
        <v>9925</v>
      </c>
      <c r="D1328" s="293" t="s">
        <v>5850</v>
      </c>
      <c r="E1328" s="293" t="s">
        <v>9925</v>
      </c>
      <c r="F1328" s="293" t="s">
        <v>10001</v>
      </c>
      <c r="G1328" s="293" t="s">
        <v>5589</v>
      </c>
      <c r="H1328" s="294">
        <v>42369</v>
      </c>
      <c r="I1328" s="295">
        <v>7105.96</v>
      </c>
    </row>
    <row r="1329" spans="1:9" x14ac:dyDescent="0.2">
      <c r="A1329" s="293" t="s">
        <v>10000</v>
      </c>
      <c r="B1329" s="293" t="s">
        <v>9924</v>
      </c>
      <c r="C1329" s="293" t="s">
        <v>9925</v>
      </c>
      <c r="D1329" s="293" t="s">
        <v>5850</v>
      </c>
      <c r="E1329" s="293" t="s">
        <v>9925</v>
      </c>
      <c r="F1329" s="293" t="s">
        <v>10001</v>
      </c>
      <c r="G1329" s="293" t="s">
        <v>5754</v>
      </c>
      <c r="H1329" s="294">
        <v>42369</v>
      </c>
      <c r="I1329" s="295">
        <v>321.79000000000002</v>
      </c>
    </row>
    <row r="1330" spans="1:9" x14ac:dyDescent="0.2">
      <c r="A1330" s="293" t="s">
        <v>10002</v>
      </c>
      <c r="B1330" s="293" t="s">
        <v>9924</v>
      </c>
      <c r="C1330" s="293" t="s">
        <v>9925</v>
      </c>
      <c r="D1330" s="293" t="s">
        <v>5850</v>
      </c>
      <c r="E1330" s="293" t="s">
        <v>9925</v>
      </c>
      <c r="F1330" s="293" t="s">
        <v>10003</v>
      </c>
      <c r="G1330" s="293" t="s">
        <v>5755</v>
      </c>
      <c r="H1330" s="294">
        <v>42369</v>
      </c>
      <c r="I1330" s="295">
        <v>-4276.43</v>
      </c>
    </row>
    <row r="1331" spans="1:9" x14ac:dyDescent="0.2">
      <c r="A1331" s="293" t="s">
        <v>10002</v>
      </c>
      <c r="B1331" s="293" t="s">
        <v>9924</v>
      </c>
      <c r="C1331" s="293" t="s">
        <v>9925</v>
      </c>
      <c r="D1331" s="293" t="s">
        <v>5850</v>
      </c>
      <c r="E1331" s="293" t="s">
        <v>9925</v>
      </c>
      <c r="F1331" s="293" t="s">
        <v>10003</v>
      </c>
      <c r="G1331" s="293" t="s">
        <v>5754</v>
      </c>
      <c r="H1331" s="294">
        <v>42369</v>
      </c>
      <c r="I1331" s="295">
        <v>321.79000000000002</v>
      </c>
    </row>
    <row r="1332" spans="1:9" x14ac:dyDescent="0.2">
      <c r="A1332" s="293" t="s">
        <v>10002</v>
      </c>
      <c r="B1332" s="293" t="s">
        <v>9924</v>
      </c>
      <c r="C1332" s="293" t="s">
        <v>9925</v>
      </c>
      <c r="D1332" s="293" t="s">
        <v>5850</v>
      </c>
      <c r="E1332" s="293" t="s">
        <v>9925</v>
      </c>
      <c r="F1332" s="293" t="s">
        <v>10003</v>
      </c>
      <c r="G1332" s="293" t="s">
        <v>5591</v>
      </c>
      <c r="H1332" s="294">
        <v>42369</v>
      </c>
      <c r="I1332" s="295">
        <v>25341.360000000001</v>
      </c>
    </row>
    <row r="1333" spans="1:9" x14ac:dyDescent="0.2">
      <c r="A1333" s="293" t="s">
        <v>10002</v>
      </c>
      <c r="B1333" s="293" t="s">
        <v>9924</v>
      </c>
      <c r="C1333" s="293" t="s">
        <v>9925</v>
      </c>
      <c r="D1333" s="293" t="s">
        <v>5850</v>
      </c>
      <c r="E1333" s="293" t="s">
        <v>9925</v>
      </c>
      <c r="F1333" s="293" t="s">
        <v>10003</v>
      </c>
      <c r="G1333" s="293" t="s">
        <v>5589</v>
      </c>
      <c r="H1333" s="294">
        <v>42369</v>
      </c>
      <c r="I1333" s="295">
        <v>7105.96</v>
      </c>
    </row>
    <row r="1334" spans="1:9" x14ac:dyDescent="0.2">
      <c r="A1334" s="293" t="s">
        <v>10004</v>
      </c>
      <c r="B1334" s="293" t="s">
        <v>9924</v>
      </c>
      <c r="C1334" s="293" t="s">
        <v>9939</v>
      </c>
      <c r="D1334" s="293" t="s">
        <v>5850</v>
      </c>
      <c r="E1334" s="293" t="s">
        <v>9939</v>
      </c>
      <c r="F1334" s="293" t="s">
        <v>10003</v>
      </c>
      <c r="G1334" s="293" t="s">
        <v>5591</v>
      </c>
      <c r="H1334" s="294">
        <v>42369</v>
      </c>
      <c r="I1334" s="295">
        <v>-25341.360000000001</v>
      </c>
    </row>
    <row r="1335" spans="1:9" x14ac:dyDescent="0.2">
      <c r="A1335" s="293" t="s">
        <v>10004</v>
      </c>
      <c r="B1335" s="293" t="s">
        <v>9924</v>
      </c>
      <c r="C1335" s="293" t="s">
        <v>9939</v>
      </c>
      <c r="D1335" s="293" t="s">
        <v>5850</v>
      </c>
      <c r="E1335" s="293" t="s">
        <v>9939</v>
      </c>
      <c r="F1335" s="293" t="s">
        <v>10003</v>
      </c>
      <c r="G1335" s="293" t="s">
        <v>5589</v>
      </c>
      <c r="H1335" s="294">
        <v>42369</v>
      </c>
      <c r="I1335" s="295">
        <v>-7105.96</v>
      </c>
    </row>
    <row r="1336" spans="1:9" x14ac:dyDescent="0.2">
      <c r="A1336" s="293" t="s">
        <v>10004</v>
      </c>
      <c r="B1336" s="293" t="s">
        <v>9924</v>
      </c>
      <c r="C1336" s="293" t="s">
        <v>9939</v>
      </c>
      <c r="D1336" s="293" t="s">
        <v>5850</v>
      </c>
      <c r="E1336" s="293" t="s">
        <v>9939</v>
      </c>
      <c r="F1336" s="293" t="s">
        <v>10003</v>
      </c>
      <c r="G1336" s="293" t="s">
        <v>5754</v>
      </c>
      <c r="H1336" s="294">
        <v>42369</v>
      </c>
      <c r="I1336" s="295">
        <v>-321.79000000000002</v>
      </c>
    </row>
    <row r="1337" spans="1:9" x14ac:dyDescent="0.2">
      <c r="A1337" s="293" t="s">
        <v>10004</v>
      </c>
      <c r="B1337" s="293" t="s">
        <v>9924</v>
      </c>
      <c r="C1337" s="293" t="s">
        <v>9939</v>
      </c>
      <c r="D1337" s="293" t="s">
        <v>5850</v>
      </c>
      <c r="E1337" s="293" t="s">
        <v>9939</v>
      </c>
      <c r="F1337" s="293" t="s">
        <v>10003</v>
      </c>
      <c r="G1337" s="293" t="s">
        <v>5755</v>
      </c>
      <c r="H1337" s="294">
        <v>42369</v>
      </c>
      <c r="I1337" s="295">
        <v>4276.43</v>
      </c>
    </row>
    <row r="1338" spans="1:9" x14ac:dyDescent="0.2">
      <c r="A1338" s="293" t="s">
        <v>10005</v>
      </c>
      <c r="B1338" s="293" t="s">
        <v>9924</v>
      </c>
      <c r="C1338" s="293" t="s">
        <v>9925</v>
      </c>
      <c r="D1338" s="293" t="s">
        <v>5850</v>
      </c>
      <c r="E1338" s="293" t="s">
        <v>9925</v>
      </c>
      <c r="F1338" s="293" t="s">
        <v>10006</v>
      </c>
      <c r="G1338" s="293" t="s">
        <v>5755</v>
      </c>
      <c r="H1338" s="294">
        <v>42369</v>
      </c>
      <c r="I1338" s="295">
        <v>-4276.43</v>
      </c>
    </row>
    <row r="1339" spans="1:9" x14ac:dyDescent="0.2">
      <c r="A1339" s="293" t="s">
        <v>10005</v>
      </c>
      <c r="B1339" s="293" t="s">
        <v>9924</v>
      </c>
      <c r="C1339" s="293" t="s">
        <v>9925</v>
      </c>
      <c r="D1339" s="293" t="s">
        <v>5850</v>
      </c>
      <c r="E1339" s="293" t="s">
        <v>9925</v>
      </c>
      <c r="F1339" s="293" t="s">
        <v>10006</v>
      </c>
      <c r="G1339" s="293" t="s">
        <v>5591</v>
      </c>
      <c r="H1339" s="294">
        <v>42369</v>
      </c>
      <c r="I1339" s="295">
        <v>25341.360000000001</v>
      </c>
    </row>
    <row r="1340" spans="1:9" x14ac:dyDescent="0.2">
      <c r="A1340" s="293" t="s">
        <v>10005</v>
      </c>
      <c r="B1340" s="293" t="s">
        <v>9924</v>
      </c>
      <c r="C1340" s="293" t="s">
        <v>9925</v>
      </c>
      <c r="D1340" s="293" t="s">
        <v>5850</v>
      </c>
      <c r="E1340" s="293" t="s">
        <v>9925</v>
      </c>
      <c r="F1340" s="293" t="s">
        <v>10006</v>
      </c>
      <c r="G1340" s="293" t="s">
        <v>5589</v>
      </c>
      <c r="H1340" s="294">
        <v>42369</v>
      </c>
      <c r="I1340" s="295">
        <v>7105.96</v>
      </c>
    </row>
    <row r="1341" spans="1:9" x14ac:dyDescent="0.2">
      <c r="A1341" s="293" t="s">
        <v>10005</v>
      </c>
      <c r="B1341" s="293" t="s">
        <v>9924</v>
      </c>
      <c r="C1341" s="293" t="s">
        <v>9925</v>
      </c>
      <c r="D1341" s="293" t="s">
        <v>5850</v>
      </c>
      <c r="E1341" s="293" t="s">
        <v>9925</v>
      </c>
      <c r="F1341" s="293" t="s">
        <v>10006</v>
      </c>
      <c r="G1341" s="293" t="s">
        <v>5754</v>
      </c>
      <c r="H1341" s="294">
        <v>42369</v>
      </c>
      <c r="I1341" s="295">
        <v>321.79000000000002</v>
      </c>
    </row>
    <row r="1342" spans="1:9" x14ac:dyDescent="0.2">
      <c r="A1342" s="293" t="s">
        <v>10007</v>
      </c>
      <c r="B1342" s="293" t="s">
        <v>9924</v>
      </c>
      <c r="C1342" s="293" t="s">
        <v>9939</v>
      </c>
      <c r="D1342" s="293" t="s">
        <v>5850</v>
      </c>
      <c r="E1342" s="293" t="s">
        <v>9939</v>
      </c>
      <c r="F1342" s="293" t="s">
        <v>10006</v>
      </c>
      <c r="G1342" s="293" t="s">
        <v>5755</v>
      </c>
      <c r="H1342" s="294">
        <v>42369</v>
      </c>
      <c r="I1342" s="295">
        <v>4276.43</v>
      </c>
    </row>
    <row r="1343" spans="1:9" x14ac:dyDescent="0.2">
      <c r="A1343" s="293" t="s">
        <v>10007</v>
      </c>
      <c r="B1343" s="293" t="s">
        <v>9924</v>
      </c>
      <c r="C1343" s="293" t="s">
        <v>9939</v>
      </c>
      <c r="D1343" s="293" t="s">
        <v>5850</v>
      </c>
      <c r="E1343" s="293" t="s">
        <v>9939</v>
      </c>
      <c r="F1343" s="293" t="s">
        <v>10006</v>
      </c>
      <c r="G1343" s="293" t="s">
        <v>5591</v>
      </c>
      <c r="H1343" s="294">
        <v>42369</v>
      </c>
      <c r="I1343" s="295">
        <v>-25341.360000000001</v>
      </c>
    </row>
    <row r="1344" spans="1:9" x14ac:dyDescent="0.2">
      <c r="A1344" s="293" t="s">
        <v>10007</v>
      </c>
      <c r="B1344" s="293" t="s">
        <v>9924</v>
      </c>
      <c r="C1344" s="293" t="s">
        <v>9939</v>
      </c>
      <c r="D1344" s="293" t="s">
        <v>5850</v>
      </c>
      <c r="E1344" s="293" t="s">
        <v>9939</v>
      </c>
      <c r="F1344" s="293" t="s">
        <v>10006</v>
      </c>
      <c r="G1344" s="293" t="s">
        <v>5589</v>
      </c>
      <c r="H1344" s="294">
        <v>42369</v>
      </c>
      <c r="I1344" s="295">
        <v>-7105.96</v>
      </c>
    </row>
    <row r="1345" spans="1:9" x14ac:dyDescent="0.2">
      <c r="A1345" s="293" t="s">
        <v>10007</v>
      </c>
      <c r="B1345" s="293" t="s">
        <v>9924</v>
      </c>
      <c r="C1345" s="293" t="s">
        <v>9939</v>
      </c>
      <c r="D1345" s="293" t="s">
        <v>5850</v>
      </c>
      <c r="E1345" s="293" t="s">
        <v>9939</v>
      </c>
      <c r="F1345" s="293" t="s">
        <v>10006</v>
      </c>
      <c r="G1345" s="293" t="s">
        <v>5754</v>
      </c>
      <c r="H1345" s="294">
        <v>42369</v>
      </c>
      <c r="I1345" s="295">
        <v>-321.79000000000002</v>
      </c>
    </row>
    <row r="1346" spans="1:9" x14ac:dyDescent="0.2">
      <c r="A1346" s="293" t="s">
        <v>10008</v>
      </c>
      <c r="B1346" s="293" t="s">
        <v>9924</v>
      </c>
      <c r="C1346" s="293" t="s">
        <v>9925</v>
      </c>
      <c r="D1346" s="293" t="s">
        <v>5850</v>
      </c>
      <c r="E1346" s="293" t="s">
        <v>9925</v>
      </c>
      <c r="F1346" s="293" t="s">
        <v>10009</v>
      </c>
      <c r="G1346" s="293" t="s">
        <v>5755</v>
      </c>
      <c r="H1346" s="294">
        <v>42400</v>
      </c>
      <c r="I1346" s="295">
        <v>-4276.43</v>
      </c>
    </row>
    <row r="1347" spans="1:9" x14ac:dyDescent="0.2">
      <c r="A1347" s="293" t="s">
        <v>10008</v>
      </c>
      <c r="B1347" s="293" t="s">
        <v>9924</v>
      </c>
      <c r="C1347" s="293" t="s">
        <v>9925</v>
      </c>
      <c r="D1347" s="293" t="s">
        <v>5850</v>
      </c>
      <c r="E1347" s="293" t="s">
        <v>9925</v>
      </c>
      <c r="F1347" s="293" t="s">
        <v>10009</v>
      </c>
      <c r="G1347" s="293" t="s">
        <v>5589</v>
      </c>
      <c r="H1347" s="294">
        <v>42400</v>
      </c>
      <c r="I1347" s="295">
        <v>7105.96</v>
      </c>
    </row>
    <row r="1348" spans="1:9" x14ac:dyDescent="0.2">
      <c r="A1348" s="293" t="s">
        <v>10008</v>
      </c>
      <c r="B1348" s="293" t="s">
        <v>9924</v>
      </c>
      <c r="C1348" s="293" t="s">
        <v>9925</v>
      </c>
      <c r="D1348" s="293" t="s">
        <v>5850</v>
      </c>
      <c r="E1348" s="293" t="s">
        <v>9925</v>
      </c>
      <c r="F1348" s="293" t="s">
        <v>10009</v>
      </c>
      <c r="G1348" s="293" t="s">
        <v>5754</v>
      </c>
      <c r="H1348" s="294">
        <v>42400</v>
      </c>
      <c r="I1348" s="295">
        <v>321.79000000000002</v>
      </c>
    </row>
    <row r="1349" spans="1:9" x14ac:dyDescent="0.2">
      <c r="A1349" s="293" t="s">
        <v>10008</v>
      </c>
      <c r="B1349" s="293" t="s">
        <v>9924</v>
      </c>
      <c r="C1349" s="293" t="s">
        <v>9925</v>
      </c>
      <c r="D1349" s="293" t="s">
        <v>5850</v>
      </c>
      <c r="E1349" s="293" t="s">
        <v>9925</v>
      </c>
      <c r="F1349" s="293" t="s">
        <v>10009</v>
      </c>
      <c r="G1349" s="293" t="s">
        <v>5591</v>
      </c>
      <c r="H1349" s="294">
        <v>42400</v>
      </c>
      <c r="I1349" s="295">
        <v>25341.360000000001</v>
      </c>
    </row>
    <row r="1350" spans="1:9" x14ac:dyDescent="0.2">
      <c r="A1350" s="293" t="s">
        <v>10010</v>
      </c>
      <c r="B1350" s="293" t="s">
        <v>9924</v>
      </c>
      <c r="C1350" s="293" t="s">
        <v>9925</v>
      </c>
      <c r="D1350" s="293" t="s">
        <v>5850</v>
      </c>
      <c r="E1350" s="293" t="s">
        <v>9925</v>
      </c>
      <c r="F1350" s="293" t="s">
        <v>10011</v>
      </c>
      <c r="G1350" s="293" t="s">
        <v>5755</v>
      </c>
      <c r="H1350" s="294">
        <v>42429</v>
      </c>
      <c r="I1350" s="295">
        <v>-4276.43</v>
      </c>
    </row>
    <row r="1351" spans="1:9" x14ac:dyDescent="0.2">
      <c r="A1351" s="293" t="s">
        <v>10010</v>
      </c>
      <c r="B1351" s="293" t="s">
        <v>9924</v>
      </c>
      <c r="C1351" s="293" t="s">
        <v>9925</v>
      </c>
      <c r="D1351" s="293" t="s">
        <v>5850</v>
      </c>
      <c r="E1351" s="293" t="s">
        <v>9925</v>
      </c>
      <c r="F1351" s="293" t="s">
        <v>10011</v>
      </c>
      <c r="G1351" s="293" t="s">
        <v>5754</v>
      </c>
      <c r="H1351" s="294">
        <v>42429</v>
      </c>
      <c r="I1351" s="295">
        <v>321.79000000000002</v>
      </c>
    </row>
    <row r="1352" spans="1:9" x14ac:dyDescent="0.2">
      <c r="A1352" s="293" t="s">
        <v>10010</v>
      </c>
      <c r="B1352" s="293" t="s">
        <v>9924</v>
      </c>
      <c r="C1352" s="293" t="s">
        <v>9925</v>
      </c>
      <c r="D1352" s="293" t="s">
        <v>5850</v>
      </c>
      <c r="E1352" s="293" t="s">
        <v>9925</v>
      </c>
      <c r="F1352" s="293" t="s">
        <v>10011</v>
      </c>
      <c r="G1352" s="293" t="s">
        <v>5591</v>
      </c>
      <c r="H1352" s="294">
        <v>42429</v>
      </c>
      <c r="I1352" s="295">
        <v>25341.37</v>
      </c>
    </row>
    <row r="1353" spans="1:9" x14ac:dyDescent="0.2">
      <c r="A1353" s="293" t="s">
        <v>10010</v>
      </c>
      <c r="B1353" s="293" t="s">
        <v>9924</v>
      </c>
      <c r="C1353" s="293" t="s">
        <v>9925</v>
      </c>
      <c r="D1353" s="293" t="s">
        <v>5850</v>
      </c>
      <c r="E1353" s="293" t="s">
        <v>9925</v>
      </c>
      <c r="F1353" s="293" t="s">
        <v>10011</v>
      </c>
      <c r="G1353" s="293" t="s">
        <v>5589</v>
      </c>
      <c r="H1353" s="294">
        <v>42429</v>
      </c>
      <c r="I1353" s="295">
        <v>7105.96</v>
      </c>
    </row>
    <row r="1354" spans="1:9" x14ac:dyDescent="0.2">
      <c r="A1354" s="293" t="s">
        <v>10012</v>
      </c>
      <c r="B1354" s="293" t="s">
        <v>9924</v>
      </c>
      <c r="C1354" s="293" t="s">
        <v>9925</v>
      </c>
      <c r="D1354" s="293" t="s">
        <v>5850</v>
      </c>
      <c r="E1354" s="293" t="s">
        <v>9925</v>
      </c>
      <c r="F1354" s="293" t="s">
        <v>10013</v>
      </c>
      <c r="G1354" s="293" t="s">
        <v>5589</v>
      </c>
      <c r="H1354" s="294">
        <v>42429</v>
      </c>
      <c r="I1354" s="295">
        <v>7105.96</v>
      </c>
    </row>
    <row r="1355" spans="1:9" x14ac:dyDescent="0.2">
      <c r="A1355" s="293" t="s">
        <v>10012</v>
      </c>
      <c r="B1355" s="293" t="s">
        <v>9924</v>
      </c>
      <c r="C1355" s="293" t="s">
        <v>9925</v>
      </c>
      <c r="D1355" s="293" t="s">
        <v>5850</v>
      </c>
      <c r="E1355" s="293" t="s">
        <v>9925</v>
      </c>
      <c r="F1355" s="293" t="s">
        <v>10013</v>
      </c>
      <c r="G1355" s="293" t="s">
        <v>5755</v>
      </c>
      <c r="H1355" s="294">
        <v>42429</v>
      </c>
      <c r="I1355" s="295">
        <v>-4276.43</v>
      </c>
    </row>
    <row r="1356" spans="1:9" x14ac:dyDescent="0.2">
      <c r="A1356" s="293" t="s">
        <v>10012</v>
      </c>
      <c r="B1356" s="293" t="s">
        <v>9924</v>
      </c>
      <c r="C1356" s="293" t="s">
        <v>9925</v>
      </c>
      <c r="D1356" s="293" t="s">
        <v>5850</v>
      </c>
      <c r="E1356" s="293" t="s">
        <v>9925</v>
      </c>
      <c r="F1356" s="293" t="s">
        <v>10013</v>
      </c>
      <c r="G1356" s="293" t="s">
        <v>5754</v>
      </c>
      <c r="H1356" s="294">
        <v>42429</v>
      </c>
      <c r="I1356" s="295">
        <v>321.79000000000002</v>
      </c>
    </row>
    <row r="1357" spans="1:9" x14ac:dyDescent="0.2">
      <c r="A1357" s="293" t="s">
        <v>10012</v>
      </c>
      <c r="B1357" s="293" t="s">
        <v>9924</v>
      </c>
      <c r="C1357" s="293" t="s">
        <v>9925</v>
      </c>
      <c r="D1357" s="293" t="s">
        <v>5850</v>
      </c>
      <c r="E1357" s="293" t="s">
        <v>9925</v>
      </c>
      <c r="F1357" s="293" t="s">
        <v>10013</v>
      </c>
      <c r="G1357" s="293" t="s">
        <v>5591</v>
      </c>
      <c r="H1357" s="294">
        <v>42429</v>
      </c>
      <c r="I1357" s="295">
        <v>25341.37</v>
      </c>
    </row>
    <row r="1358" spans="1:9" x14ac:dyDescent="0.2">
      <c r="A1358" s="293" t="s">
        <v>10014</v>
      </c>
      <c r="B1358" s="293" t="s">
        <v>9924</v>
      </c>
      <c r="C1358" s="293" t="s">
        <v>9939</v>
      </c>
      <c r="D1358" s="293" t="s">
        <v>5850</v>
      </c>
      <c r="E1358" s="293" t="s">
        <v>9939</v>
      </c>
      <c r="F1358" s="293" t="s">
        <v>10013</v>
      </c>
      <c r="G1358" s="293" t="s">
        <v>5591</v>
      </c>
      <c r="H1358" s="294">
        <v>42429</v>
      </c>
      <c r="I1358" s="295">
        <v>-25341.37</v>
      </c>
    </row>
    <row r="1359" spans="1:9" x14ac:dyDescent="0.2">
      <c r="A1359" s="293" t="s">
        <v>10014</v>
      </c>
      <c r="B1359" s="293" t="s">
        <v>9924</v>
      </c>
      <c r="C1359" s="293" t="s">
        <v>9939</v>
      </c>
      <c r="D1359" s="293" t="s">
        <v>5850</v>
      </c>
      <c r="E1359" s="293" t="s">
        <v>9939</v>
      </c>
      <c r="F1359" s="293" t="s">
        <v>10013</v>
      </c>
      <c r="G1359" s="293" t="s">
        <v>5589</v>
      </c>
      <c r="H1359" s="294">
        <v>42429</v>
      </c>
      <c r="I1359" s="295">
        <v>-7105.96</v>
      </c>
    </row>
    <row r="1360" spans="1:9" x14ac:dyDescent="0.2">
      <c r="A1360" s="293" t="s">
        <v>10014</v>
      </c>
      <c r="B1360" s="293" t="s">
        <v>9924</v>
      </c>
      <c r="C1360" s="293" t="s">
        <v>9939</v>
      </c>
      <c r="D1360" s="293" t="s">
        <v>5850</v>
      </c>
      <c r="E1360" s="293" t="s">
        <v>9939</v>
      </c>
      <c r="F1360" s="293" t="s">
        <v>10013</v>
      </c>
      <c r="G1360" s="293" t="s">
        <v>5754</v>
      </c>
      <c r="H1360" s="294">
        <v>42429</v>
      </c>
      <c r="I1360" s="295">
        <v>-321.79000000000002</v>
      </c>
    </row>
    <row r="1361" spans="1:9" x14ac:dyDescent="0.2">
      <c r="A1361" s="293" t="s">
        <v>10014</v>
      </c>
      <c r="B1361" s="293" t="s">
        <v>9924</v>
      </c>
      <c r="C1361" s="293" t="s">
        <v>9939</v>
      </c>
      <c r="D1361" s="293" t="s">
        <v>5850</v>
      </c>
      <c r="E1361" s="293" t="s">
        <v>9939</v>
      </c>
      <c r="F1361" s="293" t="s">
        <v>10013</v>
      </c>
      <c r="G1361" s="293" t="s">
        <v>5755</v>
      </c>
      <c r="H1361" s="294">
        <v>42429</v>
      </c>
      <c r="I1361" s="295">
        <v>4276.43</v>
      </c>
    </row>
    <row r="1362" spans="1:9" x14ac:dyDescent="0.2">
      <c r="A1362" s="293" t="s">
        <v>10015</v>
      </c>
      <c r="B1362" s="293" t="s">
        <v>9924</v>
      </c>
      <c r="C1362" s="293" t="s">
        <v>9925</v>
      </c>
      <c r="D1362" s="293" t="s">
        <v>5850</v>
      </c>
      <c r="E1362" s="293" t="s">
        <v>9925</v>
      </c>
      <c r="F1362" s="293" t="s">
        <v>10016</v>
      </c>
      <c r="G1362" s="293" t="s">
        <v>5754</v>
      </c>
      <c r="H1362" s="294">
        <v>42460</v>
      </c>
      <c r="I1362" s="295">
        <v>321.79000000000002</v>
      </c>
    </row>
    <row r="1363" spans="1:9" x14ac:dyDescent="0.2">
      <c r="A1363" s="293" t="s">
        <v>10015</v>
      </c>
      <c r="B1363" s="293" t="s">
        <v>9924</v>
      </c>
      <c r="C1363" s="293" t="s">
        <v>9925</v>
      </c>
      <c r="D1363" s="293" t="s">
        <v>5850</v>
      </c>
      <c r="E1363" s="293" t="s">
        <v>9925</v>
      </c>
      <c r="F1363" s="293" t="s">
        <v>10016</v>
      </c>
      <c r="G1363" s="293" t="s">
        <v>5589</v>
      </c>
      <c r="H1363" s="294">
        <v>42460</v>
      </c>
      <c r="I1363" s="295">
        <v>7105.96</v>
      </c>
    </row>
    <row r="1364" spans="1:9" x14ac:dyDescent="0.2">
      <c r="A1364" s="293" t="s">
        <v>10015</v>
      </c>
      <c r="B1364" s="293" t="s">
        <v>9924</v>
      </c>
      <c r="C1364" s="293" t="s">
        <v>9925</v>
      </c>
      <c r="D1364" s="293" t="s">
        <v>5850</v>
      </c>
      <c r="E1364" s="293" t="s">
        <v>9925</v>
      </c>
      <c r="F1364" s="293" t="s">
        <v>10016</v>
      </c>
      <c r="G1364" s="293" t="s">
        <v>5591</v>
      </c>
      <c r="H1364" s="294">
        <v>42460</v>
      </c>
      <c r="I1364" s="295">
        <v>25341.360000000001</v>
      </c>
    </row>
    <row r="1365" spans="1:9" x14ac:dyDescent="0.2">
      <c r="A1365" s="293" t="s">
        <v>10015</v>
      </c>
      <c r="B1365" s="293" t="s">
        <v>9924</v>
      </c>
      <c r="C1365" s="293" t="s">
        <v>9925</v>
      </c>
      <c r="D1365" s="293" t="s">
        <v>5850</v>
      </c>
      <c r="E1365" s="293" t="s">
        <v>9925</v>
      </c>
      <c r="F1365" s="293" t="s">
        <v>10016</v>
      </c>
      <c r="G1365" s="293" t="s">
        <v>5755</v>
      </c>
      <c r="H1365" s="294">
        <v>42460</v>
      </c>
      <c r="I1365" s="295">
        <v>-4276.43</v>
      </c>
    </row>
    <row r="1366" spans="1:9" x14ac:dyDescent="0.2">
      <c r="A1366" s="293" t="s">
        <v>10017</v>
      </c>
      <c r="B1366" s="293" t="s">
        <v>9924</v>
      </c>
      <c r="C1366" s="293" t="s">
        <v>9925</v>
      </c>
      <c r="D1366" s="293" t="s">
        <v>5850</v>
      </c>
      <c r="E1366" s="293" t="s">
        <v>9925</v>
      </c>
      <c r="F1366" s="293" t="s">
        <v>10018</v>
      </c>
      <c r="G1366" s="293" t="s">
        <v>5755</v>
      </c>
      <c r="H1366" s="294">
        <v>42490</v>
      </c>
      <c r="I1366" s="295">
        <v>-4276.43</v>
      </c>
    </row>
    <row r="1367" spans="1:9" x14ac:dyDescent="0.2">
      <c r="A1367" s="293" t="s">
        <v>10017</v>
      </c>
      <c r="B1367" s="293" t="s">
        <v>9924</v>
      </c>
      <c r="C1367" s="293" t="s">
        <v>9925</v>
      </c>
      <c r="D1367" s="293" t="s">
        <v>5850</v>
      </c>
      <c r="E1367" s="293" t="s">
        <v>9925</v>
      </c>
      <c r="F1367" s="293" t="s">
        <v>10018</v>
      </c>
      <c r="G1367" s="293" t="s">
        <v>5591</v>
      </c>
      <c r="H1367" s="294">
        <v>42490</v>
      </c>
      <c r="I1367" s="295">
        <v>25341.37</v>
      </c>
    </row>
    <row r="1368" spans="1:9" x14ac:dyDescent="0.2">
      <c r="A1368" s="293" t="s">
        <v>10017</v>
      </c>
      <c r="B1368" s="293" t="s">
        <v>9924</v>
      </c>
      <c r="C1368" s="293" t="s">
        <v>9925</v>
      </c>
      <c r="D1368" s="293" t="s">
        <v>5850</v>
      </c>
      <c r="E1368" s="293" t="s">
        <v>9925</v>
      </c>
      <c r="F1368" s="293" t="s">
        <v>10018</v>
      </c>
      <c r="G1368" s="293" t="s">
        <v>5754</v>
      </c>
      <c r="H1368" s="294">
        <v>42490</v>
      </c>
      <c r="I1368" s="295">
        <v>321.79000000000002</v>
      </c>
    </row>
    <row r="1369" spans="1:9" x14ac:dyDescent="0.2">
      <c r="A1369" s="293" t="s">
        <v>10017</v>
      </c>
      <c r="B1369" s="293" t="s">
        <v>9924</v>
      </c>
      <c r="C1369" s="293" t="s">
        <v>9925</v>
      </c>
      <c r="D1369" s="293" t="s">
        <v>5850</v>
      </c>
      <c r="E1369" s="293" t="s">
        <v>9925</v>
      </c>
      <c r="F1369" s="293" t="s">
        <v>10018</v>
      </c>
      <c r="G1369" s="293" t="s">
        <v>5589</v>
      </c>
      <c r="H1369" s="294">
        <v>42490</v>
      </c>
      <c r="I1369" s="295">
        <v>7105.96</v>
      </c>
    </row>
    <row r="1370" spans="1:9" x14ac:dyDescent="0.2">
      <c r="A1370" s="293" t="s">
        <v>10019</v>
      </c>
      <c r="B1370" s="293" t="s">
        <v>9924</v>
      </c>
      <c r="C1370" s="293" t="s">
        <v>9925</v>
      </c>
      <c r="D1370" s="293" t="s">
        <v>5850</v>
      </c>
      <c r="E1370" s="293" t="s">
        <v>9925</v>
      </c>
      <c r="F1370" s="293" t="s">
        <v>10020</v>
      </c>
      <c r="G1370" s="293" t="s">
        <v>5755</v>
      </c>
      <c r="H1370" s="294">
        <v>42521</v>
      </c>
      <c r="I1370" s="295">
        <v>-4276.42</v>
      </c>
    </row>
    <row r="1371" spans="1:9" x14ac:dyDescent="0.2">
      <c r="A1371" s="293" t="s">
        <v>10019</v>
      </c>
      <c r="B1371" s="293" t="s">
        <v>9924</v>
      </c>
      <c r="C1371" s="293" t="s">
        <v>9925</v>
      </c>
      <c r="D1371" s="293" t="s">
        <v>5850</v>
      </c>
      <c r="E1371" s="293" t="s">
        <v>9925</v>
      </c>
      <c r="F1371" s="293" t="s">
        <v>10020</v>
      </c>
      <c r="G1371" s="293" t="s">
        <v>5754</v>
      </c>
      <c r="H1371" s="294">
        <v>42521</v>
      </c>
      <c r="I1371" s="295">
        <v>321.79000000000002</v>
      </c>
    </row>
    <row r="1372" spans="1:9" x14ac:dyDescent="0.2">
      <c r="A1372" s="293" t="s">
        <v>10019</v>
      </c>
      <c r="B1372" s="293" t="s">
        <v>9924</v>
      </c>
      <c r="C1372" s="293" t="s">
        <v>9925</v>
      </c>
      <c r="D1372" s="293" t="s">
        <v>5850</v>
      </c>
      <c r="E1372" s="293" t="s">
        <v>9925</v>
      </c>
      <c r="F1372" s="293" t="s">
        <v>10020</v>
      </c>
      <c r="G1372" s="293" t="s">
        <v>5589</v>
      </c>
      <c r="H1372" s="294">
        <v>42521</v>
      </c>
      <c r="I1372" s="295">
        <v>7105.95</v>
      </c>
    </row>
    <row r="1373" spans="1:9" x14ac:dyDescent="0.2">
      <c r="A1373" s="293" t="s">
        <v>10019</v>
      </c>
      <c r="B1373" s="293" t="s">
        <v>9924</v>
      </c>
      <c r="C1373" s="293" t="s">
        <v>9925</v>
      </c>
      <c r="D1373" s="293" t="s">
        <v>5850</v>
      </c>
      <c r="E1373" s="293" t="s">
        <v>9925</v>
      </c>
      <c r="F1373" s="293" t="s">
        <v>10020</v>
      </c>
      <c r="G1373" s="293" t="s">
        <v>5591</v>
      </c>
      <c r="H1373" s="294">
        <v>42521</v>
      </c>
      <c r="I1373" s="295">
        <v>25341.35</v>
      </c>
    </row>
    <row r="1374" spans="1:9" x14ac:dyDescent="0.2">
      <c r="A1374" s="293" t="s">
        <v>10021</v>
      </c>
      <c r="B1374" s="293" t="s">
        <v>9924</v>
      </c>
      <c r="C1374" s="293" t="s">
        <v>9925</v>
      </c>
      <c r="D1374" s="293" t="s">
        <v>5850</v>
      </c>
      <c r="E1374" s="293" t="s">
        <v>9925</v>
      </c>
      <c r="F1374" s="293" t="s">
        <v>10022</v>
      </c>
      <c r="G1374" s="293" t="s">
        <v>5591</v>
      </c>
      <c r="H1374" s="294">
        <v>42551</v>
      </c>
      <c r="I1374" s="295">
        <v>25341.37</v>
      </c>
    </row>
    <row r="1375" spans="1:9" x14ac:dyDescent="0.2">
      <c r="A1375" s="293" t="s">
        <v>10021</v>
      </c>
      <c r="B1375" s="293" t="s">
        <v>9924</v>
      </c>
      <c r="C1375" s="293" t="s">
        <v>9925</v>
      </c>
      <c r="D1375" s="293" t="s">
        <v>5850</v>
      </c>
      <c r="E1375" s="293" t="s">
        <v>9925</v>
      </c>
      <c r="F1375" s="293" t="s">
        <v>10022</v>
      </c>
      <c r="G1375" s="293" t="s">
        <v>5589</v>
      </c>
      <c r="H1375" s="294">
        <v>42551</v>
      </c>
      <c r="I1375" s="295">
        <v>7105.96</v>
      </c>
    </row>
    <row r="1376" spans="1:9" x14ac:dyDescent="0.2">
      <c r="A1376" s="293" t="s">
        <v>10021</v>
      </c>
      <c r="B1376" s="293" t="s">
        <v>9924</v>
      </c>
      <c r="C1376" s="293" t="s">
        <v>9925</v>
      </c>
      <c r="D1376" s="293" t="s">
        <v>5850</v>
      </c>
      <c r="E1376" s="293" t="s">
        <v>9925</v>
      </c>
      <c r="F1376" s="293" t="s">
        <v>10022</v>
      </c>
      <c r="G1376" s="293" t="s">
        <v>5754</v>
      </c>
      <c r="H1376" s="294">
        <v>42551</v>
      </c>
      <c r="I1376" s="295">
        <v>321.79000000000002</v>
      </c>
    </row>
    <row r="1377" spans="1:9" x14ac:dyDescent="0.2">
      <c r="A1377" s="293" t="s">
        <v>10021</v>
      </c>
      <c r="B1377" s="293" t="s">
        <v>9924</v>
      </c>
      <c r="C1377" s="293" t="s">
        <v>9925</v>
      </c>
      <c r="D1377" s="293" t="s">
        <v>5850</v>
      </c>
      <c r="E1377" s="293" t="s">
        <v>9925</v>
      </c>
      <c r="F1377" s="293" t="s">
        <v>10022</v>
      </c>
      <c r="G1377" s="293" t="s">
        <v>5755</v>
      </c>
      <c r="H1377" s="294">
        <v>42551</v>
      </c>
      <c r="I1377" s="295">
        <v>-4276.43</v>
      </c>
    </row>
    <row r="1378" spans="1:9" x14ac:dyDescent="0.2">
      <c r="A1378" s="293" t="s">
        <v>10023</v>
      </c>
      <c r="B1378" s="293" t="s">
        <v>9924</v>
      </c>
      <c r="C1378" s="293" t="s">
        <v>9925</v>
      </c>
      <c r="D1378" s="293" t="s">
        <v>5850</v>
      </c>
      <c r="E1378" s="293" t="s">
        <v>9925</v>
      </c>
      <c r="F1378" s="293" t="s">
        <v>10024</v>
      </c>
      <c r="G1378" s="293" t="s">
        <v>5591</v>
      </c>
      <c r="H1378" s="294">
        <v>42582</v>
      </c>
      <c r="I1378" s="295">
        <v>25341.37</v>
      </c>
    </row>
    <row r="1379" spans="1:9" x14ac:dyDescent="0.2">
      <c r="A1379" s="293" t="s">
        <v>10023</v>
      </c>
      <c r="B1379" s="293" t="s">
        <v>9924</v>
      </c>
      <c r="C1379" s="293" t="s">
        <v>9925</v>
      </c>
      <c r="D1379" s="293" t="s">
        <v>5850</v>
      </c>
      <c r="E1379" s="293" t="s">
        <v>9925</v>
      </c>
      <c r="F1379" s="293" t="s">
        <v>10024</v>
      </c>
      <c r="G1379" s="293" t="s">
        <v>5589</v>
      </c>
      <c r="H1379" s="294">
        <v>42582</v>
      </c>
      <c r="I1379" s="295">
        <v>7105.96</v>
      </c>
    </row>
    <row r="1380" spans="1:9" x14ac:dyDescent="0.2">
      <c r="A1380" s="293" t="s">
        <v>10023</v>
      </c>
      <c r="B1380" s="293" t="s">
        <v>9924</v>
      </c>
      <c r="C1380" s="293" t="s">
        <v>9925</v>
      </c>
      <c r="D1380" s="293" t="s">
        <v>5850</v>
      </c>
      <c r="E1380" s="293" t="s">
        <v>9925</v>
      </c>
      <c r="F1380" s="293" t="s">
        <v>10024</v>
      </c>
      <c r="G1380" s="293" t="s">
        <v>5755</v>
      </c>
      <c r="H1380" s="294">
        <v>42582</v>
      </c>
      <c r="I1380" s="295">
        <v>-4276.43</v>
      </c>
    </row>
    <row r="1381" spans="1:9" x14ac:dyDescent="0.2">
      <c r="A1381" s="293" t="s">
        <v>10023</v>
      </c>
      <c r="B1381" s="293" t="s">
        <v>9924</v>
      </c>
      <c r="C1381" s="293" t="s">
        <v>9925</v>
      </c>
      <c r="D1381" s="293" t="s">
        <v>5850</v>
      </c>
      <c r="E1381" s="293" t="s">
        <v>9925</v>
      </c>
      <c r="F1381" s="293" t="s">
        <v>10024</v>
      </c>
      <c r="G1381" s="293" t="s">
        <v>5754</v>
      </c>
      <c r="H1381" s="294">
        <v>42582</v>
      </c>
      <c r="I1381" s="295">
        <v>321.79000000000002</v>
      </c>
    </row>
    <row r="1382" spans="1:9" x14ac:dyDescent="0.2">
      <c r="A1382" s="293" t="s">
        <v>10025</v>
      </c>
      <c r="B1382" s="293" t="s">
        <v>9924</v>
      </c>
      <c r="C1382" s="293" t="s">
        <v>9925</v>
      </c>
      <c r="D1382" s="293" t="s">
        <v>5850</v>
      </c>
      <c r="E1382" s="293" t="s">
        <v>9925</v>
      </c>
      <c r="F1382" s="293" t="s">
        <v>10026</v>
      </c>
      <c r="G1382" s="293" t="s">
        <v>5755</v>
      </c>
      <c r="H1382" s="294">
        <v>42613</v>
      </c>
      <c r="I1382" s="295">
        <v>-4276.43</v>
      </c>
    </row>
    <row r="1383" spans="1:9" x14ac:dyDescent="0.2">
      <c r="A1383" s="293" t="s">
        <v>10025</v>
      </c>
      <c r="B1383" s="293" t="s">
        <v>9924</v>
      </c>
      <c r="C1383" s="293" t="s">
        <v>9925</v>
      </c>
      <c r="D1383" s="293" t="s">
        <v>5850</v>
      </c>
      <c r="E1383" s="293" t="s">
        <v>9925</v>
      </c>
      <c r="F1383" s="293" t="s">
        <v>10026</v>
      </c>
      <c r="G1383" s="293" t="s">
        <v>5754</v>
      </c>
      <c r="H1383" s="294">
        <v>42613</v>
      </c>
      <c r="I1383" s="295">
        <v>321.79000000000002</v>
      </c>
    </row>
    <row r="1384" spans="1:9" x14ac:dyDescent="0.2">
      <c r="A1384" s="293" t="s">
        <v>10025</v>
      </c>
      <c r="B1384" s="293" t="s">
        <v>9924</v>
      </c>
      <c r="C1384" s="293" t="s">
        <v>9925</v>
      </c>
      <c r="D1384" s="293" t="s">
        <v>5850</v>
      </c>
      <c r="E1384" s="293" t="s">
        <v>9925</v>
      </c>
      <c r="F1384" s="293" t="s">
        <v>10026</v>
      </c>
      <c r="G1384" s="293" t="s">
        <v>5591</v>
      </c>
      <c r="H1384" s="294">
        <v>42613</v>
      </c>
      <c r="I1384" s="295">
        <v>25341.35</v>
      </c>
    </row>
    <row r="1385" spans="1:9" x14ac:dyDescent="0.2">
      <c r="A1385" s="293" t="s">
        <v>10025</v>
      </c>
      <c r="B1385" s="293" t="s">
        <v>9924</v>
      </c>
      <c r="C1385" s="293" t="s">
        <v>9925</v>
      </c>
      <c r="D1385" s="293" t="s">
        <v>5850</v>
      </c>
      <c r="E1385" s="293" t="s">
        <v>9925</v>
      </c>
      <c r="F1385" s="293" t="s">
        <v>10026</v>
      </c>
      <c r="G1385" s="293" t="s">
        <v>5589</v>
      </c>
      <c r="H1385" s="294">
        <v>42613</v>
      </c>
      <c r="I1385" s="295">
        <v>7105.96</v>
      </c>
    </row>
    <row r="1386" spans="1:9" x14ac:dyDescent="0.2">
      <c r="A1386" s="293" t="s">
        <v>10027</v>
      </c>
      <c r="B1386" s="293" t="s">
        <v>9924</v>
      </c>
      <c r="C1386" s="293" t="s">
        <v>9925</v>
      </c>
      <c r="D1386" s="293" t="s">
        <v>5850</v>
      </c>
      <c r="E1386" s="293" t="s">
        <v>9925</v>
      </c>
      <c r="F1386" s="293" t="s">
        <v>10028</v>
      </c>
      <c r="G1386" s="293" t="s">
        <v>5591</v>
      </c>
      <c r="H1386" s="294">
        <v>42643</v>
      </c>
      <c r="I1386" s="295">
        <v>25341.37</v>
      </c>
    </row>
    <row r="1387" spans="1:9" x14ac:dyDescent="0.2">
      <c r="A1387" s="293" t="s">
        <v>10027</v>
      </c>
      <c r="B1387" s="293" t="s">
        <v>9924</v>
      </c>
      <c r="C1387" s="293" t="s">
        <v>9925</v>
      </c>
      <c r="D1387" s="293" t="s">
        <v>5850</v>
      </c>
      <c r="E1387" s="293" t="s">
        <v>9925</v>
      </c>
      <c r="F1387" s="293" t="s">
        <v>10028</v>
      </c>
      <c r="G1387" s="293" t="s">
        <v>5755</v>
      </c>
      <c r="H1387" s="294">
        <v>42643</v>
      </c>
      <c r="I1387" s="295">
        <v>-4276.43</v>
      </c>
    </row>
    <row r="1388" spans="1:9" x14ac:dyDescent="0.2">
      <c r="A1388" s="293" t="s">
        <v>10027</v>
      </c>
      <c r="B1388" s="293" t="s">
        <v>9924</v>
      </c>
      <c r="C1388" s="293" t="s">
        <v>9925</v>
      </c>
      <c r="D1388" s="293" t="s">
        <v>5850</v>
      </c>
      <c r="E1388" s="293" t="s">
        <v>9925</v>
      </c>
      <c r="F1388" s="293" t="s">
        <v>10028</v>
      </c>
      <c r="G1388" s="293" t="s">
        <v>5589</v>
      </c>
      <c r="H1388" s="294">
        <v>42643</v>
      </c>
      <c r="I1388" s="295">
        <v>7105.96</v>
      </c>
    </row>
    <row r="1389" spans="1:9" x14ac:dyDescent="0.2">
      <c r="A1389" s="293" t="s">
        <v>10027</v>
      </c>
      <c r="B1389" s="293" t="s">
        <v>9924</v>
      </c>
      <c r="C1389" s="293" t="s">
        <v>9925</v>
      </c>
      <c r="D1389" s="293" t="s">
        <v>5850</v>
      </c>
      <c r="E1389" s="293" t="s">
        <v>9925</v>
      </c>
      <c r="F1389" s="293" t="s">
        <v>10028</v>
      </c>
      <c r="G1389" s="293" t="s">
        <v>5754</v>
      </c>
      <c r="H1389" s="294">
        <v>42643</v>
      </c>
      <c r="I1389" s="295">
        <v>321.79000000000002</v>
      </c>
    </row>
    <row r="1390" spans="1:9" x14ac:dyDescent="0.2">
      <c r="A1390" s="293" t="s">
        <v>10029</v>
      </c>
      <c r="B1390" s="293" t="s">
        <v>9924</v>
      </c>
      <c r="C1390" s="293" t="s">
        <v>9925</v>
      </c>
      <c r="D1390" s="293" t="s">
        <v>5850</v>
      </c>
      <c r="E1390" s="293" t="s">
        <v>9925</v>
      </c>
      <c r="F1390" s="293" t="s">
        <v>10030</v>
      </c>
      <c r="G1390" s="293" t="s">
        <v>5591</v>
      </c>
      <c r="H1390" s="294">
        <v>42674</v>
      </c>
      <c r="I1390" s="295">
        <v>25341.35</v>
      </c>
    </row>
    <row r="1391" spans="1:9" x14ac:dyDescent="0.2">
      <c r="A1391" s="293" t="s">
        <v>10029</v>
      </c>
      <c r="B1391" s="293" t="s">
        <v>9924</v>
      </c>
      <c r="C1391" s="293" t="s">
        <v>9925</v>
      </c>
      <c r="D1391" s="293" t="s">
        <v>5850</v>
      </c>
      <c r="E1391" s="293" t="s">
        <v>9925</v>
      </c>
      <c r="F1391" s="293" t="s">
        <v>10030</v>
      </c>
      <c r="G1391" s="293" t="s">
        <v>5589</v>
      </c>
      <c r="H1391" s="294">
        <v>42674</v>
      </c>
      <c r="I1391" s="295">
        <v>7105.95</v>
      </c>
    </row>
    <row r="1392" spans="1:9" x14ac:dyDescent="0.2">
      <c r="A1392" s="293" t="s">
        <v>10029</v>
      </c>
      <c r="B1392" s="293" t="s">
        <v>9924</v>
      </c>
      <c r="C1392" s="293" t="s">
        <v>9925</v>
      </c>
      <c r="D1392" s="293" t="s">
        <v>5850</v>
      </c>
      <c r="E1392" s="293" t="s">
        <v>9925</v>
      </c>
      <c r="F1392" s="293" t="s">
        <v>10030</v>
      </c>
      <c r="G1392" s="293" t="s">
        <v>5754</v>
      </c>
      <c r="H1392" s="294">
        <v>42674</v>
      </c>
      <c r="I1392" s="295">
        <v>321.79000000000002</v>
      </c>
    </row>
    <row r="1393" spans="1:9" x14ac:dyDescent="0.2">
      <c r="A1393" s="293" t="s">
        <v>10029</v>
      </c>
      <c r="B1393" s="293" t="s">
        <v>9924</v>
      </c>
      <c r="C1393" s="293" t="s">
        <v>9925</v>
      </c>
      <c r="D1393" s="293" t="s">
        <v>5850</v>
      </c>
      <c r="E1393" s="293" t="s">
        <v>9925</v>
      </c>
      <c r="F1393" s="293" t="s">
        <v>10030</v>
      </c>
      <c r="G1393" s="293" t="s">
        <v>5755</v>
      </c>
      <c r="H1393" s="294">
        <v>42674</v>
      </c>
      <c r="I1393" s="295">
        <v>-4276.42</v>
      </c>
    </row>
    <row r="1394" spans="1:9" x14ac:dyDescent="0.2">
      <c r="A1394" s="293" t="s">
        <v>10031</v>
      </c>
      <c r="B1394" s="293" t="s">
        <v>9924</v>
      </c>
      <c r="C1394" s="293" t="s">
        <v>9925</v>
      </c>
      <c r="D1394" s="293" t="s">
        <v>5850</v>
      </c>
      <c r="E1394" s="293" t="s">
        <v>9925</v>
      </c>
      <c r="F1394" s="293" t="s">
        <v>10032</v>
      </c>
      <c r="G1394" s="293" t="s">
        <v>5591</v>
      </c>
      <c r="H1394" s="294">
        <v>42704</v>
      </c>
      <c r="I1394" s="295">
        <v>25341.37</v>
      </c>
    </row>
    <row r="1395" spans="1:9" x14ac:dyDescent="0.2">
      <c r="A1395" s="293" t="s">
        <v>10031</v>
      </c>
      <c r="B1395" s="293" t="s">
        <v>9924</v>
      </c>
      <c r="C1395" s="293" t="s">
        <v>9925</v>
      </c>
      <c r="D1395" s="293" t="s">
        <v>5850</v>
      </c>
      <c r="E1395" s="293" t="s">
        <v>9925</v>
      </c>
      <c r="F1395" s="293" t="s">
        <v>10032</v>
      </c>
      <c r="G1395" s="293" t="s">
        <v>5755</v>
      </c>
      <c r="H1395" s="294">
        <v>42704</v>
      </c>
      <c r="I1395" s="295">
        <v>-4276.43</v>
      </c>
    </row>
    <row r="1396" spans="1:9" x14ac:dyDescent="0.2">
      <c r="A1396" s="293" t="s">
        <v>10031</v>
      </c>
      <c r="B1396" s="293" t="s">
        <v>9924</v>
      </c>
      <c r="C1396" s="293" t="s">
        <v>9925</v>
      </c>
      <c r="D1396" s="293" t="s">
        <v>5850</v>
      </c>
      <c r="E1396" s="293" t="s">
        <v>9925</v>
      </c>
      <c r="F1396" s="293" t="s">
        <v>10032</v>
      </c>
      <c r="G1396" s="293" t="s">
        <v>5754</v>
      </c>
      <c r="H1396" s="294">
        <v>42704</v>
      </c>
      <c r="I1396" s="295">
        <v>321.79000000000002</v>
      </c>
    </row>
    <row r="1397" spans="1:9" x14ac:dyDescent="0.2">
      <c r="A1397" s="293" t="s">
        <v>10031</v>
      </c>
      <c r="B1397" s="293" t="s">
        <v>9924</v>
      </c>
      <c r="C1397" s="293" t="s">
        <v>9925</v>
      </c>
      <c r="D1397" s="293" t="s">
        <v>5850</v>
      </c>
      <c r="E1397" s="293" t="s">
        <v>9925</v>
      </c>
      <c r="F1397" s="293" t="s">
        <v>10032</v>
      </c>
      <c r="G1397" s="293" t="s">
        <v>5589</v>
      </c>
      <c r="H1397" s="294">
        <v>42704</v>
      </c>
      <c r="I1397" s="295">
        <v>7105.96</v>
      </c>
    </row>
    <row r="1398" spans="1:9" x14ac:dyDescent="0.2">
      <c r="A1398" s="293" t="s">
        <v>10033</v>
      </c>
      <c r="B1398" s="293" t="s">
        <v>9924</v>
      </c>
      <c r="C1398" s="293" t="s">
        <v>9925</v>
      </c>
      <c r="D1398" s="293" t="s">
        <v>5850</v>
      </c>
      <c r="E1398" s="293" t="s">
        <v>9925</v>
      </c>
      <c r="F1398" s="293" t="s">
        <v>10034</v>
      </c>
      <c r="G1398" s="293" t="s">
        <v>5754</v>
      </c>
      <c r="H1398" s="294">
        <v>42735</v>
      </c>
      <c r="I1398" s="295">
        <v>321.79000000000002</v>
      </c>
    </row>
    <row r="1399" spans="1:9" x14ac:dyDescent="0.2">
      <c r="A1399" s="293" t="s">
        <v>10033</v>
      </c>
      <c r="B1399" s="293" t="s">
        <v>9924</v>
      </c>
      <c r="C1399" s="293" t="s">
        <v>9925</v>
      </c>
      <c r="D1399" s="293" t="s">
        <v>5850</v>
      </c>
      <c r="E1399" s="293" t="s">
        <v>9925</v>
      </c>
      <c r="F1399" s="293" t="s">
        <v>10034</v>
      </c>
      <c r="G1399" s="293" t="s">
        <v>5755</v>
      </c>
      <c r="H1399" s="294">
        <v>42735</v>
      </c>
      <c r="I1399" s="295">
        <v>-4276.43</v>
      </c>
    </row>
    <row r="1400" spans="1:9" x14ac:dyDescent="0.2">
      <c r="A1400" s="293" t="s">
        <v>10033</v>
      </c>
      <c r="B1400" s="293" t="s">
        <v>9924</v>
      </c>
      <c r="C1400" s="293" t="s">
        <v>9925</v>
      </c>
      <c r="D1400" s="293" t="s">
        <v>5850</v>
      </c>
      <c r="E1400" s="293" t="s">
        <v>9925</v>
      </c>
      <c r="F1400" s="293" t="s">
        <v>10034</v>
      </c>
      <c r="G1400" s="293" t="s">
        <v>5589</v>
      </c>
      <c r="H1400" s="294">
        <v>42735</v>
      </c>
      <c r="I1400" s="295">
        <v>7105.96</v>
      </c>
    </row>
    <row r="1401" spans="1:9" x14ac:dyDescent="0.2">
      <c r="A1401" s="293" t="s">
        <v>10033</v>
      </c>
      <c r="B1401" s="293" t="s">
        <v>9924</v>
      </c>
      <c r="C1401" s="293" t="s">
        <v>9925</v>
      </c>
      <c r="D1401" s="293" t="s">
        <v>5850</v>
      </c>
      <c r="E1401" s="293" t="s">
        <v>9925</v>
      </c>
      <c r="F1401" s="293" t="s">
        <v>10034</v>
      </c>
      <c r="G1401" s="293" t="s">
        <v>5591</v>
      </c>
      <c r="H1401" s="294">
        <v>42735</v>
      </c>
      <c r="I1401" s="295">
        <v>25341.360000000001</v>
      </c>
    </row>
    <row r="1402" spans="1:9" x14ac:dyDescent="0.2">
      <c r="A1402" s="293" t="s">
        <v>10035</v>
      </c>
      <c r="B1402" s="293" t="s">
        <v>9924</v>
      </c>
      <c r="C1402" s="293" t="s">
        <v>9925</v>
      </c>
      <c r="D1402" s="293" t="s">
        <v>5850</v>
      </c>
      <c r="E1402" s="293" t="s">
        <v>9925</v>
      </c>
      <c r="F1402" s="293" t="s">
        <v>10036</v>
      </c>
      <c r="G1402" s="293" t="s">
        <v>5755</v>
      </c>
      <c r="H1402" s="294">
        <v>42735</v>
      </c>
      <c r="I1402" s="295">
        <v>-4276.43</v>
      </c>
    </row>
    <row r="1403" spans="1:9" x14ac:dyDescent="0.2">
      <c r="A1403" s="293" t="s">
        <v>10035</v>
      </c>
      <c r="B1403" s="293" t="s">
        <v>9924</v>
      </c>
      <c r="C1403" s="293" t="s">
        <v>9925</v>
      </c>
      <c r="D1403" s="293" t="s">
        <v>5850</v>
      </c>
      <c r="E1403" s="293" t="s">
        <v>9925</v>
      </c>
      <c r="F1403" s="293" t="s">
        <v>10036</v>
      </c>
      <c r="G1403" s="293" t="s">
        <v>5589</v>
      </c>
      <c r="H1403" s="294">
        <v>42735</v>
      </c>
      <c r="I1403" s="295">
        <v>7105.96</v>
      </c>
    </row>
    <row r="1404" spans="1:9" x14ac:dyDescent="0.2">
      <c r="A1404" s="293" t="s">
        <v>10035</v>
      </c>
      <c r="B1404" s="293" t="s">
        <v>9924</v>
      </c>
      <c r="C1404" s="293" t="s">
        <v>9925</v>
      </c>
      <c r="D1404" s="293" t="s">
        <v>5850</v>
      </c>
      <c r="E1404" s="293" t="s">
        <v>9925</v>
      </c>
      <c r="F1404" s="293" t="s">
        <v>10036</v>
      </c>
      <c r="G1404" s="293" t="s">
        <v>5591</v>
      </c>
      <c r="H1404" s="294">
        <v>42735</v>
      </c>
      <c r="I1404" s="295">
        <v>25341.360000000001</v>
      </c>
    </row>
    <row r="1405" spans="1:9" x14ac:dyDescent="0.2">
      <c r="A1405" s="293" t="s">
        <v>10035</v>
      </c>
      <c r="B1405" s="293" t="s">
        <v>9924</v>
      </c>
      <c r="C1405" s="293" t="s">
        <v>9925</v>
      </c>
      <c r="D1405" s="293" t="s">
        <v>5850</v>
      </c>
      <c r="E1405" s="293" t="s">
        <v>9925</v>
      </c>
      <c r="F1405" s="293" t="s">
        <v>10036</v>
      </c>
      <c r="G1405" s="293" t="s">
        <v>5754</v>
      </c>
      <c r="H1405" s="294">
        <v>42735</v>
      </c>
      <c r="I1405" s="295">
        <v>321.79000000000002</v>
      </c>
    </row>
    <row r="1406" spans="1:9" x14ac:dyDescent="0.2">
      <c r="A1406" s="293" t="s">
        <v>10037</v>
      </c>
      <c r="B1406" s="293" t="s">
        <v>9924</v>
      </c>
      <c r="C1406" s="293" t="s">
        <v>9939</v>
      </c>
      <c r="D1406" s="293" t="s">
        <v>5850</v>
      </c>
      <c r="E1406" s="293" t="s">
        <v>9939</v>
      </c>
      <c r="F1406" s="293" t="s">
        <v>10036</v>
      </c>
      <c r="G1406" s="293" t="s">
        <v>5589</v>
      </c>
      <c r="H1406" s="294">
        <v>42735</v>
      </c>
      <c r="I1406" s="295">
        <v>-7105.96</v>
      </c>
    </row>
    <row r="1407" spans="1:9" x14ac:dyDescent="0.2">
      <c r="A1407" s="293" t="s">
        <v>10037</v>
      </c>
      <c r="B1407" s="293" t="s">
        <v>9924</v>
      </c>
      <c r="C1407" s="293" t="s">
        <v>9939</v>
      </c>
      <c r="D1407" s="293" t="s">
        <v>5850</v>
      </c>
      <c r="E1407" s="293" t="s">
        <v>9939</v>
      </c>
      <c r="F1407" s="293" t="s">
        <v>10036</v>
      </c>
      <c r="G1407" s="293" t="s">
        <v>5591</v>
      </c>
      <c r="H1407" s="294">
        <v>42735</v>
      </c>
      <c r="I1407" s="295">
        <v>-25341.360000000001</v>
      </c>
    </row>
    <row r="1408" spans="1:9" x14ac:dyDescent="0.2">
      <c r="A1408" s="293" t="s">
        <v>10037</v>
      </c>
      <c r="B1408" s="293" t="s">
        <v>9924</v>
      </c>
      <c r="C1408" s="293" t="s">
        <v>9939</v>
      </c>
      <c r="D1408" s="293" t="s">
        <v>5850</v>
      </c>
      <c r="E1408" s="293" t="s">
        <v>9939</v>
      </c>
      <c r="F1408" s="293" t="s">
        <v>10036</v>
      </c>
      <c r="G1408" s="293" t="s">
        <v>5754</v>
      </c>
      <c r="H1408" s="294">
        <v>42735</v>
      </c>
      <c r="I1408" s="295">
        <v>-321.79000000000002</v>
      </c>
    </row>
    <row r="1409" spans="1:9" x14ac:dyDescent="0.2">
      <c r="A1409" s="293" t="s">
        <v>10037</v>
      </c>
      <c r="B1409" s="293" t="s">
        <v>9924</v>
      </c>
      <c r="C1409" s="293" t="s">
        <v>9939</v>
      </c>
      <c r="D1409" s="293" t="s">
        <v>5850</v>
      </c>
      <c r="E1409" s="293" t="s">
        <v>9939</v>
      </c>
      <c r="F1409" s="293" t="s">
        <v>10036</v>
      </c>
      <c r="G1409" s="293" t="s">
        <v>5755</v>
      </c>
      <c r="H1409" s="294">
        <v>42735</v>
      </c>
      <c r="I1409" s="295">
        <v>4276.43</v>
      </c>
    </row>
    <row r="1410" spans="1:9" x14ac:dyDescent="0.2">
      <c r="A1410" s="293" t="s">
        <v>10038</v>
      </c>
      <c r="B1410" s="293" t="s">
        <v>9924</v>
      </c>
      <c r="C1410" s="293" t="s">
        <v>9925</v>
      </c>
      <c r="D1410" s="293" t="s">
        <v>5850</v>
      </c>
      <c r="E1410" s="293" t="s">
        <v>9925</v>
      </c>
      <c r="F1410" s="293" t="s">
        <v>10039</v>
      </c>
      <c r="G1410" s="293" t="s">
        <v>5755</v>
      </c>
      <c r="H1410" s="294">
        <v>42735</v>
      </c>
      <c r="I1410" s="295">
        <v>-4276.43</v>
      </c>
    </row>
    <row r="1411" spans="1:9" x14ac:dyDescent="0.2">
      <c r="A1411" s="293" t="s">
        <v>10038</v>
      </c>
      <c r="B1411" s="293" t="s">
        <v>9924</v>
      </c>
      <c r="C1411" s="293" t="s">
        <v>9925</v>
      </c>
      <c r="D1411" s="293" t="s">
        <v>5850</v>
      </c>
      <c r="E1411" s="293" t="s">
        <v>9925</v>
      </c>
      <c r="F1411" s="293" t="s">
        <v>10039</v>
      </c>
      <c r="G1411" s="293" t="s">
        <v>5591</v>
      </c>
      <c r="H1411" s="294">
        <v>42735</v>
      </c>
      <c r="I1411" s="295">
        <v>25341.360000000001</v>
      </c>
    </row>
    <row r="1412" spans="1:9" x14ac:dyDescent="0.2">
      <c r="A1412" s="293" t="s">
        <v>10038</v>
      </c>
      <c r="B1412" s="293" t="s">
        <v>9924</v>
      </c>
      <c r="C1412" s="293" t="s">
        <v>9925</v>
      </c>
      <c r="D1412" s="293" t="s">
        <v>5850</v>
      </c>
      <c r="E1412" s="293" t="s">
        <v>9925</v>
      </c>
      <c r="F1412" s="293" t="s">
        <v>10039</v>
      </c>
      <c r="G1412" s="293" t="s">
        <v>5589</v>
      </c>
      <c r="H1412" s="294">
        <v>42735</v>
      </c>
      <c r="I1412" s="295">
        <v>7105.96</v>
      </c>
    </row>
    <row r="1413" spans="1:9" x14ac:dyDescent="0.2">
      <c r="A1413" s="293" t="s">
        <v>10038</v>
      </c>
      <c r="B1413" s="293" t="s">
        <v>9924</v>
      </c>
      <c r="C1413" s="293" t="s">
        <v>9925</v>
      </c>
      <c r="D1413" s="293" t="s">
        <v>5850</v>
      </c>
      <c r="E1413" s="293" t="s">
        <v>9925</v>
      </c>
      <c r="F1413" s="293" t="s">
        <v>10039</v>
      </c>
      <c r="G1413" s="293" t="s">
        <v>5754</v>
      </c>
      <c r="H1413" s="294">
        <v>42735</v>
      </c>
      <c r="I1413" s="295">
        <v>321.79000000000002</v>
      </c>
    </row>
    <row r="1414" spans="1:9" x14ac:dyDescent="0.2">
      <c r="A1414" s="293" t="s">
        <v>10040</v>
      </c>
      <c r="B1414" s="293" t="s">
        <v>9924</v>
      </c>
      <c r="C1414" s="293" t="s">
        <v>9939</v>
      </c>
      <c r="D1414" s="293" t="s">
        <v>5850</v>
      </c>
      <c r="E1414" s="293" t="s">
        <v>9939</v>
      </c>
      <c r="F1414" s="293" t="s">
        <v>10039</v>
      </c>
      <c r="G1414" s="293" t="s">
        <v>5589</v>
      </c>
      <c r="H1414" s="294">
        <v>42735</v>
      </c>
      <c r="I1414" s="295">
        <v>-7105.96</v>
      </c>
    </row>
    <row r="1415" spans="1:9" x14ac:dyDescent="0.2">
      <c r="A1415" s="293" t="s">
        <v>10040</v>
      </c>
      <c r="B1415" s="293" t="s">
        <v>9924</v>
      </c>
      <c r="C1415" s="293" t="s">
        <v>9939</v>
      </c>
      <c r="D1415" s="293" t="s">
        <v>5850</v>
      </c>
      <c r="E1415" s="293" t="s">
        <v>9939</v>
      </c>
      <c r="F1415" s="293" t="s">
        <v>10039</v>
      </c>
      <c r="G1415" s="293" t="s">
        <v>5754</v>
      </c>
      <c r="H1415" s="294">
        <v>42735</v>
      </c>
      <c r="I1415" s="295">
        <v>-321.79000000000002</v>
      </c>
    </row>
    <row r="1416" spans="1:9" x14ac:dyDescent="0.2">
      <c r="A1416" s="293" t="s">
        <v>10040</v>
      </c>
      <c r="B1416" s="293" t="s">
        <v>9924</v>
      </c>
      <c r="C1416" s="293" t="s">
        <v>9939</v>
      </c>
      <c r="D1416" s="293" t="s">
        <v>5850</v>
      </c>
      <c r="E1416" s="293" t="s">
        <v>9939</v>
      </c>
      <c r="F1416" s="293" t="s">
        <v>10039</v>
      </c>
      <c r="G1416" s="293" t="s">
        <v>5591</v>
      </c>
      <c r="H1416" s="294">
        <v>42735</v>
      </c>
      <c r="I1416" s="295">
        <v>-25341.360000000001</v>
      </c>
    </row>
    <row r="1417" spans="1:9" x14ac:dyDescent="0.2">
      <c r="A1417" s="293" t="s">
        <v>10040</v>
      </c>
      <c r="B1417" s="293" t="s">
        <v>9924</v>
      </c>
      <c r="C1417" s="293" t="s">
        <v>9939</v>
      </c>
      <c r="D1417" s="293" t="s">
        <v>5850</v>
      </c>
      <c r="E1417" s="293" t="s">
        <v>9939</v>
      </c>
      <c r="F1417" s="293" t="s">
        <v>10039</v>
      </c>
      <c r="G1417" s="293" t="s">
        <v>5755</v>
      </c>
      <c r="H1417" s="294">
        <v>42735</v>
      </c>
      <c r="I1417" s="295">
        <v>4276.43</v>
      </c>
    </row>
    <row r="1418" spans="1:9" x14ac:dyDescent="0.2">
      <c r="A1418" s="293" t="s">
        <v>10041</v>
      </c>
      <c r="B1418" s="293" t="s">
        <v>9924</v>
      </c>
      <c r="C1418" s="293" t="s">
        <v>9925</v>
      </c>
      <c r="D1418" s="293" t="s">
        <v>5850</v>
      </c>
      <c r="E1418" s="293" t="s">
        <v>9925</v>
      </c>
      <c r="F1418" s="293" t="s">
        <v>10042</v>
      </c>
      <c r="G1418" s="293" t="s">
        <v>5591</v>
      </c>
      <c r="H1418" s="294">
        <v>42766</v>
      </c>
      <c r="I1418" s="295">
        <v>25341.37</v>
      </c>
    </row>
    <row r="1419" spans="1:9" x14ac:dyDescent="0.2">
      <c r="A1419" s="293" t="s">
        <v>10041</v>
      </c>
      <c r="B1419" s="293" t="s">
        <v>9924</v>
      </c>
      <c r="C1419" s="293" t="s">
        <v>9925</v>
      </c>
      <c r="D1419" s="293" t="s">
        <v>5850</v>
      </c>
      <c r="E1419" s="293" t="s">
        <v>9925</v>
      </c>
      <c r="F1419" s="293" t="s">
        <v>10042</v>
      </c>
      <c r="G1419" s="293" t="s">
        <v>5589</v>
      </c>
      <c r="H1419" s="294">
        <v>42766</v>
      </c>
      <c r="I1419" s="295">
        <v>7105.96</v>
      </c>
    </row>
    <row r="1420" spans="1:9" x14ac:dyDescent="0.2">
      <c r="A1420" s="293" t="s">
        <v>10041</v>
      </c>
      <c r="B1420" s="293" t="s">
        <v>9924</v>
      </c>
      <c r="C1420" s="293" t="s">
        <v>9925</v>
      </c>
      <c r="D1420" s="293" t="s">
        <v>5850</v>
      </c>
      <c r="E1420" s="293" t="s">
        <v>9925</v>
      </c>
      <c r="F1420" s="293" t="s">
        <v>10042</v>
      </c>
      <c r="G1420" s="293" t="s">
        <v>5754</v>
      </c>
      <c r="H1420" s="294">
        <v>42766</v>
      </c>
      <c r="I1420" s="295">
        <v>321.79000000000002</v>
      </c>
    </row>
    <row r="1421" spans="1:9" x14ac:dyDescent="0.2">
      <c r="A1421" s="293" t="s">
        <v>10041</v>
      </c>
      <c r="B1421" s="293" t="s">
        <v>9924</v>
      </c>
      <c r="C1421" s="293" t="s">
        <v>9925</v>
      </c>
      <c r="D1421" s="293" t="s">
        <v>5850</v>
      </c>
      <c r="E1421" s="293" t="s">
        <v>9925</v>
      </c>
      <c r="F1421" s="293" t="s">
        <v>10042</v>
      </c>
      <c r="G1421" s="293" t="s">
        <v>5755</v>
      </c>
      <c r="H1421" s="294">
        <v>42766</v>
      </c>
      <c r="I1421" s="295">
        <v>-4276.43</v>
      </c>
    </row>
    <row r="1422" spans="1:9" x14ac:dyDescent="0.2">
      <c r="A1422" s="293" t="s">
        <v>10043</v>
      </c>
      <c r="B1422" s="293" t="s">
        <v>9924</v>
      </c>
      <c r="C1422" s="293" t="s">
        <v>9925</v>
      </c>
      <c r="D1422" s="293" t="s">
        <v>5850</v>
      </c>
      <c r="E1422" s="293" t="s">
        <v>9925</v>
      </c>
      <c r="F1422" s="293" t="s">
        <v>10044</v>
      </c>
      <c r="G1422" s="293" t="s">
        <v>5754</v>
      </c>
      <c r="H1422" s="294">
        <v>42794</v>
      </c>
      <c r="I1422" s="295">
        <v>321.79000000000002</v>
      </c>
    </row>
    <row r="1423" spans="1:9" x14ac:dyDescent="0.2">
      <c r="A1423" s="293" t="s">
        <v>10043</v>
      </c>
      <c r="B1423" s="293" t="s">
        <v>9924</v>
      </c>
      <c r="C1423" s="293" t="s">
        <v>9925</v>
      </c>
      <c r="D1423" s="293" t="s">
        <v>5850</v>
      </c>
      <c r="E1423" s="293" t="s">
        <v>9925</v>
      </c>
      <c r="F1423" s="293" t="s">
        <v>10044</v>
      </c>
      <c r="G1423" s="293" t="s">
        <v>5589</v>
      </c>
      <c r="H1423" s="294">
        <v>42794</v>
      </c>
      <c r="I1423" s="295">
        <v>7105.96</v>
      </c>
    </row>
    <row r="1424" spans="1:9" x14ac:dyDescent="0.2">
      <c r="A1424" s="293" t="s">
        <v>10043</v>
      </c>
      <c r="B1424" s="293" t="s">
        <v>9924</v>
      </c>
      <c r="C1424" s="293" t="s">
        <v>9925</v>
      </c>
      <c r="D1424" s="293" t="s">
        <v>5850</v>
      </c>
      <c r="E1424" s="293" t="s">
        <v>9925</v>
      </c>
      <c r="F1424" s="293" t="s">
        <v>10044</v>
      </c>
      <c r="G1424" s="293" t="s">
        <v>5591</v>
      </c>
      <c r="H1424" s="294">
        <v>42794</v>
      </c>
      <c r="I1424" s="295">
        <v>25341.37</v>
      </c>
    </row>
    <row r="1425" spans="1:9" x14ac:dyDescent="0.2">
      <c r="A1425" s="293" t="s">
        <v>10043</v>
      </c>
      <c r="B1425" s="293" t="s">
        <v>9924</v>
      </c>
      <c r="C1425" s="293" t="s">
        <v>9925</v>
      </c>
      <c r="D1425" s="293" t="s">
        <v>5850</v>
      </c>
      <c r="E1425" s="293" t="s">
        <v>9925</v>
      </c>
      <c r="F1425" s="293" t="s">
        <v>10044</v>
      </c>
      <c r="G1425" s="293" t="s">
        <v>5755</v>
      </c>
      <c r="H1425" s="294">
        <v>42794</v>
      </c>
      <c r="I1425" s="295">
        <v>-4276.43</v>
      </c>
    </row>
    <row r="1426" spans="1:9" x14ac:dyDescent="0.2">
      <c r="A1426" s="293" t="s">
        <v>10045</v>
      </c>
      <c r="B1426" s="293" t="s">
        <v>9924</v>
      </c>
      <c r="C1426" s="293" t="s">
        <v>9925</v>
      </c>
      <c r="D1426" s="293" t="s">
        <v>5850</v>
      </c>
      <c r="E1426" s="293" t="s">
        <v>9925</v>
      </c>
      <c r="F1426" s="293" t="s">
        <v>10046</v>
      </c>
      <c r="G1426" s="293" t="s">
        <v>5754</v>
      </c>
      <c r="H1426" s="294">
        <v>42825</v>
      </c>
      <c r="I1426" s="295">
        <v>321.79000000000002</v>
      </c>
    </row>
    <row r="1427" spans="1:9" x14ac:dyDescent="0.2">
      <c r="A1427" s="293" t="s">
        <v>10045</v>
      </c>
      <c r="B1427" s="293" t="s">
        <v>9924</v>
      </c>
      <c r="C1427" s="293" t="s">
        <v>9925</v>
      </c>
      <c r="D1427" s="293" t="s">
        <v>5850</v>
      </c>
      <c r="E1427" s="293" t="s">
        <v>9925</v>
      </c>
      <c r="F1427" s="293" t="s">
        <v>10046</v>
      </c>
      <c r="G1427" s="293" t="s">
        <v>5591</v>
      </c>
      <c r="H1427" s="294">
        <v>42825</v>
      </c>
      <c r="I1427" s="295">
        <v>25341.35</v>
      </c>
    </row>
    <row r="1428" spans="1:9" x14ac:dyDescent="0.2">
      <c r="A1428" s="293" t="s">
        <v>10045</v>
      </c>
      <c r="B1428" s="293" t="s">
        <v>9924</v>
      </c>
      <c r="C1428" s="293" t="s">
        <v>9925</v>
      </c>
      <c r="D1428" s="293" t="s">
        <v>5850</v>
      </c>
      <c r="E1428" s="293" t="s">
        <v>9925</v>
      </c>
      <c r="F1428" s="293" t="s">
        <v>10046</v>
      </c>
      <c r="G1428" s="293" t="s">
        <v>5755</v>
      </c>
      <c r="H1428" s="294">
        <v>42825</v>
      </c>
      <c r="I1428" s="295">
        <v>-4276.42</v>
      </c>
    </row>
    <row r="1429" spans="1:9" x14ac:dyDescent="0.2">
      <c r="A1429" s="293" t="s">
        <v>10045</v>
      </c>
      <c r="B1429" s="293" t="s">
        <v>9924</v>
      </c>
      <c r="C1429" s="293" t="s">
        <v>9925</v>
      </c>
      <c r="D1429" s="293" t="s">
        <v>5850</v>
      </c>
      <c r="E1429" s="293" t="s">
        <v>9925</v>
      </c>
      <c r="F1429" s="293" t="s">
        <v>10046</v>
      </c>
      <c r="G1429" s="293" t="s">
        <v>5589</v>
      </c>
      <c r="H1429" s="294">
        <v>42825</v>
      </c>
      <c r="I1429" s="295">
        <v>7105.95</v>
      </c>
    </row>
    <row r="1430" spans="1:9" x14ac:dyDescent="0.2">
      <c r="A1430" s="293" t="s">
        <v>10047</v>
      </c>
      <c r="B1430" s="293" t="s">
        <v>9924</v>
      </c>
      <c r="C1430" s="293" t="s">
        <v>9925</v>
      </c>
      <c r="D1430" s="293" t="s">
        <v>5850</v>
      </c>
      <c r="E1430" s="293" t="s">
        <v>9925</v>
      </c>
      <c r="F1430" s="293" t="s">
        <v>10048</v>
      </c>
      <c r="G1430" s="293" t="s">
        <v>5591</v>
      </c>
      <c r="H1430" s="294">
        <v>42855</v>
      </c>
      <c r="I1430" s="295">
        <v>25341.37</v>
      </c>
    </row>
    <row r="1431" spans="1:9" x14ac:dyDescent="0.2">
      <c r="A1431" s="293" t="s">
        <v>10047</v>
      </c>
      <c r="B1431" s="293" t="s">
        <v>9924</v>
      </c>
      <c r="C1431" s="293" t="s">
        <v>9925</v>
      </c>
      <c r="D1431" s="293" t="s">
        <v>5850</v>
      </c>
      <c r="E1431" s="293" t="s">
        <v>9925</v>
      </c>
      <c r="F1431" s="293" t="s">
        <v>10048</v>
      </c>
      <c r="G1431" s="293" t="s">
        <v>5589</v>
      </c>
      <c r="H1431" s="294">
        <v>42855</v>
      </c>
      <c r="I1431" s="295">
        <v>7105.96</v>
      </c>
    </row>
    <row r="1432" spans="1:9" x14ac:dyDescent="0.2">
      <c r="A1432" s="293" t="s">
        <v>10047</v>
      </c>
      <c r="B1432" s="293" t="s">
        <v>9924</v>
      </c>
      <c r="C1432" s="293" t="s">
        <v>9925</v>
      </c>
      <c r="D1432" s="293" t="s">
        <v>5850</v>
      </c>
      <c r="E1432" s="293" t="s">
        <v>9925</v>
      </c>
      <c r="F1432" s="293" t="s">
        <v>10048</v>
      </c>
      <c r="G1432" s="293" t="s">
        <v>5754</v>
      </c>
      <c r="H1432" s="294">
        <v>42855</v>
      </c>
      <c r="I1432" s="295">
        <v>321.79000000000002</v>
      </c>
    </row>
    <row r="1433" spans="1:9" x14ac:dyDescent="0.2">
      <c r="A1433" s="293" t="s">
        <v>10047</v>
      </c>
      <c r="B1433" s="293" t="s">
        <v>9924</v>
      </c>
      <c r="C1433" s="293" t="s">
        <v>9925</v>
      </c>
      <c r="D1433" s="293" t="s">
        <v>5850</v>
      </c>
      <c r="E1433" s="293" t="s">
        <v>9925</v>
      </c>
      <c r="F1433" s="293" t="s">
        <v>10048</v>
      </c>
      <c r="G1433" s="293" t="s">
        <v>5755</v>
      </c>
      <c r="H1433" s="294">
        <v>42855</v>
      </c>
      <c r="I1433" s="295">
        <v>-4276.43</v>
      </c>
    </row>
    <row r="1434" spans="1:9" x14ac:dyDescent="0.2">
      <c r="A1434" s="293" t="s">
        <v>10049</v>
      </c>
      <c r="B1434" s="293" t="s">
        <v>9924</v>
      </c>
      <c r="C1434" s="293" t="s">
        <v>9925</v>
      </c>
      <c r="D1434" s="293" t="s">
        <v>5850</v>
      </c>
      <c r="E1434" s="293" t="s">
        <v>9925</v>
      </c>
      <c r="F1434" s="293" t="s">
        <v>10050</v>
      </c>
      <c r="G1434" s="293" t="s">
        <v>5755</v>
      </c>
      <c r="H1434" s="294">
        <v>42886</v>
      </c>
      <c r="I1434" s="295">
        <v>-4276.43</v>
      </c>
    </row>
    <row r="1435" spans="1:9" x14ac:dyDescent="0.2">
      <c r="A1435" s="293" t="s">
        <v>10049</v>
      </c>
      <c r="B1435" s="293" t="s">
        <v>9924</v>
      </c>
      <c r="C1435" s="293" t="s">
        <v>9925</v>
      </c>
      <c r="D1435" s="293" t="s">
        <v>5850</v>
      </c>
      <c r="E1435" s="293" t="s">
        <v>9925</v>
      </c>
      <c r="F1435" s="293" t="s">
        <v>10050</v>
      </c>
      <c r="G1435" s="293" t="s">
        <v>5754</v>
      </c>
      <c r="H1435" s="294">
        <v>42886</v>
      </c>
      <c r="I1435" s="295">
        <v>321.79000000000002</v>
      </c>
    </row>
    <row r="1436" spans="1:9" x14ac:dyDescent="0.2">
      <c r="A1436" s="293" t="s">
        <v>10049</v>
      </c>
      <c r="B1436" s="293" t="s">
        <v>9924</v>
      </c>
      <c r="C1436" s="293" t="s">
        <v>9925</v>
      </c>
      <c r="D1436" s="293" t="s">
        <v>5850</v>
      </c>
      <c r="E1436" s="293" t="s">
        <v>9925</v>
      </c>
      <c r="F1436" s="293" t="s">
        <v>10050</v>
      </c>
      <c r="G1436" s="293" t="s">
        <v>5591</v>
      </c>
      <c r="H1436" s="294">
        <v>42886</v>
      </c>
      <c r="I1436" s="295">
        <v>25341.360000000001</v>
      </c>
    </row>
    <row r="1437" spans="1:9" x14ac:dyDescent="0.2">
      <c r="A1437" s="293" t="s">
        <v>10049</v>
      </c>
      <c r="B1437" s="293" t="s">
        <v>9924</v>
      </c>
      <c r="C1437" s="293" t="s">
        <v>9925</v>
      </c>
      <c r="D1437" s="293" t="s">
        <v>5850</v>
      </c>
      <c r="E1437" s="293" t="s">
        <v>9925</v>
      </c>
      <c r="F1437" s="293" t="s">
        <v>10050</v>
      </c>
      <c r="G1437" s="293" t="s">
        <v>5589</v>
      </c>
      <c r="H1437" s="294">
        <v>42886</v>
      </c>
      <c r="I1437" s="295">
        <v>7105.96</v>
      </c>
    </row>
    <row r="1438" spans="1:9" x14ac:dyDescent="0.2">
      <c r="A1438" s="293" t="s">
        <v>10051</v>
      </c>
      <c r="B1438" s="293" t="s">
        <v>9924</v>
      </c>
      <c r="C1438" s="293" t="s">
        <v>9925</v>
      </c>
      <c r="D1438" s="293" t="s">
        <v>5850</v>
      </c>
      <c r="E1438" s="293" t="s">
        <v>9925</v>
      </c>
      <c r="F1438" s="293" t="s">
        <v>10052</v>
      </c>
      <c r="G1438" s="293" t="s">
        <v>5755</v>
      </c>
      <c r="H1438" s="294">
        <v>42916</v>
      </c>
      <c r="I1438" s="295">
        <v>-4276.43</v>
      </c>
    </row>
    <row r="1439" spans="1:9" x14ac:dyDescent="0.2">
      <c r="A1439" s="293" t="s">
        <v>10051</v>
      </c>
      <c r="B1439" s="293" t="s">
        <v>9924</v>
      </c>
      <c r="C1439" s="293" t="s">
        <v>9925</v>
      </c>
      <c r="D1439" s="293" t="s">
        <v>5850</v>
      </c>
      <c r="E1439" s="293" t="s">
        <v>9925</v>
      </c>
      <c r="F1439" s="293" t="s">
        <v>10052</v>
      </c>
      <c r="G1439" s="293" t="s">
        <v>5589</v>
      </c>
      <c r="H1439" s="294">
        <v>42916</v>
      </c>
      <c r="I1439" s="295">
        <v>7105.96</v>
      </c>
    </row>
    <row r="1440" spans="1:9" x14ac:dyDescent="0.2">
      <c r="A1440" s="293" t="s">
        <v>10051</v>
      </c>
      <c r="B1440" s="293" t="s">
        <v>9924</v>
      </c>
      <c r="C1440" s="293" t="s">
        <v>9925</v>
      </c>
      <c r="D1440" s="293" t="s">
        <v>5850</v>
      </c>
      <c r="E1440" s="293" t="s">
        <v>9925</v>
      </c>
      <c r="F1440" s="293" t="s">
        <v>10052</v>
      </c>
      <c r="G1440" s="293" t="s">
        <v>5754</v>
      </c>
      <c r="H1440" s="294">
        <v>42916</v>
      </c>
      <c r="I1440" s="295">
        <v>321.79000000000002</v>
      </c>
    </row>
    <row r="1441" spans="1:9" x14ac:dyDescent="0.2">
      <c r="A1441" s="293" t="s">
        <v>10051</v>
      </c>
      <c r="B1441" s="293" t="s">
        <v>9924</v>
      </c>
      <c r="C1441" s="293" t="s">
        <v>9925</v>
      </c>
      <c r="D1441" s="293" t="s">
        <v>5850</v>
      </c>
      <c r="E1441" s="293" t="s">
        <v>9925</v>
      </c>
      <c r="F1441" s="293" t="s">
        <v>10052</v>
      </c>
      <c r="G1441" s="293" t="s">
        <v>5591</v>
      </c>
      <c r="H1441" s="294">
        <v>42916</v>
      </c>
      <c r="I1441" s="295">
        <v>25341.37</v>
      </c>
    </row>
    <row r="1442" spans="1:9" x14ac:dyDescent="0.2">
      <c r="A1442" s="293" t="s">
        <v>10053</v>
      </c>
      <c r="B1442" s="293" t="s">
        <v>9924</v>
      </c>
      <c r="C1442" s="293" t="s">
        <v>9925</v>
      </c>
      <c r="D1442" s="293" t="s">
        <v>5850</v>
      </c>
      <c r="E1442" s="293" t="s">
        <v>9925</v>
      </c>
      <c r="F1442" s="293" t="s">
        <v>10054</v>
      </c>
      <c r="G1442" s="293" t="s">
        <v>5755</v>
      </c>
      <c r="H1442" s="294">
        <v>42947</v>
      </c>
      <c r="I1442" s="295">
        <v>-4276.43</v>
      </c>
    </row>
    <row r="1443" spans="1:9" x14ac:dyDescent="0.2">
      <c r="A1443" s="293" t="s">
        <v>10053</v>
      </c>
      <c r="B1443" s="293" t="s">
        <v>9924</v>
      </c>
      <c r="C1443" s="293" t="s">
        <v>9925</v>
      </c>
      <c r="D1443" s="293" t="s">
        <v>5850</v>
      </c>
      <c r="E1443" s="293" t="s">
        <v>9925</v>
      </c>
      <c r="F1443" s="293" t="s">
        <v>10054</v>
      </c>
      <c r="G1443" s="293" t="s">
        <v>5589</v>
      </c>
      <c r="H1443" s="294">
        <v>42947</v>
      </c>
      <c r="I1443" s="295">
        <v>7105.96</v>
      </c>
    </row>
    <row r="1444" spans="1:9" x14ac:dyDescent="0.2">
      <c r="A1444" s="293" t="s">
        <v>10053</v>
      </c>
      <c r="B1444" s="293" t="s">
        <v>9924</v>
      </c>
      <c r="C1444" s="293" t="s">
        <v>9925</v>
      </c>
      <c r="D1444" s="293" t="s">
        <v>5850</v>
      </c>
      <c r="E1444" s="293" t="s">
        <v>9925</v>
      </c>
      <c r="F1444" s="293" t="s">
        <v>10054</v>
      </c>
      <c r="G1444" s="293" t="s">
        <v>5591</v>
      </c>
      <c r="H1444" s="294">
        <v>42947</v>
      </c>
      <c r="I1444" s="295">
        <v>25341.360000000001</v>
      </c>
    </row>
    <row r="1445" spans="1:9" x14ac:dyDescent="0.2">
      <c r="A1445" s="293" t="s">
        <v>10053</v>
      </c>
      <c r="B1445" s="293" t="s">
        <v>9924</v>
      </c>
      <c r="C1445" s="293" t="s">
        <v>9925</v>
      </c>
      <c r="D1445" s="293" t="s">
        <v>5850</v>
      </c>
      <c r="E1445" s="293" t="s">
        <v>9925</v>
      </c>
      <c r="F1445" s="293" t="s">
        <v>10054</v>
      </c>
      <c r="G1445" s="293" t="s">
        <v>5754</v>
      </c>
      <c r="H1445" s="294">
        <v>42947</v>
      </c>
      <c r="I1445" s="295">
        <v>321.79000000000002</v>
      </c>
    </row>
    <row r="1446" spans="1:9" x14ac:dyDescent="0.2">
      <c r="A1446" s="293" t="s">
        <v>10055</v>
      </c>
      <c r="B1446" s="293" t="s">
        <v>9924</v>
      </c>
      <c r="C1446" s="293" t="s">
        <v>9925</v>
      </c>
      <c r="D1446" s="293" t="s">
        <v>5850</v>
      </c>
      <c r="E1446" s="293" t="s">
        <v>9925</v>
      </c>
      <c r="F1446" s="293" t="s">
        <v>10056</v>
      </c>
      <c r="G1446" s="293" t="s">
        <v>5589</v>
      </c>
      <c r="H1446" s="294">
        <v>42978</v>
      </c>
      <c r="I1446" s="295">
        <v>7105.96</v>
      </c>
    </row>
    <row r="1447" spans="1:9" x14ac:dyDescent="0.2">
      <c r="A1447" s="293" t="s">
        <v>10055</v>
      </c>
      <c r="B1447" s="293" t="s">
        <v>9924</v>
      </c>
      <c r="C1447" s="293" t="s">
        <v>9925</v>
      </c>
      <c r="D1447" s="293" t="s">
        <v>5850</v>
      </c>
      <c r="E1447" s="293" t="s">
        <v>9925</v>
      </c>
      <c r="F1447" s="293" t="s">
        <v>10056</v>
      </c>
      <c r="G1447" s="293" t="s">
        <v>5755</v>
      </c>
      <c r="H1447" s="294">
        <v>42978</v>
      </c>
      <c r="I1447" s="295">
        <v>-4276.43</v>
      </c>
    </row>
    <row r="1448" spans="1:9" x14ac:dyDescent="0.2">
      <c r="A1448" s="293" t="s">
        <v>10055</v>
      </c>
      <c r="B1448" s="293" t="s">
        <v>9924</v>
      </c>
      <c r="C1448" s="293" t="s">
        <v>9925</v>
      </c>
      <c r="D1448" s="293" t="s">
        <v>5850</v>
      </c>
      <c r="E1448" s="293" t="s">
        <v>9925</v>
      </c>
      <c r="F1448" s="293" t="s">
        <v>10056</v>
      </c>
      <c r="G1448" s="293" t="s">
        <v>5754</v>
      </c>
      <c r="H1448" s="294">
        <v>42978</v>
      </c>
      <c r="I1448" s="295">
        <v>321.79000000000002</v>
      </c>
    </row>
    <row r="1449" spans="1:9" x14ac:dyDescent="0.2">
      <c r="A1449" s="293" t="s">
        <v>10055</v>
      </c>
      <c r="B1449" s="293" t="s">
        <v>9924</v>
      </c>
      <c r="C1449" s="293" t="s">
        <v>9925</v>
      </c>
      <c r="D1449" s="293" t="s">
        <v>5850</v>
      </c>
      <c r="E1449" s="293" t="s">
        <v>9925</v>
      </c>
      <c r="F1449" s="293" t="s">
        <v>10056</v>
      </c>
      <c r="G1449" s="293" t="s">
        <v>5591</v>
      </c>
      <c r="H1449" s="294">
        <v>42978</v>
      </c>
      <c r="I1449" s="295">
        <v>25341.360000000001</v>
      </c>
    </row>
    <row r="1450" spans="1:9" x14ac:dyDescent="0.2">
      <c r="A1450" s="293" t="s">
        <v>10057</v>
      </c>
      <c r="B1450" s="293" t="s">
        <v>9924</v>
      </c>
      <c r="C1450" s="293" t="s">
        <v>9925</v>
      </c>
      <c r="D1450" s="293" t="s">
        <v>5850</v>
      </c>
      <c r="E1450" s="293" t="s">
        <v>9925</v>
      </c>
      <c r="F1450" s="293" t="s">
        <v>10058</v>
      </c>
      <c r="G1450" s="293" t="s">
        <v>5755</v>
      </c>
      <c r="H1450" s="294">
        <v>43008</v>
      </c>
      <c r="I1450" s="295">
        <v>-4276.43</v>
      </c>
    </row>
    <row r="1451" spans="1:9" x14ac:dyDescent="0.2">
      <c r="A1451" s="293" t="s">
        <v>10057</v>
      </c>
      <c r="B1451" s="293" t="s">
        <v>9924</v>
      </c>
      <c r="C1451" s="293" t="s">
        <v>9925</v>
      </c>
      <c r="D1451" s="293" t="s">
        <v>5850</v>
      </c>
      <c r="E1451" s="293" t="s">
        <v>9925</v>
      </c>
      <c r="F1451" s="293" t="s">
        <v>10058</v>
      </c>
      <c r="G1451" s="293" t="s">
        <v>5589</v>
      </c>
      <c r="H1451" s="294">
        <v>43008</v>
      </c>
      <c r="I1451" s="295">
        <v>7105.96</v>
      </c>
    </row>
    <row r="1452" spans="1:9" x14ac:dyDescent="0.2">
      <c r="A1452" s="293" t="s">
        <v>10057</v>
      </c>
      <c r="B1452" s="293" t="s">
        <v>9924</v>
      </c>
      <c r="C1452" s="293" t="s">
        <v>9925</v>
      </c>
      <c r="D1452" s="293" t="s">
        <v>5850</v>
      </c>
      <c r="E1452" s="293" t="s">
        <v>9925</v>
      </c>
      <c r="F1452" s="293" t="s">
        <v>10058</v>
      </c>
      <c r="G1452" s="293" t="s">
        <v>5754</v>
      </c>
      <c r="H1452" s="294">
        <v>43008</v>
      </c>
      <c r="I1452" s="295">
        <v>321.79000000000002</v>
      </c>
    </row>
    <row r="1453" spans="1:9" x14ac:dyDescent="0.2">
      <c r="A1453" s="293" t="s">
        <v>10057</v>
      </c>
      <c r="B1453" s="293" t="s">
        <v>9924</v>
      </c>
      <c r="C1453" s="293" t="s">
        <v>9925</v>
      </c>
      <c r="D1453" s="293" t="s">
        <v>5850</v>
      </c>
      <c r="E1453" s="293" t="s">
        <v>9925</v>
      </c>
      <c r="F1453" s="293" t="s">
        <v>10058</v>
      </c>
      <c r="G1453" s="293" t="s">
        <v>5591</v>
      </c>
      <c r="H1453" s="294">
        <v>43008</v>
      </c>
      <c r="I1453" s="295">
        <v>25341.37</v>
      </c>
    </row>
    <row r="1454" spans="1:9" x14ac:dyDescent="0.2">
      <c r="A1454" s="293" t="s">
        <v>10059</v>
      </c>
      <c r="B1454" s="293" t="s">
        <v>9924</v>
      </c>
      <c r="C1454" s="293" t="s">
        <v>9925</v>
      </c>
      <c r="D1454" s="293" t="s">
        <v>5850</v>
      </c>
      <c r="E1454" s="293" t="s">
        <v>9925</v>
      </c>
      <c r="F1454" s="293" t="s">
        <v>10060</v>
      </c>
      <c r="G1454" s="293" t="s">
        <v>5754</v>
      </c>
      <c r="H1454" s="294">
        <v>43039</v>
      </c>
      <c r="I1454" s="295">
        <v>321.79000000000002</v>
      </c>
    </row>
    <row r="1455" spans="1:9" x14ac:dyDescent="0.2">
      <c r="A1455" s="293" t="s">
        <v>10059</v>
      </c>
      <c r="B1455" s="293" t="s">
        <v>9924</v>
      </c>
      <c r="C1455" s="293" t="s">
        <v>9925</v>
      </c>
      <c r="D1455" s="293" t="s">
        <v>5850</v>
      </c>
      <c r="E1455" s="293" t="s">
        <v>9925</v>
      </c>
      <c r="F1455" s="293" t="s">
        <v>10060</v>
      </c>
      <c r="G1455" s="293" t="s">
        <v>5755</v>
      </c>
      <c r="H1455" s="294">
        <v>43039</v>
      </c>
      <c r="I1455" s="295">
        <v>-4276.43</v>
      </c>
    </row>
    <row r="1456" spans="1:9" x14ac:dyDescent="0.2">
      <c r="A1456" s="293" t="s">
        <v>10059</v>
      </c>
      <c r="B1456" s="293" t="s">
        <v>9924</v>
      </c>
      <c r="C1456" s="293" t="s">
        <v>9925</v>
      </c>
      <c r="D1456" s="293" t="s">
        <v>5850</v>
      </c>
      <c r="E1456" s="293" t="s">
        <v>9925</v>
      </c>
      <c r="F1456" s="293" t="s">
        <v>10060</v>
      </c>
      <c r="G1456" s="293" t="s">
        <v>5589</v>
      </c>
      <c r="H1456" s="294">
        <v>43039</v>
      </c>
      <c r="I1456" s="295">
        <v>7105.96</v>
      </c>
    </row>
    <row r="1457" spans="1:9" x14ac:dyDescent="0.2">
      <c r="A1457" s="293" t="s">
        <v>10059</v>
      </c>
      <c r="B1457" s="293" t="s">
        <v>9924</v>
      </c>
      <c r="C1457" s="293" t="s">
        <v>9925</v>
      </c>
      <c r="D1457" s="293" t="s">
        <v>5850</v>
      </c>
      <c r="E1457" s="293" t="s">
        <v>9925</v>
      </c>
      <c r="F1457" s="293" t="s">
        <v>10060</v>
      </c>
      <c r="G1457" s="293" t="s">
        <v>5591</v>
      </c>
      <c r="H1457" s="294">
        <v>43039</v>
      </c>
      <c r="I1457" s="295">
        <v>25341.360000000001</v>
      </c>
    </row>
    <row r="1458" spans="1:9" x14ac:dyDescent="0.2">
      <c r="A1458" s="293" t="s">
        <v>10061</v>
      </c>
      <c r="B1458" s="293" t="s">
        <v>9924</v>
      </c>
      <c r="C1458" s="293" t="s">
        <v>9925</v>
      </c>
      <c r="D1458" s="293" t="s">
        <v>5850</v>
      </c>
      <c r="E1458" s="293" t="s">
        <v>9925</v>
      </c>
      <c r="F1458" s="293" t="s">
        <v>10062</v>
      </c>
      <c r="G1458" s="293" t="s">
        <v>5755</v>
      </c>
      <c r="H1458" s="294">
        <v>43069</v>
      </c>
      <c r="I1458" s="295">
        <v>-4276.43</v>
      </c>
    </row>
    <row r="1459" spans="1:9" x14ac:dyDescent="0.2">
      <c r="A1459" s="293" t="s">
        <v>10061</v>
      </c>
      <c r="B1459" s="293" t="s">
        <v>9924</v>
      </c>
      <c r="C1459" s="293" t="s">
        <v>9925</v>
      </c>
      <c r="D1459" s="293" t="s">
        <v>5850</v>
      </c>
      <c r="E1459" s="293" t="s">
        <v>9925</v>
      </c>
      <c r="F1459" s="293" t="s">
        <v>10062</v>
      </c>
      <c r="G1459" s="293" t="s">
        <v>5591</v>
      </c>
      <c r="H1459" s="294">
        <v>43069</v>
      </c>
      <c r="I1459" s="295">
        <v>25341.37</v>
      </c>
    </row>
    <row r="1460" spans="1:9" x14ac:dyDescent="0.2">
      <c r="A1460" s="293" t="s">
        <v>10061</v>
      </c>
      <c r="B1460" s="293" t="s">
        <v>9924</v>
      </c>
      <c r="C1460" s="293" t="s">
        <v>9925</v>
      </c>
      <c r="D1460" s="293" t="s">
        <v>5850</v>
      </c>
      <c r="E1460" s="293" t="s">
        <v>9925</v>
      </c>
      <c r="F1460" s="293" t="s">
        <v>10062</v>
      </c>
      <c r="G1460" s="293" t="s">
        <v>5589</v>
      </c>
      <c r="H1460" s="294">
        <v>43069</v>
      </c>
      <c r="I1460" s="295">
        <v>7105.96</v>
      </c>
    </row>
    <row r="1461" spans="1:9" x14ac:dyDescent="0.2">
      <c r="A1461" s="293" t="s">
        <v>10061</v>
      </c>
      <c r="B1461" s="293" t="s">
        <v>9924</v>
      </c>
      <c r="C1461" s="293" t="s">
        <v>9925</v>
      </c>
      <c r="D1461" s="293" t="s">
        <v>5850</v>
      </c>
      <c r="E1461" s="293" t="s">
        <v>9925</v>
      </c>
      <c r="F1461" s="293" t="s">
        <v>10062</v>
      </c>
      <c r="G1461" s="293" t="s">
        <v>5754</v>
      </c>
      <c r="H1461" s="294">
        <v>43069</v>
      </c>
      <c r="I1461" s="295">
        <v>321.79000000000002</v>
      </c>
    </row>
    <row r="1462" spans="1:9" x14ac:dyDescent="0.2">
      <c r="A1462" s="293" t="s">
        <v>10063</v>
      </c>
      <c r="B1462" s="293" t="s">
        <v>9924</v>
      </c>
      <c r="C1462" s="293" t="s">
        <v>9925</v>
      </c>
      <c r="D1462" s="293" t="s">
        <v>5850</v>
      </c>
      <c r="E1462" s="293" t="s">
        <v>9925</v>
      </c>
      <c r="F1462" s="293" t="s">
        <v>10064</v>
      </c>
      <c r="G1462" s="293" t="s">
        <v>5754</v>
      </c>
      <c r="H1462" s="294">
        <v>43100</v>
      </c>
      <c r="I1462" s="295">
        <v>-1002.58</v>
      </c>
    </row>
    <row r="1463" spans="1:9" x14ac:dyDescent="0.2">
      <c r="A1463" s="293" t="s">
        <v>10063</v>
      </c>
      <c r="B1463" s="293" t="s">
        <v>9924</v>
      </c>
      <c r="C1463" s="293" t="s">
        <v>9925</v>
      </c>
      <c r="D1463" s="293" t="s">
        <v>5850</v>
      </c>
      <c r="E1463" s="293" t="s">
        <v>9925</v>
      </c>
      <c r="F1463" s="293" t="s">
        <v>10064</v>
      </c>
      <c r="G1463" s="293" t="s">
        <v>5589</v>
      </c>
      <c r="H1463" s="294">
        <v>43100</v>
      </c>
      <c r="I1463" s="295">
        <v>-22139.46</v>
      </c>
    </row>
    <row r="1464" spans="1:9" x14ac:dyDescent="0.2">
      <c r="A1464" s="293" t="s">
        <v>10063</v>
      </c>
      <c r="B1464" s="293" t="s">
        <v>9924</v>
      </c>
      <c r="C1464" s="293" t="s">
        <v>9925</v>
      </c>
      <c r="D1464" s="293" t="s">
        <v>5850</v>
      </c>
      <c r="E1464" s="293" t="s">
        <v>9925</v>
      </c>
      <c r="F1464" s="293" t="s">
        <v>10064</v>
      </c>
      <c r="G1464" s="293" t="s">
        <v>5591</v>
      </c>
      <c r="H1464" s="294">
        <v>43100</v>
      </c>
      <c r="I1464" s="295">
        <v>-78954.009999999995</v>
      </c>
    </row>
    <row r="1465" spans="1:9" x14ac:dyDescent="0.2">
      <c r="A1465" s="293" t="s">
        <v>10063</v>
      </c>
      <c r="B1465" s="293" t="s">
        <v>9924</v>
      </c>
      <c r="C1465" s="293" t="s">
        <v>9925</v>
      </c>
      <c r="D1465" s="293" t="s">
        <v>5850</v>
      </c>
      <c r="E1465" s="293" t="s">
        <v>9925</v>
      </c>
      <c r="F1465" s="293" t="s">
        <v>10064</v>
      </c>
      <c r="G1465" s="293" t="s">
        <v>5755</v>
      </c>
      <c r="H1465" s="294">
        <v>43100</v>
      </c>
      <c r="I1465" s="295">
        <v>13323.71</v>
      </c>
    </row>
    <row r="1466" spans="1:9" x14ac:dyDescent="0.2">
      <c r="A1466" s="293" t="s">
        <v>10065</v>
      </c>
      <c r="B1466" s="293" t="s">
        <v>9924</v>
      </c>
      <c r="C1466" s="293" t="s">
        <v>9925</v>
      </c>
      <c r="D1466" s="293" t="s">
        <v>5850</v>
      </c>
      <c r="E1466" s="293" t="s">
        <v>9925</v>
      </c>
      <c r="F1466" s="293" t="s">
        <v>10066</v>
      </c>
      <c r="G1466" s="293" t="s">
        <v>5754</v>
      </c>
      <c r="H1466" s="294">
        <v>43100</v>
      </c>
      <c r="I1466" s="295">
        <v>-1002.58</v>
      </c>
    </row>
    <row r="1467" spans="1:9" x14ac:dyDescent="0.2">
      <c r="A1467" s="293" t="s">
        <v>10065</v>
      </c>
      <c r="B1467" s="293" t="s">
        <v>9924</v>
      </c>
      <c r="C1467" s="293" t="s">
        <v>9925</v>
      </c>
      <c r="D1467" s="293" t="s">
        <v>5850</v>
      </c>
      <c r="E1467" s="293" t="s">
        <v>9925</v>
      </c>
      <c r="F1467" s="293" t="s">
        <v>10066</v>
      </c>
      <c r="G1467" s="293" t="s">
        <v>5589</v>
      </c>
      <c r="H1467" s="294">
        <v>43100</v>
      </c>
      <c r="I1467" s="295">
        <v>-22139.46</v>
      </c>
    </row>
    <row r="1468" spans="1:9" x14ac:dyDescent="0.2">
      <c r="A1468" s="293" t="s">
        <v>10065</v>
      </c>
      <c r="B1468" s="293" t="s">
        <v>9924</v>
      </c>
      <c r="C1468" s="293" t="s">
        <v>9925</v>
      </c>
      <c r="D1468" s="293" t="s">
        <v>5850</v>
      </c>
      <c r="E1468" s="293" t="s">
        <v>9925</v>
      </c>
      <c r="F1468" s="293" t="s">
        <v>10066</v>
      </c>
      <c r="G1468" s="293" t="s">
        <v>5591</v>
      </c>
      <c r="H1468" s="294">
        <v>43100</v>
      </c>
      <c r="I1468" s="295">
        <v>-78954.009999999995</v>
      </c>
    </row>
    <row r="1469" spans="1:9" x14ac:dyDescent="0.2">
      <c r="A1469" s="293" t="s">
        <v>10065</v>
      </c>
      <c r="B1469" s="293" t="s">
        <v>9924</v>
      </c>
      <c r="C1469" s="293" t="s">
        <v>9925</v>
      </c>
      <c r="D1469" s="293" t="s">
        <v>5850</v>
      </c>
      <c r="E1469" s="293" t="s">
        <v>9925</v>
      </c>
      <c r="F1469" s="293" t="s">
        <v>10066</v>
      </c>
      <c r="G1469" s="293" t="s">
        <v>5755</v>
      </c>
      <c r="H1469" s="294">
        <v>43100</v>
      </c>
      <c r="I1469" s="295">
        <v>13323.71</v>
      </c>
    </row>
    <row r="1470" spans="1:9" x14ac:dyDescent="0.2">
      <c r="A1470" s="293" t="s">
        <v>10067</v>
      </c>
      <c r="B1470" s="293" t="s">
        <v>9924</v>
      </c>
      <c r="C1470" s="293" t="s">
        <v>9939</v>
      </c>
      <c r="D1470" s="293" t="s">
        <v>5850</v>
      </c>
      <c r="E1470" s="293" t="s">
        <v>9939</v>
      </c>
      <c r="F1470" s="293" t="s">
        <v>10066</v>
      </c>
      <c r="G1470" s="293" t="s">
        <v>5754</v>
      </c>
      <c r="H1470" s="294">
        <v>43100</v>
      </c>
      <c r="I1470" s="295">
        <v>1002.58</v>
      </c>
    </row>
    <row r="1471" spans="1:9" x14ac:dyDescent="0.2">
      <c r="A1471" s="293" t="s">
        <v>10067</v>
      </c>
      <c r="B1471" s="293" t="s">
        <v>9924</v>
      </c>
      <c r="C1471" s="293" t="s">
        <v>9939</v>
      </c>
      <c r="D1471" s="293" t="s">
        <v>5850</v>
      </c>
      <c r="E1471" s="293" t="s">
        <v>9939</v>
      </c>
      <c r="F1471" s="293" t="s">
        <v>10066</v>
      </c>
      <c r="G1471" s="293" t="s">
        <v>5755</v>
      </c>
      <c r="H1471" s="294">
        <v>43100</v>
      </c>
      <c r="I1471" s="295">
        <v>-13323.71</v>
      </c>
    </row>
    <row r="1472" spans="1:9" x14ac:dyDescent="0.2">
      <c r="A1472" s="293" t="s">
        <v>10067</v>
      </c>
      <c r="B1472" s="293" t="s">
        <v>9924</v>
      </c>
      <c r="C1472" s="293" t="s">
        <v>9939</v>
      </c>
      <c r="D1472" s="293" t="s">
        <v>5850</v>
      </c>
      <c r="E1472" s="293" t="s">
        <v>9939</v>
      </c>
      <c r="F1472" s="293" t="s">
        <v>10066</v>
      </c>
      <c r="G1472" s="293" t="s">
        <v>5591</v>
      </c>
      <c r="H1472" s="294">
        <v>43100</v>
      </c>
      <c r="I1472" s="295">
        <v>78954.009999999995</v>
      </c>
    </row>
    <row r="1473" spans="1:9" x14ac:dyDescent="0.2">
      <c r="A1473" s="293" t="s">
        <v>10067</v>
      </c>
      <c r="B1473" s="293" t="s">
        <v>9924</v>
      </c>
      <c r="C1473" s="293" t="s">
        <v>9939</v>
      </c>
      <c r="D1473" s="293" t="s">
        <v>5850</v>
      </c>
      <c r="E1473" s="293" t="s">
        <v>9939</v>
      </c>
      <c r="F1473" s="293" t="s">
        <v>10066</v>
      </c>
      <c r="G1473" s="293" t="s">
        <v>5589</v>
      </c>
      <c r="H1473" s="294">
        <v>43100</v>
      </c>
      <c r="I1473" s="295">
        <v>22139.46</v>
      </c>
    </row>
    <row r="1474" spans="1:9" x14ac:dyDescent="0.2">
      <c r="A1474" s="293" t="s">
        <v>10068</v>
      </c>
      <c r="B1474" s="293" t="s">
        <v>9924</v>
      </c>
      <c r="C1474" s="293" t="s">
        <v>9925</v>
      </c>
      <c r="D1474" s="293" t="s">
        <v>5850</v>
      </c>
      <c r="E1474" s="293" t="s">
        <v>9925</v>
      </c>
      <c r="F1474" s="293" t="s">
        <v>10069</v>
      </c>
      <c r="G1474" s="293" t="s">
        <v>5754</v>
      </c>
      <c r="H1474" s="294">
        <v>43131</v>
      </c>
      <c r="I1474" s="295">
        <v>211.43</v>
      </c>
    </row>
    <row r="1475" spans="1:9" x14ac:dyDescent="0.2">
      <c r="A1475" s="293" t="s">
        <v>10068</v>
      </c>
      <c r="B1475" s="293" t="s">
        <v>9924</v>
      </c>
      <c r="C1475" s="293" t="s">
        <v>9925</v>
      </c>
      <c r="D1475" s="293" t="s">
        <v>5850</v>
      </c>
      <c r="E1475" s="293" t="s">
        <v>9925</v>
      </c>
      <c r="F1475" s="293" t="s">
        <v>10069</v>
      </c>
      <c r="G1475" s="293" t="s">
        <v>5589</v>
      </c>
      <c r="H1475" s="294">
        <v>43131</v>
      </c>
      <c r="I1475" s="295">
        <v>4668.84</v>
      </c>
    </row>
    <row r="1476" spans="1:9" x14ac:dyDescent="0.2">
      <c r="A1476" s="293" t="s">
        <v>10068</v>
      </c>
      <c r="B1476" s="293" t="s">
        <v>9924</v>
      </c>
      <c r="C1476" s="293" t="s">
        <v>9925</v>
      </c>
      <c r="D1476" s="293" t="s">
        <v>5850</v>
      </c>
      <c r="E1476" s="293" t="s">
        <v>9925</v>
      </c>
      <c r="F1476" s="293" t="s">
        <v>10069</v>
      </c>
      <c r="G1476" s="293" t="s">
        <v>5591</v>
      </c>
      <c r="H1476" s="294">
        <v>43131</v>
      </c>
      <c r="I1476" s="295">
        <v>16650.080000000002</v>
      </c>
    </row>
    <row r="1477" spans="1:9" x14ac:dyDescent="0.2">
      <c r="A1477" s="293" t="s">
        <v>10068</v>
      </c>
      <c r="B1477" s="293" t="s">
        <v>9924</v>
      </c>
      <c r="C1477" s="293" t="s">
        <v>9925</v>
      </c>
      <c r="D1477" s="293" t="s">
        <v>5850</v>
      </c>
      <c r="E1477" s="293" t="s">
        <v>9925</v>
      </c>
      <c r="F1477" s="293" t="s">
        <v>10069</v>
      </c>
      <c r="G1477" s="293" t="s">
        <v>5755</v>
      </c>
      <c r="H1477" s="294">
        <v>43131</v>
      </c>
      <c r="I1477" s="295">
        <v>-2809.75</v>
      </c>
    </row>
    <row r="1478" spans="1:9" x14ac:dyDescent="0.2">
      <c r="A1478" s="293" t="s">
        <v>10070</v>
      </c>
      <c r="B1478" s="293" t="s">
        <v>9924</v>
      </c>
      <c r="C1478" s="293" t="s">
        <v>9925</v>
      </c>
      <c r="D1478" s="293" t="s">
        <v>5850</v>
      </c>
      <c r="E1478" s="293" t="s">
        <v>9925</v>
      </c>
      <c r="F1478" s="293" t="s">
        <v>10071</v>
      </c>
      <c r="G1478" s="293" t="s">
        <v>5591</v>
      </c>
      <c r="H1478" s="294">
        <v>43159</v>
      </c>
      <c r="I1478" s="295">
        <v>16650.080000000002</v>
      </c>
    </row>
    <row r="1479" spans="1:9" x14ac:dyDescent="0.2">
      <c r="A1479" s="293" t="s">
        <v>10070</v>
      </c>
      <c r="B1479" s="293" t="s">
        <v>9924</v>
      </c>
      <c r="C1479" s="293" t="s">
        <v>9925</v>
      </c>
      <c r="D1479" s="293" t="s">
        <v>5850</v>
      </c>
      <c r="E1479" s="293" t="s">
        <v>9925</v>
      </c>
      <c r="F1479" s="293" t="s">
        <v>10071</v>
      </c>
      <c r="G1479" s="293" t="s">
        <v>5755</v>
      </c>
      <c r="H1479" s="294">
        <v>43159</v>
      </c>
      <c r="I1479" s="295">
        <v>-2809.75</v>
      </c>
    </row>
    <row r="1480" spans="1:9" x14ac:dyDescent="0.2">
      <c r="A1480" s="293" t="s">
        <v>10070</v>
      </c>
      <c r="B1480" s="293" t="s">
        <v>9924</v>
      </c>
      <c r="C1480" s="293" t="s">
        <v>9925</v>
      </c>
      <c r="D1480" s="293" t="s">
        <v>5850</v>
      </c>
      <c r="E1480" s="293" t="s">
        <v>9925</v>
      </c>
      <c r="F1480" s="293" t="s">
        <v>10071</v>
      </c>
      <c r="G1480" s="293" t="s">
        <v>5754</v>
      </c>
      <c r="H1480" s="294">
        <v>43159</v>
      </c>
      <c r="I1480" s="295">
        <v>211.43</v>
      </c>
    </row>
    <row r="1481" spans="1:9" x14ac:dyDescent="0.2">
      <c r="A1481" s="293" t="s">
        <v>10070</v>
      </c>
      <c r="B1481" s="293" t="s">
        <v>9924</v>
      </c>
      <c r="C1481" s="293" t="s">
        <v>9925</v>
      </c>
      <c r="D1481" s="293" t="s">
        <v>5850</v>
      </c>
      <c r="E1481" s="293" t="s">
        <v>9925</v>
      </c>
      <c r="F1481" s="293" t="s">
        <v>10071</v>
      </c>
      <c r="G1481" s="293" t="s">
        <v>5589</v>
      </c>
      <c r="H1481" s="294">
        <v>43159</v>
      </c>
      <c r="I1481" s="295">
        <v>4668.84</v>
      </c>
    </row>
    <row r="1482" spans="1:9" x14ac:dyDescent="0.2">
      <c r="A1482" s="293" t="s">
        <v>10072</v>
      </c>
      <c r="B1482" s="293" t="s">
        <v>9924</v>
      </c>
      <c r="C1482" s="293" t="s">
        <v>9925</v>
      </c>
      <c r="D1482" s="293" t="s">
        <v>5850</v>
      </c>
      <c r="E1482" s="293" t="s">
        <v>9925</v>
      </c>
      <c r="F1482" s="293" t="s">
        <v>10073</v>
      </c>
      <c r="G1482" s="293" t="s">
        <v>5755</v>
      </c>
      <c r="H1482" s="294">
        <v>43190</v>
      </c>
      <c r="I1482" s="295">
        <v>-2809.75</v>
      </c>
    </row>
    <row r="1483" spans="1:9" x14ac:dyDescent="0.2">
      <c r="A1483" s="293" t="s">
        <v>10072</v>
      </c>
      <c r="B1483" s="293" t="s">
        <v>9924</v>
      </c>
      <c r="C1483" s="293" t="s">
        <v>9925</v>
      </c>
      <c r="D1483" s="293" t="s">
        <v>5850</v>
      </c>
      <c r="E1483" s="293" t="s">
        <v>9925</v>
      </c>
      <c r="F1483" s="293" t="s">
        <v>10073</v>
      </c>
      <c r="G1483" s="293" t="s">
        <v>5754</v>
      </c>
      <c r="H1483" s="294">
        <v>43190</v>
      </c>
      <c r="I1483" s="295">
        <v>211.43</v>
      </c>
    </row>
    <row r="1484" spans="1:9" x14ac:dyDescent="0.2">
      <c r="A1484" s="293" t="s">
        <v>10072</v>
      </c>
      <c r="B1484" s="293" t="s">
        <v>9924</v>
      </c>
      <c r="C1484" s="293" t="s">
        <v>9925</v>
      </c>
      <c r="D1484" s="293" t="s">
        <v>5850</v>
      </c>
      <c r="E1484" s="293" t="s">
        <v>9925</v>
      </c>
      <c r="F1484" s="293" t="s">
        <v>10073</v>
      </c>
      <c r="G1484" s="293" t="s">
        <v>5591</v>
      </c>
      <c r="H1484" s="294">
        <v>43190</v>
      </c>
      <c r="I1484" s="295">
        <v>16650.080000000002</v>
      </c>
    </row>
    <row r="1485" spans="1:9" x14ac:dyDescent="0.2">
      <c r="A1485" s="293" t="s">
        <v>10072</v>
      </c>
      <c r="B1485" s="293" t="s">
        <v>9924</v>
      </c>
      <c r="C1485" s="293" t="s">
        <v>9925</v>
      </c>
      <c r="D1485" s="293" t="s">
        <v>5850</v>
      </c>
      <c r="E1485" s="293" t="s">
        <v>9925</v>
      </c>
      <c r="F1485" s="293" t="s">
        <v>10073</v>
      </c>
      <c r="G1485" s="293" t="s">
        <v>5589</v>
      </c>
      <c r="H1485" s="294">
        <v>43190</v>
      </c>
      <c r="I1485" s="295">
        <v>4668.84</v>
      </c>
    </row>
    <row r="1486" spans="1:9" x14ac:dyDescent="0.2">
      <c r="A1486" s="293" t="s">
        <v>10074</v>
      </c>
      <c r="B1486" s="293" t="s">
        <v>9924</v>
      </c>
      <c r="C1486" s="293" t="s">
        <v>9925</v>
      </c>
      <c r="D1486" s="293" t="s">
        <v>5850</v>
      </c>
      <c r="E1486" s="293" t="s">
        <v>9925</v>
      </c>
      <c r="F1486" s="293" t="s">
        <v>10075</v>
      </c>
      <c r="G1486" s="293" t="s">
        <v>5591</v>
      </c>
      <c r="H1486" s="294">
        <v>43220</v>
      </c>
      <c r="I1486" s="295">
        <v>16650.09</v>
      </c>
    </row>
    <row r="1487" spans="1:9" x14ac:dyDescent="0.2">
      <c r="A1487" s="293" t="s">
        <v>10074</v>
      </c>
      <c r="B1487" s="293" t="s">
        <v>9924</v>
      </c>
      <c r="C1487" s="293" t="s">
        <v>9925</v>
      </c>
      <c r="D1487" s="293" t="s">
        <v>5850</v>
      </c>
      <c r="E1487" s="293" t="s">
        <v>9925</v>
      </c>
      <c r="F1487" s="293" t="s">
        <v>10075</v>
      </c>
      <c r="G1487" s="293" t="s">
        <v>5754</v>
      </c>
      <c r="H1487" s="294">
        <v>43220</v>
      </c>
      <c r="I1487" s="295">
        <v>211.43</v>
      </c>
    </row>
    <row r="1488" spans="1:9" x14ac:dyDescent="0.2">
      <c r="A1488" s="293" t="s">
        <v>10074</v>
      </c>
      <c r="B1488" s="293" t="s">
        <v>9924</v>
      </c>
      <c r="C1488" s="293" t="s">
        <v>9925</v>
      </c>
      <c r="D1488" s="293" t="s">
        <v>5850</v>
      </c>
      <c r="E1488" s="293" t="s">
        <v>9925</v>
      </c>
      <c r="F1488" s="293" t="s">
        <v>10075</v>
      </c>
      <c r="G1488" s="293" t="s">
        <v>5589</v>
      </c>
      <c r="H1488" s="294">
        <v>43220</v>
      </c>
      <c r="I1488" s="295">
        <v>4668.84</v>
      </c>
    </row>
    <row r="1489" spans="1:9" x14ac:dyDescent="0.2">
      <c r="A1489" s="293" t="s">
        <v>10074</v>
      </c>
      <c r="B1489" s="293" t="s">
        <v>9924</v>
      </c>
      <c r="C1489" s="293" t="s">
        <v>9925</v>
      </c>
      <c r="D1489" s="293" t="s">
        <v>5850</v>
      </c>
      <c r="E1489" s="293" t="s">
        <v>9925</v>
      </c>
      <c r="F1489" s="293" t="s">
        <v>10075</v>
      </c>
      <c r="G1489" s="293" t="s">
        <v>5755</v>
      </c>
      <c r="H1489" s="294">
        <v>43220</v>
      </c>
      <c r="I1489" s="295">
        <v>-2809.75</v>
      </c>
    </row>
    <row r="1490" spans="1:9" x14ac:dyDescent="0.2">
      <c r="A1490" s="293" t="s">
        <v>10076</v>
      </c>
      <c r="B1490" s="293" t="s">
        <v>9924</v>
      </c>
      <c r="C1490" s="293" t="s">
        <v>9925</v>
      </c>
      <c r="D1490" s="293" t="s">
        <v>5850</v>
      </c>
      <c r="E1490" s="293" t="s">
        <v>9925</v>
      </c>
      <c r="F1490" s="293" t="s">
        <v>10077</v>
      </c>
      <c r="G1490" s="293" t="s">
        <v>5755</v>
      </c>
      <c r="H1490" s="294">
        <v>43251</v>
      </c>
      <c r="I1490" s="295">
        <v>-2809.75</v>
      </c>
    </row>
    <row r="1491" spans="1:9" x14ac:dyDescent="0.2">
      <c r="A1491" s="293" t="s">
        <v>10076</v>
      </c>
      <c r="B1491" s="293" t="s">
        <v>9924</v>
      </c>
      <c r="C1491" s="293" t="s">
        <v>9925</v>
      </c>
      <c r="D1491" s="293" t="s">
        <v>5850</v>
      </c>
      <c r="E1491" s="293" t="s">
        <v>9925</v>
      </c>
      <c r="F1491" s="293" t="s">
        <v>10077</v>
      </c>
      <c r="G1491" s="293" t="s">
        <v>5591</v>
      </c>
      <c r="H1491" s="294">
        <v>43251</v>
      </c>
      <c r="I1491" s="295">
        <v>8325.17</v>
      </c>
    </row>
    <row r="1492" spans="1:9" x14ac:dyDescent="0.2">
      <c r="A1492" s="293" t="s">
        <v>10076</v>
      </c>
      <c r="B1492" s="293" t="s">
        <v>9924</v>
      </c>
      <c r="C1492" s="293" t="s">
        <v>9925</v>
      </c>
      <c r="D1492" s="293" t="s">
        <v>5850</v>
      </c>
      <c r="E1492" s="293" t="s">
        <v>9925</v>
      </c>
      <c r="F1492" s="293" t="s">
        <v>10077</v>
      </c>
      <c r="G1492" s="293" t="s">
        <v>5589</v>
      </c>
      <c r="H1492" s="294">
        <v>43251</v>
      </c>
      <c r="I1492" s="295">
        <v>4668.75</v>
      </c>
    </row>
    <row r="1493" spans="1:9" x14ac:dyDescent="0.2">
      <c r="A1493" s="293" t="s">
        <v>10076</v>
      </c>
      <c r="B1493" s="293" t="s">
        <v>9924</v>
      </c>
      <c r="C1493" s="293" t="s">
        <v>9925</v>
      </c>
      <c r="D1493" s="293" t="s">
        <v>5850</v>
      </c>
      <c r="E1493" s="293" t="s">
        <v>9925</v>
      </c>
      <c r="F1493" s="293" t="s">
        <v>10077</v>
      </c>
      <c r="G1493" s="293" t="s">
        <v>5754</v>
      </c>
      <c r="H1493" s="294">
        <v>43251</v>
      </c>
      <c r="I1493" s="295">
        <v>211.43</v>
      </c>
    </row>
    <row r="1494" spans="1:9" x14ac:dyDescent="0.2">
      <c r="A1494" s="293" t="s">
        <v>10078</v>
      </c>
      <c r="B1494" s="293" t="s">
        <v>9924</v>
      </c>
      <c r="C1494" s="293" t="s">
        <v>9925</v>
      </c>
      <c r="D1494" s="293" t="s">
        <v>5850</v>
      </c>
      <c r="E1494" s="293" t="s">
        <v>9925</v>
      </c>
      <c r="F1494" s="293" t="s">
        <v>10079</v>
      </c>
      <c r="G1494" s="293" t="s">
        <v>5755</v>
      </c>
      <c r="H1494" s="294">
        <v>43281</v>
      </c>
      <c r="I1494" s="295">
        <v>-2809.73</v>
      </c>
    </row>
    <row r="1495" spans="1:9" x14ac:dyDescent="0.2">
      <c r="A1495" s="293" t="s">
        <v>10078</v>
      </c>
      <c r="B1495" s="293" t="s">
        <v>9924</v>
      </c>
      <c r="C1495" s="293" t="s">
        <v>9925</v>
      </c>
      <c r="D1495" s="293" t="s">
        <v>5850</v>
      </c>
      <c r="E1495" s="293" t="s">
        <v>9925</v>
      </c>
      <c r="F1495" s="293" t="s">
        <v>10079</v>
      </c>
      <c r="G1495" s="293" t="s">
        <v>5589</v>
      </c>
      <c r="H1495" s="294">
        <v>43281</v>
      </c>
      <c r="I1495" s="295">
        <v>4668.7299999999996</v>
      </c>
    </row>
    <row r="1496" spans="1:9" x14ac:dyDescent="0.2">
      <c r="A1496" s="293" t="s">
        <v>10078</v>
      </c>
      <c r="B1496" s="293" t="s">
        <v>9924</v>
      </c>
      <c r="C1496" s="293" t="s">
        <v>9925</v>
      </c>
      <c r="D1496" s="293" t="s">
        <v>5850</v>
      </c>
      <c r="E1496" s="293" t="s">
        <v>9925</v>
      </c>
      <c r="F1496" s="293" t="s">
        <v>10079</v>
      </c>
      <c r="G1496" s="293" t="s">
        <v>5754</v>
      </c>
      <c r="H1496" s="294">
        <v>43281</v>
      </c>
      <c r="I1496" s="295">
        <v>211.43</v>
      </c>
    </row>
    <row r="1497" spans="1:9" x14ac:dyDescent="0.2">
      <c r="A1497" s="293" t="s">
        <v>10080</v>
      </c>
      <c r="B1497" s="293" t="s">
        <v>9924</v>
      </c>
      <c r="C1497" s="293" t="s">
        <v>9925</v>
      </c>
      <c r="D1497" s="293" t="s">
        <v>5850</v>
      </c>
      <c r="E1497" s="293" t="s">
        <v>9925</v>
      </c>
      <c r="F1497" s="293" t="s">
        <v>7844</v>
      </c>
      <c r="G1497" s="293" t="s">
        <v>5755</v>
      </c>
      <c r="H1497" s="294">
        <v>43312</v>
      </c>
      <c r="I1497" s="295">
        <v>-2809.74</v>
      </c>
    </row>
    <row r="1498" spans="1:9" x14ac:dyDescent="0.2">
      <c r="A1498" s="293" t="s">
        <v>10080</v>
      </c>
      <c r="B1498" s="293" t="s">
        <v>9924</v>
      </c>
      <c r="C1498" s="293" t="s">
        <v>9925</v>
      </c>
      <c r="D1498" s="293" t="s">
        <v>5850</v>
      </c>
      <c r="E1498" s="293" t="s">
        <v>9925</v>
      </c>
      <c r="F1498" s="293" t="s">
        <v>7844</v>
      </c>
      <c r="G1498" s="293" t="s">
        <v>5589</v>
      </c>
      <c r="H1498" s="294">
        <v>43312</v>
      </c>
      <c r="I1498" s="295">
        <v>4668.76</v>
      </c>
    </row>
    <row r="1499" spans="1:9" x14ac:dyDescent="0.2">
      <c r="A1499" s="293" t="s">
        <v>10080</v>
      </c>
      <c r="B1499" s="293" t="s">
        <v>9924</v>
      </c>
      <c r="C1499" s="293" t="s">
        <v>9925</v>
      </c>
      <c r="D1499" s="293" t="s">
        <v>5850</v>
      </c>
      <c r="E1499" s="293" t="s">
        <v>9925</v>
      </c>
      <c r="F1499" s="293" t="s">
        <v>7844</v>
      </c>
      <c r="G1499" s="293" t="s">
        <v>5754</v>
      </c>
      <c r="H1499" s="294">
        <v>43312</v>
      </c>
      <c r="I1499" s="295">
        <v>211.43</v>
      </c>
    </row>
    <row r="1500" spans="1:9" x14ac:dyDescent="0.2">
      <c r="A1500" s="293" t="s">
        <v>10081</v>
      </c>
      <c r="B1500" s="293" t="s">
        <v>9924</v>
      </c>
      <c r="C1500" s="293" t="s">
        <v>9925</v>
      </c>
      <c r="D1500" s="293" t="s">
        <v>5850</v>
      </c>
      <c r="E1500" s="293" t="s">
        <v>9925</v>
      </c>
      <c r="F1500" s="293" t="s">
        <v>10082</v>
      </c>
      <c r="G1500" s="293" t="s">
        <v>5754</v>
      </c>
      <c r="H1500" s="294">
        <v>43343</v>
      </c>
      <c r="I1500" s="295">
        <v>211.43</v>
      </c>
    </row>
    <row r="1501" spans="1:9" x14ac:dyDescent="0.2">
      <c r="A1501" s="293" t="s">
        <v>10081</v>
      </c>
      <c r="B1501" s="293" t="s">
        <v>9924</v>
      </c>
      <c r="C1501" s="293" t="s">
        <v>9925</v>
      </c>
      <c r="D1501" s="293" t="s">
        <v>5850</v>
      </c>
      <c r="E1501" s="293" t="s">
        <v>9925</v>
      </c>
      <c r="F1501" s="293" t="s">
        <v>10082</v>
      </c>
      <c r="G1501" s="293" t="s">
        <v>5589</v>
      </c>
      <c r="H1501" s="294">
        <v>43343</v>
      </c>
      <c r="I1501" s="295">
        <v>4668.75</v>
      </c>
    </row>
    <row r="1502" spans="1:9" x14ac:dyDescent="0.2">
      <c r="A1502" s="293" t="s">
        <v>10081</v>
      </c>
      <c r="B1502" s="293" t="s">
        <v>9924</v>
      </c>
      <c r="C1502" s="293" t="s">
        <v>9925</v>
      </c>
      <c r="D1502" s="293" t="s">
        <v>5850</v>
      </c>
      <c r="E1502" s="293" t="s">
        <v>9925</v>
      </c>
      <c r="F1502" s="293" t="s">
        <v>10082</v>
      </c>
      <c r="G1502" s="293" t="s">
        <v>5755</v>
      </c>
      <c r="H1502" s="294">
        <v>43343</v>
      </c>
      <c r="I1502" s="295">
        <v>-2809.74</v>
      </c>
    </row>
    <row r="1503" spans="1:9" x14ac:dyDescent="0.2">
      <c r="A1503" s="293" t="s">
        <v>10083</v>
      </c>
      <c r="B1503" s="293" t="s">
        <v>9924</v>
      </c>
      <c r="C1503" s="293" t="s">
        <v>9925</v>
      </c>
      <c r="D1503" s="293" t="s">
        <v>5850</v>
      </c>
      <c r="E1503" s="293" t="s">
        <v>9925</v>
      </c>
      <c r="F1503" s="293" t="s">
        <v>10084</v>
      </c>
      <c r="G1503" s="293" t="s">
        <v>5589</v>
      </c>
      <c r="H1503" s="294">
        <v>43373</v>
      </c>
      <c r="I1503" s="295">
        <v>4668.78</v>
      </c>
    </row>
    <row r="1504" spans="1:9" x14ac:dyDescent="0.2">
      <c r="A1504" s="293" t="s">
        <v>10083</v>
      </c>
      <c r="B1504" s="293" t="s">
        <v>9924</v>
      </c>
      <c r="C1504" s="293" t="s">
        <v>9925</v>
      </c>
      <c r="D1504" s="293" t="s">
        <v>5850</v>
      </c>
      <c r="E1504" s="293" t="s">
        <v>9925</v>
      </c>
      <c r="F1504" s="293" t="s">
        <v>10084</v>
      </c>
      <c r="G1504" s="293" t="s">
        <v>5754</v>
      </c>
      <c r="H1504" s="294">
        <v>43373</v>
      </c>
      <c r="I1504" s="295">
        <v>211.43</v>
      </c>
    </row>
    <row r="1505" spans="1:9" x14ac:dyDescent="0.2">
      <c r="A1505" s="293" t="s">
        <v>10083</v>
      </c>
      <c r="B1505" s="293" t="s">
        <v>9924</v>
      </c>
      <c r="C1505" s="293" t="s">
        <v>9925</v>
      </c>
      <c r="D1505" s="293" t="s">
        <v>5850</v>
      </c>
      <c r="E1505" s="293" t="s">
        <v>9925</v>
      </c>
      <c r="F1505" s="293" t="s">
        <v>10084</v>
      </c>
      <c r="G1505" s="293" t="s">
        <v>5755</v>
      </c>
      <c r="H1505" s="294">
        <v>43373</v>
      </c>
      <c r="I1505" s="295">
        <v>-2809.75</v>
      </c>
    </row>
    <row r="1506" spans="1:9" x14ac:dyDescent="0.2">
      <c r="A1506" s="293" t="s">
        <v>10085</v>
      </c>
      <c r="B1506" s="293" t="s">
        <v>9924</v>
      </c>
      <c r="C1506" s="293" t="s">
        <v>9925</v>
      </c>
      <c r="D1506" s="293" t="s">
        <v>5850</v>
      </c>
      <c r="E1506" s="293" t="s">
        <v>9925</v>
      </c>
      <c r="F1506" s="293" t="s">
        <v>7928</v>
      </c>
      <c r="G1506" s="293" t="s">
        <v>5754</v>
      </c>
      <c r="H1506" s="294">
        <v>43404</v>
      </c>
      <c r="I1506" s="295">
        <v>211.43</v>
      </c>
    </row>
    <row r="1507" spans="1:9" x14ac:dyDescent="0.2">
      <c r="A1507" s="293" t="s">
        <v>10085</v>
      </c>
      <c r="B1507" s="293" t="s">
        <v>9924</v>
      </c>
      <c r="C1507" s="293" t="s">
        <v>9925</v>
      </c>
      <c r="D1507" s="293" t="s">
        <v>5850</v>
      </c>
      <c r="E1507" s="293" t="s">
        <v>9925</v>
      </c>
      <c r="F1507" s="293" t="s">
        <v>7928</v>
      </c>
      <c r="G1507" s="293" t="s">
        <v>5589</v>
      </c>
      <c r="H1507" s="294">
        <v>43404</v>
      </c>
      <c r="I1507" s="295">
        <v>4668.7299999999996</v>
      </c>
    </row>
    <row r="1508" spans="1:9" x14ac:dyDescent="0.2">
      <c r="A1508" s="293" t="s">
        <v>10085</v>
      </c>
      <c r="B1508" s="293" t="s">
        <v>9924</v>
      </c>
      <c r="C1508" s="293" t="s">
        <v>9925</v>
      </c>
      <c r="D1508" s="293" t="s">
        <v>5850</v>
      </c>
      <c r="E1508" s="293" t="s">
        <v>9925</v>
      </c>
      <c r="F1508" s="293" t="s">
        <v>7928</v>
      </c>
      <c r="G1508" s="293" t="s">
        <v>5755</v>
      </c>
      <c r="H1508" s="294">
        <v>43404</v>
      </c>
      <c r="I1508" s="295">
        <v>-2809.73</v>
      </c>
    </row>
    <row r="1509" spans="1:9" x14ac:dyDescent="0.2">
      <c r="A1509" s="293" t="s">
        <v>10086</v>
      </c>
      <c r="B1509" s="293" t="s">
        <v>9924</v>
      </c>
      <c r="C1509" s="293" t="s">
        <v>9925</v>
      </c>
      <c r="D1509" s="293" t="s">
        <v>5850</v>
      </c>
      <c r="E1509" s="293" t="s">
        <v>9925</v>
      </c>
      <c r="F1509" s="293" t="s">
        <v>10087</v>
      </c>
      <c r="G1509" s="293" t="s">
        <v>5754</v>
      </c>
      <c r="H1509" s="294">
        <v>43434</v>
      </c>
      <c r="I1509" s="295">
        <v>211.43</v>
      </c>
    </row>
    <row r="1510" spans="1:9" x14ac:dyDescent="0.2">
      <c r="A1510" s="293" t="s">
        <v>10086</v>
      </c>
      <c r="B1510" s="293" t="s">
        <v>9924</v>
      </c>
      <c r="C1510" s="293" t="s">
        <v>9925</v>
      </c>
      <c r="D1510" s="293" t="s">
        <v>5850</v>
      </c>
      <c r="E1510" s="293" t="s">
        <v>9925</v>
      </c>
      <c r="F1510" s="293" t="s">
        <v>10087</v>
      </c>
      <c r="G1510" s="293" t="s">
        <v>5589</v>
      </c>
      <c r="H1510" s="294">
        <v>43434</v>
      </c>
      <c r="I1510" s="295">
        <v>4668.75</v>
      </c>
    </row>
    <row r="1511" spans="1:9" x14ac:dyDescent="0.2">
      <c r="A1511" s="293" t="s">
        <v>10086</v>
      </c>
      <c r="B1511" s="293" t="s">
        <v>9924</v>
      </c>
      <c r="C1511" s="293" t="s">
        <v>9925</v>
      </c>
      <c r="D1511" s="293" t="s">
        <v>5850</v>
      </c>
      <c r="E1511" s="293" t="s">
        <v>9925</v>
      </c>
      <c r="F1511" s="293" t="s">
        <v>10087</v>
      </c>
      <c r="G1511" s="293" t="s">
        <v>5755</v>
      </c>
      <c r="H1511" s="294">
        <v>43434</v>
      </c>
      <c r="I1511" s="295">
        <v>-2809.74</v>
      </c>
    </row>
    <row r="1512" spans="1:9" x14ac:dyDescent="0.2">
      <c r="A1512" s="293" t="s">
        <v>10088</v>
      </c>
      <c r="B1512" s="293" t="s">
        <v>9924</v>
      </c>
      <c r="C1512" s="293" t="s">
        <v>9925</v>
      </c>
      <c r="D1512" s="293" t="s">
        <v>5850</v>
      </c>
      <c r="E1512" s="293" t="s">
        <v>9925</v>
      </c>
      <c r="F1512" s="293" t="s">
        <v>10089</v>
      </c>
      <c r="G1512" s="293" t="s">
        <v>5589</v>
      </c>
      <c r="H1512" s="294">
        <v>43465</v>
      </c>
      <c r="I1512" s="295">
        <v>4668.78</v>
      </c>
    </row>
    <row r="1513" spans="1:9" x14ac:dyDescent="0.2">
      <c r="A1513" s="293" t="s">
        <v>10088</v>
      </c>
      <c r="B1513" s="293" t="s">
        <v>9924</v>
      </c>
      <c r="C1513" s="293" t="s">
        <v>9925</v>
      </c>
      <c r="D1513" s="293" t="s">
        <v>5850</v>
      </c>
      <c r="E1513" s="293" t="s">
        <v>9925</v>
      </c>
      <c r="F1513" s="293" t="s">
        <v>10089</v>
      </c>
      <c r="G1513" s="293" t="s">
        <v>5754</v>
      </c>
      <c r="H1513" s="294">
        <v>43465</v>
      </c>
      <c r="I1513" s="295">
        <v>211.43</v>
      </c>
    </row>
    <row r="1514" spans="1:9" x14ac:dyDescent="0.2">
      <c r="A1514" s="293" t="s">
        <v>10088</v>
      </c>
      <c r="B1514" s="293" t="s">
        <v>9924</v>
      </c>
      <c r="C1514" s="293" t="s">
        <v>9925</v>
      </c>
      <c r="D1514" s="293" t="s">
        <v>5850</v>
      </c>
      <c r="E1514" s="293" t="s">
        <v>9925</v>
      </c>
      <c r="F1514" s="293" t="s">
        <v>10089</v>
      </c>
      <c r="G1514" s="293" t="s">
        <v>5755</v>
      </c>
      <c r="H1514" s="294">
        <v>43465</v>
      </c>
      <c r="I1514" s="295">
        <v>-2809.75</v>
      </c>
    </row>
    <row r="1515" spans="1:9" x14ac:dyDescent="0.2">
      <c r="A1515" s="293" t="s">
        <v>10090</v>
      </c>
      <c r="B1515" s="293" t="s">
        <v>9924</v>
      </c>
      <c r="C1515" s="293" t="s">
        <v>9925</v>
      </c>
      <c r="D1515" s="293" t="s">
        <v>5850</v>
      </c>
      <c r="E1515" s="293" t="s">
        <v>9925</v>
      </c>
      <c r="F1515" s="293" t="s">
        <v>10091</v>
      </c>
      <c r="G1515" s="293" t="s">
        <v>5754</v>
      </c>
      <c r="H1515" s="294">
        <v>43465</v>
      </c>
      <c r="I1515" s="295">
        <v>211.43</v>
      </c>
    </row>
    <row r="1516" spans="1:9" x14ac:dyDescent="0.2">
      <c r="A1516" s="293" t="s">
        <v>10090</v>
      </c>
      <c r="B1516" s="293" t="s">
        <v>9924</v>
      </c>
      <c r="C1516" s="293" t="s">
        <v>9925</v>
      </c>
      <c r="D1516" s="293" t="s">
        <v>5850</v>
      </c>
      <c r="E1516" s="293" t="s">
        <v>9925</v>
      </c>
      <c r="F1516" s="293" t="s">
        <v>10091</v>
      </c>
      <c r="G1516" s="293" t="s">
        <v>5755</v>
      </c>
      <c r="H1516" s="294">
        <v>43465</v>
      </c>
      <c r="I1516" s="295">
        <v>-2809.75</v>
      </c>
    </row>
    <row r="1517" spans="1:9" x14ac:dyDescent="0.2">
      <c r="A1517" s="293" t="s">
        <v>10090</v>
      </c>
      <c r="B1517" s="293" t="s">
        <v>9924</v>
      </c>
      <c r="C1517" s="293" t="s">
        <v>9925</v>
      </c>
      <c r="D1517" s="293" t="s">
        <v>5850</v>
      </c>
      <c r="E1517" s="293" t="s">
        <v>9925</v>
      </c>
      <c r="F1517" s="293" t="s">
        <v>10091</v>
      </c>
      <c r="G1517" s="293" t="s">
        <v>5589</v>
      </c>
      <c r="H1517" s="294">
        <v>43465</v>
      </c>
      <c r="I1517" s="295">
        <v>4668.78</v>
      </c>
    </row>
    <row r="1518" spans="1:9" x14ac:dyDescent="0.2">
      <c r="A1518" s="293" t="s">
        <v>10092</v>
      </c>
      <c r="B1518" s="293" t="s">
        <v>9924</v>
      </c>
      <c r="C1518" s="293" t="s">
        <v>9939</v>
      </c>
      <c r="D1518" s="293" t="s">
        <v>5850</v>
      </c>
      <c r="E1518" s="293" t="s">
        <v>9939</v>
      </c>
      <c r="F1518" s="293" t="s">
        <v>10091</v>
      </c>
      <c r="G1518" s="293" t="s">
        <v>5589</v>
      </c>
      <c r="H1518" s="294">
        <v>43465</v>
      </c>
      <c r="I1518" s="295">
        <v>-4668.78</v>
      </c>
    </row>
    <row r="1519" spans="1:9" x14ac:dyDescent="0.2">
      <c r="A1519" s="293" t="s">
        <v>10092</v>
      </c>
      <c r="B1519" s="293" t="s">
        <v>9924</v>
      </c>
      <c r="C1519" s="293" t="s">
        <v>9939</v>
      </c>
      <c r="D1519" s="293" t="s">
        <v>5850</v>
      </c>
      <c r="E1519" s="293" t="s">
        <v>9939</v>
      </c>
      <c r="F1519" s="293" t="s">
        <v>10091</v>
      </c>
      <c r="G1519" s="293" t="s">
        <v>5755</v>
      </c>
      <c r="H1519" s="294">
        <v>43465</v>
      </c>
      <c r="I1519" s="295">
        <v>2809.75</v>
      </c>
    </row>
    <row r="1520" spans="1:9" x14ac:dyDescent="0.2">
      <c r="A1520" s="293" t="s">
        <v>10092</v>
      </c>
      <c r="B1520" s="293" t="s">
        <v>9924</v>
      </c>
      <c r="C1520" s="293" t="s">
        <v>9939</v>
      </c>
      <c r="D1520" s="293" t="s">
        <v>5850</v>
      </c>
      <c r="E1520" s="293" t="s">
        <v>9939</v>
      </c>
      <c r="F1520" s="293" t="s">
        <v>10091</v>
      </c>
      <c r="G1520" s="293" t="s">
        <v>5754</v>
      </c>
      <c r="H1520" s="294">
        <v>43465</v>
      </c>
      <c r="I1520" s="295">
        <v>-211.43</v>
      </c>
    </row>
    <row r="1521" spans="1:9" x14ac:dyDescent="0.2">
      <c r="A1521" s="293" t="s">
        <v>10093</v>
      </c>
      <c r="B1521" s="293" t="s">
        <v>9924</v>
      </c>
      <c r="C1521" s="293" t="s">
        <v>9925</v>
      </c>
      <c r="D1521" s="293" t="s">
        <v>5850</v>
      </c>
      <c r="E1521" s="293" t="s">
        <v>9925</v>
      </c>
      <c r="F1521" s="293" t="s">
        <v>10094</v>
      </c>
      <c r="G1521" s="293" t="s">
        <v>5589</v>
      </c>
      <c r="H1521" s="294">
        <v>43496</v>
      </c>
      <c r="I1521" s="295">
        <v>4668.78</v>
      </c>
    </row>
    <row r="1522" spans="1:9" x14ac:dyDescent="0.2">
      <c r="A1522" s="293" t="s">
        <v>10093</v>
      </c>
      <c r="B1522" s="293" t="s">
        <v>9924</v>
      </c>
      <c r="C1522" s="293" t="s">
        <v>9925</v>
      </c>
      <c r="D1522" s="293" t="s">
        <v>5850</v>
      </c>
      <c r="E1522" s="293" t="s">
        <v>9925</v>
      </c>
      <c r="F1522" s="293" t="s">
        <v>10094</v>
      </c>
      <c r="G1522" s="293" t="s">
        <v>5754</v>
      </c>
      <c r="H1522" s="294">
        <v>43496</v>
      </c>
      <c r="I1522" s="295">
        <v>211.43</v>
      </c>
    </row>
    <row r="1523" spans="1:9" x14ac:dyDescent="0.2">
      <c r="A1523" s="293" t="s">
        <v>10093</v>
      </c>
      <c r="B1523" s="293" t="s">
        <v>9924</v>
      </c>
      <c r="C1523" s="293" t="s">
        <v>9925</v>
      </c>
      <c r="D1523" s="293" t="s">
        <v>5850</v>
      </c>
      <c r="E1523" s="293" t="s">
        <v>9925</v>
      </c>
      <c r="F1523" s="293" t="s">
        <v>10094</v>
      </c>
      <c r="G1523" s="293" t="s">
        <v>5755</v>
      </c>
      <c r="H1523" s="294">
        <v>43496</v>
      </c>
      <c r="I1523" s="295">
        <v>-2809.75</v>
      </c>
    </row>
    <row r="1524" spans="1:9" x14ac:dyDescent="0.2">
      <c r="A1524" s="293" t="s">
        <v>10095</v>
      </c>
      <c r="B1524" s="293" t="s">
        <v>9924</v>
      </c>
      <c r="C1524" s="293" t="s">
        <v>9925</v>
      </c>
      <c r="D1524" s="293" t="s">
        <v>5850</v>
      </c>
      <c r="E1524" s="293" t="s">
        <v>9925</v>
      </c>
      <c r="F1524" s="293" t="s">
        <v>10096</v>
      </c>
      <c r="G1524" s="293" t="s">
        <v>5754</v>
      </c>
      <c r="H1524" s="294">
        <v>43524</v>
      </c>
      <c r="I1524" s="295">
        <v>211.43</v>
      </c>
    </row>
    <row r="1525" spans="1:9" x14ac:dyDescent="0.2">
      <c r="A1525" s="293" t="s">
        <v>10095</v>
      </c>
      <c r="B1525" s="293" t="s">
        <v>9924</v>
      </c>
      <c r="C1525" s="293" t="s">
        <v>9925</v>
      </c>
      <c r="D1525" s="293" t="s">
        <v>5850</v>
      </c>
      <c r="E1525" s="293" t="s">
        <v>9925</v>
      </c>
      <c r="F1525" s="293" t="s">
        <v>10096</v>
      </c>
      <c r="G1525" s="293" t="s">
        <v>5589</v>
      </c>
      <c r="H1525" s="294">
        <v>43524</v>
      </c>
      <c r="I1525" s="295">
        <v>4668.7299999999996</v>
      </c>
    </row>
    <row r="1526" spans="1:9" x14ac:dyDescent="0.2">
      <c r="A1526" s="293" t="s">
        <v>10095</v>
      </c>
      <c r="B1526" s="293" t="s">
        <v>9924</v>
      </c>
      <c r="C1526" s="293" t="s">
        <v>9925</v>
      </c>
      <c r="D1526" s="293" t="s">
        <v>5850</v>
      </c>
      <c r="E1526" s="293" t="s">
        <v>9925</v>
      </c>
      <c r="F1526" s="293" t="s">
        <v>10096</v>
      </c>
      <c r="G1526" s="293" t="s">
        <v>5755</v>
      </c>
      <c r="H1526" s="294">
        <v>43524</v>
      </c>
      <c r="I1526" s="295">
        <v>-2809.73</v>
      </c>
    </row>
    <row r="1527" spans="1:9" x14ac:dyDescent="0.2">
      <c r="A1527" s="293" t="s">
        <v>10097</v>
      </c>
      <c r="B1527" s="293" t="s">
        <v>9924</v>
      </c>
      <c r="C1527" s="293" t="s">
        <v>9925</v>
      </c>
      <c r="D1527" s="293" t="s">
        <v>5850</v>
      </c>
      <c r="E1527" s="293" t="s">
        <v>9925</v>
      </c>
      <c r="F1527" s="293" t="s">
        <v>10098</v>
      </c>
      <c r="G1527" s="293" t="s">
        <v>5755</v>
      </c>
      <c r="H1527" s="294">
        <v>43555</v>
      </c>
      <c r="I1527" s="295">
        <v>-2809.74</v>
      </c>
    </row>
    <row r="1528" spans="1:9" x14ac:dyDescent="0.2">
      <c r="A1528" s="293" t="s">
        <v>10097</v>
      </c>
      <c r="B1528" s="293" t="s">
        <v>9924</v>
      </c>
      <c r="C1528" s="293" t="s">
        <v>9925</v>
      </c>
      <c r="D1528" s="293" t="s">
        <v>5850</v>
      </c>
      <c r="E1528" s="293" t="s">
        <v>9925</v>
      </c>
      <c r="F1528" s="293" t="s">
        <v>10098</v>
      </c>
      <c r="G1528" s="293" t="s">
        <v>5589</v>
      </c>
      <c r="H1528" s="294">
        <v>43555</v>
      </c>
      <c r="I1528" s="295">
        <v>4668.75</v>
      </c>
    </row>
    <row r="1529" spans="1:9" x14ac:dyDescent="0.2">
      <c r="A1529" s="293" t="s">
        <v>10097</v>
      </c>
      <c r="B1529" s="293" t="s">
        <v>9924</v>
      </c>
      <c r="C1529" s="293" t="s">
        <v>9925</v>
      </c>
      <c r="D1529" s="293" t="s">
        <v>5850</v>
      </c>
      <c r="E1529" s="293" t="s">
        <v>9925</v>
      </c>
      <c r="F1529" s="293" t="s">
        <v>10098</v>
      </c>
      <c r="G1529" s="293" t="s">
        <v>5754</v>
      </c>
      <c r="H1529" s="294">
        <v>43555</v>
      </c>
      <c r="I1529" s="295">
        <v>211.43</v>
      </c>
    </row>
    <row r="1530" spans="1:9" x14ac:dyDescent="0.2">
      <c r="A1530" s="293" t="s">
        <v>10099</v>
      </c>
      <c r="B1530" s="293" t="s">
        <v>9924</v>
      </c>
      <c r="C1530" s="293" t="s">
        <v>9925</v>
      </c>
      <c r="D1530" s="293" t="s">
        <v>5850</v>
      </c>
      <c r="E1530" s="293" t="s">
        <v>9925</v>
      </c>
      <c r="F1530" s="293" t="s">
        <v>10100</v>
      </c>
      <c r="G1530" s="293" t="s">
        <v>5754</v>
      </c>
      <c r="H1530" s="294">
        <v>43555</v>
      </c>
      <c r="I1530" s="295">
        <v>211.43</v>
      </c>
    </row>
    <row r="1531" spans="1:9" x14ac:dyDescent="0.2">
      <c r="A1531" s="293" t="s">
        <v>10099</v>
      </c>
      <c r="B1531" s="293" t="s">
        <v>9924</v>
      </c>
      <c r="C1531" s="293" t="s">
        <v>9925</v>
      </c>
      <c r="D1531" s="293" t="s">
        <v>5850</v>
      </c>
      <c r="E1531" s="293" t="s">
        <v>9925</v>
      </c>
      <c r="F1531" s="293" t="s">
        <v>10100</v>
      </c>
      <c r="G1531" s="293" t="s">
        <v>5755</v>
      </c>
      <c r="H1531" s="294">
        <v>43555</v>
      </c>
      <c r="I1531" s="295">
        <v>-2809.74</v>
      </c>
    </row>
    <row r="1532" spans="1:9" x14ac:dyDescent="0.2">
      <c r="A1532" s="293" t="s">
        <v>10099</v>
      </c>
      <c r="B1532" s="293" t="s">
        <v>9924</v>
      </c>
      <c r="C1532" s="293" t="s">
        <v>9925</v>
      </c>
      <c r="D1532" s="293" t="s">
        <v>5850</v>
      </c>
      <c r="E1532" s="293" t="s">
        <v>9925</v>
      </c>
      <c r="F1532" s="293" t="s">
        <v>10100</v>
      </c>
      <c r="G1532" s="293" t="s">
        <v>5589</v>
      </c>
      <c r="H1532" s="294">
        <v>43555</v>
      </c>
      <c r="I1532" s="295">
        <v>4668.75</v>
      </c>
    </row>
    <row r="1533" spans="1:9" x14ac:dyDescent="0.2">
      <c r="A1533" s="293" t="s">
        <v>10101</v>
      </c>
      <c r="B1533" s="293" t="s">
        <v>9924</v>
      </c>
      <c r="C1533" s="293" t="s">
        <v>9939</v>
      </c>
      <c r="D1533" s="293" t="s">
        <v>5850</v>
      </c>
      <c r="E1533" s="293" t="s">
        <v>9939</v>
      </c>
      <c r="F1533" s="293" t="s">
        <v>10100</v>
      </c>
      <c r="G1533" s="293" t="s">
        <v>5755</v>
      </c>
      <c r="H1533" s="294">
        <v>43555</v>
      </c>
      <c r="I1533" s="295">
        <v>2809.74</v>
      </c>
    </row>
    <row r="1534" spans="1:9" x14ac:dyDescent="0.2">
      <c r="A1534" s="293" t="s">
        <v>10101</v>
      </c>
      <c r="B1534" s="293" t="s">
        <v>9924</v>
      </c>
      <c r="C1534" s="293" t="s">
        <v>9939</v>
      </c>
      <c r="D1534" s="293" t="s">
        <v>5850</v>
      </c>
      <c r="E1534" s="293" t="s">
        <v>9939</v>
      </c>
      <c r="F1534" s="293" t="s">
        <v>10100</v>
      </c>
      <c r="G1534" s="293" t="s">
        <v>5589</v>
      </c>
      <c r="H1534" s="294">
        <v>43555</v>
      </c>
      <c r="I1534" s="295">
        <v>-4668.75</v>
      </c>
    </row>
    <row r="1535" spans="1:9" x14ac:dyDescent="0.2">
      <c r="A1535" s="293" t="s">
        <v>10101</v>
      </c>
      <c r="B1535" s="293" t="s">
        <v>9924</v>
      </c>
      <c r="C1535" s="293" t="s">
        <v>9939</v>
      </c>
      <c r="D1535" s="293" t="s">
        <v>5850</v>
      </c>
      <c r="E1535" s="293" t="s">
        <v>9939</v>
      </c>
      <c r="F1535" s="293" t="s">
        <v>10100</v>
      </c>
      <c r="G1535" s="293" t="s">
        <v>5754</v>
      </c>
      <c r="H1535" s="294">
        <v>43555</v>
      </c>
      <c r="I1535" s="295">
        <v>-211.43</v>
      </c>
    </row>
    <row r="1536" spans="1:9" x14ac:dyDescent="0.2">
      <c r="A1536" s="293" t="s">
        <v>10102</v>
      </c>
      <c r="B1536" s="293" t="s">
        <v>9924</v>
      </c>
      <c r="C1536" s="293" t="s">
        <v>9925</v>
      </c>
      <c r="D1536" s="293" t="s">
        <v>5850</v>
      </c>
      <c r="E1536" s="293" t="s">
        <v>9925</v>
      </c>
      <c r="F1536" s="293" t="s">
        <v>10103</v>
      </c>
      <c r="G1536" s="293" t="s">
        <v>5754</v>
      </c>
      <c r="H1536" s="294">
        <v>43585</v>
      </c>
      <c r="I1536" s="295">
        <v>211.43</v>
      </c>
    </row>
    <row r="1537" spans="1:9" x14ac:dyDescent="0.2">
      <c r="A1537" s="293" t="s">
        <v>10102</v>
      </c>
      <c r="B1537" s="293" t="s">
        <v>9924</v>
      </c>
      <c r="C1537" s="293" t="s">
        <v>9925</v>
      </c>
      <c r="D1537" s="293" t="s">
        <v>5850</v>
      </c>
      <c r="E1537" s="293" t="s">
        <v>9925</v>
      </c>
      <c r="F1537" s="293" t="s">
        <v>10103</v>
      </c>
      <c r="G1537" s="293" t="s">
        <v>5589</v>
      </c>
      <c r="H1537" s="294">
        <v>43585</v>
      </c>
      <c r="I1537" s="295">
        <v>4668.78</v>
      </c>
    </row>
    <row r="1538" spans="1:9" x14ac:dyDescent="0.2">
      <c r="A1538" s="293" t="s">
        <v>10102</v>
      </c>
      <c r="B1538" s="293" t="s">
        <v>9924</v>
      </c>
      <c r="C1538" s="293" t="s">
        <v>9925</v>
      </c>
      <c r="D1538" s="293" t="s">
        <v>5850</v>
      </c>
      <c r="E1538" s="293" t="s">
        <v>9925</v>
      </c>
      <c r="F1538" s="293" t="s">
        <v>10103</v>
      </c>
      <c r="G1538" s="293" t="s">
        <v>5755</v>
      </c>
      <c r="H1538" s="294">
        <v>43585</v>
      </c>
      <c r="I1538" s="295">
        <v>-2809.75</v>
      </c>
    </row>
    <row r="1539" spans="1:9" x14ac:dyDescent="0.2">
      <c r="A1539" s="293" t="s">
        <v>10104</v>
      </c>
      <c r="B1539" s="293" t="s">
        <v>9924</v>
      </c>
      <c r="C1539" s="293" t="s">
        <v>9925</v>
      </c>
      <c r="D1539" s="293" t="s">
        <v>5850</v>
      </c>
      <c r="E1539" s="293" t="s">
        <v>9925</v>
      </c>
      <c r="F1539" s="293" t="s">
        <v>10105</v>
      </c>
      <c r="G1539" s="293" t="s">
        <v>5589</v>
      </c>
      <c r="H1539" s="294">
        <v>43616</v>
      </c>
      <c r="I1539" s="295">
        <v>4668.7299999999996</v>
      </c>
    </row>
    <row r="1540" spans="1:9" x14ac:dyDescent="0.2">
      <c r="A1540" s="293" t="s">
        <v>10104</v>
      </c>
      <c r="B1540" s="293" t="s">
        <v>9924</v>
      </c>
      <c r="C1540" s="293" t="s">
        <v>9925</v>
      </c>
      <c r="D1540" s="293" t="s">
        <v>5850</v>
      </c>
      <c r="E1540" s="293" t="s">
        <v>9925</v>
      </c>
      <c r="F1540" s="293" t="s">
        <v>10105</v>
      </c>
      <c r="G1540" s="293" t="s">
        <v>5755</v>
      </c>
      <c r="H1540" s="294">
        <v>43616</v>
      </c>
      <c r="I1540" s="295">
        <v>-2809.73</v>
      </c>
    </row>
    <row r="1541" spans="1:9" x14ac:dyDescent="0.2">
      <c r="A1541" s="293" t="s">
        <v>10104</v>
      </c>
      <c r="B1541" s="293" t="s">
        <v>9924</v>
      </c>
      <c r="C1541" s="293" t="s">
        <v>9925</v>
      </c>
      <c r="D1541" s="293" t="s">
        <v>5850</v>
      </c>
      <c r="E1541" s="293" t="s">
        <v>9925</v>
      </c>
      <c r="F1541" s="293" t="s">
        <v>10105</v>
      </c>
      <c r="G1541" s="293" t="s">
        <v>5754</v>
      </c>
      <c r="H1541" s="294">
        <v>43616</v>
      </c>
      <c r="I1541" s="295">
        <v>211.43</v>
      </c>
    </row>
    <row r="1542" spans="1:9" x14ac:dyDescent="0.2">
      <c r="A1542" s="293" t="s">
        <v>10106</v>
      </c>
      <c r="B1542" s="293" t="s">
        <v>9924</v>
      </c>
      <c r="C1542" s="293" t="s">
        <v>9925</v>
      </c>
      <c r="D1542" s="293" t="s">
        <v>5850</v>
      </c>
      <c r="E1542" s="293" t="s">
        <v>9925</v>
      </c>
      <c r="F1542" s="293" t="s">
        <v>10107</v>
      </c>
      <c r="G1542" s="293" t="s">
        <v>5755</v>
      </c>
      <c r="H1542" s="294">
        <v>43646</v>
      </c>
      <c r="I1542" s="295">
        <v>-2809.75</v>
      </c>
    </row>
    <row r="1543" spans="1:9" x14ac:dyDescent="0.2">
      <c r="A1543" s="293" t="s">
        <v>10106</v>
      </c>
      <c r="B1543" s="293" t="s">
        <v>9924</v>
      </c>
      <c r="C1543" s="293" t="s">
        <v>9925</v>
      </c>
      <c r="D1543" s="293" t="s">
        <v>5850</v>
      </c>
      <c r="E1543" s="293" t="s">
        <v>9925</v>
      </c>
      <c r="F1543" s="293" t="s">
        <v>10107</v>
      </c>
      <c r="G1543" s="293" t="s">
        <v>5754</v>
      </c>
      <c r="H1543" s="294">
        <v>43646</v>
      </c>
      <c r="I1543" s="295">
        <v>211.43</v>
      </c>
    </row>
    <row r="1544" spans="1:9" x14ac:dyDescent="0.2">
      <c r="A1544" s="293" t="s">
        <v>10106</v>
      </c>
      <c r="B1544" s="293" t="s">
        <v>9924</v>
      </c>
      <c r="C1544" s="293" t="s">
        <v>9925</v>
      </c>
      <c r="D1544" s="293" t="s">
        <v>5850</v>
      </c>
      <c r="E1544" s="293" t="s">
        <v>9925</v>
      </c>
      <c r="F1544" s="293" t="s">
        <v>10107</v>
      </c>
      <c r="G1544" s="293" t="s">
        <v>5589</v>
      </c>
      <c r="H1544" s="294">
        <v>43646</v>
      </c>
      <c r="I1544" s="295">
        <v>4668.78</v>
      </c>
    </row>
    <row r="1545" spans="1:9" x14ac:dyDescent="0.2">
      <c r="A1545" s="293" t="s">
        <v>10108</v>
      </c>
      <c r="B1545" s="293" t="s">
        <v>9924</v>
      </c>
      <c r="C1545" s="293" t="s">
        <v>9925</v>
      </c>
      <c r="D1545" s="293" t="s">
        <v>5850</v>
      </c>
      <c r="E1545" s="293" t="s">
        <v>9925</v>
      </c>
      <c r="F1545" s="293" t="s">
        <v>8112</v>
      </c>
      <c r="G1545" s="293" t="s">
        <v>5589</v>
      </c>
      <c r="H1545" s="294">
        <v>43677</v>
      </c>
      <c r="I1545" s="295">
        <v>4668.7299999999996</v>
      </c>
    </row>
    <row r="1546" spans="1:9" x14ac:dyDescent="0.2">
      <c r="A1546" s="293" t="s">
        <v>10108</v>
      </c>
      <c r="B1546" s="293" t="s">
        <v>9924</v>
      </c>
      <c r="C1546" s="293" t="s">
        <v>9925</v>
      </c>
      <c r="D1546" s="293" t="s">
        <v>5850</v>
      </c>
      <c r="E1546" s="293" t="s">
        <v>9925</v>
      </c>
      <c r="F1546" s="293" t="s">
        <v>8112</v>
      </c>
      <c r="G1546" s="293" t="s">
        <v>5754</v>
      </c>
      <c r="H1546" s="294">
        <v>43677</v>
      </c>
      <c r="I1546" s="295">
        <v>211.43</v>
      </c>
    </row>
    <row r="1547" spans="1:9" x14ac:dyDescent="0.2">
      <c r="A1547" s="293" t="s">
        <v>10108</v>
      </c>
      <c r="B1547" s="293" t="s">
        <v>9924</v>
      </c>
      <c r="C1547" s="293" t="s">
        <v>9925</v>
      </c>
      <c r="D1547" s="293" t="s">
        <v>5850</v>
      </c>
      <c r="E1547" s="293" t="s">
        <v>9925</v>
      </c>
      <c r="F1547" s="293" t="s">
        <v>8112</v>
      </c>
      <c r="G1547" s="293" t="s">
        <v>5755</v>
      </c>
      <c r="H1547" s="294">
        <v>43677</v>
      </c>
      <c r="I1547" s="295">
        <v>-2809.73</v>
      </c>
    </row>
    <row r="1548" spans="1:9" x14ac:dyDescent="0.2">
      <c r="A1548" s="293" t="s">
        <v>10109</v>
      </c>
      <c r="B1548" s="293" t="s">
        <v>9924</v>
      </c>
      <c r="C1548" s="293" t="s">
        <v>9925</v>
      </c>
      <c r="D1548" s="293" t="s">
        <v>5850</v>
      </c>
      <c r="E1548" s="293" t="s">
        <v>9925</v>
      </c>
      <c r="F1548" s="293" t="s">
        <v>10110</v>
      </c>
      <c r="G1548" s="293" t="s">
        <v>5755</v>
      </c>
      <c r="H1548" s="294">
        <v>43708</v>
      </c>
      <c r="I1548" s="295">
        <v>-2809.74</v>
      </c>
    </row>
    <row r="1549" spans="1:9" x14ac:dyDescent="0.2">
      <c r="A1549" s="293" t="s">
        <v>10109</v>
      </c>
      <c r="B1549" s="293" t="s">
        <v>9924</v>
      </c>
      <c r="C1549" s="293" t="s">
        <v>9925</v>
      </c>
      <c r="D1549" s="293" t="s">
        <v>5850</v>
      </c>
      <c r="E1549" s="293" t="s">
        <v>9925</v>
      </c>
      <c r="F1549" s="293" t="s">
        <v>10110</v>
      </c>
      <c r="G1549" s="293" t="s">
        <v>5589</v>
      </c>
      <c r="H1549" s="294">
        <v>43708</v>
      </c>
      <c r="I1549" s="295">
        <v>4668.76</v>
      </c>
    </row>
    <row r="1550" spans="1:9" x14ac:dyDescent="0.2">
      <c r="A1550" s="293" t="s">
        <v>10109</v>
      </c>
      <c r="B1550" s="293" t="s">
        <v>9924</v>
      </c>
      <c r="C1550" s="293" t="s">
        <v>9925</v>
      </c>
      <c r="D1550" s="293" t="s">
        <v>5850</v>
      </c>
      <c r="E1550" s="293" t="s">
        <v>9925</v>
      </c>
      <c r="F1550" s="293" t="s">
        <v>10110</v>
      </c>
      <c r="G1550" s="293" t="s">
        <v>5754</v>
      </c>
      <c r="H1550" s="294">
        <v>43708</v>
      </c>
      <c r="I1550" s="295">
        <v>211.43</v>
      </c>
    </row>
    <row r="1551" spans="1:9" x14ac:dyDescent="0.2">
      <c r="A1551" s="293" t="s">
        <v>10111</v>
      </c>
      <c r="B1551" s="293" t="s">
        <v>9924</v>
      </c>
      <c r="C1551" s="293" t="s">
        <v>9925</v>
      </c>
      <c r="D1551" s="293" t="s">
        <v>5850</v>
      </c>
      <c r="E1551" s="293" t="s">
        <v>9925</v>
      </c>
      <c r="F1551" s="293" t="s">
        <v>10112</v>
      </c>
      <c r="G1551" s="293" t="s">
        <v>5589</v>
      </c>
      <c r="H1551" s="294">
        <v>43738</v>
      </c>
      <c r="I1551" s="295">
        <v>4668.78</v>
      </c>
    </row>
    <row r="1552" spans="1:9" x14ac:dyDescent="0.2">
      <c r="A1552" s="293" t="s">
        <v>10111</v>
      </c>
      <c r="B1552" s="293" t="s">
        <v>9924</v>
      </c>
      <c r="C1552" s="293" t="s">
        <v>9925</v>
      </c>
      <c r="D1552" s="293" t="s">
        <v>5850</v>
      </c>
      <c r="E1552" s="293" t="s">
        <v>9925</v>
      </c>
      <c r="F1552" s="293" t="s">
        <v>10112</v>
      </c>
      <c r="G1552" s="293" t="s">
        <v>5754</v>
      </c>
      <c r="H1552" s="294">
        <v>43738</v>
      </c>
      <c r="I1552" s="295">
        <v>211.43</v>
      </c>
    </row>
    <row r="1553" spans="1:9" x14ac:dyDescent="0.2">
      <c r="A1553" s="293" t="s">
        <v>10111</v>
      </c>
      <c r="B1553" s="293" t="s">
        <v>9924</v>
      </c>
      <c r="C1553" s="293" t="s">
        <v>9925</v>
      </c>
      <c r="D1553" s="293" t="s">
        <v>5850</v>
      </c>
      <c r="E1553" s="293" t="s">
        <v>9925</v>
      </c>
      <c r="F1553" s="293" t="s">
        <v>10112</v>
      </c>
      <c r="G1553" s="293" t="s">
        <v>5755</v>
      </c>
      <c r="H1553" s="294">
        <v>43738</v>
      </c>
      <c r="I1553" s="295">
        <v>-2809.75</v>
      </c>
    </row>
    <row r="1554" spans="1:9" x14ac:dyDescent="0.2">
      <c r="A1554" s="293" t="s">
        <v>10113</v>
      </c>
      <c r="B1554" s="293" t="s">
        <v>9924</v>
      </c>
      <c r="C1554" s="293" t="s">
        <v>9925</v>
      </c>
      <c r="D1554" s="293" t="s">
        <v>5850</v>
      </c>
      <c r="E1554" s="293" t="s">
        <v>9925</v>
      </c>
      <c r="F1554" s="293" t="s">
        <v>10114</v>
      </c>
      <c r="G1554" s="293" t="s">
        <v>5754</v>
      </c>
      <c r="H1554" s="294">
        <v>43738</v>
      </c>
      <c r="I1554" s="295">
        <v>211.43</v>
      </c>
    </row>
    <row r="1555" spans="1:9" x14ac:dyDescent="0.2">
      <c r="A1555" s="293" t="s">
        <v>10113</v>
      </c>
      <c r="B1555" s="293" t="s">
        <v>9924</v>
      </c>
      <c r="C1555" s="293" t="s">
        <v>9925</v>
      </c>
      <c r="D1555" s="293" t="s">
        <v>5850</v>
      </c>
      <c r="E1555" s="293" t="s">
        <v>9925</v>
      </c>
      <c r="F1555" s="293" t="s">
        <v>10114</v>
      </c>
      <c r="G1555" s="293" t="s">
        <v>5755</v>
      </c>
      <c r="H1555" s="294">
        <v>43738</v>
      </c>
      <c r="I1555" s="295">
        <v>-2809.75</v>
      </c>
    </row>
    <row r="1556" spans="1:9" x14ac:dyDescent="0.2">
      <c r="A1556" s="293" t="s">
        <v>10113</v>
      </c>
      <c r="B1556" s="293" t="s">
        <v>9924</v>
      </c>
      <c r="C1556" s="293" t="s">
        <v>9925</v>
      </c>
      <c r="D1556" s="293" t="s">
        <v>5850</v>
      </c>
      <c r="E1556" s="293" t="s">
        <v>9925</v>
      </c>
      <c r="F1556" s="293" t="s">
        <v>10114</v>
      </c>
      <c r="G1556" s="293" t="s">
        <v>5589</v>
      </c>
      <c r="H1556" s="294">
        <v>43738</v>
      </c>
      <c r="I1556" s="295">
        <v>4668.78</v>
      </c>
    </row>
    <row r="1557" spans="1:9" x14ac:dyDescent="0.2">
      <c r="A1557" s="293" t="s">
        <v>10115</v>
      </c>
      <c r="B1557" s="293" t="s">
        <v>9924</v>
      </c>
      <c r="C1557" s="293" t="s">
        <v>9939</v>
      </c>
      <c r="D1557" s="293" t="s">
        <v>5850</v>
      </c>
      <c r="E1557" s="293" t="s">
        <v>9939</v>
      </c>
      <c r="F1557" s="293" t="s">
        <v>10114</v>
      </c>
      <c r="G1557" s="293" t="s">
        <v>5755</v>
      </c>
      <c r="H1557" s="294">
        <v>43738</v>
      </c>
      <c r="I1557" s="295">
        <v>2809.75</v>
      </c>
    </row>
    <row r="1558" spans="1:9" x14ac:dyDescent="0.2">
      <c r="A1558" s="293" t="s">
        <v>10115</v>
      </c>
      <c r="B1558" s="293" t="s">
        <v>9924</v>
      </c>
      <c r="C1558" s="293" t="s">
        <v>9939</v>
      </c>
      <c r="D1558" s="293" t="s">
        <v>5850</v>
      </c>
      <c r="E1558" s="293" t="s">
        <v>9939</v>
      </c>
      <c r="F1558" s="293" t="s">
        <v>10114</v>
      </c>
      <c r="G1558" s="293" t="s">
        <v>5589</v>
      </c>
      <c r="H1558" s="294">
        <v>43738</v>
      </c>
      <c r="I1558" s="295">
        <v>-4668.78</v>
      </c>
    </row>
    <row r="1559" spans="1:9" x14ac:dyDescent="0.2">
      <c r="A1559" s="293" t="s">
        <v>10115</v>
      </c>
      <c r="B1559" s="293" t="s">
        <v>9924</v>
      </c>
      <c r="C1559" s="293" t="s">
        <v>9939</v>
      </c>
      <c r="D1559" s="293" t="s">
        <v>5850</v>
      </c>
      <c r="E1559" s="293" t="s">
        <v>9939</v>
      </c>
      <c r="F1559" s="293" t="s">
        <v>10114</v>
      </c>
      <c r="G1559" s="293" t="s">
        <v>5754</v>
      </c>
      <c r="H1559" s="294">
        <v>43738</v>
      </c>
      <c r="I1559" s="295">
        <v>-211.43</v>
      </c>
    </row>
    <row r="1560" spans="1:9" x14ac:dyDescent="0.2">
      <c r="A1560" s="293" t="s">
        <v>10116</v>
      </c>
      <c r="B1560" s="293" t="s">
        <v>9924</v>
      </c>
      <c r="C1560" s="293" t="s">
        <v>9925</v>
      </c>
      <c r="D1560" s="293" t="s">
        <v>5850</v>
      </c>
      <c r="E1560" s="293" t="s">
        <v>9925</v>
      </c>
      <c r="F1560" s="293" t="s">
        <v>10117</v>
      </c>
      <c r="G1560" s="293" t="s">
        <v>5754</v>
      </c>
      <c r="H1560" s="294">
        <v>43769</v>
      </c>
      <c r="I1560" s="295">
        <v>211.43</v>
      </c>
    </row>
    <row r="1561" spans="1:9" x14ac:dyDescent="0.2">
      <c r="A1561" s="293" t="s">
        <v>10116</v>
      </c>
      <c r="B1561" s="293" t="s">
        <v>9924</v>
      </c>
      <c r="C1561" s="293" t="s">
        <v>9925</v>
      </c>
      <c r="D1561" s="293" t="s">
        <v>5850</v>
      </c>
      <c r="E1561" s="293" t="s">
        <v>9925</v>
      </c>
      <c r="F1561" s="293" t="s">
        <v>10117</v>
      </c>
      <c r="G1561" s="293" t="s">
        <v>5589</v>
      </c>
      <c r="H1561" s="294">
        <v>43769</v>
      </c>
      <c r="I1561" s="295">
        <v>4668.75</v>
      </c>
    </row>
    <row r="1562" spans="1:9" x14ac:dyDescent="0.2">
      <c r="A1562" s="293" t="s">
        <v>10116</v>
      </c>
      <c r="B1562" s="293" t="s">
        <v>9924</v>
      </c>
      <c r="C1562" s="293" t="s">
        <v>9925</v>
      </c>
      <c r="D1562" s="293" t="s">
        <v>5850</v>
      </c>
      <c r="E1562" s="293" t="s">
        <v>9925</v>
      </c>
      <c r="F1562" s="293" t="s">
        <v>10117</v>
      </c>
      <c r="G1562" s="293" t="s">
        <v>5755</v>
      </c>
      <c r="H1562" s="294">
        <v>43769</v>
      </c>
      <c r="I1562" s="295">
        <v>-2809.74</v>
      </c>
    </row>
    <row r="1563" spans="1:9" x14ac:dyDescent="0.2">
      <c r="A1563" s="293" t="s">
        <v>10118</v>
      </c>
      <c r="B1563" s="293" t="s">
        <v>9924</v>
      </c>
      <c r="C1563" s="293" t="s">
        <v>9925</v>
      </c>
      <c r="D1563" s="293" t="s">
        <v>5850</v>
      </c>
      <c r="E1563" s="293" t="s">
        <v>9925</v>
      </c>
      <c r="F1563" s="293" t="s">
        <v>10119</v>
      </c>
      <c r="G1563" s="293" t="s">
        <v>5755</v>
      </c>
      <c r="H1563" s="294">
        <v>43799</v>
      </c>
      <c r="I1563" s="295">
        <v>-2809.73</v>
      </c>
    </row>
    <row r="1564" spans="1:9" x14ac:dyDescent="0.2">
      <c r="A1564" s="293" t="s">
        <v>10118</v>
      </c>
      <c r="B1564" s="293" t="s">
        <v>9924</v>
      </c>
      <c r="C1564" s="293" t="s">
        <v>9925</v>
      </c>
      <c r="D1564" s="293" t="s">
        <v>5850</v>
      </c>
      <c r="E1564" s="293" t="s">
        <v>9925</v>
      </c>
      <c r="F1564" s="293" t="s">
        <v>10119</v>
      </c>
      <c r="G1564" s="293" t="s">
        <v>5754</v>
      </c>
      <c r="H1564" s="294">
        <v>43799</v>
      </c>
      <c r="I1564" s="295">
        <v>211.43</v>
      </c>
    </row>
    <row r="1565" spans="1:9" x14ac:dyDescent="0.2">
      <c r="A1565" s="293" t="s">
        <v>10118</v>
      </c>
      <c r="B1565" s="293" t="s">
        <v>9924</v>
      </c>
      <c r="C1565" s="293" t="s">
        <v>9925</v>
      </c>
      <c r="D1565" s="293" t="s">
        <v>5850</v>
      </c>
      <c r="E1565" s="293" t="s">
        <v>9925</v>
      </c>
      <c r="F1565" s="293" t="s">
        <v>10119</v>
      </c>
      <c r="G1565" s="293" t="s">
        <v>5589</v>
      </c>
      <c r="H1565" s="294">
        <v>43799</v>
      </c>
      <c r="I1565" s="295">
        <v>4668.7299999999996</v>
      </c>
    </row>
    <row r="1566" spans="1:9" x14ac:dyDescent="0.2">
      <c r="A1566" s="293" t="s">
        <v>10120</v>
      </c>
      <c r="B1566" s="293" t="s">
        <v>9924</v>
      </c>
      <c r="C1566" s="293" t="s">
        <v>9925</v>
      </c>
      <c r="D1566" s="293" t="s">
        <v>5850</v>
      </c>
      <c r="E1566" s="293" t="s">
        <v>9925</v>
      </c>
      <c r="F1566" s="293" t="s">
        <v>10121</v>
      </c>
      <c r="G1566" s="293" t="s">
        <v>5589</v>
      </c>
      <c r="H1566" s="294">
        <v>43830</v>
      </c>
      <c r="I1566" s="295">
        <v>4668.78</v>
      </c>
    </row>
    <row r="1567" spans="1:9" x14ac:dyDescent="0.2">
      <c r="A1567" s="293" t="s">
        <v>10120</v>
      </c>
      <c r="B1567" s="293" t="s">
        <v>9924</v>
      </c>
      <c r="C1567" s="293" t="s">
        <v>9925</v>
      </c>
      <c r="D1567" s="293" t="s">
        <v>5850</v>
      </c>
      <c r="E1567" s="293" t="s">
        <v>9925</v>
      </c>
      <c r="F1567" s="293" t="s">
        <v>10121</v>
      </c>
      <c r="G1567" s="293" t="s">
        <v>5754</v>
      </c>
      <c r="H1567" s="294">
        <v>43830</v>
      </c>
      <c r="I1567" s="295">
        <v>211.43</v>
      </c>
    </row>
    <row r="1568" spans="1:9" x14ac:dyDescent="0.2">
      <c r="A1568" s="293" t="s">
        <v>10120</v>
      </c>
      <c r="B1568" s="293" t="s">
        <v>9924</v>
      </c>
      <c r="C1568" s="293" t="s">
        <v>9925</v>
      </c>
      <c r="D1568" s="293" t="s">
        <v>5850</v>
      </c>
      <c r="E1568" s="293" t="s">
        <v>9925</v>
      </c>
      <c r="F1568" s="293" t="s">
        <v>10121</v>
      </c>
      <c r="G1568" s="293" t="s">
        <v>5755</v>
      </c>
      <c r="H1568" s="294">
        <v>43830</v>
      </c>
      <c r="I1568" s="295">
        <v>-2809.75</v>
      </c>
    </row>
    <row r="1569" spans="1:9" x14ac:dyDescent="0.2">
      <c r="A1569" s="293" t="s">
        <v>10122</v>
      </c>
      <c r="B1569" s="293" t="s">
        <v>9924</v>
      </c>
      <c r="C1569" s="293" t="s">
        <v>9925</v>
      </c>
      <c r="D1569" s="293" t="s">
        <v>5850</v>
      </c>
      <c r="E1569" s="293" t="s">
        <v>9925</v>
      </c>
      <c r="F1569" s="293" t="s">
        <v>10123</v>
      </c>
      <c r="G1569" s="293" t="s">
        <v>5754</v>
      </c>
      <c r="H1569" s="294">
        <v>43830</v>
      </c>
      <c r="I1569" s="295">
        <v>211.43</v>
      </c>
    </row>
    <row r="1570" spans="1:9" x14ac:dyDescent="0.2">
      <c r="A1570" s="293" t="s">
        <v>10122</v>
      </c>
      <c r="B1570" s="293" t="s">
        <v>9924</v>
      </c>
      <c r="C1570" s="293" t="s">
        <v>9925</v>
      </c>
      <c r="D1570" s="293" t="s">
        <v>5850</v>
      </c>
      <c r="E1570" s="293" t="s">
        <v>9925</v>
      </c>
      <c r="F1570" s="293" t="s">
        <v>10123</v>
      </c>
      <c r="G1570" s="293" t="s">
        <v>5589</v>
      </c>
      <c r="H1570" s="294">
        <v>43830</v>
      </c>
      <c r="I1570" s="295">
        <v>4668.78</v>
      </c>
    </row>
    <row r="1571" spans="1:9" x14ac:dyDescent="0.2">
      <c r="A1571" s="293" t="s">
        <v>10122</v>
      </c>
      <c r="B1571" s="293" t="s">
        <v>9924</v>
      </c>
      <c r="C1571" s="293" t="s">
        <v>9925</v>
      </c>
      <c r="D1571" s="293" t="s">
        <v>5850</v>
      </c>
      <c r="E1571" s="293" t="s">
        <v>9925</v>
      </c>
      <c r="F1571" s="293" t="s">
        <v>10123</v>
      </c>
      <c r="G1571" s="293" t="s">
        <v>5755</v>
      </c>
      <c r="H1571" s="294">
        <v>43830</v>
      </c>
      <c r="I1571" s="295">
        <v>-2809.75</v>
      </c>
    </row>
    <row r="1572" spans="1:9" x14ac:dyDescent="0.2">
      <c r="A1572" s="293" t="s">
        <v>10124</v>
      </c>
      <c r="B1572" s="293" t="s">
        <v>9924</v>
      </c>
      <c r="C1572" s="293" t="s">
        <v>9939</v>
      </c>
      <c r="D1572" s="293" t="s">
        <v>5850</v>
      </c>
      <c r="E1572" s="293" t="s">
        <v>9939</v>
      </c>
      <c r="F1572" s="293" t="s">
        <v>10123</v>
      </c>
      <c r="G1572" s="293" t="s">
        <v>5589</v>
      </c>
      <c r="H1572" s="294">
        <v>43830</v>
      </c>
      <c r="I1572" s="295">
        <v>-4668.78</v>
      </c>
    </row>
    <row r="1573" spans="1:9" x14ac:dyDescent="0.2">
      <c r="A1573" s="293" t="s">
        <v>10124</v>
      </c>
      <c r="B1573" s="293" t="s">
        <v>9924</v>
      </c>
      <c r="C1573" s="293" t="s">
        <v>9939</v>
      </c>
      <c r="D1573" s="293" t="s">
        <v>5850</v>
      </c>
      <c r="E1573" s="293" t="s">
        <v>9939</v>
      </c>
      <c r="F1573" s="293" t="s">
        <v>10123</v>
      </c>
      <c r="G1573" s="293" t="s">
        <v>5755</v>
      </c>
      <c r="H1573" s="294">
        <v>43830</v>
      </c>
      <c r="I1573" s="295">
        <v>2809.75</v>
      </c>
    </row>
    <row r="1574" spans="1:9" x14ac:dyDescent="0.2">
      <c r="A1574" s="293" t="s">
        <v>10124</v>
      </c>
      <c r="B1574" s="293" t="s">
        <v>9924</v>
      </c>
      <c r="C1574" s="293" t="s">
        <v>9939</v>
      </c>
      <c r="D1574" s="293" t="s">
        <v>5850</v>
      </c>
      <c r="E1574" s="293" t="s">
        <v>9939</v>
      </c>
      <c r="F1574" s="293" t="s">
        <v>10123</v>
      </c>
      <c r="G1574" s="293" t="s">
        <v>5754</v>
      </c>
      <c r="H1574" s="294">
        <v>43830</v>
      </c>
      <c r="I1574" s="295">
        <v>-211.43</v>
      </c>
    </row>
  </sheetData>
  <autoFilter ref="A1:M1574" xr:uid="{00000000-0009-0000-0000-00001A000000}"/>
  <pageMargins left="0.7" right="0.7" top="0.75" bottom="0.75" header="0.3" footer="0.3"/>
  <customProperties>
    <customPr name="_pios_id" r:id="rId2"/>
    <customPr name="EpmWorksheetKeyString_GUID" r:id="rId3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BX81"/>
  <sheetViews>
    <sheetView view="pageBreakPreview" topLeftCell="A3" zoomScaleNormal="80" zoomScaleSheetLayoutView="100" workbookViewId="0">
      <selection activeCell="S38" sqref="S38"/>
    </sheetView>
  </sheetViews>
  <sheetFormatPr defaultColWidth="9.140625" defaultRowHeight="14.1" customHeight="1" x14ac:dyDescent="0.2"/>
  <cols>
    <col min="1" max="1" width="6.28515625" style="1" customWidth="1"/>
    <col min="2" max="2" width="3.5703125" style="1" customWidth="1"/>
    <col min="3" max="3" width="7.42578125" style="1" bestFit="1" customWidth="1"/>
    <col min="4" max="4" width="15.42578125" style="1" customWidth="1"/>
    <col min="5" max="5" width="11" style="1" customWidth="1"/>
    <col min="6" max="7" width="9.5703125" style="1" customWidth="1"/>
    <col min="8" max="8" width="11.140625" style="1" customWidth="1"/>
    <col min="9" max="9" width="16.140625" style="1" customWidth="1"/>
    <col min="10" max="10" width="11.28515625" style="1" bestFit="1" customWidth="1"/>
    <col min="11" max="11" width="14" style="1" customWidth="1"/>
    <col min="12" max="12" width="9.5703125" style="1" customWidth="1"/>
    <col min="13" max="13" width="11.5703125" style="1" customWidth="1"/>
    <col min="14" max="14" width="12.85546875" style="1" bestFit="1" customWidth="1"/>
    <col min="15" max="15" width="10.42578125" style="1" customWidth="1"/>
    <col min="16" max="16" width="3.140625" style="1" customWidth="1"/>
    <col min="17" max="17" width="12.7109375" style="1" customWidth="1"/>
    <col min="18" max="18" width="8.140625" style="1" customWidth="1"/>
    <col min="19" max="19" width="12.7109375" style="1" customWidth="1"/>
    <col min="20" max="20" width="9.85546875" style="1" bestFit="1" customWidth="1"/>
    <col min="21" max="21" width="9.5703125" style="141" customWidth="1"/>
    <col min="22" max="22" width="1.7109375" style="1" customWidth="1"/>
    <col min="23" max="23" width="10.5703125" style="1" customWidth="1"/>
    <col min="24" max="24" width="27.140625" style="1" customWidth="1"/>
    <col min="25" max="25" width="11.5703125" style="1" bestFit="1" customWidth="1"/>
    <col min="26" max="26" width="11.140625" style="25" bestFit="1" customWidth="1"/>
    <col min="27" max="27" width="10.5703125" style="1" hidden="1" customWidth="1"/>
    <col min="28" max="28" width="14.140625" style="1" customWidth="1"/>
    <col min="29" max="29" width="16.140625" style="1" bestFit="1" customWidth="1"/>
    <col min="30" max="30" width="17.85546875" style="1" bestFit="1" customWidth="1"/>
    <col min="31" max="32" width="9.140625" style="1"/>
    <col min="33" max="34" width="11.140625" style="1" bestFit="1" customWidth="1"/>
    <col min="35" max="42" width="9.140625" style="1"/>
    <col min="43" max="43" width="11.140625" style="1" bestFit="1" customWidth="1"/>
    <col min="44" max="44" width="14.140625" style="1" bestFit="1" customWidth="1"/>
    <col min="45" max="53" width="9.140625" style="1"/>
    <col min="54" max="54" width="11.140625" style="1" bestFit="1" customWidth="1"/>
    <col min="55" max="55" width="11.7109375" style="1" bestFit="1" customWidth="1"/>
    <col min="56" max="63" width="9.140625" style="1"/>
    <col min="64" max="65" width="11.140625" style="1" bestFit="1" customWidth="1"/>
    <col min="66" max="74" width="9.140625" style="1"/>
    <col min="75" max="75" width="11.140625" style="1" bestFit="1" customWidth="1"/>
    <col min="76" max="16384" width="9.140625" style="1"/>
  </cols>
  <sheetData>
    <row r="1" spans="1:30" ht="14.1" hidden="1" customHeight="1" x14ac:dyDescent="0.2">
      <c r="D1" s="1">
        <v>2</v>
      </c>
      <c r="G1" s="1">
        <v>3</v>
      </c>
      <c r="H1" s="1">
        <v>4</v>
      </c>
      <c r="I1" s="1">
        <v>5</v>
      </c>
      <c r="J1" s="1">
        <v>6</v>
      </c>
      <c r="K1" s="1">
        <v>7</v>
      </c>
      <c r="L1" s="1">
        <v>8</v>
      </c>
      <c r="M1" s="1">
        <v>9</v>
      </c>
      <c r="N1" s="1">
        <v>10</v>
      </c>
      <c r="O1" s="1">
        <v>11</v>
      </c>
      <c r="P1" s="1">
        <v>12</v>
      </c>
      <c r="Q1" s="1">
        <v>13</v>
      </c>
      <c r="R1" s="1">
        <v>14</v>
      </c>
      <c r="S1" s="1">
        <v>15</v>
      </c>
      <c r="T1" s="1">
        <v>17</v>
      </c>
    </row>
    <row r="2" spans="1:30" ht="14.1" hidden="1" customHeight="1" x14ac:dyDescent="0.2">
      <c r="T2" s="1">
        <v>3</v>
      </c>
    </row>
    <row r="3" spans="1:30" ht="14.1" customHeight="1" thickBot="1" x14ac:dyDescent="0.25">
      <c r="B3" s="2" t="s">
        <v>3596</v>
      </c>
      <c r="C3" s="2"/>
      <c r="D3" s="2"/>
      <c r="E3" s="2"/>
      <c r="F3" s="2"/>
      <c r="G3" s="2"/>
      <c r="H3" s="2"/>
      <c r="I3" s="2" t="s">
        <v>3597</v>
      </c>
      <c r="J3" s="2"/>
      <c r="K3" s="2"/>
      <c r="L3" s="2"/>
      <c r="M3" s="2"/>
      <c r="N3" s="2"/>
      <c r="O3" s="2"/>
      <c r="P3" s="2"/>
      <c r="Q3" s="2"/>
      <c r="R3" s="2"/>
      <c r="S3" s="2"/>
      <c r="T3" s="2" t="s">
        <v>6422</v>
      </c>
    </row>
    <row r="4" spans="1:30" ht="14.1" customHeight="1" x14ac:dyDescent="0.2">
      <c r="B4" s="1" t="s">
        <v>3598</v>
      </c>
      <c r="F4" s="1" t="s">
        <v>3599</v>
      </c>
      <c r="H4" s="1" t="s">
        <v>3600</v>
      </c>
      <c r="L4" s="3"/>
      <c r="M4" s="3"/>
      <c r="O4" s="3"/>
      <c r="P4" s="3"/>
      <c r="Q4" s="3" t="s">
        <v>3601</v>
      </c>
      <c r="T4" s="4"/>
      <c r="U4" s="142"/>
      <c r="W4" s="171"/>
      <c r="X4" s="204"/>
      <c r="Y4" s="273"/>
      <c r="Z4" s="204"/>
      <c r="AA4" s="204"/>
    </row>
    <row r="5" spans="1:30" ht="14.1" customHeight="1" x14ac:dyDescent="0.2">
      <c r="H5" s="1" t="s">
        <v>4329</v>
      </c>
      <c r="L5" s="5"/>
      <c r="M5" s="4"/>
      <c r="P5" s="5"/>
      <c r="Q5" s="5"/>
      <c r="R5" s="4" t="s">
        <v>6425</v>
      </c>
      <c r="T5" s="5"/>
      <c r="U5" s="142"/>
      <c r="W5" s="171"/>
      <c r="X5" s="204"/>
      <c r="Y5" s="273"/>
      <c r="Z5" s="204"/>
      <c r="AA5" s="204"/>
    </row>
    <row r="6" spans="1:30" ht="14.1" customHeight="1" x14ac:dyDescent="0.2">
      <c r="B6" s="1" t="s">
        <v>3603</v>
      </c>
      <c r="L6" s="5"/>
      <c r="M6" s="4"/>
      <c r="N6" s="5"/>
      <c r="Q6" s="5"/>
      <c r="R6" s="4" t="s">
        <v>6426</v>
      </c>
      <c r="T6" s="5"/>
      <c r="U6" s="142"/>
    </row>
    <row r="7" spans="1:30" ht="14.1" customHeight="1" x14ac:dyDescent="0.2">
      <c r="I7" s="7"/>
      <c r="L7" s="5"/>
      <c r="M7" s="4"/>
      <c r="N7" s="5"/>
      <c r="Q7" s="5" t="s">
        <v>3602</v>
      </c>
      <c r="R7" s="4" t="s">
        <v>6427</v>
      </c>
      <c r="T7" s="5"/>
      <c r="U7" s="142"/>
      <c r="W7" s="325" t="s">
        <v>5630</v>
      </c>
      <c r="X7" s="325" t="s">
        <v>10593</v>
      </c>
      <c r="Y7" s="326" t="s">
        <v>10594</v>
      </c>
      <c r="Z7" s="327" t="s">
        <v>10595</v>
      </c>
      <c r="AA7" s="325" t="s">
        <v>10596</v>
      </c>
      <c r="AB7" s="325" t="s">
        <v>10597</v>
      </c>
      <c r="AC7" s="325" t="s">
        <v>10598</v>
      </c>
      <c r="AD7" s="325" t="s">
        <v>10599</v>
      </c>
    </row>
    <row r="8" spans="1:30" ht="14.1" customHeight="1" thickBot="1" x14ac:dyDescent="0.3">
      <c r="B8" s="2" t="s">
        <v>5610</v>
      </c>
      <c r="C8" s="2"/>
      <c r="D8" s="2"/>
      <c r="E8" s="2"/>
      <c r="F8" s="2"/>
      <c r="G8" s="2"/>
      <c r="H8" s="2"/>
      <c r="I8" s="2"/>
      <c r="J8" s="2"/>
      <c r="K8" s="2" t="s">
        <v>4325</v>
      </c>
      <c r="L8" s="2"/>
      <c r="M8" s="2"/>
      <c r="N8" s="2"/>
      <c r="O8" s="2"/>
      <c r="P8" s="2"/>
      <c r="Q8" s="2"/>
      <c r="R8" s="2" t="s">
        <v>6428</v>
      </c>
      <c r="S8" s="2"/>
      <c r="T8" s="2"/>
      <c r="W8" s="320" t="s">
        <v>5590</v>
      </c>
      <c r="X8" s="320" t="s">
        <v>10600</v>
      </c>
      <c r="Y8" s="322"/>
      <c r="Z8" s="322">
        <v>42471</v>
      </c>
      <c r="AA8"/>
      <c r="AB8" s="320"/>
      <c r="AC8" s="321"/>
      <c r="AD8" s="323">
        <v>0</v>
      </c>
    </row>
    <row r="9" spans="1:30" ht="14.1" customHeight="1" x14ac:dyDescent="0.25">
      <c r="B9" s="6"/>
      <c r="C9" s="7"/>
      <c r="D9" s="8" t="s">
        <v>3604</v>
      </c>
      <c r="E9" s="8"/>
      <c r="F9" s="8" t="s">
        <v>3605</v>
      </c>
      <c r="G9" s="8" t="s">
        <v>3606</v>
      </c>
      <c r="H9" s="8" t="s">
        <v>3607</v>
      </c>
      <c r="I9" s="8" t="s">
        <v>3608</v>
      </c>
      <c r="J9" s="8" t="s">
        <v>3609</v>
      </c>
      <c r="K9" s="8" t="s">
        <v>3610</v>
      </c>
      <c r="L9" s="8" t="s">
        <v>3611</v>
      </c>
      <c r="M9" s="8" t="s">
        <v>3612</v>
      </c>
      <c r="N9" s="8" t="s">
        <v>3613</v>
      </c>
      <c r="O9" s="8" t="s">
        <v>3614</v>
      </c>
      <c r="P9" s="7"/>
      <c r="Q9" s="7" t="s">
        <v>3615</v>
      </c>
      <c r="R9" s="7"/>
      <c r="S9" s="7" t="s">
        <v>3616</v>
      </c>
      <c r="T9" s="8"/>
      <c r="W9" s="320" t="s">
        <v>5576</v>
      </c>
      <c r="X9" s="320" t="s">
        <v>10601</v>
      </c>
      <c r="Y9" s="322">
        <v>37418</v>
      </c>
      <c r="Z9" s="322">
        <v>45200</v>
      </c>
      <c r="AA9"/>
      <c r="AB9" s="320" t="s">
        <v>10602</v>
      </c>
      <c r="AC9" s="321">
        <v>86400000</v>
      </c>
      <c r="AD9" s="323">
        <v>0</v>
      </c>
    </row>
    <row r="10" spans="1:30" ht="14.1" customHeight="1" x14ac:dyDescent="0.25">
      <c r="C10" s="7"/>
      <c r="D10" s="8"/>
      <c r="E10" s="8"/>
      <c r="F10" s="8"/>
      <c r="G10" s="8"/>
      <c r="H10" s="8"/>
      <c r="I10" s="8" t="s">
        <v>3617</v>
      </c>
      <c r="J10" s="7" t="s">
        <v>3618</v>
      </c>
      <c r="K10" s="8" t="s">
        <v>3619</v>
      </c>
      <c r="L10" s="8" t="s">
        <v>3620</v>
      </c>
      <c r="M10" s="8"/>
      <c r="N10" s="8" t="s">
        <v>3621</v>
      </c>
      <c r="O10" s="7" t="s">
        <v>3622</v>
      </c>
      <c r="P10" s="7"/>
      <c r="Q10" s="7" t="s">
        <v>3623</v>
      </c>
      <c r="R10" s="7"/>
      <c r="S10" s="7" t="s">
        <v>3624</v>
      </c>
      <c r="T10" s="8"/>
      <c r="W10" s="320" t="s">
        <v>5578</v>
      </c>
      <c r="X10" s="320" t="s">
        <v>10603</v>
      </c>
      <c r="Y10" s="322"/>
      <c r="Z10" s="322">
        <v>45901</v>
      </c>
      <c r="AA10"/>
      <c r="AB10" s="320" t="s">
        <v>10604</v>
      </c>
      <c r="AC10" s="321">
        <v>51600000</v>
      </c>
      <c r="AD10" s="334">
        <v>51600000</v>
      </c>
    </row>
    <row r="11" spans="1:30" ht="14.1" customHeight="1" x14ac:dyDescent="0.25">
      <c r="C11" s="7"/>
      <c r="D11" s="355"/>
      <c r="E11" s="7"/>
      <c r="F11" s="7"/>
      <c r="G11" s="7"/>
      <c r="H11" s="8" t="s">
        <v>3625</v>
      </c>
      <c r="I11" s="8" t="s">
        <v>3626</v>
      </c>
      <c r="J11" s="7" t="s">
        <v>3627</v>
      </c>
      <c r="K11" s="7" t="s">
        <v>3628</v>
      </c>
      <c r="L11" s="7" t="s">
        <v>3620</v>
      </c>
      <c r="N11" s="7" t="s">
        <v>3630</v>
      </c>
      <c r="O11" s="7" t="s">
        <v>3629</v>
      </c>
      <c r="P11" s="7"/>
      <c r="Q11" s="7" t="s">
        <v>3618</v>
      </c>
      <c r="R11" s="7"/>
      <c r="S11" s="7" t="s">
        <v>3631</v>
      </c>
      <c r="T11" s="7"/>
      <c r="W11" s="320" t="s">
        <v>5573</v>
      </c>
      <c r="X11" s="320" t="s">
        <v>10605</v>
      </c>
      <c r="Y11" s="322"/>
      <c r="Z11" s="322">
        <v>47818</v>
      </c>
      <c r="AA11"/>
      <c r="AB11" s="320" t="s">
        <v>10604</v>
      </c>
      <c r="AC11" s="321">
        <v>75000000</v>
      </c>
      <c r="AD11" s="334">
        <v>75000000</v>
      </c>
    </row>
    <row r="12" spans="1:30" ht="14.1" customHeight="1" x14ac:dyDescent="0.25">
      <c r="B12" s="1" t="s">
        <v>3632</v>
      </c>
      <c r="C12" s="7"/>
      <c r="D12" s="7" t="s">
        <v>3633</v>
      </c>
      <c r="E12" s="7"/>
      <c r="F12" s="7" t="s">
        <v>3634</v>
      </c>
      <c r="G12" s="8" t="s">
        <v>3635</v>
      </c>
      <c r="H12" s="7" t="s">
        <v>3636</v>
      </c>
      <c r="I12" s="7" t="s">
        <v>3637</v>
      </c>
      <c r="J12" s="8" t="s">
        <v>3625</v>
      </c>
      <c r="K12" s="8" t="s">
        <v>3625</v>
      </c>
      <c r="L12" s="7" t="s">
        <v>3638</v>
      </c>
      <c r="M12" s="7" t="s">
        <v>3629</v>
      </c>
      <c r="N12" s="7" t="s">
        <v>3827</v>
      </c>
      <c r="O12" s="7" t="s">
        <v>3828</v>
      </c>
      <c r="P12" s="7"/>
      <c r="Q12" s="7" t="s">
        <v>3829</v>
      </c>
      <c r="R12" s="7"/>
      <c r="S12" s="7" t="s">
        <v>3830</v>
      </c>
      <c r="T12" s="7"/>
      <c r="W12" s="320" t="s">
        <v>5581</v>
      </c>
      <c r="X12" s="320" t="s">
        <v>10606</v>
      </c>
      <c r="Y12" s="322"/>
      <c r="Z12" s="322">
        <v>49279</v>
      </c>
      <c r="AA12"/>
      <c r="AB12" s="320" t="s">
        <v>10604</v>
      </c>
      <c r="AC12" s="321">
        <v>85950000</v>
      </c>
      <c r="AD12" s="334">
        <v>85950000</v>
      </c>
    </row>
    <row r="13" spans="1:30" ht="14.1" customHeight="1" thickBot="1" x14ac:dyDescent="0.3">
      <c r="B13" s="2" t="s">
        <v>3831</v>
      </c>
      <c r="C13" s="9"/>
      <c r="D13" s="9" t="s">
        <v>3832</v>
      </c>
      <c r="E13" s="9"/>
      <c r="F13" s="9" t="s">
        <v>3833</v>
      </c>
      <c r="G13" s="9" t="s">
        <v>3833</v>
      </c>
      <c r="H13" s="10" t="s">
        <v>3834</v>
      </c>
      <c r="I13" s="10" t="s">
        <v>3835</v>
      </c>
      <c r="J13" s="10" t="s">
        <v>3636</v>
      </c>
      <c r="K13" s="11" t="s">
        <v>3636</v>
      </c>
      <c r="L13" s="12" t="s">
        <v>3836</v>
      </c>
      <c r="M13" s="12" t="s">
        <v>3826</v>
      </c>
      <c r="N13" s="12" t="s">
        <v>880</v>
      </c>
      <c r="O13" s="9" t="s">
        <v>881</v>
      </c>
      <c r="P13" s="9"/>
      <c r="Q13" s="9" t="s">
        <v>882</v>
      </c>
      <c r="R13" s="9"/>
      <c r="S13" s="9" t="s">
        <v>882</v>
      </c>
      <c r="T13" s="12"/>
      <c r="U13" s="7"/>
      <c r="W13" s="320" t="s">
        <v>5585</v>
      </c>
      <c r="X13" s="320" t="s">
        <v>10607</v>
      </c>
      <c r="Y13" s="322"/>
      <c r="Z13" s="322">
        <v>49810</v>
      </c>
      <c r="AA13"/>
      <c r="AB13" s="320" t="s">
        <v>3835</v>
      </c>
      <c r="AC13" s="321">
        <v>250000000</v>
      </c>
      <c r="AD13" s="328">
        <v>250000000</v>
      </c>
    </row>
    <row r="14" spans="1:30" ht="14.1" customHeight="1" x14ac:dyDescent="0.25">
      <c r="A14" s="1" t="s">
        <v>5585</v>
      </c>
      <c r="B14" s="1">
        <v>1</v>
      </c>
      <c r="C14" s="14"/>
      <c r="D14" s="28" t="s">
        <v>3007</v>
      </c>
      <c r="F14" s="173">
        <v>38849</v>
      </c>
      <c r="G14" s="19">
        <v>49810</v>
      </c>
      <c r="H14" s="18">
        <v>250000</v>
      </c>
      <c r="I14" s="18" t="e">
        <f>#REF!/1000</f>
        <v>#REF!</v>
      </c>
      <c r="J14" s="18" t="e">
        <f>#REF!/1000</f>
        <v>#REF!</v>
      </c>
      <c r="K14" s="20">
        <f>(2474742.31+1667350)/1000</f>
        <v>4142.09231</v>
      </c>
      <c r="L14" s="346" t="e">
        <f>#REF!</f>
        <v>#REF!</v>
      </c>
      <c r="M14" s="266" t="e">
        <f>ROUND((J14+K14)/L14,0)</f>
        <v>#REF!</v>
      </c>
      <c r="N14" s="18" t="e">
        <f>0.0655*I14</f>
        <v>#REF!</v>
      </c>
      <c r="O14" s="18" t="e">
        <f>M14+N14</f>
        <v>#REF!</v>
      </c>
      <c r="P14" s="18"/>
      <c r="Q14" s="18" t="e">
        <f>#REF!/1000</f>
        <v>#REF!</v>
      </c>
      <c r="R14" s="18"/>
      <c r="S14" s="18" t="e">
        <f>#REF!/1000</f>
        <v>#REF!</v>
      </c>
      <c r="W14" s="320" t="s">
        <v>5592</v>
      </c>
      <c r="X14" s="320" t="s">
        <v>10609</v>
      </c>
      <c r="Y14" s="322">
        <v>40521</v>
      </c>
      <c r="Z14" s="322">
        <v>44331</v>
      </c>
      <c r="AA14" t="s">
        <v>10608</v>
      </c>
      <c r="AB14" s="320" t="s">
        <v>3835</v>
      </c>
      <c r="AC14" s="321">
        <v>278495000</v>
      </c>
      <c r="AD14" s="329">
        <v>231730320</v>
      </c>
    </row>
    <row r="15" spans="1:30" ht="14.1" customHeight="1" x14ac:dyDescent="0.25">
      <c r="B15" s="1">
        <v>2</v>
      </c>
      <c r="W15" s="320" t="s">
        <v>5579</v>
      </c>
      <c r="X15" s="320" t="s">
        <v>10610</v>
      </c>
      <c r="Y15" s="322"/>
      <c r="Z15" s="322">
        <v>44136</v>
      </c>
      <c r="AA15"/>
      <c r="AB15" s="320" t="s">
        <v>10604</v>
      </c>
      <c r="AC15" s="321">
        <v>20000000</v>
      </c>
      <c r="AD15" s="335">
        <v>20000000</v>
      </c>
    </row>
    <row r="16" spans="1:30" ht="14.1" customHeight="1" x14ac:dyDescent="0.25">
      <c r="A16" s="1" t="s">
        <v>5592</v>
      </c>
      <c r="B16" s="1">
        <v>3</v>
      </c>
      <c r="C16" s="13"/>
      <c r="D16" s="1" t="s">
        <v>6419</v>
      </c>
      <c r="F16" s="265" t="s">
        <v>5583</v>
      </c>
      <c r="G16" s="265" t="s">
        <v>5564</v>
      </c>
      <c r="H16" s="20">
        <v>231730</v>
      </c>
      <c r="I16" s="20">
        <v>231730</v>
      </c>
      <c r="J16" s="18">
        <v>0</v>
      </c>
      <c r="K16" s="278">
        <v>0</v>
      </c>
      <c r="L16" s="347" t="e">
        <f>#REF!-0.1</f>
        <v>#REF!</v>
      </c>
      <c r="M16" s="266" t="e">
        <f>ROUND((J16+K16)/L16,0)</f>
        <v>#REF!</v>
      </c>
      <c r="N16" s="18">
        <f>0.054*I16</f>
        <v>12513.42</v>
      </c>
      <c r="O16" s="18" t="e">
        <f>M16+N16</f>
        <v>#REF!</v>
      </c>
      <c r="Q16" s="278">
        <v>0</v>
      </c>
      <c r="R16" s="336"/>
      <c r="S16" s="20">
        <v>0</v>
      </c>
      <c r="U16" s="18"/>
      <c r="V16" s="18"/>
      <c r="W16" s="320" t="s">
        <v>5589</v>
      </c>
      <c r="X16" s="320" t="s">
        <v>10611</v>
      </c>
      <c r="Y16" s="322">
        <v>41065</v>
      </c>
      <c r="Z16" s="356">
        <v>52018</v>
      </c>
      <c r="AA16" t="s">
        <v>10612</v>
      </c>
      <c r="AB16" s="320" t="s">
        <v>3835</v>
      </c>
      <c r="AC16" s="321">
        <v>300000000</v>
      </c>
      <c r="AD16" s="328">
        <v>250000000</v>
      </c>
    </row>
    <row r="17" spans="1:76" ht="14.1" customHeight="1" x14ac:dyDescent="0.25">
      <c r="B17" s="1">
        <v>4</v>
      </c>
      <c r="U17" s="146"/>
      <c r="W17" s="320" t="s">
        <v>5593</v>
      </c>
      <c r="X17" s="320" t="s">
        <v>10613</v>
      </c>
      <c r="Y17" s="322">
        <v>41180</v>
      </c>
      <c r="Z17" s="356">
        <v>44805</v>
      </c>
      <c r="AA17" t="s">
        <v>10614</v>
      </c>
      <c r="AB17" s="320" t="s">
        <v>3835</v>
      </c>
      <c r="AC17" s="321">
        <v>250000000</v>
      </c>
      <c r="AD17" s="328">
        <v>225000000</v>
      </c>
    </row>
    <row r="18" spans="1:76" ht="14.1" customHeight="1" x14ac:dyDescent="0.25">
      <c r="A18" s="1" t="s">
        <v>5586</v>
      </c>
      <c r="B18" s="1">
        <v>5</v>
      </c>
      <c r="C18" s="14"/>
      <c r="D18" s="143" t="s">
        <v>5549</v>
      </c>
      <c r="F18" s="173">
        <v>39227</v>
      </c>
      <c r="G18" s="19">
        <v>50175</v>
      </c>
      <c r="H18" s="18">
        <v>190000</v>
      </c>
      <c r="I18" s="18" t="e">
        <f>#REF!/1000</f>
        <v>#REF!</v>
      </c>
      <c r="J18" s="18" t="e">
        <f>#REF!/1000</f>
        <v>#REF!</v>
      </c>
      <c r="K18" s="20">
        <f>1100640.99/1000</f>
        <v>1100.6409900000001</v>
      </c>
      <c r="L18" s="346" t="e">
        <f>#REF!</f>
        <v>#REF!</v>
      </c>
      <c r="M18" s="266" t="e">
        <f t="shared" ref="M18" si="0">ROUND((J18+K18)/L18,0)</f>
        <v>#REF!</v>
      </c>
      <c r="N18" s="18" t="e">
        <f>0.0615*I18</f>
        <v>#REF!</v>
      </c>
      <c r="O18" s="18" t="e">
        <f>M18+N18</f>
        <v>#REF!</v>
      </c>
      <c r="P18" s="18"/>
      <c r="Q18" s="18" t="e">
        <f>#REF!/1000</f>
        <v>#REF!</v>
      </c>
      <c r="R18" s="18"/>
      <c r="S18" s="18" t="e">
        <f>#REF!/1000</f>
        <v>#REF!</v>
      </c>
      <c r="U18" s="146"/>
      <c r="W18" s="320" t="s">
        <v>5754</v>
      </c>
      <c r="X18" s="320" t="s">
        <v>10615</v>
      </c>
      <c r="Y18" s="322">
        <v>41774</v>
      </c>
      <c r="Z18" s="322">
        <v>52732</v>
      </c>
      <c r="AA18" t="s">
        <v>10608</v>
      </c>
      <c r="AB18" s="320" t="s">
        <v>3835</v>
      </c>
      <c r="AC18" s="321">
        <v>300000000</v>
      </c>
      <c r="AD18" s="323">
        <v>290000000</v>
      </c>
    </row>
    <row r="19" spans="1:76" ht="14.1" customHeight="1" x14ac:dyDescent="0.25">
      <c r="B19" s="1">
        <v>6</v>
      </c>
      <c r="C19" s="13"/>
      <c r="F19" s="5"/>
      <c r="G19" s="336"/>
      <c r="L19" s="346"/>
      <c r="M19" s="5"/>
      <c r="N19" s="18"/>
      <c r="Q19" s="20"/>
      <c r="S19" s="20"/>
      <c r="W19" s="357" t="s">
        <v>5755</v>
      </c>
      <c r="X19" s="320" t="s">
        <v>10616</v>
      </c>
      <c r="Y19" s="356">
        <v>42144</v>
      </c>
      <c r="Z19" s="322">
        <v>53097</v>
      </c>
      <c r="AA19" t="s">
        <v>10608</v>
      </c>
      <c r="AB19" s="320" t="s">
        <v>3835</v>
      </c>
      <c r="AC19" s="321">
        <v>250000000</v>
      </c>
      <c r="AD19" s="323">
        <v>230000000</v>
      </c>
    </row>
    <row r="20" spans="1:76" ht="14.1" customHeight="1" x14ac:dyDescent="0.25">
      <c r="A20" s="1" t="s">
        <v>5589</v>
      </c>
      <c r="B20" s="1">
        <v>7</v>
      </c>
      <c r="C20" s="14"/>
      <c r="D20" s="28" t="s">
        <v>10637</v>
      </c>
      <c r="F20" s="173">
        <v>41065</v>
      </c>
      <c r="G20" s="19">
        <f>+Z16</f>
        <v>52018</v>
      </c>
      <c r="H20" s="18">
        <v>250000</v>
      </c>
      <c r="I20" s="18" t="e">
        <f>+#REF!/1000</f>
        <v>#REF!</v>
      </c>
      <c r="J20" s="18" t="e">
        <f>#REF!/1000</f>
        <v>#REF!</v>
      </c>
      <c r="K20" s="18">
        <f>(2564470.97+AH48)/1000</f>
        <v>9195.9709700000003</v>
      </c>
      <c r="L20" s="346" t="e">
        <f>#REF!</f>
        <v>#REF!</v>
      </c>
      <c r="M20" s="266" t="e">
        <f>ROUND((J20+K20)/L20,0)</f>
        <v>#REF!</v>
      </c>
      <c r="N20" s="18" t="e">
        <f>(0.041*I20)</f>
        <v>#REF!</v>
      </c>
      <c r="O20" s="18" t="e">
        <f>M20+N20</f>
        <v>#REF!</v>
      </c>
      <c r="Q20" s="20" t="e">
        <f>#REF!/1000</f>
        <v>#REF!</v>
      </c>
      <c r="S20" s="18" t="e">
        <f>(#REF!+#REF!)/1000</f>
        <v>#REF!</v>
      </c>
      <c r="U20" s="18"/>
      <c r="V20" s="18"/>
      <c r="W20" s="320" t="s">
        <v>7245</v>
      </c>
      <c r="X20" s="320" t="s">
        <v>10546</v>
      </c>
      <c r="Y20" s="322">
        <v>43258</v>
      </c>
      <c r="Z20" s="322">
        <v>54224</v>
      </c>
      <c r="AA20" t="s">
        <v>10617</v>
      </c>
      <c r="AB20" s="320" t="s">
        <v>3835</v>
      </c>
      <c r="AC20" s="321">
        <v>350000000</v>
      </c>
      <c r="AD20" s="323">
        <v>275000000</v>
      </c>
    </row>
    <row r="21" spans="1:76" ht="14.1" customHeight="1" x14ac:dyDescent="0.25">
      <c r="B21" s="1">
        <v>8</v>
      </c>
      <c r="U21" s="18"/>
      <c r="V21" s="18"/>
      <c r="W21" s="320" t="s">
        <v>7887</v>
      </c>
      <c r="X21" s="320" t="s">
        <v>10547</v>
      </c>
      <c r="Y21" s="322">
        <v>43377</v>
      </c>
      <c r="Z21" s="322">
        <v>54589</v>
      </c>
      <c r="AA21" t="s">
        <v>10617</v>
      </c>
      <c r="AB21" s="320" t="s">
        <v>3835</v>
      </c>
      <c r="AC21" s="321">
        <v>375000000</v>
      </c>
      <c r="AD21" s="323">
        <v>350000000</v>
      </c>
    </row>
    <row r="22" spans="1:76" ht="14.1" customHeight="1" x14ac:dyDescent="0.25">
      <c r="A22" s="1" t="s">
        <v>5593</v>
      </c>
      <c r="B22" s="1">
        <v>9</v>
      </c>
      <c r="C22" s="13"/>
      <c r="D22" s="143" t="s">
        <v>10638</v>
      </c>
      <c r="F22" s="173">
        <v>41180</v>
      </c>
      <c r="G22" s="19">
        <f>+Z17</f>
        <v>44805</v>
      </c>
      <c r="H22" s="18">
        <v>225000</v>
      </c>
      <c r="I22" s="18" t="e">
        <f>+#REF!/1000</f>
        <v>#REF!</v>
      </c>
      <c r="J22" s="18" t="e">
        <f>#REF!/1000</f>
        <v>#REF!</v>
      </c>
      <c r="K22" s="18">
        <f>1760240.18/1000</f>
        <v>1760.24018</v>
      </c>
      <c r="L22" s="346" t="e">
        <f>#REF!</f>
        <v>#REF!</v>
      </c>
      <c r="M22" s="266" t="e">
        <f t="shared" ref="M22" si="1">ROUND((J22+K22)/L22,0)</f>
        <v>#REF!</v>
      </c>
      <c r="N22" s="18" t="e">
        <f>(0.026*I22)</f>
        <v>#REF!</v>
      </c>
      <c r="O22" s="18" t="e">
        <f>M22+N22</f>
        <v>#REF!</v>
      </c>
      <c r="P22" s="18"/>
      <c r="Q22" s="18" t="e">
        <f>#REF!/1000</f>
        <v>#REF!</v>
      </c>
      <c r="R22" s="18"/>
      <c r="S22" s="18" t="e">
        <f>#REF!/1000</f>
        <v>#REF!</v>
      </c>
      <c r="U22" s="1"/>
      <c r="W22" s="320" t="s">
        <v>8006</v>
      </c>
      <c r="X22" s="320" t="s">
        <v>10618</v>
      </c>
      <c r="Y22" s="322">
        <v>43668</v>
      </c>
      <c r="Z22" s="322">
        <v>54954</v>
      </c>
      <c r="AA22" t="s">
        <v>10617</v>
      </c>
      <c r="AB22" s="320" t="s">
        <v>3835</v>
      </c>
      <c r="AC22" s="321">
        <v>300000000</v>
      </c>
      <c r="AD22" s="323">
        <v>275000000</v>
      </c>
    </row>
    <row r="23" spans="1:76" ht="14.1" customHeight="1" x14ac:dyDescent="0.2">
      <c r="B23" s="1">
        <v>10</v>
      </c>
      <c r="C23" s="14"/>
      <c r="D23" s="143"/>
      <c r="F23" s="173"/>
      <c r="G23" s="19"/>
      <c r="H23" s="18"/>
      <c r="I23" s="18"/>
      <c r="J23" s="18"/>
      <c r="K23" s="20"/>
      <c r="L23" s="346"/>
      <c r="M23" s="5"/>
      <c r="N23" s="18"/>
      <c r="O23" s="18"/>
      <c r="P23" s="18"/>
      <c r="Q23" s="18"/>
      <c r="R23" s="18"/>
      <c r="S23" s="18"/>
      <c r="U23" s="18"/>
      <c r="W23" s="162"/>
      <c r="X23" s="25"/>
      <c r="AB23" s="145"/>
    </row>
    <row r="24" spans="1:76" ht="14.1" customHeight="1" x14ac:dyDescent="0.2">
      <c r="A24" s="1" t="str">
        <f>+W18</f>
        <v>PD0027</v>
      </c>
      <c r="B24" s="1">
        <v>11</v>
      </c>
      <c r="C24" s="14"/>
      <c r="D24" s="143" t="s">
        <v>10639</v>
      </c>
      <c r="F24" s="173">
        <f>+Y18</f>
        <v>41774</v>
      </c>
      <c r="G24" s="173">
        <f>+Z18</f>
        <v>52732</v>
      </c>
      <c r="H24" s="364">
        <v>290000</v>
      </c>
      <c r="I24" s="18" t="e">
        <f>#REF!/1000</f>
        <v>#REF!</v>
      </c>
      <c r="J24" s="18" t="e">
        <f>#REF!/1000</f>
        <v>#REF!</v>
      </c>
      <c r="K24" s="18">
        <f>(3135750.63+AR49)/1000</f>
        <v>3436.0630299999998</v>
      </c>
      <c r="L24" s="346" t="e">
        <f>+#REF!</f>
        <v>#REF!</v>
      </c>
      <c r="M24" s="266" t="e">
        <f>ROUND((J24+K24)/L24,0)</f>
        <v>#REF!</v>
      </c>
      <c r="N24" s="18" t="e">
        <f>0.0435*I24</f>
        <v>#REF!</v>
      </c>
      <c r="O24" s="18" t="e">
        <f t="shared" ref="O24" si="2">M24+N24</f>
        <v>#REF!</v>
      </c>
      <c r="P24" s="18"/>
      <c r="Q24" s="18" t="e">
        <f>#REF!/1000</f>
        <v>#REF!</v>
      </c>
      <c r="R24" s="18"/>
      <c r="S24" s="18" t="e">
        <f>(#REF!+#REF!)/1000</f>
        <v>#REF!</v>
      </c>
      <c r="U24" s="1"/>
      <c r="W24" s="162"/>
      <c r="X24" s="25"/>
      <c r="Y24" s="1" t="s">
        <v>10622</v>
      </c>
      <c r="AB24" s="145"/>
      <c r="AC24" s="145"/>
      <c r="AD24" s="145"/>
      <c r="AE24" s="145"/>
      <c r="AF24" s="1" t="s">
        <v>5589</v>
      </c>
      <c r="AG24" s="145">
        <v>2564470.9699999997</v>
      </c>
      <c r="AH24" s="1" t="s">
        <v>10624</v>
      </c>
      <c r="AJ24" s="1">
        <v>30</v>
      </c>
      <c r="AK24" s="1" t="s">
        <v>10626</v>
      </c>
      <c r="AP24" s="1" t="s">
        <v>5754</v>
      </c>
      <c r="AQ24" s="25">
        <v>3135750.63</v>
      </c>
      <c r="AR24" s="1" t="s">
        <v>10624</v>
      </c>
      <c r="BA24" s="1" t="s">
        <v>5755</v>
      </c>
      <c r="BB24" s="25">
        <v>2530111.4499999997</v>
      </c>
      <c r="BC24" s="1" t="s">
        <v>10624</v>
      </c>
      <c r="BL24" s="1" t="s">
        <v>7245</v>
      </c>
      <c r="BM24" s="25">
        <v>3018394.99</v>
      </c>
      <c r="BN24" s="1" t="s">
        <v>10624</v>
      </c>
      <c r="BV24" s="1" t="s">
        <v>8006</v>
      </c>
      <c r="BW24" s="25">
        <v>3194798.14</v>
      </c>
      <c r="BX24" s="1" t="s">
        <v>10624</v>
      </c>
    </row>
    <row r="25" spans="1:76" ht="14.1" customHeight="1" x14ac:dyDescent="0.2">
      <c r="B25" s="1">
        <v>12</v>
      </c>
      <c r="C25" s="14"/>
      <c r="F25" s="173"/>
      <c r="G25" s="173"/>
      <c r="H25" s="364"/>
      <c r="J25" s="18"/>
      <c r="K25" s="18"/>
      <c r="L25" s="346"/>
      <c r="M25" s="5"/>
      <c r="N25" s="18"/>
      <c r="O25" s="18"/>
      <c r="P25" s="18"/>
      <c r="Q25" s="18"/>
      <c r="R25" s="18"/>
      <c r="S25" s="18"/>
      <c r="U25" s="1"/>
      <c r="W25" s="331"/>
      <c r="X25" s="331"/>
      <c r="Y25" s="330"/>
      <c r="Z25" s="332"/>
      <c r="AA25" s="330"/>
      <c r="AB25" s="333"/>
      <c r="AC25" s="333"/>
      <c r="AD25" s="333"/>
      <c r="AE25" s="330"/>
      <c r="AF25" s="330"/>
    </row>
    <row r="26" spans="1:76" ht="14.1" customHeight="1" x14ac:dyDescent="0.2">
      <c r="A26" s="1" t="str">
        <f>+W19</f>
        <v>PD0028</v>
      </c>
      <c r="B26" s="1">
        <v>13</v>
      </c>
      <c r="C26" s="14"/>
      <c r="D26" s="143" t="s">
        <v>10640</v>
      </c>
      <c r="F26" s="173">
        <f>+Y19</f>
        <v>42144</v>
      </c>
      <c r="G26" s="173">
        <f>+Z19</f>
        <v>53097</v>
      </c>
      <c r="H26" s="364">
        <v>230000</v>
      </c>
      <c r="I26" s="18" t="e">
        <f>#REF!/1000</f>
        <v>#REF!</v>
      </c>
      <c r="J26" s="18" t="e">
        <f>#REF!/1000</f>
        <v>#REF!</v>
      </c>
      <c r="K26" s="18">
        <f>(2530111.45+BC49)/1000</f>
        <v>-1460.8485499999997</v>
      </c>
      <c r="L26" s="346" t="e">
        <f>+#REF!</f>
        <v>#REF!</v>
      </c>
      <c r="M26" s="266" t="e">
        <f>ROUND(((J26+K26)/L26),0)</f>
        <v>#REF!</v>
      </c>
      <c r="N26" s="18" t="e">
        <f>0.042*I26</f>
        <v>#REF!</v>
      </c>
      <c r="O26" s="18" t="e">
        <f t="shared" ref="O26" si="3">M26+N26</f>
        <v>#REF!</v>
      </c>
      <c r="P26" s="18"/>
      <c r="Q26" s="18" t="e">
        <f>#REF!/1000</f>
        <v>#REF!</v>
      </c>
      <c r="R26" s="18"/>
      <c r="S26" s="18" t="e">
        <f>(#REF!+#REF!)/1000</f>
        <v>#REF!</v>
      </c>
      <c r="U26" s="18"/>
      <c r="V26" s="18"/>
      <c r="W26" s="162"/>
      <c r="X26" s="25"/>
      <c r="AB26" s="145"/>
      <c r="AC26" s="145"/>
      <c r="AD26" s="145"/>
    </row>
    <row r="27" spans="1:76" ht="14.1" customHeight="1" x14ac:dyDescent="0.2">
      <c r="B27" s="1">
        <v>14</v>
      </c>
      <c r="C27" s="14"/>
      <c r="F27" s="173"/>
      <c r="G27" s="173"/>
      <c r="H27" s="364"/>
      <c r="I27" s="18"/>
      <c r="J27" s="18"/>
      <c r="K27" s="18"/>
      <c r="L27" s="346"/>
      <c r="M27" s="266"/>
      <c r="N27" s="18"/>
      <c r="O27" s="18"/>
      <c r="P27" s="18"/>
      <c r="Q27" s="18"/>
      <c r="R27" s="18"/>
      <c r="S27" s="18"/>
      <c r="U27" s="1"/>
      <c r="W27" s="162"/>
      <c r="X27" s="25"/>
      <c r="AB27" s="145"/>
      <c r="AC27" s="145"/>
      <c r="AD27" s="145"/>
    </row>
    <row r="28" spans="1:76" ht="14.1" customHeight="1" x14ac:dyDescent="0.2">
      <c r="A28" s="1" t="str">
        <f>+W20</f>
        <v>PD0034</v>
      </c>
      <c r="B28" s="1">
        <v>15</v>
      </c>
      <c r="C28" s="14"/>
      <c r="D28" s="143" t="s">
        <v>10619</v>
      </c>
      <c r="F28" s="173">
        <f>+Y20</f>
        <v>43258</v>
      </c>
      <c r="G28" s="173">
        <f>+Z20</f>
        <v>54224</v>
      </c>
      <c r="H28" s="364">
        <v>275000</v>
      </c>
      <c r="I28" s="18" t="e">
        <f>#REF!/1000</f>
        <v>#REF!</v>
      </c>
      <c r="J28" s="18" t="e">
        <f>#REF!/1000</f>
        <v>#REF!</v>
      </c>
      <c r="K28" s="18">
        <f>3018394.99/1000</f>
        <v>3018.3949900000002</v>
      </c>
      <c r="L28" s="346" t="e">
        <f>+#REF!</f>
        <v>#REF!</v>
      </c>
      <c r="M28" s="266" t="e">
        <f>ROUND((J28+K28)/L28,0)</f>
        <v>#REF!</v>
      </c>
      <c r="N28" s="18" t="e">
        <f>0.043*I28</f>
        <v>#REF!</v>
      </c>
      <c r="O28" s="18" t="e">
        <f t="shared" ref="O28" si="4">M28+N28</f>
        <v>#REF!</v>
      </c>
      <c r="P28" s="18"/>
      <c r="Q28" s="18" t="e">
        <f>#REF!/1000</f>
        <v>#REF!</v>
      </c>
      <c r="R28" s="18"/>
      <c r="S28" s="18" t="e">
        <f>#REF!/1000</f>
        <v>#REF!</v>
      </c>
      <c r="U28" s="18"/>
      <c r="V28" s="18"/>
      <c r="W28" s="162"/>
      <c r="X28" s="25"/>
      <c r="AB28" s="145"/>
      <c r="AC28" s="145"/>
      <c r="AD28" s="145"/>
    </row>
    <row r="29" spans="1:76" ht="14.1" customHeight="1" x14ac:dyDescent="0.2">
      <c r="B29" s="1">
        <v>16</v>
      </c>
      <c r="C29" s="14"/>
      <c r="F29" s="173"/>
      <c r="G29" s="173"/>
      <c r="H29" s="364"/>
      <c r="J29" s="18"/>
      <c r="K29" s="18"/>
      <c r="L29" s="346"/>
      <c r="M29" s="5"/>
      <c r="N29" s="18"/>
      <c r="O29" s="18"/>
      <c r="P29" s="18"/>
      <c r="Q29" s="18"/>
      <c r="R29" s="18"/>
      <c r="S29" s="18"/>
      <c r="U29" s="18"/>
      <c r="V29" s="18"/>
      <c r="W29" s="162"/>
      <c r="X29" s="25"/>
      <c r="AB29" s="145"/>
      <c r="AC29" s="145"/>
      <c r="AD29" s="145"/>
    </row>
    <row r="30" spans="1:76" ht="14.1" customHeight="1" x14ac:dyDescent="0.2">
      <c r="A30" s="1" t="str">
        <f>+W21</f>
        <v>PD0035</v>
      </c>
      <c r="B30" s="1">
        <v>17</v>
      </c>
      <c r="C30" s="14"/>
      <c r="D30" s="143" t="s">
        <v>10620</v>
      </c>
      <c r="F30" s="173">
        <f>+Y21</f>
        <v>43377</v>
      </c>
      <c r="G30" s="173">
        <f>+Z21</f>
        <v>54589</v>
      </c>
      <c r="H30" s="364">
        <v>350000</v>
      </c>
      <c r="I30" s="18" t="e">
        <f>#REF!/1000</f>
        <v>#REF!</v>
      </c>
      <c r="J30" s="18" t="e">
        <f>#REF!/1000</f>
        <v>#REF!</v>
      </c>
      <c r="K30" s="18">
        <f>3695906.87/1000</f>
        <v>3695.9068700000003</v>
      </c>
      <c r="L30" s="346" t="e">
        <f>+#REF!</f>
        <v>#REF!</v>
      </c>
      <c r="M30" s="266" t="e">
        <f>ROUND(((J30+K30)/L30),0)</f>
        <v>#REF!</v>
      </c>
      <c r="N30" s="18" t="e">
        <f>0.0445*I30</f>
        <v>#REF!</v>
      </c>
      <c r="O30" s="18" t="e">
        <f t="shared" ref="O30" si="5">M30+N30</f>
        <v>#REF!</v>
      </c>
      <c r="P30" s="18"/>
      <c r="Q30" s="18" t="e">
        <f>#REF!/1000</f>
        <v>#REF!</v>
      </c>
      <c r="R30" s="18"/>
      <c r="S30" s="18" t="e">
        <f>#REF!/1000</f>
        <v>#REF!</v>
      </c>
      <c r="U30" s="1"/>
      <c r="W30" s="162"/>
      <c r="X30" s="25"/>
      <c r="AB30" s="145"/>
      <c r="AC30" s="145"/>
      <c r="AD30" s="145"/>
    </row>
    <row r="31" spans="1:76" ht="14.1" customHeight="1" x14ac:dyDescent="0.2">
      <c r="B31" s="1">
        <v>18</v>
      </c>
      <c r="C31" s="14"/>
      <c r="F31" s="173"/>
      <c r="G31" s="173"/>
      <c r="H31" s="364"/>
      <c r="I31" s="18"/>
      <c r="L31" s="347"/>
      <c r="M31" s="266"/>
      <c r="N31" s="18"/>
      <c r="O31" s="18"/>
      <c r="Q31" s="18"/>
      <c r="U31" s="18"/>
      <c r="V31" s="18"/>
      <c r="W31" s="162"/>
      <c r="X31" s="25"/>
      <c r="AB31" s="145"/>
      <c r="AC31" s="145"/>
      <c r="AD31" s="145"/>
    </row>
    <row r="32" spans="1:76" ht="14.1" customHeight="1" x14ac:dyDescent="0.2">
      <c r="A32" s="1" t="str">
        <f>+W22</f>
        <v>PD0036</v>
      </c>
      <c r="B32" s="1">
        <v>19</v>
      </c>
      <c r="C32" s="14"/>
      <c r="D32" s="143" t="s">
        <v>10621</v>
      </c>
      <c r="F32" s="173">
        <f>+Y22</f>
        <v>43668</v>
      </c>
      <c r="G32" s="173">
        <f>+Z22</f>
        <v>54954</v>
      </c>
      <c r="H32" s="364">
        <v>275000</v>
      </c>
      <c r="I32" s="18" t="e">
        <f>#REF!/1000</f>
        <v>#REF!</v>
      </c>
      <c r="J32" s="18" t="e">
        <f>#REF!/1000</f>
        <v>#REF!</v>
      </c>
      <c r="K32" s="18">
        <f>+BW24/1000</f>
        <v>3194.7981400000003</v>
      </c>
      <c r="L32" s="346" t="e">
        <f>+#REF!</f>
        <v>#REF!</v>
      </c>
      <c r="M32" s="266" t="e">
        <f>ROUND((J32+K32)/L32,0)*(5/12)</f>
        <v>#REF!</v>
      </c>
      <c r="N32" s="18" t="e">
        <f>0.03625*I32-225.788</f>
        <v>#REF!</v>
      </c>
      <c r="O32" s="18" t="e">
        <f t="shared" ref="O32" si="6">M32+N32</f>
        <v>#REF!</v>
      </c>
      <c r="P32" s="18"/>
      <c r="Q32" s="18" t="e">
        <f>#REF!/1000</f>
        <v>#REF!</v>
      </c>
      <c r="R32" s="18"/>
      <c r="S32" s="18" t="e">
        <f>#REF!/1000</f>
        <v>#REF!</v>
      </c>
      <c r="U32" s="18"/>
      <c r="V32" s="18"/>
      <c r="W32" s="162"/>
      <c r="X32" s="25"/>
      <c r="AB32" s="145"/>
      <c r="AC32" s="145"/>
      <c r="AD32" s="145"/>
    </row>
    <row r="33" spans="2:35" ht="14.1" customHeight="1" x14ac:dyDescent="0.2">
      <c r="B33" s="1">
        <v>20</v>
      </c>
      <c r="C33" s="14"/>
      <c r="D33" s="28"/>
      <c r="F33" s="173"/>
      <c r="G33" s="19"/>
      <c r="H33" s="18"/>
      <c r="I33" s="18"/>
      <c r="J33" s="18"/>
      <c r="K33" s="18"/>
      <c r="L33" s="24"/>
      <c r="M33" s="266"/>
      <c r="N33" s="18"/>
      <c r="O33" s="18"/>
      <c r="P33" s="18"/>
      <c r="Q33" s="18"/>
      <c r="R33" s="18"/>
      <c r="S33" s="18"/>
      <c r="T33" s="18"/>
      <c r="U33" s="18"/>
      <c r="V33" s="18"/>
      <c r="W33" s="162"/>
      <c r="X33" s="162"/>
      <c r="Z33" s="162"/>
      <c r="AB33" s="24"/>
      <c r="AC33" s="24"/>
      <c r="AD33" s="24"/>
    </row>
    <row r="34" spans="2:35" ht="14.1" customHeight="1" x14ac:dyDescent="0.2">
      <c r="B34" s="1">
        <v>21</v>
      </c>
      <c r="C34" s="14"/>
      <c r="D34" s="28" t="s">
        <v>5759</v>
      </c>
      <c r="F34" s="173"/>
      <c r="G34" s="19"/>
      <c r="H34" s="18"/>
      <c r="I34" s="18">
        <v>0</v>
      </c>
      <c r="J34" s="18"/>
      <c r="K34" s="18"/>
      <c r="L34" s="24"/>
      <c r="M34" s="20" t="e">
        <f>+(+#REF!+#REF!+#REF!+#REF!)/1000</f>
        <v>#REF!</v>
      </c>
      <c r="N34" s="18">
        <v>0</v>
      </c>
      <c r="O34" s="18" t="e">
        <f>M34+N34</f>
        <v>#REF!</v>
      </c>
      <c r="P34" s="18"/>
      <c r="Q34" s="18">
        <v>0</v>
      </c>
      <c r="R34" s="18"/>
      <c r="S34" s="18" t="e">
        <f>(#REF!+#REF!+#REF!+#REF!)/1000</f>
        <v>#REF!</v>
      </c>
      <c r="T34" s="18"/>
      <c r="U34" s="18"/>
      <c r="V34" s="18"/>
      <c r="W34" s="144"/>
      <c r="Y34" s="18"/>
    </row>
    <row r="35" spans="2:35" ht="14.1" customHeight="1" x14ac:dyDescent="0.2">
      <c r="B35" s="1">
        <v>22</v>
      </c>
      <c r="C35" s="14"/>
      <c r="D35" s="28"/>
      <c r="F35" s="19"/>
      <c r="G35" s="19"/>
      <c r="H35" s="18"/>
      <c r="I35" s="18"/>
      <c r="J35" s="18"/>
      <c r="K35" s="18"/>
      <c r="L35" s="24"/>
      <c r="M35" s="266"/>
      <c r="N35" s="18"/>
      <c r="O35" s="18"/>
      <c r="P35" s="18"/>
      <c r="Q35" s="18"/>
      <c r="R35" s="18"/>
      <c r="S35" s="18"/>
      <c r="T35" s="18"/>
      <c r="W35" s="144"/>
      <c r="Y35" s="18"/>
    </row>
    <row r="36" spans="2:35" ht="14.1" customHeight="1" x14ac:dyDescent="0.2">
      <c r="B36" s="1">
        <v>23</v>
      </c>
      <c r="D36" s="1" t="s">
        <v>3961</v>
      </c>
      <c r="F36" s="19"/>
      <c r="G36" s="19"/>
      <c r="H36" s="18"/>
      <c r="I36" s="324">
        <v>0</v>
      </c>
      <c r="J36" s="324"/>
      <c r="L36" s="18"/>
      <c r="M36" s="283" t="e">
        <f>+#REF!/1000</f>
        <v>#REF!</v>
      </c>
      <c r="N36" s="18">
        <v>0</v>
      </c>
      <c r="O36" s="18" t="e">
        <f>M36+N36</f>
        <v>#REF!</v>
      </c>
      <c r="P36" s="18"/>
      <c r="Q36" s="324">
        <v>0</v>
      </c>
      <c r="R36" s="18"/>
      <c r="S36" s="18" t="e">
        <f>+#REF!/1000</f>
        <v>#REF!</v>
      </c>
      <c r="T36" s="18"/>
      <c r="U36" s="289"/>
      <c r="W36" s="144"/>
      <c r="Y36" s="18"/>
    </row>
    <row r="37" spans="2:35" ht="14.1" customHeight="1" x14ac:dyDescent="0.2">
      <c r="B37" s="1">
        <v>24</v>
      </c>
      <c r="J37" s="336"/>
      <c r="K37" s="340"/>
      <c r="L37" s="336"/>
      <c r="M37" s="336"/>
      <c r="N37" s="338"/>
      <c r="O37" s="336"/>
      <c r="P37" s="336"/>
      <c r="Q37" s="336"/>
      <c r="R37" s="336"/>
      <c r="S37" s="144"/>
      <c r="T37" s="18"/>
      <c r="U37" s="289"/>
    </row>
    <row r="38" spans="2:35" ht="14.1" customHeight="1" thickBot="1" x14ac:dyDescent="0.25">
      <c r="B38" s="1">
        <v>25</v>
      </c>
      <c r="D38" s="1" t="s">
        <v>3622</v>
      </c>
      <c r="I38" s="288" t="e">
        <f>SUM(I14:I37)</f>
        <v>#REF!</v>
      </c>
      <c r="K38" s="341"/>
      <c r="M38" s="288" t="e">
        <f>SUM(M14:M37)</f>
        <v>#REF!</v>
      </c>
      <c r="N38" s="288" t="e">
        <f>SUM(N14:N37)</f>
        <v>#REF!</v>
      </c>
      <c r="O38" s="288" t="e">
        <f>SUM(O14:O36)</f>
        <v>#REF!</v>
      </c>
      <c r="Q38" s="288" t="e">
        <f>SUM(Q14:Q36)</f>
        <v>#REF!</v>
      </c>
      <c r="S38" s="288" t="e">
        <f>SUM(S14:S36)</f>
        <v>#REF!</v>
      </c>
      <c r="T38" s="18"/>
      <c r="U38" s="289"/>
    </row>
    <row r="39" spans="2:35" ht="14.1" customHeight="1" thickTop="1" x14ac:dyDescent="0.2">
      <c r="B39" s="1">
        <v>26</v>
      </c>
      <c r="H39" s="279"/>
      <c r="I39" s="242" t="e">
        <f>I38-(#REF!/1000)</f>
        <v>#REF!</v>
      </c>
      <c r="J39" s="155"/>
      <c r="K39" s="213"/>
      <c r="L39" s="280"/>
      <c r="M39" s="278"/>
      <c r="N39" s="281"/>
      <c r="O39" s="242"/>
      <c r="P39" s="213"/>
      <c r="R39" s="242"/>
      <c r="T39" s="20"/>
      <c r="U39" s="289"/>
    </row>
    <row r="40" spans="2:35" ht="14.1" customHeight="1" x14ac:dyDescent="0.2">
      <c r="B40" s="1">
        <v>27</v>
      </c>
      <c r="I40" s="7" t="s">
        <v>5761</v>
      </c>
      <c r="J40" s="261"/>
      <c r="K40" s="18"/>
      <c r="L40" s="18"/>
      <c r="M40" s="339" t="s">
        <v>5762</v>
      </c>
      <c r="N40" s="8" t="s">
        <v>5763</v>
      </c>
      <c r="O40" s="18"/>
      <c r="P40" s="18"/>
      <c r="Q40" s="7" t="s">
        <v>5760</v>
      </c>
      <c r="S40" s="263" t="s">
        <v>10643</v>
      </c>
      <c r="T40" s="15"/>
      <c r="U40" s="289"/>
    </row>
    <row r="41" spans="2:35" ht="13.5" customHeight="1" x14ac:dyDescent="0.2">
      <c r="B41" s="1">
        <v>28</v>
      </c>
      <c r="I41" s="7"/>
      <c r="J41" s="261"/>
      <c r="K41" s="18"/>
      <c r="L41" s="18"/>
      <c r="O41" s="18"/>
      <c r="P41" s="18"/>
      <c r="Q41" s="281" t="e">
        <f>ROUND((FAGLB03!H41/1000)-Q38,0)</f>
        <v>#REF!</v>
      </c>
      <c r="S41" s="7"/>
      <c r="T41" s="15"/>
      <c r="U41" s="289"/>
    </row>
    <row r="42" spans="2:35" ht="14.1" customHeight="1" x14ac:dyDescent="0.2">
      <c r="B42" s="1">
        <v>29</v>
      </c>
      <c r="I42" s="7"/>
      <c r="J42" s="261"/>
      <c r="K42" s="15"/>
      <c r="L42" s="15"/>
      <c r="O42" s="15"/>
      <c r="P42" s="15"/>
      <c r="Q42" s="7"/>
      <c r="S42" s="344"/>
      <c r="T42" s="345"/>
      <c r="U42" s="289"/>
    </row>
    <row r="43" spans="2:35" ht="14.1" customHeight="1" x14ac:dyDescent="0.2">
      <c r="B43" s="1">
        <v>30</v>
      </c>
      <c r="I43" s="7"/>
      <c r="J43" s="261"/>
      <c r="K43" s="15"/>
      <c r="L43" s="15"/>
      <c r="O43" s="15"/>
      <c r="P43" s="15"/>
      <c r="Q43" s="7"/>
      <c r="S43" s="263"/>
      <c r="T43" s="15"/>
      <c r="U43" s="289"/>
    </row>
    <row r="44" spans="2:35" ht="14.1" customHeight="1" x14ac:dyDescent="0.2">
      <c r="B44" s="1">
        <v>31</v>
      </c>
      <c r="C44" s="1" t="s">
        <v>6420</v>
      </c>
      <c r="D44" s="28"/>
      <c r="F44" s="17"/>
      <c r="J44" s="261"/>
      <c r="K44" s="15"/>
      <c r="L44" s="15"/>
      <c r="O44" s="15"/>
      <c r="P44" s="15"/>
      <c r="Q44" s="264"/>
      <c r="T44" s="15"/>
    </row>
    <row r="45" spans="2:35" ht="14.1" customHeight="1" x14ac:dyDescent="0.2">
      <c r="B45" s="1">
        <v>32</v>
      </c>
      <c r="C45" s="1" t="s">
        <v>10642</v>
      </c>
      <c r="D45" s="28"/>
      <c r="F45" s="17"/>
      <c r="J45" s="15"/>
      <c r="K45" s="16"/>
      <c r="L45" s="15"/>
      <c r="O45" s="15"/>
      <c r="P45" s="15"/>
      <c r="Q45" s="17"/>
      <c r="S45" s="7"/>
      <c r="T45" s="15"/>
    </row>
    <row r="46" spans="2:35" ht="14.1" customHeight="1" x14ac:dyDescent="0.2">
      <c r="B46" s="1">
        <v>33</v>
      </c>
      <c r="C46" s="147"/>
      <c r="D46" s="28"/>
      <c r="F46" s="17"/>
      <c r="J46" s="133"/>
      <c r="K46" s="178"/>
      <c r="L46" s="15"/>
      <c r="O46" s="15"/>
      <c r="P46" s="15"/>
      <c r="Q46" s="17"/>
      <c r="T46" s="15"/>
    </row>
    <row r="47" spans="2:35" ht="14.1" customHeight="1" x14ac:dyDescent="0.2">
      <c r="B47" s="1">
        <v>34</v>
      </c>
      <c r="D47" s="28"/>
      <c r="F47" s="17"/>
      <c r="J47" s="140"/>
      <c r="K47" s="139"/>
      <c r="L47" s="15"/>
      <c r="O47" s="15"/>
      <c r="P47" s="15"/>
      <c r="Q47" s="17"/>
      <c r="R47" s="135" t="s">
        <v>2077</v>
      </c>
      <c r="S47" s="134" t="e">
        <f>I38-Q38-S38</f>
        <v>#REF!</v>
      </c>
      <c r="T47" s="15"/>
    </row>
    <row r="48" spans="2:35" ht="14.1" customHeight="1" x14ac:dyDescent="0.2">
      <c r="B48" s="1">
        <v>35</v>
      </c>
      <c r="D48" s="28"/>
      <c r="F48" s="17"/>
      <c r="G48" s="17"/>
      <c r="H48" s="15"/>
      <c r="I48" s="145"/>
      <c r="J48" s="15"/>
      <c r="K48" s="290"/>
      <c r="L48" s="15"/>
      <c r="O48" s="15"/>
      <c r="P48" s="15"/>
      <c r="Q48" s="15"/>
      <c r="R48" s="135" t="s">
        <v>2078</v>
      </c>
      <c r="S48" s="134" t="e">
        <f>O38</f>
        <v>#REF!</v>
      </c>
      <c r="T48" s="15"/>
      <c r="AF48" s="1" t="s">
        <v>5589</v>
      </c>
      <c r="AH48" s="25">
        <v>6631500</v>
      </c>
      <c r="AI48" s="1" t="s">
        <v>10624</v>
      </c>
    </row>
    <row r="49" spans="2:66" ht="14.1" customHeight="1" x14ac:dyDescent="0.2">
      <c r="B49" s="1">
        <v>36</v>
      </c>
      <c r="C49" s="147"/>
      <c r="D49" s="28"/>
      <c r="F49" s="17"/>
      <c r="G49" s="17"/>
      <c r="H49" s="15"/>
      <c r="I49" s="15"/>
      <c r="J49" s="15"/>
      <c r="K49" s="16"/>
      <c r="L49" s="15"/>
      <c r="O49" s="15"/>
      <c r="P49" s="15"/>
      <c r="Q49" s="15"/>
      <c r="R49" s="136" t="s">
        <v>2076</v>
      </c>
      <c r="S49" s="138" t="e">
        <f>S48/S47</f>
        <v>#REF!</v>
      </c>
      <c r="T49" s="15"/>
      <c r="Y49" s="1" t="s">
        <v>10623</v>
      </c>
      <c r="Z49" s="25">
        <f>274742.31+1667350</f>
        <v>1942092.31</v>
      </c>
      <c r="AB49" s="1" t="s">
        <v>10625</v>
      </c>
      <c r="AC49" s="337">
        <v>30</v>
      </c>
      <c r="AD49" s="1" t="s">
        <v>10626</v>
      </c>
      <c r="AR49" s="358">
        <v>300312.40000000002</v>
      </c>
      <c r="AS49" s="1" t="s">
        <v>10624</v>
      </c>
      <c r="BC49" s="25">
        <v>-3990960</v>
      </c>
      <c r="BD49" s="1" t="s">
        <v>10624</v>
      </c>
      <c r="BL49" s="1" t="s">
        <v>7887</v>
      </c>
      <c r="BM49" s="25">
        <v>3695906.8699999996</v>
      </c>
      <c r="BN49" s="1" t="s">
        <v>10624</v>
      </c>
    </row>
    <row r="50" spans="2:66" ht="14.1" customHeight="1" x14ac:dyDescent="0.2">
      <c r="B50" s="1">
        <v>37</v>
      </c>
      <c r="D50" s="28"/>
      <c r="F50" s="17"/>
      <c r="G50" s="18"/>
      <c r="H50" s="15"/>
      <c r="I50" s="15"/>
      <c r="J50" s="15"/>
      <c r="K50" s="15"/>
      <c r="L50" s="15"/>
      <c r="O50" s="15"/>
      <c r="P50" s="15"/>
      <c r="Q50" s="15"/>
      <c r="R50" s="15"/>
      <c r="S50" s="15"/>
      <c r="T50" s="15"/>
    </row>
    <row r="51" spans="2:66" ht="14.1" customHeight="1" thickBot="1" x14ac:dyDescent="0.25">
      <c r="B51" s="1">
        <v>38</v>
      </c>
      <c r="C51" s="2" t="s">
        <v>4330</v>
      </c>
      <c r="D51" s="267"/>
      <c r="E51" s="2"/>
      <c r="F51" s="268"/>
      <c r="G51" s="269"/>
      <c r="H51" s="270"/>
      <c r="I51" s="270"/>
      <c r="J51" s="270"/>
      <c r="K51" s="270"/>
      <c r="L51" s="270"/>
      <c r="O51" s="270"/>
      <c r="P51" s="270"/>
      <c r="Q51" s="270"/>
      <c r="R51" s="270"/>
      <c r="S51" s="270"/>
      <c r="T51" s="270"/>
    </row>
    <row r="52" spans="2:66" ht="14.1" customHeight="1" x14ac:dyDescent="0.2">
      <c r="B52" s="291" t="s">
        <v>6423</v>
      </c>
      <c r="R52" s="291" t="s">
        <v>6424</v>
      </c>
    </row>
    <row r="57" spans="2:66" ht="14.1" customHeight="1" x14ac:dyDescent="0.2">
      <c r="C57" s="342"/>
      <c r="M57" s="339" t="e">
        <f>+#REF!+#REF!+#REF!</f>
        <v>#REF!</v>
      </c>
      <c r="N57" s="366" t="e">
        <f>+#REF!</f>
        <v>#REF!</v>
      </c>
    </row>
    <row r="58" spans="2:66" ht="14.1" customHeight="1" x14ac:dyDescent="0.2">
      <c r="C58" s="343" t="s">
        <v>3612</v>
      </c>
      <c r="D58" s="1" t="s">
        <v>10649</v>
      </c>
      <c r="M58" s="5" t="s">
        <v>10648</v>
      </c>
      <c r="N58" s="1">
        <v>7500110</v>
      </c>
    </row>
    <row r="59" spans="2:66" ht="14.1" customHeight="1" x14ac:dyDescent="0.2">
      <c r="C59" s="342"/>
      <c r="M59" s="262"/>
      <c r="N59" s="8"/>
    </row>
    <row r="60" spans="2:66" ht="14.1" customHeight="1" x14ac:dyDescent="0.2">
      <c r="C60" s="342"/>
      <c r="M60" s="8"/>
    </row>
    <row r="61" spans="2:66" ht="14.1" customHeight="1" x14ac:dyDescent="0.2">
      <c r="C61" s="342"/>
      <c r="M61" s="262"/>
      <c r="N61" s="15"/>
    </row>
    <row r="62" spans="2:66" ht="14.1" customHeight="1" x14ac:dyDescent="0.2">
      <c r="C62" s="342"/>
      <c r="M62" s="16"/>
      <c r="N62" s="15"/>
    </row>
    <row r="63" spans="2:66" ht="14.1" customHeight="1" x14ac:dyDescent="0.2">
      <c r="C63" s="342"/>
      <c r="M63" s="16"/>
      <c r="N63" s="15"/>
    </row>
    <row r="64" spans="2:66" ht="14.1" customHeight="1" x14ac:dyDescent="0.2">
      <c r="C64" s="342"/>
      <c r="M64" s="16"/>
      <c r="N64" s="15"/>
      <c r="AC64" s="5"/>
    </row>
    <row r="65" spans="3:37" ht="14.1" customHeight="1" x14ac:dyDescent="0.2">
      <c r="C65" s="342"/>
      <c r="M65" s="16"/>
      <c r="N65" s="15"/>
    </row>
    <row r="66" spans="3:37" ht="14.1" customHeight="1" x14ac:dyDescent="0.2">
      <c r="C66" s="342"/>
      <c r="M66" s="15"/>
      <c r="N66" s="15"/>
    </row>
    <row r="67" spans="3:37" ht="14.1" customHeight="1" thickBot="1" x14ac:dyDescent="0.25">
      <c r="C67" s="342"/>
      <c r="M67" s="270"/>
      <c r="N67" s="270"/>
    </row>
    <row r="68" spans="3:37" ht="14.1" customHeight="1" x14ac:dyDescent="0.2">
      <c r="C68" s="342"/>
    </row>
    <row r="69" spans="3:37" ht="14.1" customHeight="1" x14ac:dyDescent="0.2">
      <c r="C69" s="342"/>
    </row>
    <row r="70" spans="3:37" ht="14.1" customHeight="1" x14ac:dyDescent="0.2">
      <c r="C70" s="343" t="s">
        <v>3613</v>
      </c>
      <c r="D70" s="4">
        <v>7500110</v>
      </c>
    </row>
    <row r="75" spans="3:37" ht="14.1" customHeight="1" x14ac:dyDescent="0.2">
      <c r="AF75" s="1" t="s">
        <v>5593</v>
      </c>
      <c r="AG75" s="25">
        <v>1760240.18</v>
      </c>
      <c r="AH75" s="1" t="s">
        <v>10624</v>
      </c>
      <c r="AJ75" s="1">
        <v>10</v>
      </c>
      <c r="AK75" s="1" t="s">
        <v>10626</v>
      </c>
    </row>
    <row r="81" spans="3:4" ht="14.1" customHeight="1" x14ac:dyDescent="0.2">
      <c r="C81" s="343" t="s">
        <v>3616</v>
      </c>
      <c r="D81" s="1" t="s">
        <v>10627</v>
      </c>
    </row>
  </sheetData>
  <phoneticPr fontId="5" type="noConversion"/>
  <printOptions horizontalCentered="1" verticalCentered="1"/>
  <pageMargins left="0.5" right="0.5" top="1.25" bottom="0.35" header="0.5" footer="0.25"/>
  <pageSetup scale="61" orientation="landscape" r:id="rId1"/>
  <headerFooter alignWithMargins="0"/>
  <customProperties>
    <customPr name="_pios_id" r:id="rId2"/>
    <customPr name="EpmWorksheetKeyString_GUID" r:id="rId3"/>
  </customProperties>
  <drawing r:id="rId4"/>
  <legacyDrawing r:id="rId5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FF00"/>
  </sheetPr>
  <dimension ref="A1:O4520"/>
  <sheetViews>
    <sheetView workbookViewId="0">
      <selection sqref="A1:XFD1048576"/>
    </sheetView>
  </sheetViews>
  <sheetFormatPr defaultRowHeight="12.75" x14ac:dyDescent="0.2"/>
  <cols>
    <col min="1" max="1" width="11.5703125" style="172" customWidth="1"/>
    <col min="2" max="2" width="5.42578125" style="172" customWidth="1"/>
    <col min="3" max="3" width="11.7109375" style="172" bestFit="1" customWidth="1"/>
    <col min="4" max="4" width="17.28515625" style="172" bestFit="1" customWidth="1"/>
    <col min="5" max="5" width="8" style="172" bestFit="1" customWidth="1"/>
    <col min="6" max="6" width="27.5703125" style="172" customWidth="1"/>
    <col min="7" max="7" width="13.5703125" style="172" customWidth="1"/>
    <col min="8" max="8" width="11.28515625" style="172" bestFit="1" customWidth="1"/>
    <col min="9" max="9" width="23.140625" style="241" bestFit="1" customWidth="1"/>
    <col min="11" max="11" width="15.140625" bestFit="1" customWidth="1"/>
    <col min="12" max="12" width="11.28515625" bestFit="1" customWidth="1"/>
    <col min="13" max="13" width="14" bestFit="1" customWidth="1"/>
    <col min="15" max="15" width="12.85546875" bestFit="1" customWidth="1"/>
    <col min="16" max="35" width="13.140625" bestFit="1" customWidth="1"/>
    <col min="36" max="36" width="12" bestFit="1" customWidth="1"/>
  </cols>
  <sheetData>
    <row r="1" spans="1:13" x14ac:dyDescent="0.2">
      <c r="A1" s="292" t="s">
        <v>5764</v>
      </c>
      <c r="B1" s="292" t="s">
        <v>5765</v>
      </c>
      <c r="C1" s="292" t="s">
        <v>5766</v>
      </c>
      <c r="D1" s="292" t="s">
        <v>5767</v>
      </c>
      <c r="E1" s="292" t="s">
        <v>5768</v>
      </c>
      <c r="F1" s="292" t="s">
        <v>5769</v>
      </c>
      <c r="G1" s="292" t="s">
        <v>5770</v>
      </c>
      <c r="H1" s="249" t="s">
        <v>5771</v>
      </c>
      <c r="I1" s="249" t="s">
        <v>6429</v>
      </c>
    </row>
    <row r="2" spans="1:13" x14ac:dyDescent="0.2">
      <c r="A2" s="293" t="s">
        <v>6133</v>
      </c>
      <c r="B2" s="293" t="s">
        <v>6134</v>
      </c>
      <c r="C2" s="293" t="s">
        <v>6135</v>
      </c>
      <c r="D2" s="293" t="s">
        <v>5859</v>
      </c>
      <c r="E2" s="293" t="s">
        <v>5088</v>
      </c>
      <c r="F2" s="293" t="s">
        <v>6136</v>
      </c>
      <c r="G2" s="293" t="s">
        <v>5593</v>
      </c>
      <c r="H2" s="294">
        <v>41180</v>
      </c>
      <c r="I2" s="295">
        <v>1462500</v>
      </c>
    </row>
    <row r="3" spans="1:13" x14ac:dyDescent="0.2">
      <c r="A3" s="293" t="s">
        <v>6430</v>
      </c>
      <c r="B3" s="293" t="s">
        <v>6134</v>
      </c>
      <c r="C3" s="293" t="s">
        <v>6431</v>
      </c>
      <c r="D3" s="293" t="s">
        <v>5859</v>
      </c>
      <c r="E3" s="293" t="s">
        <v>5088</v>
      </c>
      <c r="F3" s="293" t="s">
        <v>6432</v>
      </c>
      <c r="G3" s="293" t="s">
        <v>5754</v>
      </c>
      <c r="H3" s="294">
        <v>41774</v>
      </c>
      <c r="I3" s="295">
        <v>2537500</v>
      </c>
    </row>
    <row r="4" spans="1:13" x14ac:dyDescent="0.2">
      <c r="A4" s="293" t="s">
        <v>5772</v>
      </c>
      <c r="B4" s="293" t="s">
        <v>5632</v>
      </c>
      <c r="C4" s="293" t="s">
        <v>5773</v>
      </c>
      <c r="D4" s="293" t="s">
        <v>5859</v>
      </c>
      <c r="E4" s="293" t="s">
        <v>5860</v>
      </c>
      <c r="F4" s="293" t="s">
        <v>5776</v>
      </c>
      <c r="G4" s="293" t="s">
        <v>5573</v>
      </c>
      <c r="H4" s="294">
        <v>40543</v>
      </c>
      <c r="I4" s="295">
        <v>1886863.85</v>
      </c>
    </row>
    <row r="5" spans="1:13" x14ac:dyDescent="0.2">
      <c r="A5" s="293" t="s">
        <v>5772</v>
      </c>
      <c r="B5" s="293" t="s">
        <v>5632</v>
      </c>
      <c r="C5" s="293" t="s">
        <v>5773</v>
      </c>
      <c r="D5" s="293" t="s">
        <v>5859</v>
      </c>
      <c r="E5" s="293" t="s">
        <v>5861</v>
      </c>
      <c r="F5" s="293" t="s">
        <v>5776</v>
      </c>
      <c r="G5" s="293" t="s">
        <v>5585</v>
      </c>
      <c r="H5" s="294">
        <v>40543</v>
      </c>
      <c r="I5" s="295">
        <v>3502546.65</v>
      </c>
    </row>
    <row r="6" spans="1:13" x14ac:dyDescent="0.2">
      <c r="A6" s="293" t="s">
        <v>5772</v>
      </c>
      <c r="B6" s="293" t="s">
        <v>5632</v>
      </c>
      <c r="C6" s="293" t="s">
        <v>5773</v>
      </c>
      <c r="D6" s="293" t="s">
        <v>5859</v>
      </c>
      <c r="E6" s="293" t="s">
        <v>5862</v>
      </c>
      <c r="F6" s="293" t="s">
        <v>5776</v>
      </c>
      <c r="G6" s="293" t="s">
        <v>5586</v>
      </c>
      <c r="H6" s="294">
        <v>40543</v>
      </c>
      <c r="I6" s="295">
        <v>968453.72</v>
      </c>
      <c r="K6" s="285" t="s">
        <v>9904</v>
      </c>
    </row>
    <row r="7" spans="1:13" x14ac:dyDescent="0.2">
      <c r="A7" s="293" t="s">
        <v>5772</v>
      </c>
      <c r="B7" s="293" t="s">
        <v>5632</v>
      </c>
      <c r="C7" s="293" t="s">
        <v>5773</v>
      </c>
      <c r="D7" s="293" t="s">
        <v>5859</v>
      </c>
      <c r="E7" s="293" t="s">
        <v>5863</v>
      </c>
      <c r="F7" s="293" t="s">
        <v>5776</v>
      </c>
      <c r="G7" s="293" t="s">
        <v>5581</v>
      </c>
      <c r="H7" s="294">
        <v>40543</v>
      </c>
      <c r="I7" s="295">
        <v>2477006.4300000002</v>
      </c>
      <c r="K7" s="285" t="s">
        <v>5767</v>
      </c>
      <c r="L7" s="285" t="s">
        <v>5770</v>
      </c>
      <c r="M7" t="s">
        <v>3622</v>
      </c>
    </row>
    <row r="8" spans="1:13" x14ac:dyDescent="0.2">
      <c r="A8" s="293" t="s">
        <v>5772</v>
      </c>
      <c r="B8" s="293" t="s">
        <v>5632</v>
      </c>
      <c r="C8" s="293" t="s">
        <v>5773</v>
      </c>
      <c r="D8" s="293" t="s">
        <v>5859</v>
      </c>
      <c r="E8" s="293" t="s">
        <v>5864</v>
      </c>
      <c r="F8" s="293" t="s">
        <v>5776</v>
      </c>
      <c r="G8" s="293" t="s">
        <v>5587</v>
      </c>
      <c r="H8" s="294">
        <v>40543</v>
      </c>
      <c r="I8" s="295">
        <v>96260.71</v>
      </c>
      <c r="K8" t="s">
        <v>5859</v>
      </c>
      <c r="L8" t="s">
        <v>5637</v>
      </c>
      <c r="M8" s="46">
        <v>291290.62</v>
      </c>
    </row>
    <row r="9" spans="1:13" x14ac:dyDescent="0.2">
      <c r="A9" s="293" t="s">
        <v>5772</v>
      </c>
      <c r="B9" s="293" t="s">
        <v>5632</v>
      </c>
      <c r="C9" s="293" t="s">
        <v>5773</v>
      </c>
      <c r="D9" s="293" t="s">
        <v>5859</v>
      </c>
      <c r="E9" s="293" t="s">
        <v>5865</v>
      </c>
      <c r="F9" s="293" t="s">
        <v>5776</v>
      </c>
      <c r="G9" s="293" t="s">
        <v>5582</v>
      </c>
      <c r="H9" s="294">
        <v>40543</v>
      </c>
      <c r="I9" s="295">
        <v>145928.03</v>
      </c>
      <c r="L9" t="s">
        <v>5582</v>
      </c>
      <c r="M9" s="46">
        <v>-2.1827872842550278E-11</v>
      </c>
    </row>
    <row r="10" spans="1:13" x14ac:dyDescent="0.2">
      <c r="A10" s="293" t="s">
        <v>5772</v>
      </c>
      <c r="B10" s="293" t="s">
        <v>5632</v>
      </c>
      <c r="C10" s="293" t="s">
        <v>5773</v>
      </c>
      <c r="D10" s="293" t="s">
        <v>5859</v>
      </c>
      <c r="E10" s="293" t="s">
        <v>5866</v>
      </c>
      <c r="F10" s="293" t="s">
        <v>5776</v>
      </c>
      <c r="G10" s="293" t="s">
        <v>5576</v>
      </c>
      <c r="H10" s="294">
        <v>40543</v>
      </c>
      <c r="I10" s="295">
        <v>511139.31</v>
      </c>
      <c r="L10" t="s">
        <v>5590</v>
      </c>
      <c r="M10" s="46">
        <v>-7.6215656008571386E-10</v>
      </c>
    </row>
    <row r="11" spans="1:13" x14ac:dyDescent="0.2">
      <c r="A11" s="293" t="s">
        <v>5772</v>
      </c>
      <c r="B11" s="293" t="s">
        <v>5632</v>
      </c>
      <c r="C11" s="293" t="s">
        <v>5773</v>
      </c>
      <c r="D11" s="293" t="s">
        <v>5859</v>
      </c>
      <c r="E11" s="293" t="s">
        <v>5867</v>
      </c>
      <c r="F11" s="293" t="s">
        <v>5776</v>
      </c>
      <c r="G11" s="293" t="s">
        <v>5588</v>
      </c>
      <c r="H11" s="294">
        <v>40543</v>
      </c>
      <c r="I11" s="295">
        <v>1388840.99</v>
      </c>
      <c r="L11" t="s">
        <v>5577</v>
      </c>
      <c r="M11" s="46">
        <v>4.2518877307884395E-11</v>
      </c>
    </row>
    <row r="12" spans="1:13" x14ac:dyDescent="0.2">
      <c r="A12" s="293" t="s">
        <v>5772</v>
      </c>
      <c r="B12" s="293" t="s">
        <v>5632</v>
      </c>
      <c r="C12" s="293" t="s">
        <v>5773</v>
      </c>
      <c r="D12" s="293" t="s">
        <v>5859</v>
      </c>
      <c r="E12" s="293" t="s">
        <v>5868</v>
      </c>
      <c r="F12" s="293" t="s">
        <v>5776</v>
      </c>
      <c r="G12" s="293" t="s">
        <v>5590</v>
      </c>
      <c r="H12" s="294">
        <v>40543</v>
      </c>
      <c r="I12" s="295">
        <v>789633.33</v>
      </c>
      <c r="L12" t="s">
        <v>5576</v>
      </c>
      <c r="M12" s="46">
        <v>-5.8207660913467407E-10</v>
      </c>
    </row>
    <row r="13" spans="1:13" x14ac:dyDescent="0.2">
      <c r="A13" s="293" t="s">
        <v>5772</v>
      </c>
      <c r="B13" s="293" t="s">
        <v>5632</v>
      </c>
      <c r="C13" s="293" t="s">
        <v>5773</v>
      </c>
      <c r="D13" s="293" t="s">
        <v>5859</v>
      </c>
      <c r="E13" s="293" t="s">
        <v>5869</v>
      </c>
      <c r="F13" s="293" t="s">
        <v>5776</v>
      </c>
      <c r="G13" s="293" t="s">
        <v>5580</v>
      </c>
      <c r="H13" s="294">
        <v>40543</v>
      </c>
      <c r="I13" s="295">
        <v>15692.91</v>
      </c>
      <c r="L13" t="s">
        <v>5578</v>
      </c>
      <c r="M13" s="46">
        <v>299195.73000000254</v>
      </c>
    </row>
    <row r="14" spans="1:13" x14ac:dyDescent="0.2">
      <c r="A14" s="293" t="s">
        <v>5772</v>
      </c>
      <c r="B14" s="293" t="s">
        <v>5632</v>
      </c>
      <c r="C14" s="293" t="s">
        <v>5773</v>
      </c>
      <c r="D14" s="293" t="s">
        <v>5859</v>
      </c>
      <c r="E14" s="293" t="s">
        <v>5870</v>
      </c>
      <c r="F14" s="293" t="s">
        <v>5776</v>
      </c>
      <c r="G14" s="293" t="s">
        <v>5577</v>
      </c>
      <c r="H14" s="294">
        <v>40543</v>
      </c>
      <c r="I14" s="295">
        <v>1002638.78</v>
      </c>
      <c r="L14" t="s">
        <v>5573</v>
      </c>
      <c r="M14" s="46">
        <v>855585.93000000715</v>
      </c>
    </row>
    <row r="15" spans="1:13" x14ac:dyDescent="0.2">
      <c r="A15" s="293" t="s">
        <v>5772</v>
      </c>
      <c r="B15" s="293" t="s">
        <v>5632</v>
      </c>
      <c r="C15" s="293" t="s">
        <v>5773</v>
      </c>
      <c r="D15" s="293" t="s">
        <v>5859</v>
      </c>
      <c r="E15" s="293" t="s">
        <v>5871</v>
      </c>
      <c r="F15" s="293" t="s">
        <v>5776</v>
      </c>
      <c r="G15" s="293" t="s">
        <v>5578</v>
      </c>
      <c r="H15" s="294">
        <v>40543</v>
      </c>
      <c r="I15" s="295">
        <v>958025.74</v>
      </c>
      <c r="L15" t="s">
        <v>5581</v>
      </c>
      <c r="M15" s="46">
        <v>1442405.9600000107</v>
      </c>
    </row>
    <row r="16" spans="1:13" x14ac:dyDescent="0.2">
      <c r="A16" s="293" t="s">
        <v>5772</v>
      </c>
      <c r="B16" s="293" t="s">
        <v>5632</v>
      </c>
      <c r="C16" s="293" t="s">
        <v>5773</v>
      </c>
      <c r="D16" s="293" t="s">
        <v>5859</v>
      </c>
      <c r="E16" s="293" t="s">
        <v>5872</v>
      </c>
      <c r="F16" s="293" t="s">
        <v>5776</v>
      </c>
      <c r="G16" s="293" t="s">
        <v>5579</v>
      </c>
      <c r="H16" s="294">
        <v>40543</v>
      </c>
      <c r="I16" s="295">
        <v>284948.74</v>
      </c>
      <c r="L16" t="s">
        <v>5585</v>
      </c>
      <c r="M16" s="46">
        <v>2260263.6899999878</v>
      </c>
    </row>
    <row r="17" spans="1:13" x14ac:dyDescent="0.2">
      <c r="A17" s="293" t="s">
        <v>5772</v>
      </c>
      <c r="B17" s="293" t="s">
        <v>5632</v>
      </c>
      <c r="C17" s="293" t="s">
        <v>5773</v>
      </c>
      <c r="D17" s="293" t="s">
        <v>5859</v>
      </c>
      <c r="E17" s="293" t="s">
        <v>5873</v>
      </c>
      <c r="F17" s="293" t="s">
        <v>5776</v>
      </c>
      <c r="G17" s="293" t="s">
        <v>5591</v>
      </c>
      <c r="H17" s="294">
        <v>40543</v>
      </c>
      <c r="I17" s="295">
        <v>1239314.1200000001</v>
      </c>
      <c r="L17" t="s">
        <v>5587</v>
      </c>
      <c r="M17" s="46">
        <v>3.092281986027956E-11</v>
      </c>
    </row>
    <row r="18" spans="1:13" x14ac:dyDescent="0.2">
      <c r="A18" s="293" t="s">
        <v>5772</v>
      </c>
      <c r="B18" s="293" t="s">
        <v>5632</v>
      </c>
      <c r="C18" s="293" t="s">
        <v>5773</v>
      </c>
      <c r="D18" s="293" t="s">
        <v>5859</v>
      </c>
      <c r="E18" s="293" t="s">
        <v>5874</v>
      </c>
      <c r="F18" s="293" t="s">
        <v>5776</v>
      </c>
      <c r="G18" s="293" t="s">
        <v>5592</v>
      </c>
      <c r="H18" s="294">
        <v>40543</v>
      </c>
      <c r="I18" s="295">
        <v>1255298.5900000001</v>
      </c>
      <c r="L18" t="s">
        <v>5588</v>
      </c>
      <c r="M18" s="46">
        <v>-7.2759576141834259E-12</v>
      </c>
    </row>
    <row r="19" spans="1:13" x14ac:dyDescent="0.2">
      <c r="A19" s="293" t="s">
        <v>5777</v>
      </c>
      <c r="B19" s="293" t="s">
        <v>5632</v>
      </c>
      <c r="C19" s="293" t="s">
        <v>5773</v>
      </c>
      <c r="D19" s="293" t="s">
        <v>5859</v>
      </c>
      <c r="E19" s="293" t="s">
        <v>5860</v>
      </c>
      <c r="F19" s="293" t="s">
        <v>5776</v>
      </c>
      <c r="G19" s="293" t="s">
        <v>5573</v>
      </c>
      <c r="H19" s="294">
        <v>40543</v>
      </c>
      <c r="I19" s="295">
        <v>1886863.85</v>
      </c>
      <c r="L19" t="s">
        <v>5591</v>
      </c>
      <c r="M19" s="46">
        <v>1.8844730220735073E-9</v>
      </c>
    </row>
    <row r="20" spans="1:13" x14ac:dyDescent="0.2">
      <c r="A20" s="293" t="s">
        <v>5777</v>
      </c>
      <c r="B20" s="293" t="s">
        <v>5632</v>
      </c>
      <c r="C20" s="293" t="s">
        <v>5773</v>
      </c>
      <c r="D20" s="293" t="s">
        <v>5859</v>
      </c>
      <c r="E20" s="293" t="s">
        <v>5861</v>
      </c>
      <c r="F20" s="293" t="s">
        <v>5776</v>
      </c>
      <c r="G20" s="293" t="s">
        <v>5585</v>
      </c>
      <c r="H20" s="294">
        <v>40543</v>
      </c>
      <c r="I20" s="295">
        <v>3502546.65</v>
      </c>
      <c r="L20" t="s">
        <v>5592</v>
      </c>
      <c r="M20" s="46">
        <v>1.6327248927860971E-10</v>
      </c>
    </row>
    <row r="21" spans="1:13" x14ac:dyDescent="0.2">
      <c r="A21" s="293" t="s">
        <v>5777</v>
      </c>
      <c r="B21" s="293" t="s">
        <v>5632</v>
      </c>
      <c r="C21" s="293" t="s">
        <v>5773</v>
      </c>
      <c r="D21" s="293" t="s">
        <v>5859</v>
      </c>
      <c r="E21" s="293" t="s">
        <v>5862</v>
      </c>
      <c r="F21" s="293" t="s">
        <v>5776</v>
      </c>
      <c r="G21" s="293" t="s">
        <v>5586</v>
      </c>
      <c r="H21" s="294">
        <v>40543</v>
      </c>
      <c r="I21" s="295">
        <v>968453.72</v>
      </c>
      <c r="L21" t="s">
        <v>5586</v>
      </c>
      <c r="M21" s="46">
        <v>637985.59999999846</v>
      </c>
    </row>
    <row r="22" spans="1:13" x14ac:dyDescent="0.2">
      <c r="A22" s="293" t="s">
        <v>5777</v>
      </c>
      <c r="B22" s="293" t="s">
        <v>5632</v>
      </c>
      <c r="C22" s="293" t="s">
        <v>5773</v>
      </c>
      <c r="D22" s="293" t="s">
        <v>5859</v>
      </c>
      <c r="E22" s="293" t="s">
        <v>5863</v>
      </c>
      <c r="F22" s="293" t="s">
        <v>5776</v>
      </c>
      <c r="G22" s="293" t="s">
        <v>5581</v>
      </c>
      <c r="H22" s="294">
        <v>40543</v>
      </c>
      <c r="I22" s="295">
        <v>2477006.4300000002</v>
      </c>
      <c r="L22" t="s">
        <v>5579</v>
      </c>
      <c r="M22" s="46">
        <v>24147.100000000471</v>
      </c>
    </row>
    <row r="23" spans="1:13" x14ac:dyDescent="0.2">
      <c r="A23" s="293" t="s">
        <v>5777</v>
      </c>
      <c r="B23" s="293" t="s">
        <v>5632</v>
      </c>
      <c r="C23" s="293" t="s">
        <v>5773</v>
      </c>
      <c r="D23" s="293" t="s">
        <v>5859</v>
      </c>
      <c r="E23" s="293" t="s">
        <v>5864</v>
      </c>
      <c r="F23" s="293" t="s">
        <v>5776</v>
      </c>
      <c r="G23" s="293" t="s">
        <v>5587</v>
      </c>
      <c r="H23" s="294">
        <v>40543</v>
      </c>
      <c r="I23" s="295">
        <v>96260.71</v>
      </c>
      <c r="L23" t="s">
        <v>5589</v>
      </c>
      <c r="M23" s="46">
        <v>1916228.8300000099</v>
      </c>
    </row>
    <row r="24" spans="1:13" x14ac:dyDescent="0.2">
      <c r="A24" s="293" t="s">
        <v>5777</v>
      </c>
      <c r="B24" s="293" t="s">
        <v>5632</v>
      </c>
      <c r="C24" s="293" t="s">
        <v>5773</v>
      </c>
      <c r="D24" s="293" t="s">
        <v>5859</v>
      </c>
      <c r="E24" s="293" t="s">
        <v>5865</v>
      </c>
      <c r="F24" s="293" t="s">
        <v>5776</v>
      </c>
      <c r="G24" s="293" t="s">
        <v>5582</v>
      </c>
      <c r="H24" s="294">
        <v>40543</v>
      </c>
      <c r="I24" s="295">
        <v>145928.03</v>
      </c>
      <c r="L24" t="s">
        <v>5593</v>
      </c>
      <c r="M24" s="46">
        <v>484065.82000000175</v>
      </c>
    </row>
    <row r="25" spans="1:13" x14ac:dyDescent="0.2">
      <c r="A25" s="293" t="s">
        <v>5777</v>
      </c>
      <c r="B25" s="293" t="s">
        <v>5632</v>
      </c>
      <c r="C25" s="293" t="s">
        <v>5773</v>
      </c>
      <c r="D25" s="293" t="s">
        <v>5859</v>
      </c>
      <c r="E25" s="293" t="s">
        <v>5866</v>
      </c>
      <c r="F25" s="293" t="s">
        <v>5776</v>
      </c>
      <c r="G25" s="293" t="s">
        <v>5576</v>
      </c>
      <c r="H25" s="294">
        <v>40543</v>
      </c>
      <c r="I25" s="295">
        <v>511139.31</v>
      </c>
      <c r="L25" t="s">
        <v>5754</v>
      </c>
      <c r="M25" s="46">
        <v>2543442.0700000045</v>
      </c>
    </row>
    <row r="26" spans="1:13" x14ac:dyDescent="0.2">
      <c r="A26" s="293" t="s">
        <v>5777</v>
      </c>
      <c r="B26" s="293" t="s">
        <v>5632</v>
      </c>
      <c r="C26" s="293" t="s">
        <v>5773</v>
      </c>
      <c r="D26" s="293" t="s">
        <v>5859</v>
      </c>
      <c r="E26" s="293" t="s">
        <v>5867</v>
      </c>
      <c r="F26" s="293" t="s">
        <v>5776</v>
      </c>
      <c r="G26" s="293" t="s">
        <v>5588</v>
      </c>
      <c r="H26" s="294">
        <v>40543</v>
      </c>
      <c r="I26" s="295">
        <v>1388840.99</v>
      </c>
      <c r="L26" t="s">
        <v>5755</v>
      </c>
      <c r="M26" s="46">
        <v>2143567.4500000072</v>
      </c>
    </row>
    <row r="27" spans="1:13" x14ac:dyDescent="0.2">
      <c r="A27" s="293" t="s">
        <v>5777</v>
      </c>
      <c r="B27" s="293" t="s">
        <v>5632</v>
      </c>
      <c r="C27" s="293" t="s">
        <v>5773</v>
      </c>
      <c r="D27" s="293" t="s">
        <v>5859</v>
      </c>
      <c r="E27" s="293" t="s">
        <v>5868</v>
      </c>
      <c r="F27" s="293" t="s">
        <v>5776</v>
      </c>
      <c r="G27" s="293" t="s">
        <v>5590</v>
      </c>
      <c r="H27" s="294">
        <v>40543</v>
      </c>
      <c r="I27" s="295">
        <v>789633.33</v>
      </c>
      <c r="L27" t="s">
        <v>7245</v>
      </c>
      <c r="M27" s="46">
        <v>2859090.6299999976</v>
      </c>
    </row>
    <row r="28" spans="1:13" x14ac:dyDescent="0.2">
      <c r="A28" s="293" t="s">
        <v>5777</v>
      </c>
      <c r="B28" s="293" t="s">
        <v>5632</v>
      </c>
      <c r="C28" s="293" t="s">
        <v>5773</v>
      </c>
      <c r="D28" s="293" t="s">
        <v>5859</v>
      </c>
      <c r="E28" s="293" t="s">
        <v>5869</v>
      </c>
      <c r="F28" s="293" t="s">
        <v>5776</v>
      </c>
      <c r="G28" s="293" t="s">
        <v>5580</v>
      </c>
      <c r="H28" s="294">
        <v>40543</v>
      </c>
      <c r="I28" s="295">
        <v>15692.91</v>
      </c>
      <c r="L28" t="s">
        <v>7887</v>
      </c>
      <c r="M28" s="46">
        <v>3545260.19</v>
      </c>
    </row>
    <row r="29" spans="1:13" x14ac:dyDescent="0.2">
      <c r="A29" s="293" t="s">
        <v>5777</v>
      </c>
      <c r="B29" s="293" t="s">
        <v>5632</v>
      </c>
      <c r="C29" s="293" t="s">
        <v>5773</v>
      </c>
      <c r="D29" s="293" t="s">
        <v>5859</v>
      </c>
      <c r="E29" s="293" t="s">
        <v>5870</v>
      </c>
      <c r="F29" s="293" t="s">
        <v>5776</v>
      </c>
      <c r="G29" s="293" t="s">
        <v>5577</v>
      </c>
      <c r="H29" s="294">
        <v>40543</v>
      </c>
      <c r="I29" s="295">
        <v>1002638.78</v>
      </c>
      <c r="L29" t="s">
        <v>8006</v>
      </c>
      <c r="M29" s="46">
        <v>3151743.12</v>
      </c>
    </row>
    <row r="30" spans="1:13" x14ac:dyDescent="0.2">
      <c r="A30" s="293" t="s">
        <v>5777</v>
      </c>
      <c r="B30" s="293" t="s">
        <v>5632</v>
      </c>
      <c r="C30" s="293" t="s">
        <v>5773</v>
      </c>
      <c r="D30" s="293" t="s">
        <v>5859</v>
      </c>
      <c r="E30" s="293" t="s">
        <v>5871</v>
      </c>
      <c r="F30" s="293" t="s">
        <v>5776</v>
      </c>
      <c r="G30" s="293" t="s">
        <v>5578</v>
      </c>
      <c r="H30" s="294">
        <v>40543</v>
      </c>
      <c r="I30" s="295">
        <v>958025.74</v>
      </c>
      <c r="L30" t="s">
        <v>5580</v>
      </c>
      <c r="M30" s="46">
        <v>0</v>
      </c>
    </row>
    <row r="31" spans="1:13" x14ac:dyDescent="0.2">
      <c r="A31" s="293" t="s">
        <v>5777</v>
      </c>
      <c r="B31" s="293" t="s">
        <v>5632</v>
      </c>
      <c r="C31" s="293" t="s">
        <v>5773</v>
      </c>
      <c r="D31" s="293" t="s">
        <v>5859</v>
      </c>
      <c r="E31" s="293" t="s">
        <v>5872</v>
      </c>
      <c r="F31" s="293" t="s">
        <v>5776</v>
      </c>
      <c r="G31" s="293" t="s">
        <v>5579</v>
      </c>
      <c r="H31" s="294">
        <v>40543</v>
      </c>
      <c r="I31" s="295">
        <v>284948.74</v>
      </c>
      <c r="K31" t="s">
        <v>6416</v>
      </c>
      <c r="M31" s="46">
        <v>22454272.740000028</v>
      </c>
    </row>
    <row r="32" spans="1:13" x14ac:dyDescent="0.2">
      <c r="A32" s="293" t="s">
        <v>5777</v>
      </c>
      <c r="B32" s="293" t="s">
        <v>5632</v>
      </c>
      <c r="C32" s="293" t="s">
        <v>5773</v>
      </c>
      <c r="D32" s="293" t="s">
        <v>5859</v>
      </c>
      <c r="E32" s="293" t="s">
        <v>5873</v>
      </c>
      <c r="F32" s="293" t="s">
        <v>5776</v>
      </c>
      <c r="G32" s="293" t="s">
        <v>5591</v>
      </c>
      <c r="H32" s="294">
        <v>40543</v>
      </c>
      <c r="I32" s="295">
        <v>1239314.1200000001</v>
      </c>
      <c r="K32" t="s">
        <v>5877</v>
      </c>
      <c r="L32" t="s">
        <v>5637</v>
      </c>
      <c r="M32" s="46">
        <v>0</v>
      </c>
    </row>
    <row r="33" spans="1:15" x14ac:dyDescent="0.2">
      <c r="A33" s="293" t="s">
        <v>5777</v>
      </c>
      <c r="B33" s="293" t="s">
        <v>5632</v>
      </c>
      <c r="C33" s="293" t="s">
        <v>5773</v>
      </c>
      <c r="D33" s="293" t="s">
        <v>5859</v>
      </c>
      <c r="E33" s="293" t="s">
        <v>5874</v>
      </c>
      <c r="F33" s="293" t="s">
        <v>5776</v>
      </c>
      <c r="G33" s="293" t="s">
        <v>5592</v>
      </c>
      <c r="H33" s="294">
        <v>40543</v>
      </c>
      <c r="I33" s="295">
        <v>1255298.5900000001</v>
      </c>
      <c r="L33" t="s">
        <v>5582</v>
      </c>
      <c r="M33" s="46">
        <v>9.0949470177292824E-13</v>
      </c>
    </row>
    <row r="34" spans="1:15" x14ac:dyDescent="0.2">
      <c r="A34" s="293" t="s">
        <v>5778</v>
      </c>
      <c r="B34" s="293" t="s">
        <v>5632</v>
      </c>
      <c r="C34" s="293" t="s">
        <v>5773</v>
      </c>
      <c r="D34" s="293" t="s">
        <v>5859</v>
      </c>
      <c r="E34" s="293" t="s">
        <v>5860</v>
      </c>
      <c r="F34" s="293" t="s">
        <v>5776</v>
      </c>
      <c r="G34" s="293" t="s">
        <v>5573</v>
      </c>
      <c r="H34" s="294">
        <v>40543</v>
      </c>
      <c r="I34" s="295">
        <v>-1886863.85</v>
      </c>
      <c r="L34" t="s">
        <v>5577</v>
      </c>
      <c r="M34" s="46">
        <v>3.7471137304123658E-12</v>
      </c>
    </row>
    <row r="35" spans="1:15" x14ac:dyDescent="0.2">
      <c r="A35" s="293" t="s">
        <v>5778</v>
      </c>
      <c r="B35" s="293" t="s">
        <v>5632</v>
      </c>
      <c r="C35" s="293" t="s">
        <v>5773</v>
      </c>
      <c r="D35" s="293" t="s">
        <v>5859</v>
      </c>
      <c r="E35" s="293" t="s">
        <v>5861</v>
      </c>
      <c r="F35" s="293" t="s">
        <v>5776</v>
      </c>
      <c r="G35" s="293" t="s">
        <v>5585</v>
      </c>
      <c r="H35" s="294">
        <v>40543</v>
      </c>
      <c r="I35" s="295">
        <v>-3502546.65</v>
      </c>
      <c r="L35" t="s">
        <v>5576</v>
      </c>
      <c r="M35" s="46">
        <v>90577.56</v>
      </c>
    </row>
    <row r="36" spans="1:15" x14ac:dyDescent="0.2">
      <c r="A36" s="293" t="s">
        <v>5778</v>
      </c>
      <c r="B36" s="293" t="s">
        <v>5632</v>
      </c>
      <c r="C36" s="293" t="s">
        <v>5773</v>
      </c>
      <c r="D36" s="293" t="s">
        <v>5859</v>
      </c>
      <c r="E36" s="293" t="s">
        <v>5862</v>
      </c>
      <c r="F36" s="293" t="s">
        <v>5776</v>
      </c>
      <c r="G36" s="293" t="s">
        <v>5586</v>
      </c>
      <c r="H36" s="294">
        <v>40543</v>
      </c>
      <c r="I36" s="295">
        <v>-968453.72</v>
      </c>
      <c r="L36" t="s">
        <v>5578</v>
      </c>
      <c r="M36" s="46">
        <v>12231.96</v>
      </c>
    </row>
    <row r="37" spans="1:15" x14ac:dyDescent="0.2">
      <c r="A37" s="293" t="s">
        <v>5778</v>
      </c>
      <c r="B37" s="293" t="s">
        <v>5632</v>
      </c>
      <c r="C37" s="293" t="s">
        <v>5773</v>
      </c>
      <c r="D37" s="293" t="s">
        <v>5859</v>
      </c>
      <c r="E37" s="293" t="s">
        <v>5863</v>
      </c>
      <c r="F37" s="293" t="s">
        <v>5776</v>
      </c>
      <c r="G37" s="293" t="s">
        <v>5581</v>
      </c>
      <c r="H37" s="294">
        <v>40543</v>
      </c>
      <c r="I37" s="295">
        <v>-2477006.4300000002</v>
      </c>
      <c r="L37" t="s">
        <v>5573</v>
      </c>
      <c r="M37" s="46">
        <v>297255.24</v>
      </c>
    </row>
    <row r="38" spans="1:15" x14ac:dyDescent="0.2">
      <c r="A38" s="293" t="s">
        <v>5778</v>
      </c>
      <c r="B38" s="293" t="s">
        <v>5632</v>
      </c>
      <c r="C38" s="293" t="s">
        <v>5773</v>
      </c>
      <c r="D38" s="293" t="s">
        <v>5859</v>
      </c>
      <c r="E38" s="293" t="s">
        <v>5864</v>
      </c>
      <c r="F38" s="293" t="s">
        <v>5776</v>
      </c>
      <c r="G38" s="293" t="s">
        <v>5587</v>
      </c>
      <c r="H38" s="294">
        <v>40543</v>
      </c>
      <c r="I38" s="295">
        <v>-96260.71</v>
      </c>
      <c r="L38" t="s">
        <v>5581</v>
      </c>
      <c r="M38" s="46">
        <v>56652.599999999802</v>
      </c>
    </row>
    <row r="39" spans="1:15" x14ac:dyDescent="0.2">
      <c r="A39" s="293" t="s">
        <v>5778</v>
      </c>
      <c r="B39" s="293" t="s">
        <v>5632</v>
      </c>
      <c r="C39" s="293" t="s">
        <v>5773</v>
      </c>
      <c r="D39" s="293" t="s">
        <v>5859</v>
      </c>
      <c r="E39" s="293" t="s">
        <v>5865</v>
      </c>
      <c r="F39" s="293" t="s">
        <v>5776</v>
      </c>
      <c r="G39" s="293" t="s">
        <v>5582</v>
      </c>
      <c r="H39" s="294">
        <v>40543</v>
      </c>
      <c r="I39" s="295">
        <v>-145928.03</v>
      </c>
      <c r="L39" t="s">
        <v>5591</v>
      </c>
      <c r="M39" s="46">
        <v>0</v>
      </c>
    </row>
    <row r="40" spans="1:15" x14ac:dyDescent="0.2">
      <c r="A40" s="293" t="s">
        <v>5778</v>
      </c>
      <c r="B40" s="293" t="s">
        <v>5632</v>
      </c>
      <c r="C40" s="293" t="s">
        <v>5773</v>
      </c>
      <c r="D40" s="293" t="s">
        <v>5859</v>
      </c>
      <c r="E40" s="293" t="s">
        <v>5866</v>
      </c>
      <c r="F40" s="293" t="s">
        <v>5776</v>
      </c>
      <c r="G40" s="293" t="s">
        <v>5576</v>
      </c>
      <c r="H40" s="294">
        <v>40543</v>
      </c>
      <c r="I40" s="295">
        <v>-511139.31</v>
      </c>
      <c r="L40" t="s">
        <v>5579</v>
      </c>
      <c r="M40" s="46">
        <v>57476.4</v>
      </c>
    </row>
    <row r="41" spans="1:15" x14ac:dyDescent="0.2">
      <c r="A41" s="293" t="s">
        <v>5778</v>
      </c>
      <c r="B41" s="293" t="s">
        <v>5632</v>
      </c>
      <c r="C41" s="293" t="s">
        <v>5773</v>
      </c>
      <c r="D41" s="293" t="s">
        <v>5859</v>
      </c>
      <c r="E41" s="293" t="s">
        <v>5867</v>
      </c>
      <c r="F41" s="293" t="s">
        <v>5776</v>
      </c>
      <c r="G41" s="293" t="s">
        <v>5588</v>
      </c>
      <c r="H41" s="294">
        <v>40543</v>
      </c>
      <c r="I41" s="295">
        <v>-1388840.99</v>
      </c>
      <c r="L41" t="s">
        <v>5580</v>
      </c>
      <c r="M41" s="46">
        <v>233085.4800000001</v>
      </c>
    </row>
    <row r="42" spans="1:15" x14ac:dyDescent="0.2">
      <c r="A42" s="293" t="s">
        <v>5778</v>
      </c>
      <c r="B42" s="293" t="s">
        <v>5632</v>
      </c>
      <c r="C42" s="293" t="s">
        <v>5773</v>
      </c>
      <c r="D42" s="293" t="s">
        <v>5859</v>
      </c>
      <c r="E42" s="293" t="s">
        <v>5868</v>
      </c>
      <c r="F42" s="293" t="s">
        <v>5776</v>
      </c>
      <c r="G42" s="293" t="s">
        <v>5590</v>
      </c>
      <c r="H42" s="294">
        <v>40543</v>
      </c>
      <c r="I42" s="295">
        <v>-789633.33</v>
      </c>
      <c r="K42" t="s">
        <v>6417</v>
      </c>
      <c r="M42" s="46">
        <v>747279.24</v>
      </c>
      <c r="O42" s="286"/>
    </row>
    <row r="43" spans="1:15" x14ac:dyDescent="0.2">
      <c r="A43" s="293" t="s">
        <v>5778</v>
      </c>
      <c r="B43" s="293" t="s">
        <v>5632</v>
      </c>
      <c r="C43" s="293" t="s">
        <v>5773</v>
      </c>
      <c r="D43" s="293" t="s">
        <v>5859</v>
      </c>
      <c r="E43" s="293" t="s">
        <v>5869</v>
      </c>
      <c r="F43" s="293" t="s">
        <v>5776</v>
      </c>
      <c r="G43" s="293" t="s">
        <v>5580</v>
      </c>
      <c r="H43" s="294">
        <v>40543</v>
      </c>
      <c r="I43" s="295">
        <v>-15692.91</v>
      </c>
      <c r="K43" t="s">
        <v>5878</v>
      </c>
      <c r="L43" t="s">
        <v>5637</v>
      </c>
      <c r="M43" s="46">
        <v>0</v>
      </c>
    </row>
    <row r="44" spans="1:15" x14ac:dyDescent="0.2">
      <c r="A44" s="293" t="s">
        <v>5778</v>
      </c>
      <c r="B44" s="293" t="s">
        <v>5632</v>
      </c>
      <c r="C44" s="293" t="s">
        <v>5773</v>
      </c>
      <c r="D44" s="293" t="s">
        <v>5859</v>
      </c>
      <c r="E44" s="293" t="s">
        <v>5870</v>
      </c>
      <c r="F44" s="293" t="s">
        <v>5776</v>
      </c>
      <c r="G44" s="293" t="s">
        <v>5577</v>
      </c>
      <c r="H44" s="294">
        <v>40543</v>
      </c>
      <c r="I44" s="295">
        <v>-1002638.78</v>
      </c>
      <c r="L44" t="s">
        <v>5582</v>
      </c>
      <c r="M44" s="46">
        <v>0</v>
      </c>
    </row>
    <row r="45" spans="1:15" x14ac:dyDescent="0.2">
      <c r="A45" s="293" t="s">
        <v>5778</v>
      </c>
      <c r="B45" s="293" t="s">
        <v>5632</v>
      </c>
      <c r="C45" s="293" t="s">
        <v>5773</v>
      </c>
      <c r="D45" s="293" t="s">
        <v>5859</v>
      </c>
      <c r="E45" s="293" t="s">
        <v>5871</v>
      </c>
      <c r="F45" s="293" t="s">
        <v>5776</v>
      </c>
      <c r="G45" s="293" t="s">
        <v>5578</v>
      </c>
      <c r="H45" s="294">
        <v>40543</v>
      </c>
      <c r="I45" s="295">
        <v>-958025.74</v>
      </c>
      <c r="L45" t="s">
        <v>5577</v>
      </c>
      <c r="M45" s="46">
        <v>4.7184589568871615E-11</v>
      </c>
    </row>
    <row r="46" spans="1:15" x14ac:dyDescent="0.2">
      <c r="A46" s="293" t="s">
        <v>5778</v>
      </c>
      <c r="B46" s="293" t="s">
        <v>5632</v>
      </c>
      <c r="C46" s="293" t="s">
        <v>5773</v>
      </c>
      <c r="D46" s="293" t="s">
        <v>5859</v>
      </c>
      <c r="E46" s="293" t="s">
        <v>5872</v>
      </c>
      <c r="F46" s="293" t="s">
        <v>5776</v>
      </c>
      <c r="G46" s="293" t="s">
        <v>5579</v>
      </c>
      <c r="H46" s="294">
        <v>40543</v>
      </c>
      <c r="I46" s="295">
        <v>-284948.74</v>
      </c>
      <c r="L46" t="s">
        <v>5576</v>
      </c>
      <c r="M46" s="46">
        <v>249088.28999999969</v>
      </c>
    </row>
    <row r="47" spans="1:15" x14ac:dyDescent="0.2">
      <c r="A47" s="293" t="s">
        <v>5778</v>
      </c>
      <c r="B47" s="293" t="s">
        <v>5632</v>
      </c>
      <c r="C47" s="293" t="s">
        <v>5773</v>
      </c>
      <c r="D47" s="293" t="s">
        <v>5859</v>
      </c>
      <c r="E47" s="293" t="s">
        <v>5873</v>
      </c>
      <c r="F47" s="293" t="s">
        <v>5776</v>
      </c>
      <c r="G47" s="293" t="s">
        <v>5591</v>
      </c>
      <c r="H47" s="294">
        <v>40543</v>
      </c>
      <c r="I47" s="295">
        <v>-1239314.1200000001</v>
      </c>
      <c r="L47" t="s">
        <v>5578</v>
      </c>
      <c r="M47" s="46">
        <v>57080.600000000049</v>
      </c>
    </row>
    <row r="48" spans="1:15" x14ac:dyDescent="0.2">
      <c r="A48" s="293" t="s">
        <v>5778</v>
      </c>
      <c r="B48" s="293" t="s">
        <v>5632</v>
      </c>
      <c r="C48" s="293" t="s">
        <v>5773</v>
      </c>
      <c r="D48" s="293" t="s">
        <v>5859</v>
      </c>
      <c r="E48" s="293" t="s">
        <v>5874</v>
      </c>
      <c r="F48" s="293" t="s">
        <v>5776</v>
      </c>
      <c r="G48" s="293" t="s">
        <v>5592</v>
      </c>
      <c r="H48" s="294">
        <v>40543</v>
      </c>
      <c r="I48" s="295">
        <v>-1255298.5900000001</v>
      </c>
      <c r="L48" t="s">
        <v>5573</v>
      </c>
      <c r="M48" s="46">
        <v>1236204.1699999983</v>
      </c>
    </row>
    <row r="49" spans="1:13" x14ac:dyDescent="0.2">
      <c r="A49" s="293" t="s">
        <v>5779</v>
      </c>
      <c r="B49" s="293" t="s">
        <v>5632</v>
      </c>
      <c r="C49" s="293" t="s">
        <v>5780</v>
      </c>
      <c r="D49" s="293" t="s">
        <v>5859</v>
      </c>
      <c r="E49" s="293" t="s">
        <v>5912</v>
      </c>
      <c r="F49" s="293" t="s">
        <v>5636</v>
      </c>
      <c r="G49" s="293" t="s">
        <v>5573</v>
      </c>
      <c r="H49" s="294">
        <v>40574</v>
      </c>
      <c r="I49" s="295">
        <v>-166482.20000000001</v>
      </c>
      <c r="L49" t="s">
        <v>5581</v>
      </c>
      <c r="M49" s="46">
        <v>788417.62000000384</v>
      </c>
    </row>
    <row r="50" spans="1:13" x14ac:dyDescent="0.2">
      <c r="A50" s="293" t="s">
        <v>5779</v>
      </c>
      <c r="B50" s="293" t="s">
        <v>5632</v>
      </c>
      <c r="C50" s="293" t="s">
        <v>5780</v>
      </c>
      <c r="D50" s="293" t="s">
        <v>5859</v>
      </c>
      <c r="E50" s="293" t="s">
        <v>5913</v>
      </c>
      <c r="F50" s="293" t="s">
        <v>5636</v>
      </c>
      <c r="G50" s="293" t="s">
        <v>5585</v>
      </c>
      <c r="H50" s="294">
        <v>40574</v>
      </c>
      <c r="I50" s="295">
        <v>-11502.62</v>
      </c>
      <c r="L50" t="s">
        <v>5587</v>
      </c>
      <c r="M50" s="46">
        <v>-9.0949470177292824E-12</v>
      </c>
    </row>
    <row r="51" spans="1:13" x14ac:dyDescent="0.2">
      <c r="A51" s="293" t="s">
        <v>5779</v>
      </c>
      <c r="B51" s="293" t="s">
        <v>5632</v>
      </c>
      <c r="C51" s="293" t="s">
        <v>5780</v>
      </c>
      <c r="D51" s="293" t="s">
        <v>5859</v>
      </c>
      <c r="E51" s="293" t="s">
        <v>5914</v>
      </c>
      <c r="F51" s="293" t="s">
        <v>5636</v>
      </c>
      <c r="G51" s="293" t="s">
        <v>5586</v>
      </c>
      <c r="H51" s="294">
        <v>40574</v>
      </c>
      <c r="I51" s="295">
        <v>-3059.89</v>
      </c>
      <c r="L51" t="s">
        <v>5588</v>
      </c>
      <c r="M51" s="46">
        <v>-1.127773430198431E-9</v>
      </c>
    </row>
    <row r="52" spans="1:13" x14ac:dyDescent="0.2">
      <c r="A52" s="293" t="s">
        <v>5779</v>
      </c>
      <c r="B52" s="293" t="s">
        <v>5632</v>
      </c>
      <c r="C52" s="293" t="s">
        <v>5780</v>
      </c>
      <c r="D52" s="293" t="s">
        <v>5859</v>
      </c>
      <c r="E52" s="293" t="s">
        <v>5915</v>
      </c>
      <c r="F52" s="293" t="s">
        <v>5636</v>
      </c>
      <c r="G52" s="293" t="s">
        <v>5581</v>
      </c>
      <c r="H52" s="294">
        <v>40574</v>
      </c>
      <c r="I52" s="295">
        <v>-19390.73</v>
      </c>
      <c r="L52" t="s">
        <v>5579</v>
      </c>
      <c r="M52" s="46">
        <v>62912.899999999332</v>
      </c>
    </row>
    <row r="53" spans="1:13" x14ac:dyDescent="0.2">
      <c r="A53" s="293" t="s">
        <v>5779</v>
      </c>
      <c r="B53" s="293" t="s">
        <v>5632</v>
      </c>
      <c r="C53" s="293" t="s">
        <v>5780</v>
      </c>
      <c r="D53" s="293" t="s">
        <v>5859</v>
      </c>
      <c r="E53" s="293" t="s">
        <v>5916</v>
      </c>
      <c r="F53" s="293" t="s">
        <v>5636</v>
      </c>
      <c r="G53" s="293" t="s">
        <v>5587</v>
      </c>
      <c r="H53" s="294">
        <v>40574</v>
      </c>
      <c r="I53" s="295">
        <v>-11405.55</v>
      </c>
      <c r="L53" t="s">
        <v>5580</v>
      </c>
      <c r="M53" s="46">
        <v>277170.26999998459</v>
      </c>
    </row>
    <row r="54" spans="1:13" x14ac:dyDescent="0.2">
      <c r="A54" s="293" t="s">
        <v>5779</v>
      </c>
      <c r="B54" s="293" t="s">
        <v>5632</v>
      </c>
      <c r="C54" s="293" t="s">
        <v>5780</v>
      </c>
      <c r="D54" s="293" t="s">
        <v>5859</v>
      </c>
      <c r="E54" s="293" t="s">
        <v>5911</v>
      </c>
      <c r="F54" s="293" t="s">
        <v>5636</v>
      </c>
      <c r="G54" s="293" t="s">
        <v>5582</v>
      </c>
      <c r="H54" s="294">
        <v>40574</v>
      </c>
      <c r="I54" s="295">
        <v>-4422.05</v>
      </c>
      <c r="K54" t="s">
        <v>6418</v>
      </c>
      <c r="M54" s="46">
        <v>2670873.8499999852</v>
      </c>
    </row>
    <row r="55" spans="1:13" x14ac:dyDescent="0.2">
      <c r="A55" s="293" t="s">
        <v>5779</v>
      </c>
      <c r="B55" s="293" t="s">
        <v>5632</v>
      </c>
      <c r="C55" s="293" t="s">
        <v>5780</v>
      </c>
      <c r="D55" s="293" t="s">
        <v>5859</v>
      </c>
      <c r="E55" s="293" t="s">
        <v>5917</v>
      </c>
      <c r="F55" s="293" t="s">
        <v>5636</v>
      </c>
      <c r="G55" s="293" t="s">
        <v>5576</v>
      </c>
      <c r="H55" s="294">
        <v>40574</v>
      </c>
      <c r="I55" s="295">
        <v>-3340.78</v>
      </c>
      <c r="K55" t="s">
        <v>9905</v>
      </c>
      <c r="L55" t="s">
        <v>9905</v>
      </c>
      <c r="M55" s="46"/>
    </row>
    <row r="56" spans="1:13" x14ac:dyDescent="0.2">
      <c r="A56" s="293" t="s">
        <v>5779</v>
      </c>
      <c r="B56" s="293" t="s">
        <v>5632</v>
      </c>
      <c r="C56" s="293" t="s">
        <v>5780</v>
      </c>
      <c r="D56" s="293" t="s">
        <v>5859</v>
      </c>
      <c r="E56" s="293" t="s">
        <v>5918</v>
      </c>
      <c r="F56" s="293" t="s">
        <v>5636</v>
      </c>
      <c r="G56" s="293" t="s">
        <v>5588</v>
      </c>
      <c r="H56" s="294">
        <v>40574</v>
      </c>
      <c r="I56" s="295">
        <v>-112812.3</v>
      </c>
      <c r="K56" t="s">
        <v>9906</v>
      </c>
      <c r="M56" s="46"/>
    </row>
    <row r="57" spans="1:13" x14ac:dyDescent="0.2">
      <c r="A57" s="293" t="s">
        <v>5779</v>
      </c>
      <c r="B57" s="293" t="s">
        <v>5632</v>
      </c>
      <c r="C57" s="293" t="s">
        <v>5780</v>
      </c>
      <c r="D57" s="293" t="s">
        <v>5859</v>
      </c>
      <c r="E57" s="293" t="s">
        <v>5919</v>
      </c>
      <c r="F57" s="293" t="s">
        <v>5636</v>
      </c>
      <c r="G57" s="293" t="s">
        <v>5590</v>
      </c>
      <c r="H57" s="294">
        <v>40574</v>
      </c>
      <c r="I57" s="295">
        <v>-12467.89</v>
      </c>
      <c r="K57" t="s">
        <v>5737</v>
      </c>
      <c r="M57" s="46">
        <v>25872425.830000013</v>
      </c>
    </row>
    <row r="58" spans="1:13" x14ac:dyDescent="0.2">
      <c r="A58" s="293" t="s">
        <v>5779</v>
      </c>
      <c r="B58" s="293" t="s">
        <v>5632</v>
      </c>
      <c r="C58" s="293" t="s">
        <v>5780</v>
      </c>
      <c r="D58" s="293" t="s">
        <v>5859</v>
      </c>
      <c r="E58" s="293" t="s">
        <v>5920</v>
      </c>
      <c r="F58" s="293" t="s">
        <v>5636</v>
      </c>
      <c r="G58" s="293" t="s">
        <v>5580</v>
      </c>
      <c r="H58" s="294">
        <v>40574</v>
      </c>
      <c r="I58" s="295">
        <v>-15692.91</v>
      </c>
    </row>
    <row r="59" spans="1:13" x14ac:dyDescent="0.2">
      <c r="A59" s="293" t="s">
        <v>5779</v>
      </c>
      <c r="B59" s="293" t="s">
        <v>5632</v>
      </c>
      <c r="C59" s="293" t="s">
        <v>5780</v>
      </c>
      <c r="D59" s="293" t="s">
        <v>5859</v>
      </c>
      <c r="E59" s="293" t="s">
        <v>5921</v>
      </c>
      <c r="F59" s="293" t="s">
        <v>5636</v>
      </c>
      <c r="G59" s="293" t="s">
        <v>5577</v>
      </c>
      <c r="H59" s="294">
        <v>40574</v>
      </c>
      <c r="I59" s="295">
        <v>-11329.25</v>
      </c>
    </row>
    <row r="60" spans="1:13" x14ac:dyDescent="0.2">
      <c r="A60" s="293" t="s">
        <v>5779</v>
      </c>
      <c r="B60" s="293" t="s">
        <v>5632</v>
      </c>
      <c r="C60" s="293" t="s">
        <v>5780</v>
      </c>
      <c r="D60" s="293" t="s">
        <v>5859</v>
      </c>
      <c r="E60" s="293" t="s">
        <v>5922</v>
      </c>
      <c r="F60" s="293" t="s">
        <v>5636</v>
      </c>
      <c r="G60" s="293" t="s">
        <v>5578</v>
      </c>
      <c r="H60" s="294">
        <v>40574</v>
      </c>
      <c r="I60" s="295">
        <v>-10138.58</v>
      </c>
    </row>
    <row r="61" spans="1:13" x14ac:dyDescent="0.2">
      <c r="A61" s="293" t="s">
        <v>5779</v>
      </c>
      <c r="B61" s="293" t="s">
        <v>5632</v>
      </c>
      <c r="C61" s="293" t="s">
        <v>5780</v>
      </c>
      <c r="D61" s="293" t="s">
        <v>5859</v>
      </c>
      <c r="E61" s="293" t="s">
        <v>5923</v>
      </c>
      <c r="F61" s="293" t="s">
        <v>5636</v>
      </c>
      <c r="G61" s="293" t="s">
        <v>5579</v>
      </c>
      <c r="H61" s="294">
        <v>40574</v>
      </c>
      <c r="I61" s="295">
        <v>-2414.83</v>
      </c>
    </row>
    <row r="62" spans="1:13" x14ac:dyDescent="0.2">
      <c r="A62" s="293" t="s">
        <v>5779</v>
      </c>
      <c r="B62" s="293" t="s">
        <v>5632</v>
      </c>
      <c r="C62" s="293" t="s">
        <v>5780</v>
      </c>
      <c r="D62" s="293" t="s">
        <v>5859</v>
      </c>
      <c r="E62" s="293" t="s">
        <v>5924</v>
      </c>
      <c r="F62" s="293" t="s">
        <v>5636</v>
      </c>
      <c r="G62" s="293" t="s">
        <v>5591</v>
      </c>
      <c r="H62" s="294">
        <v>40574</v>
      </c>
      <c r="I62" s="295">
        <v>-14003.55</v>
      </c>
    </row>
    <row r="63" spans="1:13" x14ac:dyDescent="0.2">
      <c r="A63" s="293" t="s">
        <v>5779</v>
      </c>
      <c r="B63" s="293" t="s">
        <v>5632</v>
      </c>
      <c r="C63" s="293" t="s">
        <v>5780</v>
      </c>
      <c r="D63" s="293" t="s">
        <v>5859</v>
      </c>
      <c r="E63" s="293" t="s">
        <v>5925</v>
      </c>
      <c r="F63" s="293" t="s">
        <v>5636</v>
      </c>
      <c r="G63" s="293" t="s">
        <v>5592</v>
      </c>
      <c r="H63" s="294">
        <v>40574</v>
      </c>
      <c r="I63" s="295">
        <v>-60056.1</v>
      </c>
    </row>
    <row r="64" spans="1:13" x14ac:dyDescent="0.2">
      <c r="A64" s="293" t="s">
        <v>5782</v>
      </c>
      <c r="B64" s="293" t="s">
        <v>5632</v>
      </c>
      <c r="C64" s="293" t="s">
        <v>5783</v>
      </c>
      <c r="D64" s="293" t="s">
        <v>5859</v>
      </c>
      <c r="E64" s="293" t="s">
        <v>5912</v>
      </c>
      <c r="F64" s="293" t="s">
        <v>5636</v>
      </c>
      <c r="G64" s="293" t="s">
        <v>5573</v>
      </c>
      <c r="H64" s="294">
        <v>40602</v>
      </c>
      <c r="I64" s="295">
        <v>-172490.64</v>
      </c>
    </row>
    <row r="65" spans="1:9" x14ac:dyDescent="0.2">
      <c r="A65" s="293" t="s">
        <v>5782</v>
      </c>
      <c r="B65" s="293" t="s">
        <v>5632</v>
      </c>
      <c r="C65" s="293" t="s">
        <v>5783</v>
      </c>
      <c r="D65" s="293" t="s">
        <v>5859</v>
      </c>
      <c r="E65" s="293" t="s">
        <v>5913</v>
      </c>
      <c r="F65" s="293" t="s">
        <v>5636</v>
      </c>
      <c r="G65" s="293" t="s">
        <v>5585</v>
      </c>
      <c r="H65" s="294">
        <v>40602</v>
      </c>
      <c r="I65" s="295">
        <v>-11502.62</v>
      </c>
    </row>
    <row r="66" spans="1:9" x14ac:dyDescent="0.2">
      <c r="A66" s="293" t="s">
        <v>5782</v>
      </c>
      <c r="B66" s="293" t="s">
        <v>5632</v>
      </c>
      <c r="C66" s="293" t="s">
        <v>5783</v>
      </c>
      <c r="D66" s="293" t="s">
        <v>5859</v>
      </c>
      <c r="E66" s="293" t="s">
        <v>5914</v>
      </c>
      <c r="F66" s="293" t="s">
        <v>5636</v>
      </c>
      <c r="G66" s="293" t="s">
        <v>5586</v>
      </c>
      <c r="H66" s="294">
        <v>40602</v>
      </c>
      <c r="I66" s="295">
        <v>-3059.89</v>
      </c>
    </row>
    <row r="67" spans="1:9" x14ac:dyDescent="0.2">
      <c r="A67" s="293" t="s">
        <v>5782</v>
      </c>
      <c r="B67" s="293" t="s">
        <v>5632</v>
      </c>
      <c r="C67" s="293" t="s">
        <v>5783</v>
      </c>
      <c r="D67" s="293" t="s">
        <v>5859</v>
      </c>
      <c r="E67" s="293" t="s">
        <v>5915</v>
      </c>
      <c r="F67" s="293" t="s">
        <v>5636</v>
      </c>
      <c r="G67" s="293" t="s">
        <v>5581</v>
      </c>
      <c r="H67" s="294">
        <v>40602</v>
      </c>
      <c r="I67" s="295">
        <v>-19390.73</v>
      </c>
    </row>
    <row r="68" spans="1:9" x14ac:dyDescent="0.2">
      <c r="A68" s="293" t="s">
        <v>5782</v>
      </c>
      <c r="B68" s="293" t="s">
        <v>5632</v>
      </c>
      <c r="C68" s="293" t="s">
        <v>5783</v>
      </c>
      <c r="D68" s="293" t="s">
        <v>5859</v>
      </c>
      <c r="E68" s="293" t="s">
        <v>5916</v>
      </c>
      <c r="F68" s="293" t="s">
        <v>5636</v>
      </c>
      <c r="G68" s="293" t="s">
        <v>5587</v>
      </c>
      <c r="H68" s="294">
        <v>40602</v>
      </c>
      <c r="I68" s="295">
        <v>589.71</v>
      </c>
    </row>
    <row r="69" spans="1:9" x14ac:dyDescent="0.2">
      <c r="A69" s="293" t="s">
        <v>5782</v>
      </c>
      <c r="B69" s="293" t="s">
        <v>5632</v>
      </c>
      <c r="C69" s="293" t="s">
        <v>5783</v>
      </c>
      <c r="D69" s="293" t="s">
        <v>5859</v>
      </c>
      <c r="E69" s="293" t="s">
        <v>5911</v>
      </c>
      <c r="F69" s="293" t="s">
        <v>5636</v>
      </c>
      <c r="G69" s="293" t="s">
        <v>5582</v>
      </c>
      <c r="H69" s="294">
        <v>40602</v>
      </c>
      <c r="I69" s="295">
        <v>-4422.05</v>
      </c>
    </row>
    <row r="70" spans="1:9" x14ac:dyDescent="0.2">
      <c r="A70" s="293" t="s">
        <v>5782</v>
      </c>
      <c r="B70" s="293" t="s">
        <v>5632</v>
      </c>
      <c r="C70" s="293" t="s">
        <v>5783</v>
      </c>
      <c r="D70" s="293" t="s">
        <v>5859</v>
      </c>
      <c r="E70" s="293" t="s">
        <v>5917</v>
      </c>
      <c r="F70" s="293" t="s">
        <v>5636</v>
      </c>
      <c r="G70" s="293" t="s">
        <v>5576</v>
      </c>
      <c r="H70" s="294">
        <v>40602</v>
      </c>
      <c r="I70" s="295">
        <v>-3340.78</v>
      </c>
    </row>
    <row r="71" spans="1:9" x14ac:dyDescent="0.2">
      <c r="A71" s="293" t="s">
        <v>5782</v>
      </c>
      <c r="B71" s="293" t="s">
        <v>5632</v>
      </c>
      <c r="C71" s="293" t="s">
        <v>5783</v>
      </c>
      <c r="D71" s="293" t="s">
        <v>5859</v>
      </c>
      <c r="E71" s="293" t="s">
        <v>5918</v>
      </c>
      <c r="F71" s="293" t="s">
        <v>5636</v>
      </c>
      <c r="G71" s="293" t="s">
        <v>5588</v>
      </c>
      <c r="H71" s="294">
        <v>40602</v>
      </c>
      <c r="I71" s="295">
        <v>-29867.200000000001</v>
      </c>
    </row>
    <row r="72" spans="1:9" x14ac:dyDescent="0.2">
      <c r="A72" s="293" t="s">
        <v>5782</v>
      </c>
      <c r="B72" s="293" t="s">
        <v>5632</v>
      </c>
      <c r="C72" s="293" t="s">
        <v>5783</v>
      </c>
      <c r="D72" s="293" t="s">
        <v>5859</v>
      </c>
      <c r="E72" s="293" t="s">
        <v>5919</v>
      </c>
      <c r="F72" s="293" t="s">
        <v>5636</v>
      </c>
      <c r="G72" s="293" t="s">
        <v>5590</v>
      </c>
      <c r="H72" s="294">
        <v>40602</v>
      </c>
      <c r="I72" s="295">
        <v>-12467.89</v>
      </c>
    </row>
    <row r="73" spans="1:9" x14ac:dyDescent="0.2">
      <c r="A73" s="293" t="s">
        <v>5782</v>
      </c>
      <c r="B73" s="293" t="s">
        <v>5632</v>
      </c>
      <c r="C73" s="293" t="s">
        <v>5783</v>
      </c>
      <c r="D73" s="293" t="s">
        <v>5859</v>
      </c>
      <c r="E73" s="293" t="s">
        <v>5921</v>
      </c>
      <c r="F73" s="293" t="s">
        <v>5636</v>
      </c>
      <c r="G73" s="293" t="s">
        <v>5577</v>
      </c>
      <c r="H73" s="294">
        <v>40602</v>
      </c>
      <c r="I73" s="295">
        <v>-11329.25</v>
      </c>
    </row>
    <row r="74" spans="1:9" x14ac:dyDescent="0.2">
      <c r="A74" s="293" t="s">
        <v>5782</v>
      </c>
      <c r="B74" s="293" t="s">
        <v>5632</v>
      </c>
      <c r="C74" s="293" t="s">
        <v>5783</v>
      </c>
      <c r="D74" s="293" t="s">
        <v>5859</v>
      </c>
      <c r="E74" s="293" t="s">
        <v>5922</v>
      </c>
      <c r="F74" s="293" t="s">
        <v>5636</v>
      </c>
      <c r="G74" s="293" t="s">
        <v>5578</v>
      </c>
      <c r="H74" s="294">
        <v>40602</v>
      </c>
      <c r="I74" s="295">
        <v>-10138.58</v>
      </c>
    </row>
    <row r="75" spans="1:9" x14ac:dyDescent="0.2">
      <c r="A75" s="293" t="s">
        <v>5782</v>
      </c>
      <c r="B75" s="293" t="s">
        <v>5632</v>
      </c>
      <c r="C75" s="293" t="s">
        <v>5783</v>
      </c>
      <c r="D75" s="293" t="s">
        <v>5859</v>
      </c>
      <c r="E75" s="293" t="s">
        <v>5923</v>
      </c>
      <c r="F75" s="293" t="s">
        <v>5636</v>
      </c>
      <c r="G75" s="293" t="s">
        <v>5579</v>
      </c>
      <c r="H75" s="294">
        <v>40602</v>
      </c>
      <c r="I75" s="295">
        <v>-2414.83</v>
      </c>
    </row>
    <row r="76" spans="1:9" x14ac:dyDescent="0.2">
      <c r="A76" s="293" t="s">
        <v>5782</v>
      </c>
      <c r="B76" s="293" t="s">
        <v>5632</v>
      </c>
      <c r="C76" s="293" t="s">
        <v>5783</v>
      </c>
      <c r="D76" s="293" t="s">
        <v>5859</v>
      </c>
      <c r="E76" s="293" t="s">
        <v>5924</v>
      </c>
      <c r="F76" s="293" t="s">
        <v>5636</v>
      </c>
      <c r="G76" s="293" t="s">
        <v>5591</v>
      </c>
      <c r="H76" s="294">
        <v>40602</v>
      </c>
      <c r="I76" s="295">
        <v>-14003.55</v>
      </c>
    </row>
    <row r="77" spans="1:9" x14ac:dyDescent="0.2">
      <c r="A77" s="293" t="s">
        <v>5782</v>
      </c>
      <c r="B77" s="293" t="s">
        <v>5632</v>
      </c>
      <c r="C77" s="293" t="s">
        <v>5783</v>
      </c>
      <c r="D77" s="293" t="s">
        <v>5859</v>
      </c>
      <c r="E77" s="293" t="s">
        <v>5925</v>
      </c>
      <c r="F77" s="293" t="s">
        <v>5636</v>
      </c>
      <c r="G77" s="293" t="s">
        <v>5592</v>
      </c>
      <c r="H77" s="294">
        <v>40602</v>
      </c>
      <c r="I77" s="295">
        <v>13544.8</v>
      </c>
    </row>
    <row r="78" spans="1:9" x14ac:dyDescent="0.2">
      <c r="A78" s="293" t="s">
        <v>5784</v>
      </c>
      <c r="B78" s="293" t="s">
        <v>5632</v>
      </c>
      <c r="C78" s="293" t="s">
        <v>5785</v>
      </c>
      <c r="D78" s="293" t="s">
        <v>5859</v>
      </c>
      <c r="E78" s="293" t="s">
        <v>5912</v>
      </c>
      <c r="F78" s="293" t="s">
        <v>5636</v>
      </c>
      <c r="G78" s="293" t="s">
        <v>5573</v>
      </c>
      <c r="H78" s="294">
        <v>40633</v>
      </c>
      <c r="I78" s="295">
        <v>-6531.18</v>
      </c>
    </row>
    <row r="79" spans="1:9" x14ac:dyDescent="0.2">
      <c r="A79" s="293" t="s">
        <v>5784</v>
      </c>
      <c r="B79" s="293" t="s">
        <v>5632</v>
      </c>
      <c r="C79" s="293" t="s">
        <v>5785</v>
      </c>
      <c r="D79" s="293" t="s">
        <v>5859</v>
      </c>
      <c r="E79" s="293" t="s">
        <v>5913</v>
      </c>
      <c r="F79" s="293" t="s">
        <v>5636</v>
      </c>
      <c r="G79" s="293" t="s">
        <v>5585</v>
      </c>
      <c r="H79" s="294">
        <v>40633</v>
      </c>
      <c r="I79" s="295">
        <v>-11502.62</v>
      </c>
    </row>
    <row r="80" spans="1:9" x14ac:dyDescent="0.2">
      <c r="A80" s="293" t="s">
        <v>5784</v>
      </c>
      <c r="B80" s="293" t="s">
        <v>5632</v>
      </c>
      <c r="C80" s="293" t="s">
        <v>5785</v>
      </c>
      <c r="D80" s="293" t="s">
        <v>5859</v>
      </c>
      <c r="E80" s="293" t="s">
        <v>5914</v>
      </c>
      <c r="F80" s="293" t="s">
        <v>5636</v>
      </c>
      <c r="G80" s="293" t="s">
        <v>5586</v>
      </c>
      <c r="H80" s="294">
        <v>40633</v>
      </c>
      <c r="I80" s="295">
        <v>-3059.89</v>
      </c>
    </row>
    <row r="81" spans="1:9" x14ac:dyDescent="0.2">
      <c r="A81" s="293" t="s">
        <v>5784</v>
      </c>
      <c r="B81" s="293" t="s">
        <v>5632</v>
      </c>
      <c r="C81" s="293" t="s">
        <v>5785</v>
      </c>
      <c r="D81" s="293" t="s">
        <v>5859</v>
      </c>
      <c r="E81" s="293" t="s">
        <v>5915</v>
      </c>
      <c r="F81" s="293" t="s">
        <v>5636</v>
      </c>
      <c r="G81" s="293" t="s">
        <v>5581</v>
      </c>
      <c r="H81" s="294">
        <v>40633</v>
      </c>
      <c r="I81" s="295">
        <v>-19390.73</v>
      </c>
    </row>
    <row r="82" spans="1:9" x14ac:dyDescent="0.2">
      <c r="A82" s="293" t="s">
        <v>5784</v>
      </c>
      <c r="B82" s="293" t="s">
        <v>5632</v>
      </c>
      <c r="C82" s="293" t="s">
        <v>5785</v>
      </c>
      <c r="D82" s="293" t="s">
        <v>5859</v>
      </c>
      <c r="E82" s="293" t="s">
        <v>5916</v>
      </c>
      <c r="F82" s="293" t="s">
        <v>5636</v>
      </c>
      <c r="G82" s="293" t="s">
        <v>5587</v>
      </c>
      <c r="H82" s="294">
        <v>40633</v>
      </c>
      <c r="I82" s="295">
        <v>-5407.92</v>
      </c>
    </row>
    <row r="83" spans="1:9" x14ac:dyDescent="0.2">
      <c r="A83" s="293" t="s">
        <v>5784</v>
      </c>
      <c r="B83" s="293" t="s">
        <v>5632</v>
      </c>
      <c r="C83" s="293" t="s">
        <v>5785</v>
      </c>
      <c r="D83" s="293" t="s">
        <v>5859</v>
      </c>
      <c r="E83" s="293" t="s">
        <v>5911</v>
      </c>
      <c r="F83" s="293" t="s">
        <v>5636</v>
      </c>
      <c r="G83" s="293" t="s">
        <v>5582</v>
      </c>
      <c r="H83" s="294">
        <v>40633</v>
      </c>
      <c r="I83" s="295">
        <v>-4422.05</v>
      </c>
    </row>
    <row r="84" spans="1:9" x14ac:dyDescent="0.2">
      <c r="A84" s="293" t="s">
        <v>5784</v>
      </c>
      <c r="B84" s="293" t="s">
        <v>5632</v>
      </c>
      <c r="C84" s="293" t="s">
        <v>5785</v>
      </c>
      <c r="D84" s="293" t="s">
        <v>5859</v>
      </c>
      <c r="E84" s="293" t="s">
        <v>5917</v>
      </c>
      <c r="F84" s="293" t="s">
        <v>5636</v>
      </c>
      <c r="G84" s="293" t="s">
        <v>5576</v>
      </c>
      <c r="H84" s="294">
        <v>40633</v>
      </c>
      <c r="I84" s="295">
        <v>-3340.78</v>
      </c>
    </row>
    <row r="85" spans="1:9" x14ac:dyDescent="0.2">
      <c r="A85" s="293" t="s">
        <v>5784</v>
      </c>
      <c r="B85" s="293" t="s">
        <v>5632</v>
      </c>
      <c r="C85" s="293" t="s">
        <v>5785</v>
      </c>
      <c r="D85" s="293" t="s">
        <v>5859</v>
      </c>
      <c r="E85" s="293" t="s">
        <v>5918</v>
      </c>
      <c r="F85" s="293" t="s">
        <v>5636</v>
      </c>
      <c r="G85" s="293" t="s">
        <v>5588</v>
      </c>
      <c r="H85" s="294">
        <v>40633</v>
      </c>
      <c r="I85" s="295">
        <v>-71354.75</v>
      </c>
    </row>
    <row r="86" spans="1:9" x14ac:dyDescent="0.2">
      <c r="A86" s="293" t="s">
        <v>5784</v>
      </c>
      <c r="B86" s="293" t="s">
        <v>5632</v>
      </c>
      <c r="C86" s="293" t="s">
        <v>5785</v>
      </c>
      <c r="D86" s="293" t="s">
        <v>5859</v>
      </c>
      <c r="E86" s="293" t="s">
        <v>5919</v>
      </c>
      <c r="F86" s="293" t="s">
        <v>5636</v>
      </c>
      <c r="G86" s="293" t="s">
        <v>5590</v>
      </c>
      <c r="H86" s="294">
        <v>40633</v>
      </c>
      <c r="I86" s="295">
        <v>-12467.89</v>
      </c>
    </row>
    <row r="87" spans="1:9" x14ac:dyDescent="0.2">
      <c r="A87" s="293" t="s">
        <v>5784</v>
      </c>
      <c r="B87" s="293" t="s">
        <v>5632</v>
      </c>
      <c r="C87" s="293" t="s">
        <v>5785</v>
      </c>
      <c r="D87" s="293" t="s">
        <v>5859</v>
      </c>
      <c r="E87" s="293" t="s">
        <v>5920</v>
      </c>
      <c r="F87" s="293" t="s">
        <v>5636</v>
      </c>
      <c r="G87" s="293" t="s">
        <v>5580</v>
      </c>
      <c r="H87" s="294">
        <v>40633</v>
      </c>
      <c r="I87" s="295">
        <v>52527.94</v>
      </c>
    </row>
    <row r="88" spans="1:9" x14ac:dyDescent="0.2">
      <c r="A88" s="293" t="s">
        <v>5784</v>
      </c>
      <c r="B88" s="293" t="s">
        <v>5632</v>
      </c>
      <c r="C88" s="293" t="s">
        <v>5785</v>
      </c>
      <c r="D88" s="293" t="s">
        <v>5859</v>
      </c>
      <c r="E88" s="293" t="s">
        <v>5921</v>
      </c>
      <c r="F88" s="293" t="s">
        <v>5636</v>
      </c>
      <c r="G88" s="293" t="s">
        <v>5577</v>
      </c>
      <c r="H88" s="294">
        <v>40633</v>
      </c>
      <c r="I88" s="295">
        <v>-11329.25</v>
      </c>
    </row>
    <row r="89" spans="1:9" x14ac:dyDescent="0.2">
      <c r="A89" s="293" t="s">
        <v>5784</v>
      </c>
      <c r="B89" s="293" t="s">
        <v>5632</v>
      </c>
      <c r="C89" s="293" t="s">
        <v>5785</v>
      </c>
      <c r="D89" s="293" t="s">
        <v>5859</v>
      </c>
      <c r="E89" s="293" t="s">
        <v>5922</v>
      </c>
      <c r="F89" s="293" t="s">
        <v>5636</v>
      </c>
      <c r="G89" s="293" t="s">
        <v>5578</v>
      </c>
      <c r="H89" s="294">
        <v>40633</v>
      </c>
      <c r="I89" s="295">
        <v>-10138.58</v>
      </c>
    </row>
    <row r="90" spans="1:9" x14ac:dyDescent="0.2">
      <c r="A90" s="293" t="s">
        <v>5784</v>
      </c>
      <c r="B90" s="293" t="s">
        <v>5632</v>
      </c>
      <c r="C90" s="293" t="s">
        <v>5785</v>
      </c>
      <c r="D90" s="293" t="s">
        <v>5859</v>
      </c>
      <c r="E90" s="293" t="s">
        <v>5923</v>
      </c>
      <c r="F90" s="293" t="s">
        <v>5636</v>
      </c>
      <c r="G90" s="293" t="s">
        <v>5579</v>
      </c>
      <c r="H90" s="294">
        <v>40633</v>
      </c>
      <c r="I90" s="295">
        <v>-2414.83</v>
      </c>
    </row>
    <row r="91" spans="1:9" x14ac:dyDescent="0.2">
      <c r="A91" s="293" t="s">
        <v>5784</v>
      </c>
      <c r="B91" s="293" t="s">
        <v>5632</v>
      </c>
      <c r="C91" s="293" t="s">
        <v>5785</v>
      </c>
      <c r="D91" s="293" t="s">
        <v>5859</v>
      </c>
      <c r="E91" s="293" t="s">
        <v>5924</v>
      </c>
      <c r="F91" s="293" t="s">
        <v>5636</v>
      </c>
      <c r="G91" s="293" t="s">
        <v>5591</v>
      </c>
      <c r="H91" s="294">
        <v>40633</v>
      </c>
      <c r="I91" s="295">
        <v>-14003.55</v>
      </c>
    </row>
    <row r="92" spans="1:9" x14ac:dyDescent="0.2">
      <c r="A92" s="293" t="s">
        <v>5784</v>
      </c>
      <c r="B92" s="293" t="s">
        <v>5632</v>
      </c>
      <c r="C92" s="293" t="s">
        <v>5785</v>
      </c>
      <c r="D92" s="293" t="s">
        <v>5859</v>
      </c>
      <c r="E92" s="293" t="s">
        <v>5925</v>
      </c>
      <c r="F92" s="293" t="s">
        <v>5636</v>
      </c>
      <c r="G92" s="293" t="s">
        <v>5592</v>
      </c>
      <c r="H92" s="294">
        <v>40633</v>
      </c>
      <c r="I92" s="295">
        <v>-73229.14</v>
      </c>
    </row>
    <row r="93" spans="1:9" x14ac:dyDescent="0.2">
      <c r="A93" s="293" t="s">
        <v>5786</v>
      </c>
      <c r="B93" s="293" t="s">
        <v>5632</v>
      </c>
      <c r="C93" s="293" t="s">
        <v>5787</v>
      </c>
      <c r="D93" s="293" t="s">
        <v>5859</v>
      </c>
      <c r="E93" s="293" t="s">
        <v>5912</v>
      </c>
      <c r="F93" s="293" t="s">
        <v>5636</v>
      </c>
      <c r="G93" s="293" t="s">
        <v>5573</v>
      </c>
      <c r="H93" s="294">
        <v>40663</v>
      </c>
      <c r="I93" s="295">
        <v>-6531.18</v>
      </c>
    </row>
    <row r="94" spans="1:9" x14ac:dyDescent="0.2">
      <c r="A94" s="293" t="s">
        <v>5786</v>
      </c>
      <c r="B94" s="293" t="s">
        <v>5632</v>
      </c>
      <c r="C94" s="293" t="s">
        <v>5787</v>
      </c>
      <c r="D94" s="293" t="s">
        <v>5859</v>
      </c>
      <c r="E94" s="293" t="s">
        <v>5913</v>
      </c>
      <c r="F94" s="293" t="s">
        <v>5636</v>
      </c>
      <c r="G94" s="293" t="s">
        <v>5585</v>
      </c>
      <c r="H94" s="294">
        <v>40663</v>
      </c>
      <c r="I94" s="295">
        <v>-11502.62</v>
      </c>
    </row>
    <row r="95" spans="1:9" x14ac:dyDescent="0.2">
      <c r="A95" s="293" t="s">
        <v>5786</v>
      </c>
      <c r="B95" s="293" t="s">
        <v>5632</v>
      </c>
      <c r="C95" s="293" t="s">
        <v>5787</v>
      </c>
      <c r="D95" s="293" t="s">
        <v>5859</v>
      </c>
      <c r="E95" s="293" t="s">
        <v>5914</v>
      </c>
      <c r="F95" s="293" t="s">
        <v>5636</v>
      </c>
      <c r="G95" s="293" t="s">
        <v>5586</v>
      </c>
      <c r="H95" s="294">
        <v>40663</v>
      </c>
      <c r="I95" s="295">
        <v>-3059.89</v>
      </c>
    </row>
    <row r="96" spans="1:9" x14ac:dyDescent="0.2">
      <c r="A96" s="293" t="s">
        <v>5786</v>
      </c>
      <c r="B96" s="293" t="s">
        <v>5632</v>
      </c>
      <c r="C96" s="293" t="s">
        <v>5787</v>
      </c>
      <c r="D96" s="293" t="s">
        <v>5859</v>
      </c>
      <c r="E96" s="293" t="s">
        <v>5915</v>
      </c>
      <c r="F96" s="293" t="s">
        <v>5636</v>
      </c>
      <c r="G96" s="293" t="s">
        <v>5581</v>
      </c>
      <c r="H96" s="294">
        <v>40663</v>
      </c>
      <c r="I96" s="295">
        <v>-19390.73</v>
      </c>
    </row>
    <row r="97" spans="1:9" x14ac:dyDescent="0.2">
      <c r="A97" s="293" t="s">
        <v>5786</v>
      </c>
      <c r="B97" s="293" t="s">
        <v>5632</v>
      </c>
      <c r="C97" s="293" t="s">
        <v>5787</v>
      </c>
      <c r="D97" s="293" t="s">
        <v>5859</v>
      </c>
      <c r="E97" s="293" t="s">
        <v>5916</v>
      </c>
      <c r="F97" s="293" t="s">
        <v>5636</v>
      </c>
      <c r="G97" s="293" t="s">
        <v>5587</v>
      </c>
      <c r="H97" s="294">
        <v>40663</v>
      </c>
      <c r="I97" s="295">
        <v>-5407.92</v>
      </c>
    </row>
    <row r="98" spans="1:9" x14ac:dyDescent="0.2">
      <c r="A98" s="293" t="s">
        <v>5786</v>
      </c>
      <c r="B98" s="293" t="s">
        <v>5632</v>
      </c>
      <c r="C98" s="293" t="s">
        <v>5787</v>
      </c>
      <c r="D98" s="293" t="s">
        <v>5859</v>
      </c>
      <c r="E98" s="293" t="s">
        <v>5911</v>
      </c>
      <c r="F98" s="293" t="s">
        <v>5636</v>
      </c>
      <c r="G98" s="293" t="s">
        <v>5582</v>
      </c>
      <c r="H98" s="294">
        <v>40663</v>
      </c>
      <c r="I98" s="295">
        <v>-4422.05</v>
      </c>
    </row>
    <row r="99" spans="1:9" x14ac:dyDescent="0.2">
      <c r="A99" s="293" t="s">
        <v>5786</v>
      </c>
      <c r="B99" s="293" t="s">
        <v>5632</v>
      </c>
      <c r="C99" s="293" t="s">
        <v>5787</v>
      </c>
      <c r="D99" s="293" t="s">
        <v>5859</v>
      </c>
      <c r="E99" s="293" t="s">
        <v>5917</v>
      </c>
      <c r="F99" s="293" t="s">
        <v>5636</v>
      </c>
      <c r="G99" s="293" t="s">
        <v>5576</v>
      </c>
      <c r="H99" s="294">
        <v>40663</v>
      </c>
      <c r="I99" s="295">
        <v>-3340.78</v>
      </c>
    </row>
    <row r="100" spans="1:9" x14ac:dyDescent="0.2">
      <c r="A100" s="293" t="s">
        <v>5786</v>
      </c>
      <c r="B100" s="293" t="s">
        <v>5632</v>
      </c>
      <c r="C100" s="293" t="s">
        <v>5787</v>
      </c>
      <c r="D100" s="293" t="s">
        <v>5859</v>
      </c>
      <c r="E100" s="293" t="s">
        <v>5918</v>
      </c>
      <c r="F100" s="293" t="s">
        <v>5636</v>
      </c>
      <c r="G100" s="293" t="s">
        <v>5588</v>
      </c>
      <c r="H100" s="294">
        <v>40663</v>
      </c>
      <c r="I100" s="295">
        <v>-71344.75</v>
      </c>
    </row>
    <row r="101" spans="1:9" x14ac:dyDescent="0.2">
      <c r="A101" s="293" t="s">
        <v>5786</v>
      </c>
      <c r="B101" s="293" t="s">
        <v>5632</v>
      </c>
      <c r="C101" s="293" t="s">
        <v>5787</v>
      </c>
      <c r="D101" s="293" t="s">
        <v>5859</v>
      </c>
      <c r="E101" s="293" t="s">
        <v>5919</v>
      </c>
      <c r="F101" s="293" t="s">
        <v>5636</v>
      </c>
      <c r="G101" s="293" t="s">
        <v>5590</v>
      </c>
      <c r="H101" s="294">
        <v>40663</v>
      </c>
      <c r="I101" s="295">
        <v>-12467.89</v>
      </c>
    </row>
    <row r="102" spans="1:9" x14ac:dyDescent="0.2">
      <c r="A102" s="293" t="s">
        <v>5786</v>
      </c>
      <c r="B102" s="293" t="s">
        <v>5632</v>
      </c>
      <c r="C102" s="293" t="s">
        <v>5787</v>
      </c>
      <c r="D102" s="293" t="s">
        <v>5859</v>
      </c>
      <c r="E102" s="293" t="s">
        <v>5920</v>
      </c>
      <c r="F102" s="293" t="s">
        <v>5636</v>
      </c>
      <c r="G102" s="293" t="s">
        <v>5580</v>
      </c>
      <c r="H102" s="294">
        <v>40663</v>
      </c>
      <c r="I102" s="295">
        <v>-52527.94</v>
      </c>
    </row>
    <row r="103" spans="1:9" x14ac:dyDescent="0.2">
      <c r="A103" s="293" t="s">
        <v>5786</v>
      </c>
      <c r="B103" s="293" t="s">
        <v>5632</v>
      </c>
      <c r="C103" s="293" t="s">
        <v>5787</v>
      </c>
      <c r="D103" s="293" t="s">
        <v>5859</v>
      </c>
      <c r="E103" s="293" t="s">
        <v>5921</v>
      </c>
      <c r="F103" s="293" t="s">
        <v>5636</v>
      </c>
      <c r="G103" s="293" t="s">
        <v>5577</v>
      </c>
      <c r="H103" s="294">
        <v>40663</v>
      </c>
      <c r="I103" s="295">
        <v>-11329.25</v>
      </c>
    </row>
    <row r="104" spans="1:9" x14ac:dyDescent="0.2">
      <c r="A104" s="293" t="s">
        <v>5786</v>
      </c>
      <c r="B104" s="293" t="s">
        <v>5632</v>
      </c>
      <c r="C104" s="293" t="s">
        <v>5787</v>
      </c>
      <c r="D104" s="293" t="s">
        <v>5859</v>
      </c>
      <c r="E104" s="293" t="s">
        <v>5922</v>
      </c>
      <c r="F104" s="293" t="s">
        <v>5636</v>
      </c>
      <c r="G104" s="293" t="s">
        <v>5578</v>
      </c>
      <c r="H104" s="294">
        <v>40663</v>
      </c>
      <c r="I104" s="295">
        <v>-10138.58</v>
      </c>
    </row>
    <row r="105" spans="1:9" x14ac:dyDescent="0.2">
      <c r="A105" s="293" t="s">
        <v>5786</v>
      </c>
      <c r="B105" s="293" t="s">
        <v>5632</v>
      </c>
      <c r="C105" s="293" t="s">
        <v>5787</v>
      </c>
      <c r="D105" s="293" t="s">
        <v>5859</v>
      </c>
      <c r="E105" s="293" t="s">
        <v>5923</v>
      </c>
      <c r="F105" s="293" t="s">
        <v>5636</v>
      </c>
      <c r="G105" s="293" t="s">
        <v>5579</v>
      </c>
      <c r="H105" s="294">
        <v>40663</v>
      </c>
      <c r="I105" s="295">
        <v>-2414.83</v>
      </c>
    </row>
    <row r="106" spans="1:9" x14ac:dyDescent="0.2">
      <c r="A106" s="293" t="s">
        <v>5786</v>
      </c>
      <c r="B106" s="293" t="s">
        <v>5632</v>
      </c>
      <c r="C106" s="293" t="s">
        <v>5787</v>
      </c>
      <c r="D106" s="293" t="s">
        <v>5859</v>
      </c>
      <c r="E106" s="293" t="s">
        <v>5924</v>
      </c>
      <c r="F106" s="293" t="s">
        <v>5636</v>
      </c>
      <c r="G106" s="293" t="s">
        <v>5591</v>
      </c>
      <c r="H106" s="294">
        <v>40663</v>
      </c>
      <c r="I106" s="295">
        <v>-14003.55</v>
      </c>
    </row>
    <row r="107" spans="1:9" x14ac:dyDescent="0.2">
      <c r="A107" s="293" t="s">
        <v>5786</v>
      </c>
      <c r="B107" s="293" t="s">
        <v>5632</v>
      </c>
      <c r="C107" s="293" t="s">
        <v>5787</v>
      </c>
      <c r="D107" s="293" t="s">
        <v>5859</v>
      </c>
      <c r="E107" s="293" t="s">
        <v>5925</v>
      </c>
      <c r="F107" s="293" t="s">
        <v>5636</v>
      </c>
      <c r="G107" s="293" t="s">
        <v>5592</v>
      </c>
      <c r="H107" s="294">
        <v>40663</v>
      </c>
      <c r="I107" s="295">
        <v>-32628.07</v>
      </c>
    </row>
    <row r="108" spans="1:9" x14ac:dyDescent="0.2">
      <c r="A108" s="293" t="s">
        <v>5788</v>
      </c>
      <c r="B108" s="293" t="s">
        <v>5632</v>
      </c>
      <c r="C108" s="293" t="s">
        <v>5789</v>
      </c>
      <c r="D108" s="293" t="s">
        <v>5859</v>
      </c>
      <c r="E108" s="293" t="s">
        <v>5913</v>
      </c>
      <c r="F108" s="293" t="s">
        <v>5636</v>
      </c>
      <c r="G108" s="293" t="s">
        <v>5585</v>
      </c>
      <c r="H108" s="294">
        <v>40694</v>
      </c>
      <c r="I108" s="295">
        <v>-11502.62</v>
      </c>
    </row>
    <row r="109" spans="1:9" x14ac:dyDescent="0.2">
      <c r="A109" s="293" t="s">
        <v>5788</v>
      </c>
      <c r="B109" s="293" t="s">
        <v>5632</v>
      </c>
      <c r="C109" s="293" t="s">
        <v>5789</v>
      </c>
      <c r="D109" s="293" t="s">
        <v>5859</v>
      </c>
      <c r="E109" s="293" t="s">
        <v>5915</v>
      </c>
      <c r="F109" s="293" t="s">
        <v>5636</v>
      </c>
      <c r="G109" s="293" t="s">
        <v>5581</v>
      </c>
      <c r="H109" s="294">
        <v>40694</v>
      </c>
      <c r="I109" s="295">
        <v>-19390.73</v>
      </c>
    </row>
    <row r="110" spans="1:9" x14ac:dyDescent="0.2">
      <c r="A110" s="293" t="s">
        <v>5788</v>
      </c>
      <c r="B110" s="293" t="s">
        <v>5632</v>
      </c>
      <c r="C110" s="293" t="s">
        <v>5789</v>
      </c>
      <c r="D110" s="293" t="s">
        <v>5859</v>
      </c>
      <c r="E110" s="293" t="s">
        <v>5911</v>
      </c>
      <c r="F110" s="293" t="s">
        <v>5636</v>
      </c>
      <c r="G110" s="293" t="s">
        <v>5582</v>
      </c>
      <c r="H110" s="294">
        <v>40694</v>
      </c>
      <c r="I110" s="295">
        <v>-4422.05</v>
      </c>
    </row>
    <row r="111" spans="1:9" x14ac:dyDescent="0.2">
      <c r="A111" s="293" t="s">
        <v>5788</v>
      </c>
      <c r="B111" s="293" t="s">
        <v>5632</v>
      </c>
      <c r="C111" s="293" t="s">
        <v>5789</v>
      </c>
      <c r="D111" s="293" t="s">
        <v>5859</v>
      </c>
      <c r="E111" s="293" t="s">
        <v>5919</v>
      </c>
      <c r="F111" s="293" t="s">
        <v>5636</v>
      </c>
      <c r="G111" s="293" t="s">
        <v>5590</v>
      </c>
      <c r="H111" s="294">
        <v>40694</v>
      </c>
      <c r="I111" s="295">
        <v>-12467.89</v>
      </c>
    </row>
    <row r="112" spans="1:9" x14ac:dyDescent="0.2">
      <c r="A112" s="293" t="s">
        <v>5788</v>
      </c>
      <c r="B112" s="293" t="s">
        <v>5632</v>
      </c>
      <c r="C112" s="293" t="s">
        <v>5789</v>
      </c>
      <c r="D112" s="293" t="s">
        <v>5859</v>
      </c>
      <c r="E112" s="293" t="s">
        <v>5921</v>
      </c>
      <c r="F112" s="293" t="s">
        <v>5636</v>
      </c>
      <c r="G112" s="293" t="s">
        <v>5577</v>
      </c>
      <c r="H112" s="294">
        <v>40694</v>
      </c>
      <c r="I112" s="295">
        <v>-11329.25</v>
      </c>
    </row>
    <row r="113" spans="1:9" x14ac:dyDescent="0.2">
      <c r="A113" s="293" t="s">
        <v>5788</v>
      </c>
      <c r="B113" s="293" t="s">
        <v>5632</v>
      </c>
      <c r="C113" s="293" t="s">
        <v>5789</v>
      </c>
      <c r="D113" s="293" t="s">
        <v>5859</v>
      </c>
      <c r="E113" s="293" t="s">
        <v>5922</v>
      </c>
      <c r="F113" s="293" t="s">
        <v>5636</v>
      </c>
      <c r="G113" s="293" t="s">
        <v>5578</v>
      </c>
      <c r="H113" s="294">
        <v>40694</v>
      </c>
      <c r="I113" s="295">
        <v>-10138.58</v>
      </c>
    </row>
    <row r="114" spans="1:9" x14ac:dyDescent="0.2">
      <c r="A114" s="293" t="s">
        <v>5788</v>
      </c>
      <c r="B114" s="293" t="s">
        <v>5632</v>
      </c>
      <c r="C114" s="293" t="s">
        <v>5789</v>
      </c>
      <c r="D114" s="293" t="s">
        <v>5859</v>
      </c>
      <c r="E114" s="293" t="s">
        <v>5923</v>
      </c>
      <c r="F114" s="293" t="s">
        <v>5636</v>
      </c>
      <c r="G114" s="293" t="s">
        <v>5579</v>
      </c>
      <c r="H114" s="294">
        <v>40694</v>
      </c>
      <c r="I114" s="295">
        <v>-2414.83</v>
      </c>
    </row>
    <row r="115" spans="1:9" x14ac:dyDescent="0.2">
      <c r="A115" s="293" t="s">
        <v>5788</v>
      </c>
      <c r="B115" s="293" t="s">
        <v>5632</v>
      </c>
      <c r="C115" s="293" t="s">
        <v>5789</v>
      </c>
      <c r="D115" s="293" t="s">
        <v>5859</v>
      </c>
      <c r="E115" s="293" t="s">
        <v>5924</v>
      </c>
      <c r="F115" s="293" t="s">
        <v>5636</v>
      </c>
      <c r="G115" s="293" t="s">
        <v>5591</v>
      </c>
      <c r="H115" s="294">
        <v>40694</v>
      </c>
      <c r="I115" s="295">
        <v>-14003.55</v>
      </c>
    </row>
    <row r="116" spans="1:9" x14ac:dyDescent="0.2">
      <c r="A116" s="293" t="s">
        <v>5788</v>
      </c>
      <c r="B116" s="293" t="s">
        <v>5632</v>
      </c>
      <c r="C116" s="293" t="s">
        <v>5789</v>
      </c>
      <c r="D116" s="293" t="s">
        <v>5859</v>
      </c>
      <c r="E116" s="293" t="s">
        <v>5912</v>
      </c>
      <c r="F116" s="293" t="s">
        <v>5636</v>
      </c>
      <c r="G116" s="293" t="s">
        <v>5573</v>
      </c>
      <c r="H116" s="294">
        <v>40694</v>
      </c>
      <c r="I116" s="295">
        <v>-6531.18</v>
      </c>
    </row>
    <row r="117" spans="1:9" x14ac:dyDescent="0.2">
      <c r="A117" s="293" t="s">
        <v>5788</v>
      </c>
      <c r="B117" s="293" t="s">
        <v>5632</v>
      </c>
      <c r="C117" s="293" t="s">
        <v>5789</v>
      </c>
      <c r="D117" s="293" t="s">
        <v>5859</v>
      </c>
      <c r="E117" s="293" t="s">
        <v>5914</v>
      </c>
      <c r="F117" s="293" t="s">
        <v>5636</v>
      </c>
      <c r="G117" s="293" t="s">
        <v>5586</v>
      </c>
      <c r="H117" s="294">
        <v>40694</v>
      </c>
      <c r="I117" s="295">
        <v>-3059.89</v>
      </c>
    </row>
    <row r="118" spans="1:9" x14ac:dyDescent="0.2">
      <c r="A118" s="293" t="s">
        <v>5788</v>
      </c>
      <c r="B118" s="293" t="s">
        <v>5632</v>
      </c>
      <c r="C118" s="293" t="s">
        <v>5789</v>
      </c>
      <c r="D118" s="293" t="s">
        <v>5859</v>
      </c>
      <c r="E118" s="293" t="s">
        <v>5916</v>
      </c>
      <c r="F118" s="293" t="s">
        <v>5636</v>
      </c>
      <c r="G118" s="293" t="s">
        <v>5587</v>
      </c>
      <c r="H118" s="294">
        <v>40694</v>
      </c>
      <c r="I118" s="295">
        <v>-5407.92</v>
      </c>
    </row>
    <row r="119" spans="1:9" x14ac:dyDescent="0.2">
      <c r="A119" s="293" t="s">
        <v>5788</v>
      </c>
      <c r="B119" s="293" t="s">
        <v>5632</v>
      </c>
      <c r="C119" s="293" t="s">
        <v>5789</v>
      </c>
      <c r="D119" s="293" t="s">
        <v>5859</v>
      </c>
      <c r="E119" s="293" t="s">
        <v>5917</v>
      </c>
      <c r="F119" s="293" t="s">
        <v>5636</v>
      </c>
      <c r="G119" s="293" t="s">
        <v>5576</v>
      </c>
      <c r="H119" s="294">
        <v>40694</v>
      </c>
      <c r="I119" s="295">
        <v>-3340.78</v>
      </c>
    </row>
    <row r="120" spans="1:9" x14ac:dyDescent="0.2">
      <c r="A120" s="293" t="s">
        <v>5788</v>
      </c>
      <c r="B120" s="293" t="s">
        <v>5632</v>
      </c>
      <c r="C120" s="293" t="s">
        <v>5789</v>
      </c>
      <c r="D120" s="293" t="s">
        <v>5859</v>
      </c>
      <c r="E120" s="293" t="s">
        <v>5918</v>
      </c>
      <c r="F120" s="293" t="s">
        <v>5636</v>
      </c>
      <c r="G120" s="293" t="s">
        <v>5588</v>
      </c>
      <c r="H120" s="294">
        <v>40694</v>
      </c>
      <c r="I120" s="295">
        <v>-71344.75</v>
      </c>
    </row>
    <row r="121" spans="1:9" x14ac:dyDescent="0.2">
      <c r="A121" s="293" t="s">
        <v>5788</v>
      </c>
      <c r="B121" s="293" t="s">
        <v>5632</v>
      </c>
      <c r="C121" s="293" t="s">
        <v>5789</v>
      </c>
      <c r="D121" s="293" t="s">
        <v>5859</v>
      </c>
      <c r="E121" s="293" t="s">
        <v>5925</v>
      </c>
      <c r="F121" s="293" t="s">
        <v>5636</v>
      </c>
      <c r="G121" s="293" t="s">
        <v>5592</v>
      </c>
      <c r="H121" s="294">
        <v>40694</v>
      </c>
      <c r="I121" s="295">
        <v>-40314.06</v>
      </c>
    </row>
    <row r="122" spans="1:9" x14ac:dyDescent="0.2">
      <c r="A122" s="293" t="s">
        <v>5790</v>
      </c>
      <c r="B122" s="293" t="s">
        <v>5632</v>
      </c>
      <c r="C122" s="293" t="s">
        <v>5791</v>
      </c>
      <c r="D122" s="293" t="s">
        <v>5859</v>
      </c>
      <c r="E122" s="293" t="s">
        <v>5912</v>
      </c>
      <c r="F122" s="293" t="s">
        <v>5636</v>
      </c>
      <c r="G122" s="293" t="s">
        <v>5573</v>
      </c>
      <c r="H122" s="294">
        <v>40724</v>
      </c>
      <c r="I122" s="295">
        <v>-6531.18</v>
      </c>
    </row>
    <row r="123" spans="1:9" x14ac:dyDescent="0.2">
      <c r="A123" s="293" t="s">
        <v>5790</v>
      </c>
      <c r="B123" s="293" t="s">
        <v>5632</v>
      </c>
      <c r="C123" s="293" t="s">
        <v>5791</v>
      </c>
      <c r="D123" s="293" t="s">
        <v>5859</v>
      </c>
      <c r="E123" s="293" t="s">
        <v>5913</v>
      </c>
      <c r="F123" s="293" t="s">
        <v>5636</v>
      </c>
      <c r="G123" s="293" t="s">
        <v>5585</v>
      </c>
      <c r="H123" s="294">
        <v>40724</v>
      </c>
      <c r="I123" s="295">
        <v>-11502.62</v>
      </c>
    </row>
    <row r="124" spans="1:9" x14ac:dyDescent="0.2">
      <c r="A124" s="293" t="s">
        <v>5790</v>
      </c>
      <c r="B124" s="293" t="s">
        <v>5632</v>
      </c>
      <c r="C124" s="293" t="s">
        <v>5791</v>
      </c>
      <c r="D124" s="293" t="s">
        <v>5859</v>
      </c>
      <c r="E124" s="293" t="s">
        <v>5914</v>
      </c>
      <c r="F124" s="293" t="s">
        <v>5636</v>
      </c>
      <c r="G124" s="293" t="s">
        <v>5586</v>
      </c>
      <c r="H124" s="294">
        <v>40724</v>
      </c>
      <c r="I124" s="295">
        <v>-3059.89</v>
      </c>
    </row>
    <row r="125" spans="1:9" x14ac:dyDescent="0.2">
      <c r="A125" s="293" t="s">
        <v>5790</v>
      </c>
      <c r="B125" s="293" t="s">
        <v>5632</v>
      </c>
      <c r="C125" s="293" t="s">
        <v>5791</v>
      </c>
      <c r="D125" s="293" t="s">
        <v>5859</v>
      </c>
      <c r="E125" s="293" t="s">
        <v>5915</v>
      </c>
      <c r="F125" s="293" t="s">
        <v>5636</v>
      </c>
      <c r="G125" s="293" t="s">
        <v>5581</v>
      </c>
      <c r="H125" s="294">
        <v>40724</v>
      </c>
      <c r="I125" s="295">
        <v>-19390.73</v>
      </c>
    </row>
    <row r="126" spans="1:9" x14ac:dyDescent="0.2">
      <c r="A126" s="293" t="s">
        <v>5790</v>
      </c>
      <c r="B126" s="293" t="s">
        <v>5632</v>
      </c>
      <c r="C126" s="293" t="s">
        <v>5791</v>
      </c>
      <c r="D126" s="293" t="s">
        <v>5859</v>
      </c>
      <c r="E126" s="293" t="s">
        <v>5916</v>
      </c>
      <c r="F126" s="293" t="s">
        <v>5636</v>
      </c>
      <c r="G126" s="293" t="s">
        <v>5587</v>
      </c>
      <c r="H126" s="294">
        <v>40724</v>
      </c>
      <c r="I126" s="295">
        <v>-5407.92</v>
      </c>
    </row>
    <row r="127" spans="1:9" x14ac:dyDescent="0.2">
      <c r="A127" s="293" t="s">
        <v>5790</v>
      </c>
      <c r="B127" s="293" t="s">
        <v>5632</v>
      </c>
      <c r="C127" s="293" t="s">
        <v>5791</v>
      </c>
      <c r="D127" s="293" t="s">
        <v>5859</v>
      </c>
      <c r="E127" s="293" t="s">
        <v>5911</v>
      </c>
      <c r="F127" s="293" t="s">
        <v>5636</v>
      </c>
      <c r="G127" s="293" t="s">
        <v>5582</v>
      </c>
      <c r="H127" s="294">
        <v>40724</v>
      </c>
      <c r="I127" s="295">
        <v>-4422.05</v>
      </c>
    </row>
    <row r="128" spans="1:9" x14ac:dyDescent="0.2">
      <c r="A128" s="293" t="s">
        <v>5790</v>
      </c>
      <c r="B128" s="293" t="s">
        <v>5632</v>
      </c>
      <c r="C128" s="293" t="s">
        <v>5791</v>
      </c>
      <c r="D128" s="293" t="s">
        <v>5859</v>
      </c>
      <c r="E128" s="293" t="s">
        <v>5917</v>
      </c>
      <c r="F128" s="293" t="s">
        <v>5636</v>
      </c>
      <c r="G128" s="293" t="s">
        <v>5576</v>
      </c>
      <c r="H128" s="294">
        <v>40724</v>
      </c>
      <c r="I128" s="295">
        <v>-3340.78</v>
      </c>
    </row>
    <row r="129" spans="1:9" x14ac:dyDescent="0.2">
      <c r="A129" s="293" t="s">
        <v>5790</v>
      </c>
      <c r="B129" s="293" t="s">
        <v>5632</v>
      </c>
      <c r="C129" s="293" t="s">
        <v>5791</v>
      </c>
      <c r="D129" s="293" t="s">
        <v>5859</v>
      </c>
      <c r="E129" s="293" t="s">
        <v>5918</v>
      </c>
      <c r="F129" s="293" t="s">
        <v>5636</v>
      </c>
      <c r="G129" s="293" t="s">
        <v>5588</v>
      </c>
      <c r="H129" s="294">
        <v>40724</v>
      </c>
      <c r="I129" s="295">
        <v>-71344.75</v>
      </c>
    </row>
    <row r="130" spans="1:9" x14ac:dyDescent="0.2">
      <c r="A130" s="293" t="s">
        <v>5790</v>
      </c>
      <c r="B130" s="293" t="s">
        <v>5632</v>
      </c>
      <c r="C130" s="293" t="s">
        <v>5791</v>
      </c>
      <c r="D130" s="293" t="s">
        <v>5859</v>
      </c>
      <c r="E130" s="293" t="s">
        <v>5919</v>
      </c>
      <c r="F130" s="293" t="s">
        <v>5636</v>
      </c>
      <c r="G130" s="293" t="s">
        <v>5590</v>
      </c>
      <c r="H130" s="294">
        <v>40724</v>
      </c>
      <c r="I130" s="295">
        <v>-12467.89</v>
      </c>
    </row>
    <row r="131" spans="1:9" x14ac:dyDescent="0.2">
      <c r="A131" s="293" t="s">
        <v>5790</v>
      </c>
      <c r="B131" s="293" t="s">
        <v>5632</v>
      </c>
      <c r="C131" s="293" t="s">
        <v>5791</v>
      </c>
      <c r="D131" s="293" t="s">
        <v>5859</v>
      </c>
      <c r="E131" s="293" t="s">
        <v>5921</v>
      </c>
      <c r="F131" s="293" t="s">
        <v>5636</v>
      </c>
      <c r="G131" s="293" t="s">
        <v>5577</v>
      </c>
      <c r="H131" s="294">
        <v>40724</v>
      </c>
      <c r="I131" s="295">
        <v>-11329.25</v>
      </c>
    </row>
    <row r="132" spans="1:9" x14ac:dyDescent="0.2">
      <c r="A132" s="293" t="s">
        <v>5790</v>
      </c>
      <c r="B132" s="293" t="s">
        <v>5632</v>
      </c>
      <c r="C132" s="293" t="s">
        <v>5791</v>
      </c>
      <c r="D132" s="293" t="s">
        <v>5859</v>
      </c>
      <c r="E132" s="293" t="s">
        <v>5922</v>
      </c>
      <c r="F132" s="293" t="s">
        <v>5636</v>
      </c>
      <c r="G132" s="293" t="s">
        <v>5578</v>
      </c>
      <c r="H132" s="294">
        <v>40724</v>
      </c>
      <c r="I132" s="295">
        <v>-10138.58</v>
      </c>
    </row>
    <row r="133" spans="1:9" x14ac:dyDescent="0.2">
      <c r="A133" s="293" t="s">
        <v>5790</v>
      </c>
      <c r="B133" s="293" t="s">
        <v>5632</v>
      </c>
      <c r="C133" s="293" t="s">
        <v>5791</v>
      </c>
      <c r="D133" s="293" t="s">
        <v>5859</v>
      </c>
      <c r="E133" s="293" t="s">
        <v>5923</v>
      </c>
      <c r="F133" s="293" t="s">
        <v>5636</v>
      </c>
      <c r="G133" s="293" t="s">
        <v>5579</v>
      </c>
      <c r="H133" s="294">
        <v>40724</v>
      </c>
      <c r="I133" s="295">
        <v>-2414.83</v>
      </c>
    </row>
    <row r="134" spans="1:9" x14ac:dyDescent="0.2">
      <c r="A134" s="293" t="s">
        <v>5790</v>
      </c>
      <c r="B134" s="293" t="s">
        <v>5632</v>
      </c>
      <c r="C134" s="293" t="s">
        <v>5791</v>
      </c>
      <c r="D134" s="293" t="s">
        <v>5859</v>
      </c>
      <c r="E134" s="293" t="s">
        <v>5924</v>
      </c>
      <c r="F134" s="293" t="s">
        <v>5636</v>
      </c>
      <c r="G134" s="293" t="s">
        <v>5591</v>
      </c>
      <c r="H134" s="294">
        <v>40724</v>
      </c>
      <c r="I134" s="295">
        <v>-14003.55</v>
      </c>
    </row>
    <row r="135" spans="1:9" x14ac:dyDescent="0.2">
      <c r="A135" s="293" t="s">
        <v>5790</v>
      </c>
      <c r="B135" s="293" t="s">
        <v>5632</v>
      </c>
      <c r="C135" s="293" t="s">
        <v>5791</v>
      </c>
      <c r="D135" s="293" t="s">
        <v>5859</v>
      </c>
      <c r="E135" s="293" t="s">
        <v>5925</v>
      </c>
      <c r="F135" s="293" t="s">
        <v>5636</v>
      </c>
      <c r="G135" s="293" t="s">
        <v>5592</v>
      </c>
      <c r="H135" s="294">
        <v>40724</v>
      </c>
      <c r="I135" s="295">
        <v>-58520.36</v>
      </c>
    </row>
    <row r="136" spans="1:9" x14ac:dyDescent="0.2">
      <c r="A136" s="293" t="s">
        <v>5792</v>
      </c>
      <c r="B136" s="293" t="s">
        <v>5632</v>
      </c>
      <c r="C136" s="293" t="s">
        <v>5793</v>
      </c>
      <c r="D136" s="293" t="s">
        <v>5859</v>
      </c>
      <c r="E136" s="293" t="s">
        <v>5912</v>
      </c>
      <c r="F136" s="293" t="s">
        <v>5636</v>
      </c>
      <c r="G136" s="293" t="s">
        <v>5573</v>
      </c>
      <c r="H136" s="294">
        <v>40755</v>
      </c>
      <c r="I136" s="295">
        <v>-6531.18</v>
      </c>
    </row>
    <row r="137" spans="1:9" x14ac:dyDescent="0.2">
      <c r="A137" s="293" t="s">
        <v>5792</v>
      </c>
      <c r="B137" s="293" t="s">
        <v>5632</v>
      </c>
      <c r="C137" s="293" t="s">
        <v>5793</v>
      </c>
      <c r="D137" s="293" t="s">
        <v>5859</v>
      </c>
      <c r="E137" s="293" t="s">
        <v>5913</v>
      </c>
      <c r="F137" s="293" t="s">
        <v>5636</v>
      </c>
      <c r="G137" s="293" t="s">
        <v>5585</v>
      </c>
      <c r="H137" s="294">
        <v>40755</v>
      </c>
      <c r="I137" s="295">
        <v>-11502.62</v>
      </c>
    </row>
    <row r="138" spans="1:9" x14ac:dyDescent="0.2">
      <c r="A138" s="293" t="s">
        <v>5792</v>
      </c>
      <c r="B138" s="293" t="s">
        <v>5632</v>
      </c>
      <c r="C138" s="293" t="s">
        <v>5793</v>
      </c>
      <c r="D138" s="293" t="s">
        <v>5859</v>
      </c>
      <c r="E138" s="293" t="s">
        <v>5914</v>
      </c>
      <c r="F138" s="293" t="s">
        <v>5636</v>
      </c>
      <c r="G138" s="293" t="s">
        <v>5586</v>
      </c>
      <c r="H138" s="294">
        <v>40755</v>
      </c>
      <c r="I138" s="295">
        <v>-3059.89</v>
      </c>
    </row>
    <row r="139" spans="1:9" x14ac:dyDescent="0.2">
      <c r="A139" s="293" t="s">
        <v>5792</v>
      </c>
      <c r="B139" s="293" t="s">
        <v>5632</v>
      </c>
      <c r="C139" s="293" t="s">
        <v>5793</v>
      </c>
      <c r="D139" s="293" t="s">
        <v>5859</v>
      </c>
      <c r="E139" s="293" t="s">
        <v>5915</v>
      </c>
      <c r="F139" s="293" t="s">
        <v>5636</v>
      </c>
      <c r="G139" s="293" t="s">
        <v>5581</v>
      </c>
      <c r="H139" s="294">
        <v>40755</v>
      </c>
      <c r="I139" s="295">
        <v>-19390.73</v>
      </c>
    </row>
    <row r="140" spans="1:9" x14ac:dyDescent="0.2">
      <c r="A140" s="293" t="s">
        <v>5792</v>
      </c>
      <c r="B140" s="293" t="s">
        <v>5632</v>
      </c>
      <c r="C140" s="293" t="s">
        <v>5793</v>
      </c>
      <c r="D140" s="293" t="s">
        <v>5859</v>
      </c>
      <c r="E140" s="293" t="s">
        <v>5916</v>
      </c>
      <c r="F140" s="293" t="s">
        <v>5636</v>
      </c>
      <c r="G140" s="293" t="s">
        <v>5587</v>
      </c>
      <c r="H140" s="294">
        <v>40755</v>
      </c>
      <c r="I140" s="295">
        <v>-5407.92</v>
      </c>
    </row>
    <row r="141" spans="1:9" x14ac:dyDescent="0.2">
      <c r="A141" s="293" t="s">
        <v>5792</v>
      </c>
      <c r="B141" s="293" t="s">
        <v>5632</v>
      </c>
      <c r="C141" s="293" t="s">
        <v>5793</v>
      </c>
      <c r="D141" s="293" t="s">
        <v>5859</v>
      </c>
      <c r="E141" s="293" t="s">
        <v>5911</v>
      </c>
      <c r="F141" s="293" t="s">
        <v>5636</v>
      </c>
      <c r="G141" s="293" t="s">
        <v>5582</v>
      </c>
      <c r="H141" s="294">
        <v>40755</v>
      </c>
      <c r="I141" s="295">
        <v>-4422.05</v>
      </c>
    </row>
    <row r="142" spans="1:9" x14ac:dyDescent="0.2">
      <c r="A142" s="293" t="s">
        <v>5792</v>
      </c>
      <c r="B142" s="293" t="s">
        <v>5632</v>
      </c>
      <c r="C142" s="293" t="s">
        <v>5793</v>
      </c>
      <c r="D142" s="293" t="s">
        <v>5859</v>
      </c>
      <c r="E142" s="293" t="s">
        <v>5917</v>
      </c>
      <c r="F142" s="293" t="s">
        <v>5636</v>
      </c>
      <c r="G142" s="293" t="s">
        <v>5576</v>
      </c>
      <c r="H142" s="294">
        <v>40755</v>
      </c>
      <c r="I142" s="295">
        <v>-3340.78</v>
      </c>
    </row>
    <row r="143" spans="1:9" x14ac:dyDescent="0.2">
      <c r="A143" s="293" t="s">
        <v>5792</v>
      </c>
      <c r="B143" s="293" t="s">
        <v>5632</v>
      </c>
      <c r="C143" s="293" t="s">
        <v>5793</v>
      </c>
      <c r="D143" s="293" t="s">
        <v>5859</v>
      </c>
      <c r="E143" s="293" t="s">
        <v>5918</v>
      </c>
      <c r="F143" s="293" t="s">
        <v>5636</v>
      </c>
      <c r="G143" s="293" t="s">
        <v>5588</v>
      </c>
      <c r="H143" s="294">
        <v>40755</v>
      </c>
      <c r="I143" s="295">
        <v>-71344.75</v>
      </c>
    </row>
    <row r="144" spans="1:9" x14ac:dyDescent="0.2">
      <c r="A144" s="293" t="s">
        <v>5792</v>
      </c>
      <c r="B144" s="293" t="s">
        <v>5632</v>
      </c>
      <c r="C144" s="293" t="s">
        <v>5793</v>
      </c>
      <c r="D144" s="293" t="s">
        <v>5859</v>
      </c>
      <c r="E144" s="293" t="s">
        <v>5919</v>
      </c>
      <c r="F144" s="293" t="s">
        <v>5636</v>
      </c>
      <c r="G144" s="293" t="s">
        <v>5590</v>
      </c>
      <c r="H144" s="294">
        <v>40755</v>
      </c>
      <c r="I144" s="295">
        <v>-12467.89</v>
      </c>
    </row>
    <row r="145" spans="1:9" x14ac:dyDescent="0.2">
      <c r="A145" s="293" t="s">
        <v>5792</v>
      </c>
      <c r="B145" s="293" t="s">
        <v>5632</v>
      </c>
      <c r="C145" s="293" t="s">
        <v>5793</v>
      </c>
      <c r="D145" s="293" t="s">
        <v>5859</v>
      </c>
      <c r="E145" s="293" t="s">
        <v>5920</v>
      </c>
      <c r="F145" s="293" t="s">
        <v>5636</v>
      </c>
      <c r="G145" s="293" t="s">
        <v>5580</v>
      </c>
      <c r="H145" s="294">
        <v>40755</v>
      </c>
      <c r="I145" s="295">
        <v>14478.47</v>
      </c>
    </row>
    <row r="146" spans="1:9" x14ac:dyDescent="0.2">
      <c r="A146" s="293" t="s">
        <v>5792</v>
      </c>
      <c r="B146" s="293" t="s">
        <v>5632</v>
      </c>
      <c r="C146" s="293" t="s">
        <v>5793</v>
      </c>
      <c r="D146" s="293" t="s">
        <v>5859</v>
      </c>
      <c r="E146" s="293" t="s">
        <v>5921</v>
      </c>
      <c r="F146" s="293" t="s">
        <v>5636</v>
      </c>
      <c r="G146" s="293" t="s">
        <v>5577</v>
      </c>
      <c r="H146" s="294">
        <v>40755</v>
      </c>
      <c r="I146" s="295">
        <v>-11329.25</v>
      </c>
    </row>
    <row r="147" spans="1:9" x14ac:dyDescent="0.2">
      <c r="A147" s="293" t="s">
        <v>5792</v>
      </c>
      <c r="B147" s="293" t="s">
        <v>5632</v>
      </c>
      <c r="C147" s="293" t="s">
        <v>5793</v>
      </c>
      <c r="D147" s="293" t="s">
        <v>5859</v>
      </c>
      <c r="E147" s="293" t="s">
        <v>5922</v>
      </c>
      <c r="F147" s="293" t="s">
        <v>5636</v>
      </c>
      <c r="G147" s="293" t="s">
        <v>5578</v>
      </c>
      <c r="H147" s="294">
        <v>40755</v>
      </c>
      <c r="I147" s="295">
        <v>-10138.58</v>
      </c>
    </row>
    <row r="148" spans="1:9" x14ac:dyDescent="0.2">
      <c r="A148" s="293" t="s">
        <v>5792</v>
      </c>
      <c r="B148" s="293" t="s">
        <v>5632</v>
      </c>
      <c r="C148" s="293" t="s">
        <v>5793</v>
      </c>
      <c r="D148" s="293" t="s">
        <v>5859</v>
      </c>
      <c r="E148" s="293" t="s">
        <v>5923</v>
      </c>
      <c r="F148" s="293" t="s">
        <v>5636</v>
      </c>
      <c r="G148" s="293" t="s">
        <v>5579</v>
      </c>
      <c r="H148" s="294">
        <v>40755</v>
      </c>
      <c r="I148" s="295">
        <v>-2414.83</v>
      </c>
    </row>
    <row r="149" spans="1:9" x14ac:dyDescent="0.2">
      <c r="A149" s="293" t="s">
        <v>5792</v>
      </c>
      <c r="B149" s="293" t="s">
        <v>5632</v>
      </c>
      <c r="C149" s="293" t="s">
        <v>5793</v>
      </c>
      <c r="D149" s="293" t="s">
        <v>5859</v>
      </c>
      <c r="E149" s="293" t="s">
        <v>5924</v>
      </c>
      <c r="F149" s="293" t="s">
        <v>5636</v>
      </c>
      <c r="G149" s="293" t="s">
        <v>5591</v>
      </c>
      <c r="H149" s="294">
        <v>40755</v>
      </c>
      <c r="I149" s="295">
        <v>-14003.55</v>
      </c>
    </row>
    <row r="150" spans="1:9" x14ac:dyDescent="0.2">
      <c r="A150" s="293" t="s">
        <v>5792</v>
      </c>
      <c r="B150" s="293" t="s">
        <v>5632</v>
      </c>
      <c r="C150" s="293" t="s">
        <v>5793</v>
      </c>
      <c r="D150" s="293" t="s">
        <v>5859</v>
      </c>
      <c r="E150" s="293" t="s">
        <v>5925</v>
      </c>
      <c r="F150" s="293" t="s">
        <v>5636</v>
      </c>
      <c r="G150" s="293" t="s">
        <v>5592</v>
      </c>
      <c r="H150" s="294">
        <v>40755</v>
      </c>
      <c r="I150" s="295">
        <v>-78650.55</v>
      </c>
    </row>
    <row r="151" spans="1:9" x14ac:dyDescent="0.2">
      <c r="A151" s="293" t="s">
        <v>5794</v>
      </c>
      <c r="B151" s="293" t="s">
        <v>5632</v>
      </c>
      <c r="C151" s="293" t="s">
        <v>5795</v>
      </c>
      <c r="D151" s="293" t="s">
        <v>5859</v>
      </c>
      <c r="E151" s="293" t="s">
        <v>5912</v>
      </c>
      <c r="F151" s="293" t="s">
        <v>5636</v>
      </c>
      <c r="G151" s="293" t="s">
        <v>5573</v>
      </c>
      <c r="H151" s="294">
        <v>40786</v>
      </c>
      <c r="I151" s="295">
        <v>-6531.18</v>
      </c>
    </row>
    <row r="152" spans="1:9" x14ac:dyDescent="0.2">
      <c r="A152" s="293" t="s">
        <v>5794</v>
      </c>
      <c r="B152" s="293" t="s">
        <v>5632</v>
      </c>
      <c r="C152" s="293" t="s">
        <v>5795</v>
      </c>
      <c r="D152" s="293" t="s">
        <v>5859</v>
      </c>
      <c r="E152" s="293" t="s">
        <v>5911</v>
      </c>
      <c r="F152" s="293" t="s">
        <v>5636</v>
      </c>
      <c r="G152" s="293" t="s">
        <v>5582</v>
      </c>
      <c r="H152" s="294">
        <v>40786</v>
      </c>
      <c r="I152" s="295">
        <v>-4422.05</v>
      </c>
    </row>
    <row r="153" spans="1:9" x14ac:dyDescent="0.2">
      <c r="A153" s="293" t="s">
        <v>5794</v>
      </c>
      <c r="B153" s="293" t="s">
        <v>5632</v>
      </c>
      <c r="C153" s="293" t="s">
        <v>5795</v>
      </c>
      <c r="D153" s="293" t="s">
        <v>5859</v>
      </c>
      <c r="E153" s="293" t="s">
        <v>5919</v>
      </c>
      <c r="F153" s="293" t="s">
        <v>5636</v>
      </c>
      <c r="G153" s="293" t="s">
        <v>5590</v>
      </c>
      <c r="H153" s="294">
        <v>40786</v>
      </c>
      <c r="I153" s="295">
        <v>-12467.89</v>
      </c>
    </row>
    <row r="154" spans="1:9" x14ac:dyDescent="0.2">
      <c r="A154" s="293" t="s">
        <v>5794</v>
      </c>
      <c r="B154" s="293" t="s">
        <v>5632</v>
      </c>
      <c r="C154" s="293" t="s">
        <v>5795</v>
      </c>
      <c r="D154" s="293" t="s">
        <v>5859</v>
      </c>
      <c r="E154" s="293" t="s">
        <v>5920</v>
      </c>
      <c r="F154" s="293" t="s">
        <v>5636</v>
      </c>
      <c r="G154" s="293" t="s">
        <v>5580</v>
      </c>
      <c r="H154" s="294">
        <v>40786</v>
      </c>
      <c r="I154" s="295">
        <v>575.82000000000005</v>
      </c>
    </row>
    <row r="155" spans="1:9" x14ac:dyDescent="0.2">
      <c r="A155" s="293" t="s">
        <v>5794</v>
      </c>
      <c r="B155" s="293" t="s">
        <v>5632</v>
      </c>
      <c r="C155" s="293" t="s">
        <v>5795</v>
      </c>
      <c r="D155" s="293" t="s">
        <v>5859</v>
      </c>
      <c r="E155" s="293" t="s">
        <v>5921</v>
      </c>
      <c r="F155" s="293" t="s">
        <v>5636</v>
      </c>
      <c r="G155" s="293" t="s">
        <v>5577</v>
      </c>
      <c r="H155" s="294">
        <v>40786</v>
      </c>
      <c r="I155" s="295">
        <v>-11329.25</v>
      </c>
    </row>
    <row r="156" spans="1:9" x14ac:dyDescent="0.2">
      <c r="A156" s="293" t="s">
        <v>5794</v>
      </c>
      <c r="B156" s="293" t="s">
        <v>5632</v>
      </c>
      <c r="C156" s="293" t="s">
        <v>5795</v>
      </c>
      <c r="D156" s="293" t="s">
        <v>5859</v>
      </c>
      <c r="E156" s="293" t="s">
        <v>5922</v>
      </c>
      <c r="F156" s="293" t="s">
        <v>5636</v>
      </c>
      <c r="G156" s="293" t="s">
        <v>5578</v>
      </c>
      <c r="H156" s="294">
        <v>40786</v>
      </c>
      <c r="I156" s="295">
        <v>-10138.58</v>
      </c>
    </row>
    <row r="157" spans="1:9" x14ac:dyDescent="0.2">
      <c r="A157" s="293" t="s">
        <v>5794</v>
      </c>
      <c r="B157" s="293" t="s">
        <v>5632</v>
      </c>
      <c r="C157" s="293" t="s">
        <v>5795</v>
      </c>
      <c r="D157" s="293" t="s">
        <v>5859</v>
      </c>
      <c r="E157" s="293" t="s">
        <v>5923</v>
      </c>
      <c r="F157" s="293" t="s">
        <v>5636</v>
      </c>
      <c r="G157" s="293" t="s">
        <v>5579</v>
      </c>
      <c r="H157" s="294">
        <v>40786</v>
      </c>
      <c r="I157" s="295">
        <v>-2414.83</v>
      </c>
    </row>
    <row r="158" spans="1:9" x14ac:dyDescent="0.2">
      <c r="A158" s="293" t="s">
        <v>5794</v>
      </c>
      <c r="B158" s="293" t="s">
        <v>5632</v>
      </c>
      <c r="C158" s="293" t="s">
        <v>5795</v>
      </c>
      <c r="D158" s="293" t="s">
        <v>5859</v>
      </c>
      <c r="E158" s="293" t="s">
        <v>5913</v>
      </c>
      <c r="F158" s="293" t="s">
        <v>5636</v>
      </c>
      <c r="G158" s="293" t="s">
        <v>5585</v>
      </c>
      <c r="H158" s="294">
        <v>40786</v>
      </c>
      <c r="I158" s="295">
        <v>-11502.62</v>
      </c>
    </row>
    <row r="159" spans="1:9" x14ac:dyDescent="0.2">
      <c r="A159" s="293" t="s">
        <v>5794</v>
      </c>
      <c r="B159" s="293" t="s">
        <v>5632</v>
      </c>
      <c r="C159" s="293" t="s">
        <v>5795</v>
      </c>
      <c r="D159" s="293" t="s">
        <v>5859</v>
      </c>
      <c r="E159" s="293" t="s">
        <v>5914</v>
      </c>
      <c r="F159" s="293" t="s">
        <v>5636</v>
      </c>
      <c r="G159" s="293" t="s">
        <v>5586</v>
      </c>
      <c r="H159" s="294">
        <v>40786</v>
      </c>
      <c r="I159" s="295">
        <v>-3059.89</v>
      </c>
    </row>
    <row r="160" spans="1:9" x14ac:dyDescent="0.2">
      <c r="A160" s="293" t="s">
        <v>5794</v>
      </c>
      <c r="B160" s="293" t="s">
        <v>5632</v>
      </c>
      <c r="C160" s="293" t="s">
        <v>5795</v>
      </c>
      <c r="D160" s="293" t="s">
        <v>5859</v>
      </c>
      <c r="E160" s="293" t="s">
        <v>5915</v>
      </c>
      <c r="F160" s="293" t="s">
        <v>5636</v>
      </c>
      <c r="G160" s="293" t="s">
        <v>5581</v>
      </c>
      <c r="H160" s="294">
        <v>40786</v>
      </c>
      <c r="I160" s="295">
        <v>-19390.73</v>
      </c>
    </row>
    <row r="161" spans="1:9" x14ac:dyDescent="0.2">
      <c r="A161" s="293" t="s">
        <v>5794</v>
      </c>
      <c r="B161" s="293" t="s">
        <v>5632</v>
      </c>
      <c r="C161" s="293" t="s">
        <v>5795</v>
      </c>
      <c r="D161" s="293" t="s">
        <v>5859</v>
      </c>
      <c r="E161" s="293" t="s">
        <v>5916</v>
      </c>
      <c r="F161" s="293" t="s">
        <v>5636</v>
      </c>
      <c r="G161" s="293" t="s">
        <v>5587</v>
      </c>
      <c r="H161" s="294">
        <v>40786</v>
      </c>
      <c r="I161" s="295">
        <v>-5407.92</v>
      </c>
    </row>
    <row r="162" spans="1:9" x14ac:dyDescent="0.2">
      <c r="A162" s="293" t="s">
        <v>5794</v>
      </c>
      <c r="B162" s="293" t="s">
        <v>5632</v>
      </c>
      <c r="C162" s="293" t="s">
        <v>5795</v>
      </c>
      <c r="D162" s="293" t="s">
        <v>5859</v>
      </c>
      <c r="E162" s="293" t="s">
        <v>5917</v>
      </c>
      <c r="F162" s="293" t="s">
        <v>5636</v>
      </c>
      <c r="G162" s="293" t="s">
        <v>5576</v>
      </c>
      <c r="H162" s="294">
        <v>40786</v>
      </c>
      <c r="I162" s="295">
        <v>-3340.78</v>
      </c>
    </row>
    <row r="163" spans="1:9" x14ac:dyDescent="0.2">
      <c r="A163" s="293" t="s">
        <v>5794</v>
      </c>
      <c r="B163" s="293" t="s">
        <v>5632</v>
      </c>
      <c r="C163" s="293" t="s">
        <v>5795</v>
      </c>
      <c r="D163" s="293" t="s">
        <v>5859</v>
      </c>
      <c r="E163" s="293" t="s">
        <v>5918</v>
      </c>
      <c r="F163" s="293" t="s">
        <v>5636</v>
      </c>
      <c r="G163" s="293" t="s">
        <v>5588</v>
      </c>
      <c r="H163" s="294">
        <v>40786</v>
      </c>
      <c r="I163" s="295">
        <v>-71344.75</v>
      </c>
    </row>
    <row r="164" spans="1:9" x14ac:dyDescent="0.2">
      <c r="A164" s="293" t="s">
        <v>5794</v>
      </c>
      <c r="B164" s="293" t="s">
        <v>5632</v>
      </c>
      <c r="C164" s="293" t="s">
        <v>5795</v>
      </c>
      <c r="D164" s="293" t="s">
        <v>5859</v>
      </c>
      <c r="E164" s="293" t="s">
        <v>5924</v>
      </c>
      <c r="F164" s="293" t="s">
        <v>5636</v>
      </c>
      <c r="G164" s="293" t="s">
        <v>5591</v>
      </c>
      <c r="H164" s="294">
        <v>40786</v>
      </c>
      <c r="I164" s="295">
        <v>-14003.55</v>
      </c>
    </row>
    <row r="165" spans="1:9" x14ac:dyDescent="0.2">
      <c r="A165" s="293" t="s">
        <v>5794</v>
      </c>
      <c r="B165" s="293" t="s">
        <v>5632</v>
      </c>
      <c r="C165" s="293" t="s">
        <v>5795</v>
      </c>
      <c r="D165" s="293" t="s">
        <v>5859</v>
      </c>
      <c r="E165" s="293" t="s">
        <v>5925</v>
      </c>
      <c r="F165" s="293" t="s">
        <v>5636</v>
      </c>
      <c r="G165" s="293" t="s">
        <v>5592</v>
      </c>
      <c r="H165" s="294">
        <v>40786</v>
      </c>
      <c r="I165" s="295">
        <v>-80165</v>
      </c>
    </row>
    <row r="166" spans="1:9" x14ac:dyDescent="0.2">
      <c r="A166" s="293" t="s">
        <v>5796</v>
      </c>
      <c r="B166" s="293" t="s">
        <v>5632</v>
      </c>
      <c r="C166" s="293" t="s">
        <v>5797</v>
      </c>
      <c r="D166" s="293" t="s">
        <v>5859</v>
      </c>
      <c r="E166" s="293" t="s">
        <v>5912</v>
      </c>
      <c r="F166" s="293" t="s">
        <v>5636</v>
      </c>
      <c r="G166" s="293" t="s">
        <v>5573</v>
      </c>
      <c r="H166" s="294">
        <v>40816</v>
      </c>
      <c r="I166" s="295">
        <v>-6531.18</v>
      </c>
    </row>
    <row r="167" spans="1:9" x14ac:dyDescent="0.2">
      <c r="A167" s="293" t="s">
        <v>5796</v>
      </c>
      <c r="B167" s="293" t="s">
        <v>5632</v>
      </c>
      <c r="C167" s="293" t="s">
        <v>5797</v>
      </c>
      <c r="D167" s="293" t="s">
        <v>5859</v>
      </c>
      <c r="E167" s="293" t="s">
        <v>5911</v>
      </c>
      <c r="F167" s="293" t="s">
        <v>5636</v>
      </c>
      <c r="G167" s="293" t="s">
        <v>5582</v>
      </c>
      <c r="H167" s="294">
        <v>40816</v>
      </c>
      <c r="I167" s="295">
        <v>-4422.05</v>
      </c>
    </row>
    <row r="168" spans="1:9" x14ac:dyDescent="0.2">
      <c r="A168" s="293" t="s">
        <v>5796</v>
      </c>
      <c r="B168" s="293" t="s">
        <v>5632</v>
      </c>
      <c r="C168" s="293" t="s">
        <v>5797</v>
      </c>
      <c r="D168" s="293" t="s">
        <v>5859</v>
      </c>
      <c r="E168" s="293" t="s">
        <v>5919</v>
      </c>
      <c r="F168" s="293" t="s">
        <v>5636</v>
      </c>
      <c r="G168" s="293" t="s">
        <v>5590</v>
      </c>
      <c r="H168" s="294">
        <v>40816</v>
      </c>
      <c r="I168" s="295">
        <v>-12467.89</v>
      </c>
    </row>
    <row r="169" spans="1:9" x14ac:dyDescent="0.2">
      <c r="A169" s="293" t="s">
        <v>5796</v>
      </c>
      <c r="B169" s="293" t="s">
        <v>5632</v>
      </c>
      <c r="C169" s="293" t="s">
        <v>5797</v>
      </c>
      <c r="D169" s="293" t="s">
        <v>5859</v>
      </c>
      <c r="E169" s="293" t="s">
        <v>5921</v>
      </c>
      <c r="F169" s="293" t="s">
        <v>5636</v>
      </c>
      <c r="G169" s="293" t="s">
        <v>5577</v>
      </c>
      <c r="H169" s="294">
        <v>40816</v>
      </c>
      <c r="I169" s="295">
        <v>-11329.25</v>
      </c>
    </row>
    <row r="170" spans="1:9" x14ac:dyDescent="0.2">
      <c r="A170" s="293" t="s">
        <v>5796</v>
      </c>
      <c r="B170" s="293" t="s">
        <v>5632</v>
      </c>
      <c r="C170" s="293" t="s">
        <v>5797</v>
      </c>
      <c r="D170" s="293" t="s">
        <v>5859</v>
      </c>
      <c r="E170" s="293" t="s">
        <v>5922</v>
      </c>
      <c r="F170" s="293" t="s">
        <v>5636</v>
      </c>
      <c r="G170" s="293" t="s">
        <v>5578</v>
      </c>
      <c r="H170" s="294">
        <v>40816</v>
      </c>
      <c r="I170" s="295">
        <v>-10138.58</v>
      </c>
    </row>
    <row r="171" spans="1:9" x14ac:dyDescent="0.2">
      <c r="A171" s="293" t="s">
        <v>5796</v>
      </c>
      <c r="B171" s="293" t="s">
        <v>5632</v>
      </c>
      <c r="C171" s="293" t="s">
        <v>5797</v>
      </c>
      <c r="D171" s="293" t="s">
        <v>5859</v>
      </c>
      <c r="E171" s="293" t="s">
        <v>5923</v>
      </c>
      <c r="F171" s="293" t="s">
        <v>5636</v>
      </c>
      <c r="G171" s="293" t="s">
        <v>5579</v>
      </c>
      <c r="H171" s="294">
        <v>40816</v>
      </c>
      <c r="I171" s="295">
        <v>-2414.83</v>
      </c>
    </row>
    <row r="172" spans="1:9" x14ac:dyDescent="0.2">
      <c r="A172" s="293" t="s">
        <v>5796</v>
      </c>
      <c r="B172" s="293" t="s">
        <v>5632</v>
      </c>
      <c r="C172" s="293" t="s">
        <v>5797</v>
      </c>
      <c r="D172" s="293" t="s">
        <v>5859</v>
      </c>
      <c r="E172" s="293" t="s">
        <v>5925</v>
      </c>
      <c r="F172" s="293" t="s">
        <v>5636</v>
      </c>
      <c r="G172" s="293" t="s">
        <v>5592</v>
      </c>
      <c r="H172" s="294">
        <v>40816</v>
      </c>
      <c r="I172" s="295">
        <v>-80541.22</v>
      </c>
    </row>
    <row r="173" spans="1:9" x14ac:dyDescent="0.2">
      <c r="A173" s="293" t="s">
        <v>5796</v>
      </c>
      <c r="B173" s="293" t="s">
        <v>5632</v>
      </c>
      <c r="C173" s="293" t="s">
        <v>5797</v>
      </c>
      <c r="D173" s="293" t="s">
        <v>5859</v>
      </c>
      <c r="E173" s="293" t="s">
        <v>5913</v>
      </c>
      <c r="F173" s="293" t="s">
        <v>5636</v>
      </c>
      <c r="G173" s="293" t="s">
        <v>5585</v>
      </c>
      <c r="H173" s="294">
        <v>40816</v>
      </c>
      <c r="I173" s="295">
        <v>-11502.62</v>
      </c>
    </row>
    <row r="174" spans="1:9" x14ac:dyDescent="0.2">
      <c r="A174" s="293" t="s">
        <v>5796</v>
      </c>
      <c r="B174" s="293" t="s">
        <v>5632</v>
      </c>
      <c r="C174" s="293" t="s">
        <v>5797</v>
      </c>
      <c r="D174" s="293" t="s">
        <v>5859</v>
      </c>
      <c r="E174" s="293" t="s">
        <v>5914</v>
      </c>
      <c r="F174" s="293" t="s">
        <v>5636</v>
      </c>
      <c r="G174" s="293" t="s">
        <v>5586</v>
      </c>
      <c r="H174" s="294">
        <v>40816</v>
      </c>
      <c r="I174" s="295">
        <v>-3059.89</v>
      </c>
    </row>
    <row r="175" spans="1:9" x14ac:dyDescent="0.2">
      <c r="A175" s="293" t="s">
        <v>5796</v>
      </c>
      <c r="B175" s="293" t="s">
        <v>5632</v>
      </c>
      <c r="C175" s="293" t="s">
        <v>5797</v>
      </c>
      <c r="D175" s="293" t="s">
        <v>5859</v>
      </c>
      <c r="E175" s="293" t="s">
        <v>5915</v>
      </c>
      <c r="F175" s="293" t="s">
        <v>5636</v>
      </c>
      <c r="G175" s="293" t="s">
        <v>5581</v>
      </c>
      <c r="H175" s="294">
        <v>40816</v>
      </c>
      <c r="I175" s="295">
        <v>-19390.73</v>
      </c>
    </row>
    <row r="176" spans="1:9" x14ac:dyDescent="0.2">
      <c r="A176" s="293" t="s">
        <v>5796</v>
      </c>
      <c r="B176" s="293" t="s">
        <v>5632</v>
      </c>
      <c r="C176" s="293" t="s">
        <v>5797</v>
      </c>
      <c r="D176" s="293" t="s">
        <v>5859</v>
      </c>
      <c r="E176" s="293" t="s">
        <v>5916</v>
      </c>
      <c r="F176" s="293" t="s">
        <v>5636</v>
      </c>
      <c r="G176" s="293" t="s">
        <v>5587</v>
      </c>
      <c r="H176" s="294">
        <v>40816</v>
      </c>
      <c r="I176" s="295">
        <v>-5407.92</v>
      </c>
    </row>
    <row r="177" spans="1:9" x14ac:dyDescent="0.2">
      <c r="A177" s="293" t="s">
        <v>5796</v>
      </c>
      <c r="B177" s="293" t="s">
        <v>5632</v>
      </c>
      <c r="C177" s="293" t="s">
        <v>5797</v>
      </c>
      <c r="D177" s="293" t="s">
        <v>5859</v>
      </c>
      <c r="E177" s="293" t="s">
        <v>5917</v>
      </c>
      <c r="F177" s="293" t="s">
        <v>5636</v>
      </c>
      <c r="G177" s="293" t="s">
        <v>5576</v>
      </c>
      <c r="H177" s="294">
        <v>40816</v>
      </c>
      <c r="I177" s="295">
        <v>-3340.78</v>
      </c>
    </row>
    <row r="178" spans="1:9" x14ac:dyDescent="0.2">
      <c r="A178" s="293" t="s">
        <v>5796</v>
      </c>
      <c r="B178" s="293" t="s">
        <v>5632</v>
      </c>
      <c r="C178" s="293" t="s">
        <v>5797</v>
      </c>
      <c r="D178" s="293" t="s">
        <v>5859</v>
      </c>
      <c r="E178" s="293" t="s">
        <v>5918</v>
      </c>
      <c r="F178" s="293" t="s">
        <v>5636</v>
      </c>
      <c r="G178" s="293" t="s">
        <v>5588</v>
      </c>
      <c r="H178" s="294">
        <v>40816</v>
      </c>
      <c r="I178" s="295">
        <v>-71344.75</v>
      </c>
    </row>
    <row r="179" spans="1:9" x14ac:dyDescent="0.2">
      <c r="A179" s="293" t="s">
        <v>5796</v>
      </c>
      <c r="B179" s="293" t="s">
        <v>5632</v>
      </c>
      <c r="C179" s="293" t="s">
        <v>5797</v>
      </c>
      <c r="D179" s="293" t="s">
        <v>5859</v>
      </c>
      <c r="E179" s="293" t="s">
        <v>5920</v>
      </c>
      <c r="F179" s="293" t="s">
        <v>5636</v>
      </c>
      <c r="G179" s="293" t="s">
        <v>5580</v>
      </c>
      <c r="H179" s="294">
        <v>40816</v>
      </c>
      <c r="I179" s="295">
        <v>-15054.29</v>
      </c>
    </row>
    <row r="180" spans="1:9" x14ac:dyDescent="0.2">
      <c r="A180" s="293" t="s">
        <v>5796</v>
      </c>
      <c r="B180" s="293" t="s">
        <v>5632</v>
      </c>
      <c r="C180" s="293" t="s">
        <v>5797</v>
      </c>
      <c r="D180" s="293" t="s">
        <v>5859</v>
      </c>
      <c r="E180" s="293" t="s">
        <v>5924</v>
      </c>
      <c r="F180" s="293" t="s">
        <v>5636</v>
      </c>
      <c r="G180" s="293" t="s">
        <v>5591</v>
      </c>
      <c r="H180" s="294">
        <v>40816</v>
      </c>
      <c r="I180" s="295">
        <v>-14003.55</v>
      </c>
    </row>
    <row r="181" spans="1:9" x14ac:dyDescent="0.2">
      <c r="A181" s="293" t="s">
        <v>5798</v>
      </c>
      <c r="B181" s="293" t="s">
        <v>5632</v>
      </c>
      <c r="C181" s="293" t="s">
        <v>5799</v>
      </c>
      <c r="D181" s="293" t="s">
        <v>5859</v>
      </c>
      <c r="E181" s="293" t="s">
        <v>5912</v>
      </c>
      <c r="F181" s="293" t="s">
        <v>5636</v>
      </c>
      <c r="G181" s="293" t="s">
        <v>5573</v>
      </c>
      <c r="H181" s="294">
        <v>40847</v>
      </c>
      <c r="I181" s="295">
        <v>-6531.18</v>
      </c>
    </row>
    <row r="182" spans="1:9" x14ac:dyDescent="0.2">
      <c r="A182" s="293" t="s">
        <v>5798</v>
      </c>
      <c r="B182" s="293" t="s">
        <v>5632</v>
      </c>
      <c r="C182" s="293" t="s">
        <v>5799</v>
      </c>
      <c r="D182" s="293" t="s">
        <v>5859</v>
      </c>
      <c r="E182" s="293" t="s">
        <v>5913</v>
      </c>
      <c r="F182" s="293" t="s">
        <v>5636</v>
      </c>
      <c r="G182" s="293" t="s">
        <v>5585</v>
      </c>
      <c r="H182" s="294">
        <v>40847</v>
      </c>
      <c r="I182" s="295">
        <v>-11502.62</v>
      </c>
    </row>
    <row r="183" spans="1:9" x14ac:dyDescent="0.2">
      <c r="A183" s="293" t="s">
        <v>5798</v>
      </c>
      <c r="B183" s="293" t="s">
        <v>5632</v>
      </c>
      <c r="C183" s="293" t="s">
        <v>5799</v>
      </c>
      <c r="D183" s="293" t="s">
        <v>5859</v>
      </c>
      <c r="E183" s="293" t="s">
        <v>5915</v>
      </c>
      <c r="F183" s="293" t="s">
        <v>5636</v>
      </c>
      <c r="G183" s="293" t="s">
        <v>5581</v>
      </c>
      <c r="H183" s="294">
        <v>40847</v>
      </c>
      <c r="I183" s="295">
        <v>-19390.73</v>
      </c>
    </row>
    <row r="184" spans="1:9" x14ac:dyDescent="0.2">
      <c r="A184" s="293" t="s">
        <v>5798</v>
      </c>
      <c r="B184" s="293" t="s">
        <v>5632</v>
      </c>
      <c r="C184" s="293" t="s">
        <v>5799</v>
      </c>
      <c r="D184" s="293" t="s">
        <v>5859</v>
      </c>
      <c r="E184" s="293" t="s">
        <v>5911</v>
      </c>
      <c r="F184" s="293" t="s">
        <v>5636</v>
      </c>
      <c r="G184" s="293" t="s">
        <v>5582</v>
      </c>
      <c r="H184" s="294">
        <v>40847</v>
      </c>
      <c r="I184" s="295">
        <v>-4422.05</v>
      </c>
    </row>
    <row r="185" spans="1:9" x14ac:dyDescent="0.2">
      <c r="A185" s="293" t="s">
        <v>5798</v>
      </c>
      <c r="B185" s="293" t="s">
        <v>5632</v>
      </c>
      <c r="C185" s="293" t="s">
        <v>5799</v>
      </c>
      <c r="D185" s="293" t="s">
        <v>5859</v>
      </c>
      <c r="E185" s="293" t="s">
        <v>5919</v>
      </c>
      <c r="F185" s="293" t="s">
        <v>5636</v>
      </c>
      <c r="G185" s="293" t="s">
        <v>5590</v>
      </c>
      <c r="H185" s="294">
        <v>40847</v>
      </c>
      <c r="I185" s="295">
        <v>-12467.89</v>
      </c>
    </row>
    <row r="186" spans="1:9" x14ac:dyDescent="0.2">
      <c r="A186" s="293" t="s">
        <v>5798</v>
      </c>
      <c r="B186" s="293" t="s">
        <v>5632</v>
      </c>
      <c r="C186" s="293" t="s">
        <v>5799</v>
      </c>
      <c r="D186" s="293" t="s">
        <v>5859</v>
      </c>
      <c r="E186" s="293" t="s">
        <v>5921</v>
      </c>
      <c r="F186" s="293" t="s">
        <v>5636</v>
      </c>
      <c r="G186" s="293" t="s">
        <v>5577</v>
      </c>
      <c r="H186" s="294">
        <v>40847</v>
      </c>
      <c r="I186" s="295">
        <v>-11329.25</v>
      </c>
    </row>
    <row r="187" spans="1:9" x14ac:dyDescent="0.2">
      <c r="A187" s="293" t="s">
        <v>5798</v>
      </c>
      <c r="B187" s="293" t="s">
        <v>5632</v>
      </c>
      <c r="C187" s="293" t="s">
        <v>5799</v>
      </c>
      <c r="D187" s="293" t="s">
        <v>5859</v>
      </c>
      <c r="E187" s="293" t="s">
        <v>5922</v>
      </c>
      <c r="F187" s="293" t="s">
        <v>5636</v>
      </c>
      <c r="G187" s="293" t="s">
        <v>5578</v>
      </c>
      <c r="H187" s="294">
        <v>40847</v>
      </c>
      <c r="I187" s="295">
        <v>-10138.58</v>
      </c>
    </row>
    <row r="188" spans="1:9" x14ac:dyDescent="0.2">
      <c r="A188" s="293" t="s">
        <v>5798</v>
      </c>
      <c r="B188" s="293" t="s">
        <v>5632</v>
      </c>
      <c r="C188" s="293" t="s">
        <v>5799</v>
      </c>
      <c r="D188" s="293" t="s">
        <v>5859</v>
      </c>
      <c r="E188" s="293" t="s">
        <v>5923</v>
      </c>
      <c r="F188" s="293" t="s">
        <v>5636</v>
      </c>
      <c r="G188" s="293" t="s">
        <v>5579</v>
      </c>
      <c r="H188" s="294">
        <v>40847</v>
      </c>
      <c r="I188" s="295">
        <v>-2414.83</v>
      </c>
    </row>
    <row r="189" spans="1:9" x14ac:dyDescent="0.2">
      <c r="A189" s="293" t="s">
        <v>5798</v>
      </c>
      <c r="B189" s="293" t="s">
        <v>5632</v>
      </c>
      <c r="C189" s="293" t="s">
        <v>5799</v>
      </c>
      <c r="D189" s="293" t="s">
        <v>5859</v>
      </c>
      <c r="E189" s="293" t="s">
        <v>5924</v>
      </c>
      <c r="F189" s="293" t="s">
        <v>5636</v>
      </c>
      <c r="G189" s="293" t="s">
        <v>5591</v>
      </c>
      <c r="H189" s="294">
        <v>40847</v>
      </c>
      <c r="I189" s="295">
        <v>-14003.55</v>
      </c>
    </row>
    <row r="190" spans="1:9" x14ac:dyDescent="0.2">
      <c r="A190" s="293" t="s">
        <v>5798</v>
      </c>
      <c r="B190" s="293" t="s">
        <v>5632</v>
      </c>
      <c r="C190" s="293" t="s">
        <v>5799</v>
      </c>
      <c r="D190" s="293" t="s">
        <v>5859</v>
      </c>
      <c r="E190" s="293" t="s">
        <v>5925</v>
      </c>
      <c r="F190" s="293" t="s">
        <v>5636</v>
      </c>
      <c r="G190" s="293" t="s">
        <v>5592</v>
      </c>
      <c r="H190" s="294">
        <v>40847</v>
      </c>
      <c r="I190" s="295">
        <v>-80541.22</v>
      </c>
    </row>
    <row r="191" spans="1:9" x14ac:dyDescent="0.2">
      <c r="A191" s="293" t="s">
        <v>5798</v>
      </c>
      <c r="B191" s="293" t="s">
        <v>5632</v>
      </c>
      <c r="C191" s="293" t="s">
        <v>5799</v>
      </c>
      <c r="D191" s="293" t="s">
        <v>5859</v>
      </c>
      <c r="E191" s="293" t="s">
        <v>5914</v>
      </c>
      <c r="F191" s="293" t="s">
        <v>5636</v>
      </c>
      <c r="G191" s="293" t="s">
        <v>5586</v>
      </c>
      <c r="H191" s="294">
        <v>40847</v>
      </c>
      <c r="I191" s="295">
        <v>-3059.89</v>
      </c>
    </row>
    <row r="192" spans="1:9" x14ac:dyDescent="0.2">
      <c r="A192" s="293" t="s">
        <v>5798</v>
      </c>
      <c r="B192" s="293" t="s">
        <v>5632</v>
      </c>
      <c r="C192" s="293" t="s">
        <v>5799</v>
      </c>
      <c r="D192" s="293" t="s">
        <v>5859</v>
      </c>
      <c r="E192" s="293" t="s">
        <v>5916</v>
      </c>
      <c r="F192" s="293" t="s">
        <v>5636</v>
      </c>
      <c r="G192" s="293" t="s">
        <v>5587</v>
      </c>
      <c r="H192" s="294">
        <v>40847</v>
      </c>
      <c r="I192" s="295">
        <v>-5407.92</v>
      </c>
    </row>
    <row r="193" spans="1:9" x14ac:dyDescent="0.2">
      <c r="A193" s="293" t="s">
        <v>5798</v>
      </c>
      <c r="B193" s="293" t="s">
        <v>5632</v>
      </c>
      <c r="C193" s="293" t="s">
        <v>5799</v>
      </c>
      <c r="D193" s="293" t="s">
        <v>5859</v>
      </c>
      <c r="E193" s="293" t="s">
        <v>5917</v>
      </c>
      <c r="F193" s="293" t="s">
        <v>5636</v>
      </c>
      <c r="G193" s="293" t="s">
        <v>5576</v>
      </c>
      <c r="H193" s="294">
        <v>40847</v>
      </c>
      <c r="I193" s="295">
        <v>-3340.78</v>
      </c>
    </row>
    <row r="194" spans="1:9" x14ac:dyDescent="0.2">
      <c r="A194" s="293" t="s">
        <v>5798</v>
      </c>
      <c r="B194" s="293" t="s">
        <v>5632</v>
      </c>
      <c r="C194" s="293" t="s">
        <v>5799</v>
      </c>
      <c r="D194" s="293" t="s">
        <v>5859</v>
      </c>
      <c r="E194" s="293" t="s">
        <v>5918</v>
      </c>
      <c r="F194" s="293" t="s">
        <v>5636</v>
      </c>
      <c r="G194" s="293" t="s">
        <v>5588</v>
      </c>
      <c r="H194" s="294">
        <v>40847</v>
      </c>
      <c r="I194" s="295">
        <v>-71344.75</v>
      </c>
    </row>
    <row r="195" spans="1:9" x14ac:dyDescent="0.2">
      <c r="A195" s="293" t="s">
        <v>5800</v>
      </c>
      <c r="B195" s="293" t="s">
        <v>5632</v>
      </c>
      <c r="C195" s="293" t="s">
        <v>5801</v>
      </c>
      <c r="D195" s="293" t="s">
        <v>5859</v>
      </c>
      <c r="E195" s="293" t="s">
        <v>5912</v>
      </c>
      <c r="F195" s="293" t="s">
        <v>5636</v>
      </c>
      <c r="G195" s="293" t="s">
        <v>5573</v>
      </c>
      <c r="H195" s="294">
        <v>40877</v>
      </c>
      <c r="I195" s="295">
        <v>-6531.18</v>
      </c>
    </row>
    <row r="196" spans="1:9" x14ac:dyDescent="0.2">
      <c r="A196" s="293" t="s">
        <v>5800</v>
      </c>
      <c r="B196" s="293" t="s">
        <v>5632</v>
      </c>
      <c r="C196" s="293" t="s">
        <v>5801</v>
      </c>
      <c r="D196" s="293" t="s">
        <v>5859</v>
      </c>
      <c r="E196" s="293" t="s">
        <v>5913</v>
      </c>
      <c r="F196" s="293" t="s">
        <v>5636</v>
      </c>
      <c r="G196" s="293" t="s">
        <v>5585</v>
      </c>
      <c r="H196" s="294">
        <v>40877</v>
      </c>
      <c r="I196" s="295">
        <v>-11502.62</v>
      </c>
    </row>
    <row r="197" spans="1:9" x14ac:dyDescent="0.2">
      <c r="A197" s="293" t="s">
        <v>5800</v>
      </c>
      <c r="B197" s="293" t="s">
        <v>5632</v>
      </c>
      <c r="C197" s="293" t="s">
        <v>5801</v>
      </c>
      <c r="D197" s="293" t="s">
        <v>5859</v>
      </c>
      <c r="E197" s="293" t="s">
        <v>5914</v>
      </c>
      <c r="F197" s="293" t="s">
        <v>5636</v>
      </c>
      <c r="G197" s="293" t="s">
        <v>5586</v>
      </c>
      <c r="H197" s="294">
        <v>40877</v>
      </c>
      <c r="I197" s="295">
        <v>-3059.89</v>
      </c>
    </row>
    <row r="198" spans="1:9" x14ac:dyDescent="0.2">
      <c r="A198" s="293" t="s">
        <v>5800</v>
      </c>
      <c r="B198" s="293" t="s">
        <v>5632</v>
      </c>
      <c r="C198" s="293" t="s">
        <v>5801</v>
      </c>
      <c r="D198" s="293" t="s">
        <v>5859</v>
      </c>
      <c r="E198" s="293" t="s">
        <v>5915</v>
      </c>
      <c r="F198" s="293" t="s">
        <v>5636</v>
      </c>
      <c r="G198" s="293" t="s">
        <v>5581</v>
      </c>
      <c r="H198" s="294">
        <v>40877</v>
      </c>
      <c r="I198" s="295">
        <v>-19390.73</v>
      </c>
    </row>
    <row r="199" spans="1:9" x14ac:dyDescent="0.2">
      <c r="A199" s="293" t="s">
        <v>5800</v>
      </c>
      <c r="B199" s="293" t="s">
        <v>5632</v>
      </c>
      <c r="C199" s="293" t="s">
        <v>5801</v>
      </c>
      <c r="D199" s="293" t="s">
        <v>5859</v>
      </c>
      <c r="E199" s="293" t="s">
        <v>5916</v>
      </c>
      <c r="F199" s="293" t="s">
        <v>5636</v>
      </c>
      <c r="G199" s="293" t="s">
        <v>5587</v>
      </c>
      <c r="H199" s="294">
        <v>40877</v>
      </c>
      <c r="I199" s="295">
        <v>-5407.92</v>
      </c>
    </row>
    <row r="200" spans="1:9" x14ac:dyDescent="0.2">
      <c r="A200" s="293" t="s">
        <v>5800</v>
      </c>
      <c r="B200" s="293" t="s">
        <v>5632</v>
      </c>
      <c r="C200" s="293" t="s">
        <v>5801</v>
      </c>
      <c r="D200" s="293" t="s">
        <v>5859</v>
      </c>
      <c r="E200" s="293" t="s">
        <v>5911</v>
      </c>
      <c r="F200" s="293" t="s">
        <v>5636</v>
      </c>
      <c r="G200" s="293" t="s">
        <v>5582</v>
      </c>
      <c r="H200" s="294">
        <v>40877</v>
      </c>
      <c r="I200" s="295">
        <v>-4422.05</v>
      </c>
    </row>
    <row r="201" spans="1:9" x14ac:dyDescent="0.2">
      <c r="A201" s="293" t="s">
        <v>5800</v>
      </c>
      <c r="B201" s="293" t="s">
        <v>5632</v>
      </c>
      <c r="C201" s="293" t="s">
        <v>5801</v>
      </c>
      <c r="D201" s="293" t="s">
        <v>5859</v>
      </c>
      <c r="E201" s="293" t="s">
        <v>5917</v>
      </c>
      <c r="F201" s="293" t="s">
        <v>5636</v>
      </c>
      <c r="G201" s="293" t="s">
        <v>5576</v>
      </c>
      <c r="H201" s="294">
        <v>40877</v>
      </c>
      <c r="I201" s="295">
        <v>-3340.78</v>
      </c>
    </row>
    <row r="202" spans="1:9" x14ac:dyDescent="0.2">
      <c r="A202" s="293" t="s">
        <v>5800</v>
      </c>
      <c r="B202" s="293" t="s">
        <v>5632</v>
      </c>
      <c r="C202" s="293" t="s">
        <v>5801</v>
      </c>
      <c r="D202" s="293" t="s">
        <v>5859</v>
      </c>
      <c r="E202" s="293" t="s">
        <v>5918</v>
      </c>
      <c r="F202" s="293" t="s">
        <v>5636</v>
      </c>
      <c r="G202" s="293" t="s">
        <v>5588</v>
      </c>
      <c r="H202" s="294">
        <v>40877</v>
      </c>
      <c r="I202" s="295">
        <v>-71344.75</v>
      </c>
    </row>
    <row r="203" spans="1:9" x14ac:dyDescent="0.2">
      <c r="A203" s="293" t="s">
        <v>5800</v>
      </c>
      <c r="B203" s="293" t="s">
        <v>5632</v>
      </c>
      <c r="C203" s="293" t="s">
        <v>5801</v>
      </c>
      <c r="D203" s="293" t="s">
        <v>5859</v>
      </c>
      <c r="E203" s="293" t="s">
        <v>5919</v>
      </c>
      <c r="F203" s="293" t="s">
        <v>5636</v>
      </c>
      <c r="G203" s="293" t="s">
        <v>5590</v>
      </c>
      <c r="H203" s="294">
        <v>40877</v>
      </c>
      <c r="I203" s="295">
        <v>-12467.89</v>
      </c>
    </row>
    <row r="204" spans="1:9" x14ac:dyDescent="0.2">
      <c r="A204" s="293" t="s">
        <v>5800</v>
      </c>
      <c r="B204" s="293" t="s">
        <v>5632</v>
      </c>
      <c r="C204" s="293" t="s">
        <v>5801</v>
      </c>
      <c r="D204" s="293" t="s">
        <v>5859</v>
      </c>
      <c r="E204" s="293" t="s">
        <v>5921</v>
      </c>
      <c r="F204" s="293" t="s">
        <v>5636</v>
      </c>
      <c r="G204" s="293" t="s">
        <v>5577</v>
      </c>
      <c r="H204" s="294">
        <v>40877</v>
      </c>
      <c r="I204" s="295">
        <v>-11329.25</v>
      </c>
    </row>
    <row r="205" spans="1:9" x14ac:dyDescent="0.2">
      <c r="A205" s="293" t="s">
        <v>5800</v>
      </c>
      <c r="B205" s="293" t="s">
        <v>5632</v>
      </c>
      <c r="C205" s="293" t="s">
        <v>5801</v>
      </c>
      <c r="D205" s="293" t="s">
        <v>5859</v>
      </c>
      <c r="E205" s="293" t="s">
        <v>5922</v>
      </c>
      <c r="F205" s="293" t="s">
        <v>5636</v>
      </c>
      <c r="G205" s="293" t="s">
        <v>5578</v>
      </c>
      <c r="H205" s="294">
        <v>40877</v>
      </c>
      <c r="I205" s="295">
        <v>-10138.58</v>
      </c>
    </row>
    <row r="206" spans="1:9" x14ac:dyDescent="0.2">
      <c r="A206" s="293" t="s">
        <v>5800</v>
      </c>
      <c r="B206" s="293" t="s">
        <v>5632</v>
      </c>
      <c r="C206" s="293" t="s">
        <v>5801</v>
      </c>
      <c r="D206" s="293" t="s">
        <v>5859</v>
      </c>
      <c r="E206" s="293" t="s">
        <v>5923</v>
      </c>
      <c r="F206" s="293" t="s">
        <v>5636</v>
      </c>
      <c r="G206" s="293" t="s">
        <v>5579</v>
      </c>
      <c r="H206" s="294">
        <v>40877</v>
      </c>
      <c r="I206" s="295">
        <v>-2414.83</v>
      </c>
    </row>
    <row r="207" spans="1:9" x14ac:dyDescent="0.2">
      <c r="A207" s="293" t="s">
        <v>5800</v>
      </c>
      <c r="B207" s="293" t="s">
        <v>5632</v>
      </c>
      <c r="C207" s="293" t="s">
        <v>5801</v>
      </c>
      <c r="D207" s="293" t="s">
        <v>5859</v>
      </c>
      <c r="E207" s="293" t="s">
        <v>5924</v>
      </c>
      <c r="F207" s="293" t="s">
        <v>5636</v>
      </c>
      <c r="G207" s="293" t="s">
        <v>5591</v>
      </c>
      <c r="H207" s="294">
        <v>40877</v>
      </c>
      <c r="I207" s="295">
        <v>-14003.55</v>
      </c>
    </row>
    <row r="208" spans="1:9" x14ac:dyDescent="0.2">
      <c r="A208" s="293" t="s">
        <v>5800</v>
      </c>
      <c r="B208" s="293" t="s">
        <v>5632</v>
      </c>
      <c r="C208" s="293" t="s">
        <v>5801</v>
      </c>
      <c r="D208" s="293" t="s">
        <v>5859</v>
      </c>
      <c r="E208" s="293" t="s">
        <v>5925</v>
      </c>
      <c r="F208" s="293" t="s">
        <v>5636</v>
      </c>
      <c r="G208" s="293" t="s">
        <v>5592</v>
      </c>
      <c r="H208" s="294">
        <v>40877</v>
      </c>
      <c r="I208" s="295">
        <v>-80541.22</v>
      </c>
    </row>
    <row r="209" spans="1:9" x14ac:dyDescent="0.2">
      <c r="A209" s="293" t="s">
        <v>5802</v>
      </c>
      <c r="B209" s="293" t="s">
        <v>5632</v>
      </c>
      <c r="C209" s="293" t="s">
        <v>5803</v>
      </c>
      <c r="D209" s="293" t="s">
        <v>5859</v>
      </c>
      <c r="E209" s="293" t="s">
        <v>5912</v>
      </c>
      <c r="F209" s="293" t="s">
        <v>5636</v>
      </c>
      <c r="G209" s="293" t="s">
        <v>5573</v>
      </c>
      <c r="H209" s="294">
        <v>40908</v>
      </c>
      <c r="I209" s="295">
        <v>-6531.18</v>
      </c>
    </row>
    <row r="210" spans="1:9" x14ac:dyDescent="0.2">
      <c r="A210" s="293" t="s">
        <v>5802</v>
      </c>
      <c r="B210" s="293" t="s">
        <v>5632</v>
      </c>
      <c r="C210" s="293" t="s">
        <v>5803</v>
      </c>
      <c r="D210" s="293" t="s">
        <v>5859</v>
      </c>
      <c r="E210" s="293" t="s">
        <v>5913</v>
      </c>
      <c r="F210" s="293" t="s">
        <v>5636</v>
      </c>
      <c r="G210" s="293" t="s">
        <v>5585</v>
      </c>
      <c r="H210" s="294">
        <v>40908</v>
      </c>
      <c r="I210" s="295">
        <v>-11502.62</v>
      </c>
    </row>
    <row r="211" spans="1:9" x14ac:dyDescent="0.2">
      <c r="A211" s="293" t="s">
        <v>5802</v>
      </c>
      <c r="B211" s="293" t="s">
        <v>5632</v>
      </c>
      <c r="C211" s="293" t="s">
        <v>5803</v>
      </c>
      <c r="D211" s="293" t="s">
        <v>5859</v>
      </c>
      <c r="E211" s="293" t="s">
        <v>5914</v>
      </c>
      <c r="F211" s="293" t="s">
        <v>5636</v>
      </c>
      <c r="G211" s="293" t="s">
        <v>5586</v>
      </c>
      <c r="H211" s="294">
        <v>40908</v>
      </c>
      <c r="I211" s="295">
        <v>-3059.89</v>
      </c>
    </row>
    <row r="212" spans="1:9" x14ac:dyDescent="0.2">
      <c r="A212" s="293" t="s">
        <v>5802</v>
      </c>
      <c r="B212" s="293" t="s">
        <v>5632</v>
      </c>
      <c r="C212" s="293" t="s">
        <v>5803</v>
      </c>
      <c r="D212" s="293" t="s">
        <v>5859</v>
      </c>
      <c r="E212" s="293" t="s">
        <v>5915</v>
      </c>
      <c r="F212" s="293" t="s">
        <v>5636</v>
      </c>
      <c r="G212" s="293" t="s">
        <v>5581</v>
      </c>
      <c r="H212" s="294">
        <v>40908</v>
      </c>
      <c r="I212" s="295">
        <v>-19390.73</v>
      </c>
    </row>
    <row r="213" spans="1:9" x14ac:dyDescent="0.2">
      <c r="A213" s="293" t="s">
        <v>5802</v>
      </c>
      <c r="B213" s="293" t="s">
        <v>5632</v>
      </c>
      <c r="C213" s="293" t="s">
        <v>5803</v>
      </c>
      <c r="D213" s="293" t="s">
        <v>5859</v>
      </c>
      <c r="E213" s="293" t="s">
        <v>5916</v>
      </c>
      <c r="F213" s="293" t="s">
        <v>5636</v>
      </c>
      <c r="G213" s="293" t="s">
        <v>5587</v>
      </c>
      <c r="H213" s="294">
        <v>40908</v>
      </c>
      <c r="I213" s="295">
        <v>-5407.92</v>
      </c>
    </row>
    <row r="214" spans="1:9" x14ac:dyDescent="0.2">
      <c r="A214" s="293" t="s">
        <v>5802</v>
      </c>
      <c r="B214" s="293" t="s">
        <v>5632</v>
      </c>
      <c r="C214" s="293" t="s">
        <v>5803</v>
      </c>
      <c r="D214" s="293" t="s">
        <v>5859</v>
      </c>
      <c r="E214" s="293" t="s">
        <v>5911</v>
      </c>
      <c r="F214" s="293" t="s">
        <v>5636</v>
      </c>
      <c r="G214" s="293" t="s">
        <v>5582</v>
      </c>
      <c r="H214" s="294">
        <v>40908</v>
      </c>
      <c r="I214" s="295">
        <v>-4422.05</v>
      </c>
    </row>
    <row r="215" spans="1:9" x14ac:dyDescent="0.2">
      <c r="A215" s="293" t="s">
        <v>5802</v>
      </c>
      <c r="B215" s="293" t="s">
        <v>5632</v>
      </c>
      <c r="C215" s="293" t="s">
        <v>5803</v>
      </c>
      <c r="D215" s="293" t="s">
        <v>5859</v>
      </c>
      <c r="E215" s="293" t="s">
        <v>5917</v>
      </c>
      <c r="F215" s="293" t="s">
        <v>5636</v>
      </c>
      <c r="G215" s="293" t="s">
        <v>5576</v>
      </c>
      <c r="H215" s="294">
        <v>40908</v>
      </c>
      <c r="I215" s="295">
        <v>-3340.78</v>
      </c>
    </row>
    <row r="216" spans="1:9" x14ac:dyDescent="0.2">
      <c r="A216" s="293" t="s">
        <v>5802</v>
      </c>
      <c r="B216" s="293" t="s">
        <v>5632</v>
      </c>
      <c r="C216" s="293" t="s">
        <v>5803</v>
      </c>
      <c r="D216" s="293" t="s">
        <v>5859</v>
      </c>
      <c r="E216" s="293" t="s">
        <v>5918</v>
      </c>
      <c r="F216" s="293" t="s">
        <v>5636</v>
      </c>
      <c r="G216" s="293" t="s">
        <v>5588</v>
      </c>
      <c r="H216" s="294">
        <v>40908</v>
      </c>
      <c r="I216" s="295">
        <v>-71344.75</v>
      </c>
    </row>
    <row r="217" spans="1:9" x14ac:dyDescent="0.2">
      <c r="A217" s="293" t="s">
        <v>5802</v>
      </c>
      <c r="B217" s="293" t="s">
        <v>5632</v>
      </c>
      <c r="C217" s="293" t="s">
        <v>5803</v>
      </c>
      <c r="D217" s="293" t="s">
        <v>5859</v>
      </c>
      <c r="E217" s="293" t="s">
        <v>5919</v>
      </c>
      <c r="F217" s="293" t="s">
        <v>5636</v>
      </c>
      <c r="G217" s="293" t="s">
        <v>5590</v>
      </c>
      <c r="H217" s="294">
        <v>40908</v>
      </c>
      <c r="I217" s="295">
        <v>-12467.89</v>
      </c>
    </row>
    <row r="218" spans="1:9" x14ac:dyDescent="0.2">
      <c r="A218" s="293" t="s">
        <v>5802</v>
      </c>
      <c r="B218" s="293" t="s">
        <v>5632</v>
      </c>
      <c r="C218" s="293" t="s">
        <v>5803</v>
      </c>
      <c r="D218" s="293" t="s">
        <v>5859</v>
      </c>
      <c r="E218" s="293" t="s">
        <v>5921</v>
      </c>
      <c r="F218" s="293" t="s">
        <v>5636</v>
      </c>
      <c r="G218" s="293" t="s">
        <v>5577</v>
      </c>
      <c r="H218" s="294">
        <v>40908</v>
      </c>
      <c r="I218" s="295">
        <v>-11329.25</v>
      </c>
    </row>
    <row r="219" spans="1:9" x14ac:dyDescent="0.2">
      <c r="A219" s="293" t="s">
        <v>5802</v>
      </c>
      <c r="B219" s="293" t="s">
        <v>5632</v>
      </c>
      <c r="C219" s="293" t="s">
        <v>5803</v>
      </c>
      <c r="D219" s="293" t="s">
        <v>5859</v>
      </c>
      <c r="E219" s="293" t="s">
        <v>5922</v>
      </c>
      <c r="F219" s="293" t="s">
        <v>5636</v>
      </c>
      <c r="G219" s="293" t="s">
        <v>5578</v>
      </c>
      <c r="H219" s="294">
        <v>40908</v>
      </c>
      <c r="I219" s="295">
        <v>-10138.58</v>
      </c>
    </row>
    <row r="220" spans="1:9" x14ac:dyDescent="0.2">
      <c r="A220" s="293" t="s">
        <v>5802</v>
      </c>
      <c r="B220" s="293" t="s">
        <v>5632</v>
      </c>
      <c r="C220" s="293" t="s">
        <v>5803</v>
      </c>
      <c r="D220" s="293" t="s">
        <v>5859</v>
      </c>
      <c r="E220" s="293" t="s">
        <v>5923</v>
      </c>
      <c r="F220" s="293" t="s">
        <v>5636</v>
      </c>
      <c r="G220" s="293" t="s">
        <v>5579</v>
      </c>
      <c r="H220" s="294">
        <v>40908</v>
      </c>
      <c r="I220" s="295">
        <v>-2414.83</v>
      </c>
    </row>
    <row r="221" spans="1:9" x14ac:dyDescent="0.2">
      <c r="A221" s="293" t="s">
        <v>5802</v>
      </c>
      <c r="B221" s="293" t="s">
        <v>5632</v>
      </c>
      <c r="C221" s="293" t="s">
        <v>5803</v>
      </c>
      <c r="D221" s="293" t="s">
        <v>5859</v>
      </c>
      <c r="E221" s="293" t="s">
        <v>5924</v>
      </c>
      <c r="F221" s="293" t="s">
        <v>5636</v>
      </c>
      <c r="G221" s="293" t="s">
        <v>5591</v>
      </c>
      <c r="H221" s="294">
        <v>40908</v>
      </c>
      <c r="I221" s="295">
        <v>-14003.55</v>
      </c>
    </row>
    <row r="222" spans="1:9" x14ac:dyDescent="0.2">
      <c r="A222" s="293" t="s">
        <v>5802</v>
      </c>
      <c r="B222" s="293" t="s">
        <v>5632</v>
      </c>
      <c r="C222" s="293" t="s">
        <v>5803</v>
      </c>
      <c r="D222" s="293" t="s">
        <v>5859</v>
      </c>
      <c r="E222" s="293" t="s">
        <v>5925</v>
      </c>
      <c r="F222" s="293" t="s">
        <v>5636</v>
      </c>
      <c r="G222" s="293" t="s">
        <v>5592</v>
      </c>
      <c r="H222" s="294">
        <v>40908</v>
      </c>
      <c r="I222" s="295">
        <v>-80541.22</v>
      </c>
    </row>
    <row r="223" spans="1:9" x14ac:dyDescent="0.2">
      <c r="A223" s="293" t="s">
        <v>5631</v>
      </c>
      <c r="B223" s="293" t="s">
        <v>5632</v>
      </c>
      <c r="C223" s="293" t="s">
        <v>5633</v>
      </c>
      <c r="D223" s="293" t="s">
        <v>5859</v>
      </c>
      <c r="E223" s="293" t="s">
        <v>5912</v>
      </c>
      <c r="F223" s="293" t="s">
        <v>5636</v>
      </c>
      <c r="G223" s="293" t="s">
        <v>5573</v>
      </c>
      <c r="H223" s="294">
        <v>40939</v>
      </c>
      <c r="I223" s="295">
        <v>-6531.18</v>
      </c>
    </row>
    <row r="224" spans="1:9" x14ac:dyDescent="0.2">
      <c r="A224" s="293" t="s">
        <v>5631</v>
      </c>
      <c r="B224" s="293" t="s">
        <v>5632</v>
      </c>
      <c r="C224" s="293" t="s">
        <v>5633</v>
      </c>
      <c r="D224" s="293" t="s">
        <v>5859</v>
      </c>
      <c r="E224" s="293" t="s">
        <v>5913</v>
      </c>
      <c r="F224" s="293" t="s">
        <v>5636</v>
      </c>
      <c r="G224" s="293" t="s">
        <v>5585</v>
      </c>
      <c r="H224" s="294">
        <v>40939</v>
      </c>
      <c r="I224" s="295">
        <v>-11502.62</v>
      </c>
    </row>
    <row r="225" spans="1:9" x14ac:dyDescent="0.2">
      <c r="A225" s="293" t="s">
        <v>5631</v>
      </c>
      <c r="B225" s="293" t="s">
        <v>5632</v>
      </c>
      <c r="C225" s="293" t="s">
        <v>5633</v>
      </c>
      <c r="D225" s="293" t="s">
        <v>5859</v>
      </c>
      <c r="E225" s="293" t="s">
        <v>5914</v>
      </c>
      <c r="F225" s="293" t="s">
        <v>5636</v>
      </c>
      <c r="G225" s="293" t="s">
        <v>5586</v>
      </c>
      <c r="H225" s="294">
        <v>40939</v>
      </c>
      <c r="I225" s="295">
        <v>-3059.89</v>
      </c>
    </row>
    <row r="226" spans="1:9" x14ac:dyDescent="0.2">
      <c r="A226" s="293" t="s">
        <v>5631</v>
      </c>
      <c r="B226" s="293" t="s">
        <v>5632</v>
      </c>
      <c r="C226" s="293" t="s">
        <v>5633</v>
      </c>
      <c r="D226" s="293" t="s">
        <v>5859</v>
      </c>
      <c r="E226" s="293" t="s">
        <v>5915</v>
      </c>
      <c r="F226" s="293" t="s">
        <v>5636</v>
      </c>
      <c r="G226" s="293" t="s">
        <v>5581</v>
      </c>
      <c r="H226" s="294">
        <v>40939</v>
      </c>
      <c r="I226" s="295">
        <v>-19390.73</v>
      </c>
    </row>
    <row r="227" spans="1:9" x14ac:dyDescent="0.2">
      <c r="A227" s="293" t="s">
        <v>5631</v>
      </c>
      <c r="B227" s="293" t="s">
        <v>5632</v>
      </c>
      <c r="C227" s="293" t="s">
        <v>5633</v>
      </c>
      <c r="D227" s="293" t="s">
        <v>5859</v>
      </c>
      <c r="E227" s="293" t="s">
        <v>5916</v>
      </c>
      <c r="F227" s="293" t="s">
        <v>5636</v>
      </c>
      <c r="G227" s="293" t="s">
        <v>5587</v>
      </c>
      <c r="H227" s="294">
        <v>40939</v>
      </c>
      <c r="I227" s="295">
        <v>-5407.92</v>
      </c>
    </row>
    <row r="228" spans="1:9" x14ac:dyDescent="0.2">
      <c r="A228" s="293" t="s">
        <v>5631</v>
      </c>
      <c r="B228" s="293" t="s">
        <v>5632</v>
      </c>
      <c r="C228" s="293" t="s">
        <v>5633</v>
      </c>
      <c r="D228" s="293" t="s">
        <v>5859</v>
      </c>
      <c r="E228" s="293" t="s">
        <v>5911</v>
      </c>
      <c r="F228" s="293" t="s">
        <v>5636</v>
      </c>
      <c r="G228" s="293" t="s">
        <v>5582</v>
      </c>
      <c r="H228" s="294">
        <v>40939</v>
      </c>
      <c r="I228" s="295">
        <v>-4422.05</v>
      </c>
    </row>
    <row r="229" spans="1:9" x14ac:dyDescent="0.2">
      <c r="A229" s="293" t="s">
        <v>5631</v>
      </c>
      <c r="B229" s="293" t="s">
        <v>5632</v>
      </c>
      <c r="C229" s="293" t="s">
        <v>5633</v>
      </c>
      <c r="D229" s="293" t="s">
        <v>5859</v>
      </c>
      <c r="E229" s="293" t="s">
        <v>5917</v>
      </c>
      <c r="F229" s="293" t="s">
        <v>5636</v>
      </c>
      <c r="G229" s="293" t="s">
        <v>5576</v>
      </c>
      <c r="H229" s="294">
        <v>40939</v>
      </c>
      <c r="I229" s="295">
        <v>-3340.78</v>
      </c>
    </row>
    <row r="230" spans="1:9" x14ac:dyDescent="0.2">
      <c r="A230" s="293" t="s">
        <v>5631</v>
      </c>
      <c r="B230" s="293" t="s">
        <v>5632</v>
      </c>
      <c r="C230" s="293" t="s">
        <v>5633</v>
      </c>
      <c r="D230" s="293" t="s">
        <v>5859</v>
      </c>
      <c r="E230" s="293" t="s">
        <v>5918</v>
      </c>
      <c r="F230" s="293" t="s">
        <v>5636</v>
      </c>
      <c r="G230" s="293" t="s">
        <v>5588</v>
      </c>
      <c r="H230" s="294">
        <v>40939</v>
      </c>
      <c r="I230" s="295">
        <v>-71344.75</v>
      </c>
    </row>
    <row r="231" spans="1:9" x14ac:dyDescent="0.2">
      <c r="A231" s="293" t="s">
        <v>5631</v>
      </c>
      <c r="B231" s="293" t="s">
        <v>5632</v>
      </c>
      <c r="C231" s="293" t="s">
        <v>5633</v>
      </c>
      <c r="D231" s="293" t="s">
        <v>5859</v>
      </c>
      <c r="E231" s="293" t="s">
        <v>5919</v>
      </c>
      <c r="F231" s="293" t="s">
        <v>5636</v>
      </c>
      <c r="G231" s="293" t="s">
        <v>5590</v>
      </c>
      <c r="H231" s="294">
        <v>40939</v>
      </c>
      <c r="I231" s="295">
        <v>-12467.89</v>
      </c>
    </row>
    <row r="232" spans="1:9" x14ac:dyDescent="0.2">
      <c r="A232" s="293" t="s">
        <v>5631</v>
      </c>
      <c r="B232" s="293" t="s">
        <v>5632</v>
      </c>
      <c r="C232" s="293" t="s">
        <v>5633</v>
      </c>
      <c r="D232" s="293" t="s">
        <v>5859</v>
      </c>
      <c r="E232" s="293" t="s">
        <v>5921</v>
      </c>
      <c r="F232" s="293" t="s">
        <v>5636</v>
      </c>
      <c r="G232" s="293" t="s">
        <v>5577</v>
      </c>
      <c r="H232" s="294">
        <v>40939</v>
      </c>
      <c r="I232" s="295">
        <v>-11329.25</v>
      </c>
    </row>
    <row r="233" spans="1:9" x14ac:dyDescent="0.2">
      <c r="A233" s="293" t="s">
        <v>5631</v>
      </c>
      <c r="B233" s="293" t="s">
        <v>5632</v>
      </c>
      <c r="C233" s="293" t="s">
        <v>5633</v>
      </c>
      <c r="D233" s="293" t="s">
        <v>5859</v>
      </c>
      <c r="E233" s="293" t="s">
        <v>5922</v>
      </c>
      <c r="F233" s="293" t="s">
        <v>5636</v>
      </c>
      <c r="G233" s="293" t="s">
        <v>5578</v>
      </c>
      <c r="H233" s="294">
        <v>40939</v>
      </c>
      <c r="I233" s="295">
        <v>-10138.58</v>
      </c>
    </row>
    <row r="234" spans="1:9" x14ac:dyDescent="0.2">
      <c r="A234" s="293" t="s">
        <v>5631</v>
      </c>
      <c r="B234" s="293" t="s">
        <v>5632</v>
      </c>
      <c r="C234" s="293" t="s">
        <v>5633</v>
      </c>
      <c r="D234" s="293" t="s">
        <v>5859</v>
      </c>
      <c r="E234" s="293" t="s">
        <v>5923</v>
      </c>
      <c r="F234" s="293" t="s">
        <v>5636</v>
      </c>
      <c r="G234" s="293" t="s">
        <v>5579</v>
      </c>
      <c r="H234" s="294">
        <v>40939</v>
      </c>
      <c r="I234" s="295">
        <v>-2414.83</v>
      </c>
    </row>
    <row r="235" spans="1:9" x14ac:dyDescent="0.2">
      <c r="A235" s="293" t="s">
        <v>5631</v>
      </c>
      <c r="B235" s="293" t="s">
        <v>5632</v>
      </c>
      <c r="C235" s="293" t="s">
        <v>5633</v>
      </c>
      <c r="D235" s="293" t="s">
        <v>5859</v>
      </c>
      <c r="E235" s="293" t="s">
        <v>5924</v>
      </c>
      <c r="F235" s="293" t="s">
        <v>5636</v>
      </c>
      <c r="G235" s="293" t="s">
        <v>5591</v>
      </c>
      <c r="H235" s="294">
        <v>40939</v>
      </c>
      <c r="I235" s="295">
        <v>-14003.55</v>
      </c>
    </row>
    <row r="236" spans="1:9" x14ac:dyDescent="0.2">
      <c r="A236" s="293" t="s">
        <v>5631</v>
      </c>
      <c r="B236" s="293" t="s">
        <v>5632</v>
      </c>
      <c r="C236" s="293" t="s">
        <v>5633</v>
      </c>
      <c r="D236" s="293" t="s">
        <v>5859</v>
      </c>
      <c r="E236" s="293" t="s">
        <v>5925</v>
      </c>
      <c r="F236" s="293" t="s">
        <v>5636</v>
      </c>
      <c r="G236" s="293" t="s">
        <v>5592</v>
      </c>
      <c r="H236" s="294">
        <v>40939</v>
      </c>
      <c r="I236" s="295">
        <v>-80541.23</v>
      </c>
    </row>
    <row r="237" spans="1:9" x14ac:dyDescent="0.2">
      <c r="A237" s="293" t="s">
        <v>5651</v>
      </c>
      <c r="B237" s="293" t="s">
        <v>5632</v>
      </c>
      <c r="C237" s="293" t="s">
        <v>5652</v>
      </c>
      <c r="D237" s="293" t="s">
        <v>5859</v>
      </c>
      <c r="E237" s="293" t="s">
        <v>5912</v>
      </c>
      <c r="F237" s="293" t="s">
        <v>5653</v>
      </c>
      <c r="G237" s="293" t="s">
        <v>5573</v>
      </c>
      <c r="H237" s="294">
        <v>40968</v>
      </c>
      <c r="I237" s="295">
        <v>-6531.18</v>
      </c>
    </row>
    <row r="238" spans="1:9" x14ac:dyDescent="0.2">
      <c r="A238" s="293" t="s">
        <v>5651</v>
      </c>
      <c r="B238" s="293" t="s">
        <v>5632</v>
      </c>
      <c r="C238" s="293" t="s">
        <v>5652</v>
      </c>
      <c r="D238" s="293" t="s">
        <v>5859</v>
      </c>
      <c r="E238" s="293" t="s">
        <v>5913</v>
      </c>
      <c r="F238" s="293" t="s">
        <v>5653</v>
      </c>
      <c r="G238" s="293" t="s">
        <v>5585</v>
      </c>
      <c r="H238" s="294">
        <v>40968</v>
      </c>
      <c r="I238" s="295">
        <v>-11502.62</v>
      </c>
    </row>
    <row r="239" spans="1:9" x14ac:dyDescent="0.2">
      <c r="A239" s="293" t="s">
        <v>5651</v>
      </c>
      <c r="B239" s="293" t="s">
        <v>5632</v>
      </c>
      <c r="C239" s="293" t="s">
        <v>5652</v>
      </c>
      <c r="D239" s="293" t="s">
        <v>5859</v>
      </c>
      <c r="E239" s="293" t="s">
        <v>5914</v>
      </c>
      <c r="F239" s="293" t="s">
        <v>5653</v>
      </c>
      <c r="G239" s="293" t="s">
        <v>5586</v>
      </c>
      <c r="H239" s="294">
        <v>40968</v>
      </c>
      <c r="I239" s="295">
        <v>-3059.89</v>
      </c>
    </row>
    <row r="240" spans="1:9" x14ac:dyDescent="0.2">
      <c r="A240" s="293" t="s">
        <v>5651</v>
      </c>
      <c r="B240" s="293" t="s">
        <v>5632</v>
      </c>
      <c r="C240" s="293" t="s">
        <v>5652</v>
      </c>
      <c r="D240" s="293" t="s">
        <v>5859</v>
      </c>
      <c r="E240" s="293" t="s">
        <v>5915</v>
      </c>
      <c r="F240" s="293" t="s">
        <v>5653</v>
      </c>
      <c r="G240" s="293" t="s">
        <v>5581</v>
      </c>
      <c r="H240" s="294">
        <v>40968</v>
      </c>
      <c r="I240" s="295">
        <v>-19390.73</v>
      </c>
    </row>
    <row r="241" spans="1:9" x14ac:dyDescent="0.2">
      <c r="A241" s="293" t="s">
        <v>5651</v>
      </c>
      <c r="B241" s="293" t="s">
        <v>5632</v>
      </c>
      <c r="C241" s="293" t="s">
        <v>5652</v>
      </c>
      <c r="D241" s="293" t="s">
        <v>5859</v>
      </c>
      <c r="E241" s="293" t="s">
        <v>5916</v>
      </c>
      <c r="F241" s="293" t="s">
        <v>5653</v>
      </c>
      <c r="G241" s="293" t="s">
        <v>5587</v>
      </c>
      <c r="H241" s="294">
        <v>40968</v>
      </c>
      <c r="I241" s="295">
        <v>-5407.92</v>
      </c>
    </row>
    <row r="242" spans="1:9" x14ac:dyDescent="0.2">
      <c r="A242" s="293" t="s">
        <v>5651</v>
      </c>
      <c r="B242" s="293" t="s">
        <v>5632</v>
      </c>
      <c r="C242" s="293" t="s">
        <v>5652</v>
      </c>
      <c r="D242" s="293" t="s">
        <v>5859</v>
      </c>
      <c r="E242" s="293" t="s">
        <v>5911</v>
      </c>
      <c r="F242" s="293" t="s">
        <v>5653</v>
      </c>
      <c r="G242" s="293" t="s">
        <v>5582</v>
      </c>
      <c r="H242" s="294">
        <v>40968</v>
      </c>
      <c r="I242" s="295">
        <v>-4422.05</v>
      </c>
    </row>
    <row r="243" spans="1:9" x14ac:dyDescent="0.2">
      <c r="A243" s="293" t="s">
        <v>5651</v>
      </c>
      <c r="B243" s="293" t="s">
        <v>5632</v>
      </c>
      <c r="C243" s="293" t="s">
        <v>5652</v>
      </c>
      <c r="D243" s="293" t="s">
        <v>5859</v>
      </c>
      <c r="E243" s="293" t="s">
        <v>5917</v>
      </c>
      <c r="F243" s="293" t="s">
        <v>5653</v>
      </c>
      <c r="G243" s="293" t="s">
        <v>5576</v>
      </c>
      <c r="H243" s="294">
        <v>40968</v>
      </c>
      <c r="I243" s="295">
        <v>-3340.78</v>
      </c>
    </row>
    <row r="244" spans="1:9" x14ac:dyDescent="0.2">
      <c r="A244" s="293" t="s">
        <v>5651</v>
      </c>
      <c r="B244" s="293" t="s">
        <v>5632</v>
      </c>
      <c r="C244" s="293" t="s">
        <v>5652</v>
      </c>
      <c r="D244" s="293" t="s">
        <v>5859</v>
      </c>
      <c r="E244" s="293" t="s">
        <v>5918</v>
      </c>
      <c r="F244" s="293" t="s">
        <v>5653</v>
      </c>
      <c r="G244" s="293" t="s">
        <v>5588</v>
      </c>
      <c r="H244" s="294">
        <v>40968</v>
      </c>
      <c r="I244" s="295">
        <v>-71344.75</v>
      </c>
    </row>
    <row r="245" spans="1:9" x14ac:dyDescent="0.2">
      <c r="A245" s="293" t="s">
        <v>5651</v>
      </c>
      <c r="B245" s="293" t="s">
        <v>5632</v>
      </c>
      <c r="C245" s="293" t="s">
        <v>5652</v>
      </c>
      <c r="D245" s="293" t="s">
        <v>5859</v>
      </c>
      <c r="E245" s="293" t="s">
        <v>5919</v>
      </c>
      <c r="F245" s="293" t="s">
        <v>5653</v>
      </c>
      <c r="G245" s="293" t="s">
        <v>5590</v>
      </c>
      <c r="H245" s="294">
        <v>40968</v>
      </c>
      <c r="I245" s="295">
        <v>-12467.89</v>
      </c>
    </row>
    <row r="246" spans="1:9" x14ac:dyDescent="0.2">
      <c r="A246" s="293" t="s">
        <v>5651</v>
      </c>
      <c r="B246" s="293" t="s">
        <v>5632</v>
      </c>
      <c r="C246" s="293" t="s">
        <v>5652</v>
      </c>
      <c r="D246" s="293" t="s">
        <v>5859</v>
      </c>
      <c r="E246" s="293" t="s">
        <v>5921</v>
      </c>
      <c r="F246" s="293" t="s">
        <v>5653</v>
      </c>
      <c r="G246" s="293" t="s">
        <v>5577</v>
      </c>
      <c r="H246" s="294">
        <v>40968</v>
      </c>
      <c r="I246" s="295">
        <v>-11329.25</v>
      </c>
    </row>
    <row r="247" spans="1:9" x14ac:dyDescent="0.2">
      <c r="A247" s="293" t="s">
        <v>5651</v>
      </c>
      <c r="B247" s="293" t="s">
        <v>5632</v>
      </c>
      <c r="C247" s="293" t="s">
        <v>5652</v>
      </c>
      <c r="D247" s="293" t="s">
        <v>5859</v>
      </c>
      <c r="E247" s="293" t="s">
        <v>5922</v>
      </c>
      <c r="F247" s="293" t="s">
        <v>5653</v>
      </c>
      <c r="G247" s="293" t="s">
        <v>5578</v>
      </c>
      <c r="H247" s="294">
        <v>40968</v>
      </c>
      <c r="I247" s="295">
        <v>-10138.58</v>
      </c>
    </row>
    <row r="248" spans="1:9" x14ac:dyDescent="0.2">
      <c r="A248" s="293" t="s">
        <v>5651</v>
      </c>
      <c r="B248" s="293" t="s">
        <v>5632</v>
      </c>
      <c r="C248" s="293" t="s">
        <v>5652</v>
      </c>
      <c r="D248" s="293" t="s">
        <v>5859</v>
      </c>
      <c r="E248" s="293" t="s">
        <v>5923</v>
      </c>
      <c r="F248" s="293" t="s">
        <v>5653</v>
      </c>
      <c r="G248" s="293" t="s">
        <v>5579</v>
      </c>
      <c r="H248" s="294">
        <v>40968</v>
      </c>
      <c r="I248" s="295">
        <v>-2414.83</v>
      </c>
    </row>
    <row r="249" spans="1:9" x14ac:dyDescent="0.2">
      <c r="A249" s="293" t="s">
        <v>5651</v>
      </c>
      <c r="B249" s="293" t="s">
        <v>5632</v>
      </c>
      <c r="C249" s="293" t="s">
        <v>5652</v>
      </c>
      <c r="D249" s="293" t="s">
        <v>5859</v>
      </c>
      <c r="E249" s="293" t="s">
        <v>5924</v>
      </c>
      <c r="F249" s="293" t="s">
        <v>5653</v>
      </c>
      <c r="G249" s="293" t="s">
        <v>5591</v>
      </c>
      <c r="H249" s="294">
        <v>40968</v>
      </c>
      <c r="I249" s="295">
        <v>-14003.55</v>
      </c>
    </row>
    <row r="250" spans="1:9" x14ac:dyDescent="0.2">
      <c r="A250" s="293" t="s">
        <v>5651</v>
      </c>
      <c r="B250" s="293" t="s">
        <v>5632</v>
      </c>
      <c r="C250" s="293" t="s">
        <v>5652</v>
      </c>
      <c r="D250" s="293" t="s">
        <v>5859</v>
      </c>
      <c r="E250" s="293" t="s">
        <v>5925</v>
      </c>
      <c r="F250" s="293" t="s">
        <v>5653</v>
      </c>
      <c r="G250" s="293" t="s">
        <v>5592</v>
      </c>
      <c r="H250" s="294">
        <v>40968</v>
      </c>
      <c r="I250" s="295">
        <v>-80541.22</v>
      </c>
    </row>
    <row r="251" spans="1:9" x14ac:dyDescent="0.2">
      <c r="A251" s="293" t="s">
        <v>5804</v>
      </c>
      <c r="B251" s="293" t="s">
        <v>5632</v>
      </c>
      <c r="C251" s="293" t="s">
        <v>5656</v>
      </c>
      <c r="D251" s="293" t="s">
        <v>5859</v>
      </c>
      <c r="E251" s="293" t="s">
        <v>5912</v>
      </c>
      <c r="F251" s="293" t="s">
        <v>5657</v>
      </c>
      <c r="G251" s="293" t="s">
        <v>5573</v>
      </c>
      <c r="H251" s="294">
        <v>40999</v>
      </c>
      <c r="I251" s="295">
        <v>-6531.18</v>
      </c>
    </row>
    <row r="252" spans="1:9" x14ac:dyDescent="0.2">
      <c r="A252" s="293" t="s">
        <v>5804</v>
      </c>
      <c r="B252" s="293" t="s">
        <v>5632</v>
      </c>
      <c r="C252" s="293" t="s">
        <v>5656</v>
      </c>
      <c r="D252" s="293" t="s">
        <v>5859</v>
      </c>
      <c r="E252" s="293" t="s">
        <v>5911</v>
      </c>
      <c r="F252" s="293" t="s">
        <v>5657</v>
      </c>
      <c r="G252" s="293" t="s">
        <v>5582</v>
      </c>
      <c r="H252" s="294">
        <v>40999</v>
      </c>
      <c r="I252" s="295">
        <v>-4422.05</v>
      </c>
    </row>
    <row r="253" spans="1:9" x14ac:dyDescent="0.2">
      <c r="A253" s="293" t="s">
        <v>5804</v>
      </c>
      <c r="B253" s="293" t="s">
        <v>5632</v>
      </c>
      <c r="C253" s="293" t="s">
        <v>5656</v>
      </c>
      <c r="D253" s="293" t="s">
        <v>5859</v>
      </c>
      <c r="E253" s="293" t="s">
        <v>5919</v>
      </c>
      <c r="F253" s="293" t="s">
        <v>5657</v>
      </c>
      <c r="G253" s="293" t="s">
        <v>5590</v>
      </c>
      <c r="H253" s="294">
        <v>40999</v>
      </c>
      <c r="I253" s="295">
        <v>-12467.89</v>
      </c>
    </row>
    <row r="254" spans="1:9" x14ac:dyDescent="0.2">
      <c r="A254" s="293" t="s">
        <v>5804</v>
      </c>
      <c r="B254" s="293" t="s">
        <v>5632</v>
      </c>
      <c r="C254" s="293" t="s">
        <v>5656</v>
      </c>
      <c r="D254" s="293" t="s">
        <v>5859</v>
      </c>
      <c r="E254" s="293" t="s">
        <v>5920</v>
      </c>
      <c r="F254" s="293" t="s">
        <v>5657</v>
      </c>
      <c r="G254" s="293" t="s">
        <v>5580</v>
      </c>
      <c r="H254" s="294">
        <v>40999</v>
      </c>
      <c r="I254" s="295">
        <v>532</v>
      </c>
    </row>
    <row r="255" spans="1:9" x14ac:dyDescent="0.2">
      <c r="A255" s="293" t="s">
        <v>5804</v>
      </c>
      <c r="B255" s="293" t="s">
        <v>5632</v>
      </c>
      <c r="C255" s="293" t="s">
        <v>5656</v>
      </c>
      <c r="D255" s="293" t="s">
        <v>5859</v>
      </c>
      <c r="E255" s="293" t="s">
        <v>5921</v>
      </c>
      <c r="F255" s="293" t="s">
        <v>5657</v>
      </c>
      <c r="G255" s="293" t="s">
        <v>5577</v>
      </c>
      <c r="H255" s="294">
        <v>40999</v>
      </c>
      <c r="I255" s="295">
        <v>-11329.25</v>
      </c>
    </row>
    <row r="256" spans="1:9" x14ac:dyDescent="0.2">
      <c r="A256" s="293" t="s">
        <v>5804</v>
      </c>
      <c r="B256" s="293" t="s">
        <v>5632</v>
      </c>
      <c r="C256" s="293" t="s">
        <v>5656</v>
      </c>
      <c r="D256" s="293" t="s">
        <v>5859</v>
      </c>
      <c r="E256" s="293" t="s">
        <v>5922</v>
      </c>
      <c r="F256" s="293" t="s">
        <v>5657</v>
      </c>
      <c r="G256" s="293" t="s">
        <v>5578</v>
      </c>
      <c r="H256" s="294">
        <v>40999</v>
      </c>
      <c r="I256" s="295">
        <v>-10138.58</v>
      </c>
    </row>
    <row r="257" spans="1:9" x14ac:dyDescent="0.2">
      <c r="A257" s="293" t="s">
        <v>5804</v>
      </c>
      <c r="B257" s="293" t="s">
        <v>5632</v>
      </c>
      <c r="C257" s="293" t="s">
        <v>5656</v>
      </c>
      <c r="D257" s="293" t="s">
        <v>5859</v>
      </c>
      <c r="E257" s="293" t="s">
        <v>5923</v>
      </c>
      <c r="F257" s="293" t="s">
        <v>5657</v>
      </c>
      <c r="G257" s="293" t="s">
        <v>5579</v>
      </c>
      <c r="H257" s="294">
        <v>40999</v>
      </c>
      <c r="I257" s="295">
        <v>-2414.83</v>
      </c>
    </row>
    <row r="258" spans="1:9" x14ac:dyDescent="0.2">
      <c r="A258" s="293" t="s">
        <v>5804</v>
      </c>
      <c r="B258" s="293" t="s">
        <v>5632</v>
      </c>
      <c r="C258" s="293" t="s">
        <v>5656</v>
      </c>
      <c r="D258" s="293" t="s">
        <v>5859</v>
      </c>
      <c r="E258" s="293" t="s">
        <v>5925</v>
      </c>
      <c r="F258" s="293" t="s">
        <v>5657</v>
      </c>
      <c r="G258" s="293" t="s">
        <v>5592</v>
      </c>
      <c r="H258" s="294">
        <v>40999</v>
      </c>
      <c r="I258" s="295">
        <v>-80541.22</v>
      </c>
    </row>
    <row r="259" spans="1:9" x14ac:dyDescent="0.2">
      <c r="A259" s="293" t="s">
        <v>5804</v>
      </c>
      <c r="B259" s="293" t="s">
        <v>5632</v>
      </c>
      <c r="C259" s="293" t="s">
        <v>5656</v>
      </c>
      <c r="D259" s="293" t="s">
        <v>5859</v>
      </c>
      <c r="E259" s="293" t="s">
        <v>5913</v>
      </c>
      <c r="F259" s="293" t="s">
        <v>5657</v>
      </c>
      <c r="G259" s="293" t="s">
        <v>5585</v>
      </c>
      <c r="H259" s="294">
        <v>40999</v>
      </c>
      <c r="I259" s="295">
        <v>-11502.62</v>
      </c>
    </row>
    <row r="260" spans="1:9" x14ac:dyDescent="0.2">
      <c r="A260" s="293" t="s">
        <v>5804</v>
      </c>
      <c r="B260" s="293" t="s">
        <v>5632</v>
      </c>
      <c r="C260" s="293" t="s">
        <v>5656</v>
      </c>
      <c r="D260" s="293" t="s">
        <v>5859</v>
      </c>
      <c r="E260" s="293" t="s">
        <v>5914</v>
      </c>
      <c r="F260" s="293" t="s">
        <v>5657</v>
      </c>
      <c r="G260" s="293" t="s">
        <v>5586</v>
      </c>
      <c r="H260" s="294">
        <v>40999</v>
      </c>
      <c r="I260" s="295">
        <v>-3059.89</v>
      </c>
    </row>
    <row r="261" spans="1:9" x14ac:dyDescent="0.2">
      <c r="A261" s="293" t="s">
        <v>5804</v>
      </c>
      <c r="B261" s="293" t="s">
        <v>5632</v>
      </c>
      <c r="C261" s="293" t="s">
        <v>5656</v>
      </c>
      <c r="D261" s="293" t="s">
        <v>5859</v>
      </c>
      <c r="E261" s="293" t="s">
        <v>5915</v>
      </c>
      <c r="F261" s="293" t="s">
        <v>5657</v>
      </c>
      <c r="G261" s="293" t="s">
        <v>5581</v>
      </c>
      <c r="H261" s="294">
        <v>40999</v>
      </c>
      <c r="I261" s="295">
        <v>-13724.16</v>
      </c>
    </row>
    <row r="262" spans="1:9" x14ac:dyDescent="0.2">
      <c r="A262" s="293" t="s">
        <v>5804</v>
      </c>
      <c r="B262" s="293" t="s">
        <v>5632</v>
      </c>
      <c r="C262" s="293" t="s">
        <v>5656</v>
      </c>
      <c r="D262" s="293" t="s">
        <v>5859</v>
      </c>
      <c r="E262" s="293" t="s">
        <v>5916</v>
      </c>
      <c r="F262" s="293" t="s">
        <v>5657</v>
      </c>
      <c r="G262" s="293" t="s">
        <v>5587</v>
      </c>
      <c r="H262" s="294">
        <v>40999</v>
      </c>
      <c r="I262" s="295">
        <v>-5407.92</v>
      </c>
    </row>
    <row r="263" spans="1:9" x14ac:dyDescent="0.2">
      <c r="A263" s="293" t="s">
        <v>5804</v>
      </c>
      <c r="B263" s="293" t="s">
        <v>5632</v>
      </c>
      <c r="C263" s="293" t="s">
        <v>5656</v>
      </c>
      <c r="D263" s="293" t="s">
        <v>5859</v>
      </c>
      <c r="E263" s="293" t="s">
        <v>5917</v>
      </c>
      <c r="F263" s="293" t="s">
        <v>5657</v>
      </c>
      <c r="G263" s="293" t="s">
        <v>5576</v>
      </c>
      <c r="H263" s="294">
        <v>40999</v>
      </c>
      <c r="I263" s="295">
        <v>-3340.78</v>
      </c>
    </row>
    <row r="264" spans="1:9" x14ac:dyDescent="0.2">
      <c r="A264" s="293" t="s">
        <v>5804</v>
      </c>
      <c r="B264" s="293" t="s">
        <v>5632</v>
      </c>
      <c r="C264" s="293" t="s">
        <v>5656</v>
      </c>
      <c r="D264" s="293" t="s">
        <v>5859</v>
      </c>
      <c r="E264" s="293" t="s">
        <v>5918</v>
      </c>
      <c r="F264" s="293" t="s">
        <v>5657</v>
      </c>
      <c r="G264" s="293" t="s">
        <v>5588</v>
      </c>
      <c r="H264" s="294">
        <v>40999</v>
      </c>
      <c r="I264" s="295">
        <v>-71344.75</v>
      </c>
    </row>
    <row r="265" spans="1:9" x14ac:dyDescent="0.2">
      <c r="A265" s="293" t="s">
        <v>5804</v>
      </c>
      <c r="B265" s="293" t="s">
        <v>5632</v>
      </c>
      <c r="C265" s="293" t="s">
        <v>5656</v>
      </c>
      <c r="D265" s="293" t="s">
        <v>5859</v>
      </c>
      <c r="E265" s="293" t="s">
        <v>5924</v>
      </c>
      <c r="F265" s="293" t="s">
        <v>5657</v>
      </c>
      <c r="G265" s="293" t="s">
        <v>5591</v>
      </c>
      <c r="H265" s="294">
        <v>40999</v>
      </c>
      <c r="I265" s="295">
        <v>-14003.55</v>
      </c>
    </row>
    <row r="266" spans="1:9" x14ac:dyDescent="0.2">
      <c r="A266" s="293" t="s">
        <v>5805</v>
      </c>
      <c r="B266" s="293" t="s">
        <v>5632</v>
      </c>
      <c r="C266" s="293" t="s">
        <v>5659</v>
      </c>
      <c r="D266" s="293" t="s">
        <v>5859</v>
      </c>
      <c r="E266" s="293" t="s">
        <v>5912</v>
      </c>
      <c r="F266" s="293" t="s">
        <v>5660</v>
      </c>
      <c r="G266" s="293" t="s">
        <v>5573</v>
      </c>
      <c r="H266" s="294">
        <v>41029</v>
      </c>
      <c r="I266" s="295">
        <v>-6531.18</v>
      </c>
    </row>
    <row r="267" spans="1:9" x14ac:dyDescent="0.2">
      <c r="A267" s="293" t="s">
        <v>5805</v>
      </c>
      <c r="B267" s="293" t="s">
        <v>5632</v>
      </c>
      <c r="C267" s="293" t="s">
        <v>5659</v>
      </c>
      <c r="D267" s="293" t="s">
        <v>5859</v>
      </c>
      <c r="E267" s="293" t="s">
        <v>5913</v>
      </c>
      <c r="F267" s="293" t="s">
        <v>5660</v>
      </c>
      <c r="G267" s="293" t="s">
        <v>5585</v>
      </c>
      <c r="H267" s="294">
        <v>41029</v>
      </c>
      <c r="I267" s="295">
        <v>-11502.62</v>
      </c>
    </row>
    <row r="268" spans="1:9" x14ac:dyDescent="0.2">
      <c r="A268" s="293" t="s">
        <v>5805</v>
      </c>
      <c r="B268" s="293" t="s">
        <v>5632</v>
      </c>
      <c r="C268" s="293" t="s">
        <v>5659</v>
      </c>
      <c r="D268" s="293" t="s">
        <v>5859</v>
      </c>
      <c r="E268" s="293" t="s">
        <v>5911</v>
      </c>
      <c r="F268" s="293" t="s">
        <v>5660</v>
      </c>
      <c r="G268" s="293" t="s">
        <v>5582</v>
      </c>
      <c r="H268" s="294">
        <v>41029</v>
      </c>
      <c r="I268" s="295">
        <v>-4422.05</v>
      </c>
    </row>
    <row r="269" spans="1:9" x14ac:dyDescent="0.2">
      <c r="A269" s="293" t="s">
        <v>5805</v>
      </c>
      <c r="B269" s="293" t="s">
        <v>5632</v>
      </c>
      <c r="C269" s="293" t="s">
        <v>5659</v>
      </c>
      <c r="D269" s="293" t="s">
        <v>5859</v>
      </c>
      <c r="E269" s="293" t="s">
        <v>5918</v>
      </c>
      <c r="F269" s="293" t="s">
        <v>5660</v>
      </c>
      <c r="G269" s="293" t="s">
        <v>5588</v>
      </c>
      <c r="H269" s="294">
        <v>41029</v>
      </c>
      <c r="I269" s="295">
        <v>-71344.75</v>
      </c>
    </row>
    <row r="270" spans="1:9" x14ac:dyDescent="0.2">
      <c r="A270" s="293" t="s">
        <v>5805</v>
      </c>
      <c r="B270" s="293" t="s">
        <v>5632</v>
      </c>
      <c r="C270" s="293" t="s">
        <v>5659</v>
      </c>
      <c r="D270" s="293" t="s">
        <v>5859</v>
      </c>
      <c r="E270" s="293" t="s">
        <v>5919</v>
      </c>
      <c r="F270" s="293" t="s">
        <v>5660</v>
      </c>
      <c r="G270" s="293" t="s">
        <v>5590</v>
      </c>
      <c r="H270" s="294">
        <v>41029</v>
      </c>
      <c r="I270" s="295">
        <v>-12467.89</v>
      </c>
    </row>
    <row r="271" spans="1:9" x14ac:dyDescent="0.2">
      <c r="A271" s="293" t="s">
        <v>5805</v>
      </c>
      <c r="B271" s="293" t="s">
        <v>5632</v>
      </c>
      <c r="C271" s="293" t="s">
        <v>5659</v>
      </c>
      <c r="D271" s="293" t="s">
        <v>5859</v>
      </c>
      <c r="E271" s="293" t="s">
        <v>5921</v>
      </c>
      <c r="F271" s="293" t="s">
        <v>5660</v>
      </c>
      <c r="G271" s="293" t="s">
        <v>5577</v>
      </c>
      <c r="H271" s="294">
        <v>41029</v>
      </c>
      <c r="I271" s="295">
        <v>-11329.25</v>
      </c>
    </row>
    <row r="272" spans="1:9" x14ac:dyDescent="0.2">
      <c r="A272" s="293" t="s">
        <v>5805</v>
      </c>
      <c r="B272" s="293" t="s">
        <v>5632</v>
      </c>
      <c r="C272" s="293" t="s">
        <v>5659</v>
      </c>
      <c r="D272" s="293" t="s">
        <v>5859</v>
      </c>
      <c r="E272" s="293" t="s">
        <v>5922</v>
      </c>
      <c r="F272" s="293" t="s">
        <v>5660</v>
      </c>
      <c r="G272" s="293" t="s">
        <v>5578</v>
      </c>
      <c r="H272" s="294">
        <v>41029</v>
      </c>
      <c r="I272" s="295">
        <v>-10138.58</v>
      </c>
    </row>
    <row r="273" spans="1:9" x14ac:dyDescent="0.2">
      <c r="A273" s="293" t="s">
        <v>5805</v>
      </c>
      <c r="B273" s="293" t="s">
        <v>5632</v>
      </c>
      <c r="C273" s="293" t="s">
        <v>5659</v>
      </c>
      <c r="D273" s="293" t="s">
        <v>5859</v>
      </c>
      <c r="E273" s="293" t="s">
        <v>5923</v>
      </c>
      <c r="F273" s="293" t="s">
        <v>5660</v>
      </c>
      <c r="G273" s="293" t="s">
        <v>5579</v>
      </c>
      <c r="H273" s="294">
        <v>41029</v>
      </c>
      <c r="I273" s="295">
        <v>-2414.83</v>
      </c>
    </row>
    <row r="274" spans="1:9" x14ac:dyDescent="0.2">
      <c r="A274" s="293" t="s">
        <v>5805</v>
      </c>
      <c r="B274" s="293" t="s">
        <v>5632</v>
      </c>
      <c r="C274" s="293" t="s">
        <v>5659</v>
      </c>
      <c r="D274" s="293" t="s">
        <v>5859</v>
      </c>
      <c r="E274" s="293" t="s">
        <v>5924</v>
      </c>
      <c r="F274" s="293" t="s">
        <v>5660</v>
      </c>
      <c r="G274" s="293" t="s">
        <v>5591</v>
      </c>
      <c r="H274" s="294">
        <v>41029</v>
      </c>
      <c r="I274" s="295">
        <v>-14003.55</v>
      </c>
    </row>
    <row r="275" spans="1:9" x14ac:dyDescent="0.2">
      <c r="A275" s="293" t="s">
        <v>5805</v>
      </c>
      <c r="B275" s="293" t="s">
        <v>5632</v>
      </c>
      <c r="C275" s="293" t="s">
        <v>5659</v>
      </c>
      <c r="D275" s="293" t="s">
        <v>5859</v>
      </c>
      <c r="E275" s="293" t="s">
        <v>5925</v>
      </c>
      <c r="F275" s="293" t="s">
        <v>5660</v>
      </c>
      <c r="G275" s="293" t="s">
        <v>5592</v>
      </c>
      <c r="H275" s="294">
        <v>41029</v>
      </c>
      <c r="I275" s="295">
        <v>-80541.22</v>
      </c>
    </row>
    <row r="276" spans="1:9" x14ac:dyDescent="0.2">
      <c r="A276" s="293" t="s">
        <v>5805</v>
      </c>
      <c r="B276" s="293" t="s">
        <v>5632</v>
      </c>
      <c r="C276" s="293" t="s">
        <v>5659</v>
      </c>
      <c r="D276" s="293" t="s">
        <v>5859</v>
      </c>
      <c r="E276" s="293" t="s">
        <v>5914</v>
      </c>
      <c r="F276" s="293" t="s">
        <v>5660</v>
      </c>
      <c r="G276" s="293" t="s">
        <v>5586</v>
      </c>
      <c r="H276" s="294">
        <v>41029</v>
      </c>
      <c r="I276" s="295">
        <v>-3059.89</v>
      </c>
    </row>
    <row r="277" spans="1:9" x14ac:dyDescent="0.2">
      <c r="A277" s="293" t="s">
        <v>5805</v>
      </c>
      <c r="B277" s="293" t="s">
        <v>5632</v>
      </c>
      <c r="C277" s="293" t="s">
        <v>5659</v>
      </c>
      <c r="D277" s="293" t="s">
        <v>5859</v>
      </c>
      <c r="E277" s="293" t="s">
        <v>5915</v>
      </c>
      <c r="F277" s="293" t="s">
        <v>5660</v>
      </c>
      <c r="G277" s="293" t="s">
        <v>5581</v>
      </c>
      <c r="H277" s="294">
        <v>41029</v>
      </c>
      <c r="I277" s="295">
        <v>-8058.13</v>
      </c>
    </row>
    <row r="278" spans="1:9" x14ac:dyDescent="0.2">
      <c r="A278" s="293" t="s">
        <v>5805</v>
      </c>
      <c r="B278" s="293" t="s">
        <v>5632</v>
      </c>
      <c r="C278" s="293" t="s">
        <v>5659</v>
      </c>
      <c r="D278" s="293" t="s">
        <v>5859</v>
      </c>
      <c r="E278" s="293" t="s">
        <v>5916</v>
      </c>
      <c r="F278" s="293" t="s">
        <v>5660</v>
      </c>
      <c r="G278" s="293" t="s">
        <v>5587</v>
      </c>
      <c r="H278" s="294">
        <v>41029</v>
      </c>
      <c r="I278" s="295">
        <v>-5407.92</v>
      </c>
    </row>
    <row r="279" spans="1:9" x14ac:dyDescent="0.2">
      <c r="A279" s="293" t="s">
        <v>5805</v>
      </c>
      <c r="B279" s="293" t="s">
        <v>5632</v>
      </c>
      <c r="C279" s="293" t="s">
        <v>5659</v>
      </c>
      <c r="D279" s="293" t="s">
        <v>5859</v>
      </c>
      <c r="E279" s="293" t="s">
        <v>5917</v>
      </c>
      <c r="F279" s="293" t="s">
        <v>5660</v>
      </c>
      <c r="G279" s="293" t="s">
        <v>5576</v>
      </c>
      <c r="H279" s="294">
        <v>41029</v>
      </c>
      <c r="I279" s="295">
        <v>-3340.78</v>
      </c>
    </row>
    <row r="280" spans="1:9" x14ac:dyDescent="0.2">
      <c r="A280" s="293" t="s">
        <v>5661</v>
      </c>
      <c r="B280" s="293" t="s">
        <v>5632</v>
      </c>
      <c r="C280" s="293" t="s">
        <v>5662</v>
      </c>
      <c r="D280" s="293" t="s">
        <v>5859</v>
      </c>
      <c r="E280" s="293" t="s">
        <v>5912</v>
      </c>
      <c r="F280" s="293" t="s">
        <v>5663</v>
      </c>
      <c r="G280" s="293" t="s">
        <v>5573</v>
      </c>
      <c r="H280" s="294">
        <v>41060</v>
      </c>
      <c r="I280" s="295">
        <v>-6531.18</v>
      </c>
    </row>
    <row r="281" spans="1:9" x14ac:dyDescent="0.2">
      <c r="A281" s="293" t="s">
        <v>5661</v>
      </c>
      <c r="B281" s="293" t="s">
        <v>5632</v>
      </c>
      <c r="C281" s="293" t="s">
        <v>5662</v>
      </c>
      <c r="D281" s="293" t="s">
        <v>5859</v>
      </c>
      <c r="E281" s="293" t="s">
        <v>5913</v>
      </c>
      <c r="F281" s="293" t="s">
        <v>5663</v>
      </c>
      <c r="G281" s="293" t="s">
        <v>5585</v>
      </c>
      <c r="H281" s="294">
        <v>41060</v>
      </c>
      <c r="I281" s="295">
        <v>-11502.62</v>
      </c>
    </row>
    <row r="282" spans="1:9" x14ac:dyDescent="0.2">
      <c r="A282" s="293" t="s">
        <v>5661</v>
      </c>
      <c r="B282" s="293" t="s">
        <v>5632</v>
      </c>
      <c r="C282" s="293" t="s">
        <v>5662</v>
      </c>
      <c r="D282" s="293" t="s">
        <v>5859</v>
      </c>
      <c r="E282" s="293" t="s">
        <v>5914</v>
      </c>
      <c r="F282" s="293" t="s">
        <v>5663</v>
      </c>
      <c r="G282" s="293" t="s">
        <v>5586</v>
      </c>
      <c r="H282" s="294">
        <v>41060</v>
      </c>
      <c r="I282" s="295">
        <v>-3059.89</v>
      </c>
    </row>
    <row r="283" spans="1:9" x14ac:dyDescent="0.2">
      <c r="A283" s="293" t="s">
        <v>5661</v>
      </c>
      <c r="B283" s="293" t="s">
        <v>5632</v>
      </c>
      <c r="C283" s="293" t="s">
        <v>5662</v>
      </c>
      <c r="D283" s="293" t="s">
        <v>5859</v>
      </c>
      <c r="E283" s="293" t="s">
        <v>5915</v>
      </c>
      <c r="F283" s="293" t="s">
        <v>5663</v>
      </c>
      <c r="G283" s="293" t="s">
        <v>5581</v>
      </c>
      <c r="H283" s="294">
        <v>41060</v>
      </c>
      <c r="I283" s="295">
        <v>-8058.13</v>
      </c>
    </row>
    <row r="284" spans="1:9" x14ac:dyDescent="0.2">
      <c r="A284" s="293" t="s">
        <v>5661</v>
      </c>
      <c r="B284" s="293" t="s">
        <v>5632</v>
      </c>
      <c r="C284" s="293" t="s">
        <v>5662</v>
      </c>
      <c r="D284" s="293" t="s">
        <v>5859</v>
      </c>
      <c r="E284" s="293" t="s">
        <v>5916</v>
      </c>
      <c r="F284" s="293" t="s">
        <v>5663</v>
      </c>
      <c r="G284" s="293" t="s">
        <v>5587</v>
      </c>
      <c r="H284" s="294">
        <v>41060</v>
      </c>
      <c r="I284" s="295">
        <v>-5407.92</v>
      </c>
    </row>
    <row r="285" spans="1:9" x14ac:dyDescent="0.2">
      <c r="A285" s="293" t="s">
        <v>5661</v>
      </c>
      <c r="B285" s="293" t="s">
        <v>5632</v>
      </c>
      <c r="C285" s="293" t="s">
        <v>5662</v>
      </c>
      <c r="D285" s="293" t="s">
        <v>5859</v>
      </c>
      <c r="E285" s="293" t="s">
        <v>5911</v>
      </c>
      <c r="F285" s="293" t="s">
        <v>5663</v>
      </c>
      <c r="G285" s="293" t="s">
        <v>5582</v>
      </c>
      <c r="H285" s="294">
        <v>41060</v>
      </c>
      <c r="I285" s="295">
        <v>-4422.05</v>
      </c>
    </row>
    <row r="286" spans="1:9" x14ac:dyDescent="0.2">
      <c r="A286" s="293" t="s">
        <v>5661</v>
      </c>
      <c r="B286" s="293" t="s">
        <v>5632</v>
      </c>
      <c r="C286" s="293" t="s">
        <v>5662</v>
      </c>
      <c r="D286" s="293" t="s">
        <v>5859</v>
      </c>
      <c r="E286" s="293" t="s">
        <v>5917</v>
      </c>
      <c r="F286" s="293" t="s">
        <v>5663</v>
      </c>
      <c r="G286" s="293" t="s">
        <v>5576</v>
      </c>
      <c r="H286" s="294">
        <v>41060</v>
      </c>
      <c r="I286" s="295">
        <v>-3340.78</v>
      </c>
    </row>
    <row r="287" spans="1:9" x14ac:dyDescent="0.2">
      <c r="A287" s="293" t="s">
        <v>5661</v>
      </c>
      <c r="B287" s="293" t="s">
        <v>5632</v>
      </c>
      <c r="C287" s="293" t="s">
        <v>5662</v>
      </c>
      <c r="D287" s="293" t="s">
        <v>5859</v>
      </c>
      <c r="E287" s="293" t="s">
        <v>5918</v>
      </c>
      <c r="F287" s="293" t="s">
        <v>5663</v>
      </c>
      <c r="G287" s="293" t="s">
        <v>5588</v>
      </c>
      <c r="H287" s="294">
        <v>41060</v>
      </c>
      <c r="I287" s="295">
        <v>-71344.75</v>
      </c>
    </row>
    <row r="288" spans="1:9" x14ac:dyDescent="0.2">
      <c r="A288" s="293" t="s">
        <v>5661</v>
      </c>
      <c r="B288" s="293" t="s">
        <v>5632</v>
      </c>
      <c r="C288" s="293" t="s">
        <v>5662</v>
      </c>
      <c r="D288" s="293" t="s">
        <v>5859</v>
      </c>
      <c r="E288" s="293" t="s">
        <v>5919</v>
      </c>
      <c r="F288" s="293" t="s">
        <v>5663</v>
      </c>
      <c r="G288" s="293" t="s">
        <v>5590</v>
      </c>
      <c r="H288" s="294">
        <v>41060</v>
      </c>
      <c r="I288" s="295">
        <v>-12467.89</v>
      </c>
    </row>
    <row r="289" spans="1:9" x14ac:dyDescent="0.2">
      <c r="A289" s="293" t="s">
        <v>5661</v>
      </c>
      <c r="B289" s="293" t="s">
        <v>5632</v>
      </c>
      <c r="C289" s="293" t="s">
        <v>5662</v>
      </c>
      <c r="D289" s="293" t="s">
        <v>5859</v>
      </c>
      <c r="E289" s="293" t="s">
        <v>5920</v>
      </c>
      <c r="F289" s="293" t="s">
        <v>5663</v>
      </c>
      <c r="G289" s="293" t="s">
        <v>5580</v>
      </c>
      <c r="H289" s="294">
        <v>41060</v>
      </c>
      <c r="I289" s="295">
        <v>34513</v>
      </c>
    </row>
    <row r="290" spans="1:9" x14ac:dyDescent="0.2">
      <c r="A290" s="293" t="s">
        <v>5661</v>
      </c>
      <c r="B290" s="293" t="s">
        <v>5632</v>
      </c>
      <c r="C290" s="293" t="s">
        <v>5662</v>
      </c>
      <c r="D290" s="293" t="s">
        <v>5859</v>
      </c>
      <c r="E290" s="293" t="s">
        <v>5921</v>
      </c>
      <c r="F290" s="293" t="s">
        <v>5663</v>
      </c>
      <c r="G290" s="293" t="s">
        <v>5577</v>
      </c>
      <c r="H290" s="294">
        <v>41060</v>
      </c>
      <c r="I290" s="295">
        <v>-11329.25</v>
      </c>
    </row>
    <row r="291" spans="1:9" x14ac:dyDescent="0.2">
      <c r="A291" s="293" t="s">
        <v>5661</v>
      </c>
      <c r="B291" s="293" t="s">
        <v>5632</v>
      </c>
      <c r="C291" s="293" t="s">
        <v>5662</v>
      </c>
      <c r="D291" s="293" t="s">
        <v>5859</v>
      </c>
      <c r="E291" s="293" t="s">
        <v>5922</v>
      </c>
      <c r="F291" s="293" t="s">
        <v>5663</v>
      </c>
      <c r="G291" s="293" t="s">
        <v>5578</v>
      </c>
      <c r="H291" s="294">
        <v>41060</v>
      </c>
      <c r="I291" s="295">
        <v>-10138.58</v>
      </c>
    </row>
    <row r="292" spans="1:9" x14ac:dyDescent="0.2">
      <c r="A292" s="293" t="s">
        <v>5661</v>
      </c>
      <c r="B292" s="293" t="s">
        <v>5632</v>
      </c>
      <c r="C292" s="293" t="s">
        <v>5662</v>
      </c>
      <c r="D292" s="293" t="s">
        <v>5859</v>
      </c>
      <c r="E292" s="293" t="s">
        <v>5923</v>
      </c>
      <c r="F292" s="293" t="s">
        <v>5663</v>
      </c>
      <c r="G292" s="293" t="s">
        <v>5579</v>
      </c>
      <c r="H292" s="294">
        <v>41060</v>
      </c>
      <c r="I292" s="295">
        <v>-2414.83</v>
      </c>
    </row>
    <row r="293" spans="1:9" x14ac:dyDescent="0.2">
      <c r="A293" s="293" t="s">
        <v>5661</v>
      </c>
      <c r="B293" s="293" t="s">
        <v>5632</v>
      </c>
      <c r="C293" s="293" t="s">
        <v>5662</v>
      </c>
      <c r="D293" s="293" t="s">
        <v>5859</v>
      </c>
      <c r="E293" s="293" t="s">
        <v>5924</v>
      </c>
      <c r="F293" s="293" t="s">
        <v>5663</v>
      </c>
      <c r="G293" s="293" t="s">
        <v>5591</v>
      </c>
      <c r="H293" s="294">
        <v>41060</v>
      </c>
      <c r="I293" s="295">
        <v>-14003.55</v>
      </c>
    </row>
    <row r="294" spans="1:9" x14ac:dyDescent="0.2">
      <c r="A294" s="293" t="s">
        <v>5661</v>
      </c>
      <c r="B294" s="293" t="s">
        <v>5632</v>
      </c>
      <c r="C294" s="293" t="s">
        <v>5662</v>
      </c>
      <c r="D294" s="293" t="s">
        <v>5859</v>
      </c>
      <c r="E294" s="293" t="s">
        <v>5925</v>
      </c>
      <c r="F294" s="293" t="s">
        <v>5663</v>
      </c>
      <c r="G294" s="293" t="s">
        <v>5592</v>
      </c>
      <c r="H294" s="294">
        <v>41060</v>
      </c>
      <c r="I294" s="295">
        <v>-80541.22</v>
      </c>
    </row>
    <row r="295" spans="1:9" x14ac:dyDescent="0.2">
      <c r="A295" s="293" t="s">
        <v>6023</v>
      </c>
      <c r="B295" s="293" t="s">
        <v>6010</v>
      </c>
      <c r="C295" s="293" t="s">
        <v>6024</v>
      </c>
      <c r="D295" s="293" t="s">
        <v>5859</v>
      </c>
      <c r="E295" s="293" t="s">
        <v>5088</v>
      </c>
      <c r="F295" s="293" t="s">
        <v>6025</v>
      </c>
      <c r="G295" s="293" t="s">
        <v>5589</v>
      </c>
      <c r="H295" s="294">
        <v>41148</v>
      </c>
      <c r="I295" s="295">
        <v>4750</v>
      </c>
    </row>
    <row r="296" spans="1:9" x14ac:dyDescent="0.2">
      <c r="A296" s="293" t="s">
        <v>5982</v>
      </c>
      <c r="B296" s="293" t="s">
        <v>5983</v>
      </c>
      <c r="C296" s="293" t="s">
        <v>5984</v>
      </c>
      <c r="D296" s="293" t="s">
        <v>5859</v>
      </c>
      <c r="E296" s="293" t="s">
        <v>5088</v>
      </c>
      <c r="F296" s="293" t="s">
        <v>5985</v>
      </c>
      <c r="G296" s="293" t="s">
        <v>5589</v>
      </c>
      <c r="H296" s="294">
        <v>41116</v>
      </c>
      <c r="I296" s="295">
        <v>9075</v>
      </c>
    </row>
    <row r="297" spans="1:9" x14ac:dyDescent="0.2">
      <c r="A297" s="293" t="s">
        <v>6016</v>
      </c>
      <c r="B297" s="293" t="s">
        <v>5983</v>
      </c>
      <c r="C297" s="293" t="s">
        <v>6017</v>
      </c>
      <c r="D297" s="293" t="s">
        <v>5859</v>
      </c>
      <c r="E297" s="293" t="s">
        <v>5088</v>
      </c>
      <c r="F297" s="293" t="s">
        <v>6012</v>
      </c>
      <c r="G297" s="293" t="s">
        <v>5637</v>
      </c>
      <c r="H297" s="294">
        <v>41138</v>
      </c>
      <c r="I297" s="295">
        <v>532</v>
      </c>
    </row>
    <row r="298" spans="1:9" x14ac:dyDescent="0.2">
      <c r="A298" s="293" t="s">
        <v>6009</v>
      </c>
      <c r="B298" s="293" t="s">
        <v>6010</v>
      </c>
      <c r="C298" s="293" t="s">
        <v>6011</v>
      </c>
      <c r="D298" s="293" t="s">
        <v>5859</v>
      </c>
      <c r="E298" s="293" t="s">
        <v>5088</v>
      </c>
      <c r="F298" s="293" t="s">
        <v>6012</v>
      </c>
      <c r="G298" s="293" t="s">
        <v>5589</v>
      </c>
      <c r="H298" s="294">
        <v>41135</v>
      </c>
      <c r="I298" s="295">
        <v>38686.769999999997</v>
      </c>
    </row>
    <row r="299" spans="1:9" x14ac:dyDescent="0.2">
      <c r="A299" s="293" t="s">
        <v>6018</v>
      </c>
      <c r="B299" s="293" t="s">
        <v>5983</v>
      </c>
      <c r="C299" s="293" t="s">
        <v>6019</v>
      </c>
      <c r="D299" s="293" t="s">
        <v>5859</v>
      </c>
      <c r="E299" s="293" t="s">
        <v>5088</v>
      </c>
      <c r="F299" s="293" t="s">
        <v>6020</v>
      </c>
      <c r="G299" s="293" t="s">
        <v>5577</v>
      </c>
      <c r="H299" s="294">
        <v>41145</v>
      </c>
      <c r="I299" s="295">
        <v>5170.1099999999997</v>
      </c>
    </row>
    <row r="300" spans="1:9" x14ac:dyDescent="0.2">
      <c r="A300" s="293" t="s">
        <v>6018</v>
      </c>
      <c r="B300" s="293" t="s">
        <v>5983</v>
      </c>
      <c r="C300" s="293" t="s">
        <v>6019</v>
      </c>
      <c r="D300" s="293" t="s">
        <v>5859</v>
      </c>
      <c r="E300" s="293" t="s">
        <v>5088</v>
      </c>
      <c r="F300" s="293" t="s">
        <v>6020</v>
      </c>
      <c r="G300" s="293" t="s">
        <v>5578</v>
      </c>
      <c r="H300" s="294">
        <v>41145</v>
      </c>
      <c r="I300" s="295">
        <v>4922.1000000000004</v>
      </c>
    </row>
    <row r="301" spans="1:9" x14ac:dyDescent="0.2">
      <c r="A301" s="293" t="s">
        <v>6018</v>
      </c>
      <c r="B301" s="293" t="s">
        <v>5983</v>
      </c>
      <c r="C301" s="293" t="s">
        <v>6019</v>
      </c>
      <c r="D301" s="293" t="s">
        <v>5859</v>
      </c>
      <c r="E301" s="293" t="s">
        <v>5088</v>
      </c>
      <c r="F301" s="293" t="s">
        <v>6020</v>
      </c>
      <c r="G301" s="293" t="s">
        <v>5637</v>
      </c>
      <c r="H301" s="294">
        <v>41145</v>
      </c>
      <c r="I301" s="295">
        <v>1907.79</v>
      </c>
    </row>
    <row r="302" spans="1:9" x14ac:dyDescent="0.2">
      <c r="A302" s="293" t="s">
        <v>5808</v>
      </c>
      <c r="B302" s="293" t="s">
        <v>5632</v>
      </c>
      <c r="C302" s="293" t="s">
        <v>5670</v>
      </c>
      <c r="D302" s="293" t="s">
        <v>5859</v>
      </c>
      <c r="E302" s="293" t="s">
        <v>5912</v>
      </c>
      <c r="F302" s="293" t="s">
        <v>5671</v>
      </c>
      <c r="G302" s="293" t="s">
        <v>5573</v>
      </c>
      <c r="H302" s="294">
        <v>41090</v>
      </c>
      <c r="I302" s="295">
        <v>-6531.18</v>
      </c>
    </row>
    <row r="303" spans="1:9" x14ac:dyDescent="0.2">
      <c r="A303" s="293" t="s">
        <v>5808</v>
      </c>
      <c r="B303" s="293" t="s">
        <v>5632</v>
      </c>
      <c r="C303" s="293" t="s">
        <v>5670</v>
      </c>
      <c r="D303" s="293" t="s">
        <v>5859</v>
      </c>
      <c r="E303" s="293" t="s">
        <v>5913</v>
      </c>
      <c r="F303" s="293" t="s">
        <v>5671</v>
      </c>
      <c r="G303" s="293" t="s">
        <v>5585</v>
      </c>
      <c r="H303" s="294">
        <v>41090</v>
      </c>
      <c r="I303" s="295">
        <v>-11502.62</v>
      </c>
    </row>
    <row r="304" spans="1:9" x14ac:dyDescent="0.2">
      <c r="A304" s="293" t="s">
        <v>5808</v>
      </c>
      <c r="B304" s="293" t="s">
        <v>5632</v>
      </c>
      <c r="C304" s="293" t="s">
        <v>5670</v>
      </c>
      <c r="D304" s="293" t="s">
        <v>5859</v>
      </c>
      <c r="E304" s="293" t="s">
        <v>5914</v>
      </c>
      <c r="F304" s="293" t="s">
        <v>5671</v>
      </c>
      <c r="G304" s="293" t="s">
        <v>5586</v>
      </c>
      <c r="H304" s="294">
        <v>41090</v>
      </c>
      <c r="I304" s="295">
        <v>-3059.89</v>
      </c>
    </row>
    <row r="305" spans="1:9" x14ac:dyDescent="0.2">
      <c r="A305" s="293" t="s">
        <v>5808</v>
      </c>
      <c r="B305" s="293" t="s">
        <v>5632</v>
      </c>
      <c r="C305" s="293" t="s">
        <v>5670</v>
      </c>
      <c r="D305" s="293" t="s">
        <v>5859</v>
      </c>
      <c r="E305" s="293" t="s">
        <v>5915</v>
      </c>
      <c r="F305" s="293" t="s">
        <v>5671</v>
      </c>
      <c r="G305" s="293" t="s">
        <v>5581</v>
      </c>
      <c r="H305" s="294">
        <v>41090</v>
      </c>
      <c r="I305" s="295">
        <v>-8058.13</v>
      </c>
    </row>
    <row r="306" spans="1:9" x14ac:dyDescent="0.2">
      <c r="A306" s="293" t="s">
        <v>5808</v>
      </c>
      <c r="B306" s="293" t="s">
        <v>5632</v>
      </c>
      <c r="C306" s="293" t="s">
        <v>5670</v>
      </c>
      <c r="D306" s="293" t="s">
        <v>5859</v>
      </c>
      <c r="E306" s="293" t="s">
        <v>5916</v>
      </c>
      <c r="F306" s="293" t="s">
        <v>5671</v>
      </c>
      <c r="G306" s="293" t="s">
        <v>5587</v>
      </c>
      <c r="H306" s="294">
        <v>41090</v>
      </c>
      <c r="I306" s="295">
        <v>-4326.07</v>
      </c>
    </row>
    <row r="307" spans="1:9" x14ac:dyDescent="0.2">
      <c r="A307" s="293" t="s">
        <v>5808</v>
      </c>
      <c r="B307" s="293" t="s">
        <v>5632</v>
      </c>
      <c r="C307" s="293" t="s">
        <v>5670</v>
      </c>
      <c r="D307" s="293" t="s">
        <v>5859</v>
      </c>
      <c r="E307" s="293" t="s">
        <v>5911</v>
      </c>
      <c r="F307" s="293" t="s">
        <v>5671</v>
      </c>
      <c r="G307" s="293" t="s">
        <v>5582</v>
      </c>
      <c r="H307" s="294">
        <v>41090</v>
      </c>
      <c r="I307" s="295">
        <v>-4422.05</v>
      </c>
    </row>
    <row r="308" spans="1:9" x14ac:dyDescent="0.2">
      <c r="A308" s="293" t="s">
        <v>5808</v>
      </c>
      <c r="B308" s="293" t="s">
        <v>5632</v>
      </c>
      <c r="C308" s="293" t="s">
        <v>5670</v>
      </c>
      <c r="D308" s="293" t="s">
        <v>5859</v>
      </c>
      <c r="E308" s="293" t="s">
        <v>5917</v>
      </c>
      <c r="F308" s="293" t="s">
        <v>5671</v>
      </c>
      <c r="G308" s="293" t="s">
        <v>5576</v>
      </c>
      <c r="H308" s="294">
        <v>41090</v>
      </c>
      <c r="I308" s="295">
        <v>-3340.78</v>
      </c>
    </row>
    <row r="309" spans="1:9" x14ac:dyDescent="0.2">
      <c r="A309" s="293" t="s">
        <v>5808</v>
      </c>
      <c r="B309" s="293" t="s">
        <v>5632</v>
      </c>
      <c r="C309" s="293" t="s">
        <v>5670</v>
      </c>
      <c r="D309" s="293" t="s">
        <v>5859</v>
      </c>
      <c r="E309" s="293" t="s">
        <v>5918</v>
      </c>
      <c r="F309" s="293" t="s">
        <v>5671</v>
      </c>
      <c r="G309" s="293" t="s">
        <v>5588</v>
      </c>
      <c r="H309" s="294">
        <v>41090</v>
      </c>
      <c r="I309" s="295">
        <v>-71344.75</v>
      </c>
    </row>
    <row r="310" spans="1:9" x14ac:dyDescent="0.2">
      <c r="A310" s="293" t="s">
        <v>5808</v>
      </c>
      <c r="B310" s="293" t="s">
        <v>5632</v>
      </c>
      <c r="C310" s="293" t="s">
        <v>5670</v>
      </c>
      <c r="D310" s="293" t="s">
        <v>5859</v>
      </c>
      <c r="E310" s="293" t="s">
        <v>5979</v>
      </c>
      <c r="F310" s="293" t="s">
        <v>5671</v>
      </c>
      <c r="G310" s="293" t="s">
        <v>5589</v>
      </c>
      <c r="H310" s="294">
        <v>41090</v>
      </c>
      <c r="I310" s="295">
        <v>2400463.4700000002</v>
      </c>
    </row>
    <row r="311" spans="1:9" x14ac:dyDescent="0.2">
      <c r="A311" s="293" t="s">
        <v>5808</v>
      </c>
      <c r="B311" s="293" t="s">
        <v>5632</v>
      </c>
      <c r="C311" s="293" t="s">
        <v>5670</v>
      </c>
      <c r="D311" s="293" t="s">
        <v>5859</v>
      </c>
      <c r="E311" s="293" t="s">
        <v>5919</v>
      </c>
      <c r="F311" s="293" t="s">
        <v>5671</v>
      </c>
      <c r="G311" s="293" t="s">
        <v>5590</v>
      </c>
      <c r="H311" s="294">
        <v>41090</v>
      </c>
      <c r="I311" s="295">
        <v>-12467.89</v>
      </c>
    </row>
    <row r="312" spans="1:9" x14ac:dyDescent="0.2">
      <c r="A312" s="293" t="s">
        <v>5808</v>
      </c>
      <c r="B312" s="293" t="s">
        <v>5632</v>
      </c>
      <c r="C312" s="293" t="s">
        <v>5670</v>
      </c>
      <c r="D312" s="293" t="s">
        <v>5859</v>
      </c>
      <c r="E312" s="293" t="s">
        <v>5920</v>
      </c>
      <c r="F312" s="293" t="s">
        <v>5671</v>
      </c>
      <c r="G312" s="293" t="s">
        <v>5580</v>
      </c>
      <c r="H312" s="294">
        <v>41090</v>
      </c>
      <c r="I312" s="295">
        <v>-35045</v>
      </c>
    </row>
    <row r="313" spans="1:9" x14ac:dyDescent="0.2">
      <c r="A313" s="293" t="s">
        <v>5808</v>
      </c>
      <c r="B313" s="293" t="s">
        <v>5632</v>
      </c>
      <c r="C313" s="293" t="s">
        <v>5670</v>
      </c>
      <c r="D313" s="293" t="s">
        <v>5859</v>
      </c>
      <c r="E313" s="293" t="s">
        <v>5921</v>
      </c>
      <c r="F313" s="293" t="s">
        <v>5671</v>
      </c>
      <c r="G313" s="293" t="s">
        <v>5577</v>
      </c>
      <c r="H313" s="294">
        <v>41090</v>
      </c>
      <c r="I313" s="295">
        <v>-11329.25</v>
      </c>
    </row>
    <row r="314" spans="1:9" x14ac:dyDescent="0.2">
      <c r="A314" s="293" t="s">
        <v>5808</v>
      </c>
      <c r="B314" s="293" t="s">
        <v>5632</v>
      </c>
      <c r="C314" s="293" t="s">
        <v>5670</v>
      </c>
      <c r="D314" s="293" t="s">
        <v>5859</v>
      </c>
      <c r="E314" s="293" t="s">
        <v>5922</v>
      </c>
      <c r="F314" s="293" t="s">
        <v>5671</v>
      </c>
      <c r="G314" s="293" t="s">
        <v>5578</v>
      </c>
      <c r="H314" s="294">
        <v>41090</v>
      </c>
      <c r="I314" s="295">
        <v>-10138.58</v>
      </c>
    </row>
    <row r="315" spans="1:9" x14ac:dyDescent="0.2">
      <c r="A315" s="293" t="s">
        <v>5808</v>
      </c>
      <c r="B315" s="293" t="s">
        <v>5632</v>
      </c>
      <c r="C315" s="293" t="s">
        <v>5670</v>
      </c>
      <c r="D315" s="293" t="s">
        <v>5859</v>
      </c>
      <c r="E315" s="293" t="s">
        <v>5923</v>
      </c>
      <c r="F315" s="293" t="s">
        <v>5671</v>
      </c>
      <c r="G315" s="293" t="s">
        <v>5579</v>
      </c>
      <c r="H315" s="294">
        <v>41090</v>
      </c>
      <c r="I315" s="295">
        <v>-2414.83</v>
      </c>
    </row>
    <row r="316" spans="1:9" x14ac:dyDescent="0.2">
      <c r="A316" s="293" t="s">
        <v>5808</v>
      </c>
      <c r="B316" s="293" t="s">
        <v>5632</v>
      </c>
      <c r="C316" s="293" t="s">
        <v>5670</v>
      </c>
      <c r="D316" s="293" t="s">
        <v>5859</v>
      </c>
      <c r="E316" s="293" t="s">
        <v>5924</v>
      </c>
      <c r="F316" s="293" t="s">
        <v>5671</v>
      </c>
      <c r="G316" s="293" t="s">
        <v>5591</v>
      </c>
      <c r="H316" s="294">
        <v>41090</v>
      </c>
      <c r="I316" s="295">
        <v>-14003.55</v>
      </c>
    </row>
    <row r="317" spans="1:9" x14ac:dyDescent="0.2">
      <c r="A317" s="293" t="s">
        <v>5808</v>
      </c>
      <c r="B317" s="293" t="s">
        <v>5632</v>
      </c>
      <c r="C317" s="293" t="s">
        <v>5670</v>
      </c>
      <c r="D317" s="293" t="s">
        <v>5859</v>
      </c>
      <c r="E317" s="293" t="s">
        <v>5925</v>
      </c>
      <c r="F317" s="293" t="s">
        <v>5671</v>
      </c>
      <c r="G317" s="293" t="s">
        <v>5592</v>
      </c>
      <c r="H317" s="294">
        <v>41090</v>
      </c>
      <c r="I317" s="295">
        <v>-60304.98</v>
      </c>
    </row>
    <row r="318" spans="1:9" x14ac:dyDescent="0.2">
      <c r="A318" s="293" t="s">
        <v>5809</v>
      </c>
      <c r="B318" s="293" t="s">
        <v>5632</v>
      </c>
      <c r="C318" s="293" t="s">
        <v>5670</v>
      </c>
      <c r="D318" s="293" t="s">
        <v>5859</v>
      </c>
      <c r="E318" s="293" t="s">
        <v>5912</v>
      </c>
      <c r="F318" s="293" t="s">
        <v>5671</v>
      </c>
      <c r="G318" s="293" t="s">
        <v>5573</v>
      </c>
      <c r="H318" s="294">
        <v>41090</v>
      </c>
      <c r="I318" s="295">
        <v>6531.18</v>
      </c>
    </row>
    <row r="319" spans="1:9" x14ac:dyDescent="0.2">
      <c r="A319" s="293" t="s">
        <v>5809</v>
      </c>
      <c r="B319" s="293" t="s">
        <v>5632</v>
      </c>
      <c r="C319" s="293" t="s">
        <v>5670</v>
      </c>
      <c r="D319" s="293" t="s">
        <v>5859</v>
      </c>
      <c r="E319" s="293" t="s">
        <v>5913</v>
      </c>
      <c r="F319" s="293" t="s">
        <v>5671</v>
      </c>
      <c r="G319" s="293" t="s">
        <v>5585</v>
      </c>
      <c r="H319" s="294">
        <v>41090</v>
      </c>
      <c r="I319" s="295">
        <v>11502.62</v>
      </c>
    </row>
    <row r="320" spans="1:9" x14ac:dyDescent="0.2">
      <c r="A320" s="293" t="s">
        <v>5809</v>
      </c>
      <c r="B320" s="293" t="s">
        <v>5632</v>
      </c>
      <c r="C320" s="293" t="s">
        <v>5670</v>
      </c>
      <c r="D320" s="293" t="s">
        <v>5859</v>
      </c>
      <c r="E320" s="293" t="s">
        <v>5914</v>
      </c>
      <c r="F320" s="293" t="s">
        <v>5671</v>
      </c>
      <c r="G320" s="293" t="s">
        <v>5586</v>
      </c>
      <c r="H320" s="294">
        <v>41090</v>
      </c>
      <c r="I320" s="295">
        <v>3059.89</v>
      </c>
    </row>
    <row r="321" spans="1:9" x14ac:dyDescent="0.2">
      <c r="A321" s="293" t="s">
        <v>5809</v>
      </c>
      <c r="B321" s="293" t="s">
        <v>5632</v>
      </c>
      <c r="C321" s="293" t="s">
        <v>5670</v>
      </c>
      <c r="D321" s="293" t="s">
        <v>5859</v>
      </c>
      <c r="E321" s="293" t="s">
        <v>5915</v>
      </c>
      <c r="F321" s="293" t="s">
        <v>5671</v>
      </c>
      <c r="G321" s="293" t="s">
        <v>5581</v>
      </c>
      <c r="H321" s="294">
        <v>41090</v>
      </c>
      <c r="I321" s="295">
        <v>8058.13</v>
      </c>
    </row>
    <row r="322" spans="1:9" x14ac:dyDescent="0.2">
      <c r="A322" s="293" t="s">
        <v>5809</v>
      </c>
      <c r="B322" s="293" t="s">
        <v>5632</v>
      </c>
      <c r="C322" s="293" t="s">
        <v>5670</v>
      </c>
      <c r="D322" s="293" t="s">
        <v>5859</v>
      </c>
      <c r="E322" s="293" t="s">
        <v>5916</v>
      </c>
      <c r="F322" s="293" t="s">
        <v>5671</v>
      </c>
      <c r="G322" s="293" t="s">
        <v>5587</v>
      </c>
      <c r="H322" s="294">
        <v>41090</v>
      </c>
      <c r="I322" s="295">
        <v>4326.07</v>
      </c>
    </row>
    <row r="323" spans="1:9" x14ac:dyDescent="0.2">
      <c r="A323" s="293" t="s">
        <v>5809</v>
      </c>
      <c r="B323" s="293" t="s">
        <v>5632</v>
      </c>
      <c r="C323" s="293" t="s">
        <v>5670</v>
      </c>
      <c r="D323" s="293" t="s">
        <v>5859</v>
      </c>
      <c r="E323" s="293" t="s">
        <v>5911</v>
      </c>
      <c r="F323" s="293" t="s">
        <v>5671</v>
      </c>
      <c r="G323" s="293" t="s">
        <v>5582</v>
      </c>
      <c r="H323" s="294">
        <v>41090</v>
      </c>
      <c r="I323" s="295">
        <v>4422.05</v>
      </c>
    </row>
    <row r="324" spans="1:9" x14ac:dyDescent="0.2">
      <c r="A324" s="293" t="s">
        <v>5809</v>
      </c>
      <c r="B324" s="293" t="s">
        <v>5632</v>
      </c>
      <c r="C324" s="293" t="s">
        <v>5670</v>
      </c>
      <c r="D324" s="293" t="s">
        <v>5859</v>
      </c>
      <c r="E324" s="293" t="s">
        <v>5917</v>
      </c>
      <c r="F324" s="293" t="s">
        <v>5671</v>
      </c>
      <c r="G324" s="293" t="s">
        <v>5576</v>
      </c>
      <c r="H324" s="294">
        <v>41090</v>
      </c>
      <c r="I324" s="295">
        <v>3340.78</v>
      </c>
    </row>
    <row r="325" spans="1:9" x14ac:dyDescent="0.2">
      <c r="A325" s="293" t="s">
        <v>5809</v>
      </c>
      <c r="B325" s="293" t="s">
        <v>5632</v>
      </c>
      <c r="C325" s="293" t="s">
        <v>5670</v>
      </c>
      <c r="D325" s="293" t="s">
        <v>5859</v>
      </c>
      <c r="E325" s="293" t="s">
        <v>5918</v>
      </c>
      <c r="F325" s="293" t="s">
        <v>5671</v>
      </c>
      <c r="G325" s="293" t="s">
        <v>5588</v>
      </c>
      <c r="H325" s="294">
        <v>41090</v>
      </c>
      <c r="I325" s="295">
        <v>71344.75</v>
      </c>
    </row>
    <row r="326" spans="1:9" x14ac:dyDescent="0.2">
      <c r="A326" s="293" t="s">
        <v>5809</v>
      </c>
      <c r="B326" s="293" t="s">
        <v>5632</v>
      </c>
      <c r="C326" s="293" t="s">
        <v>5670</v>
      </c>
      <c r="D326" s="293" t="s">
        <v>5859</v>
      </c>
      <c r="E326" s="293" t="s">
        <v>5979</v>
      </c>
      <c r="F326" s="293" t="s">
        <v>5671</v>
      </c>
      <c r="G326" s="293" t="s">
        <v>5589</v>
      </c>
      <c r="H326" s="294">
        <v>41090</v>
      </c>
      <c r="I326" s="295">
        <v>-2400463.4700000002</v>
      </c>
    </row>
    <row r="327" spans="1:9" x14ac:dyDescent="0.2">
      <c r="A327" s="293" t="s">
        <v>5809</v>
      </c>
      <c r="B327" s="293" t="s">
        <v>5632</v>
      </c>
      <c r="C327" s="293" t="s">
        <v>5670</v>
      </c>
      <c r="D327" s="293" t="s">
        <v>5859</v>
      </c>
      <c r="E327" s="293" t="s">
        <v>5919</v>
      </c>
      <c r="F327" s="293" t="s">
        <v>5671</v>
      </c>
      <c r="G327" s="293" t="s">
        <v>5590</v>
      </c>
      <c r="H327" s="294">
        <v>41090</v>
      </c>
      <c r="I327" s="295">
        <v>12467.89</v>
      </c>
    </row>
    <row r="328" spans="1:9" x14ac:dyDescent="0.2">
      <c r="A328" s="293" t="s">
        <v>5809</v>
      </c>
      <c r="B328" s="293" t="s">
        <v>5632</v>
      </c>
      <c r="C328" s="293" t="s">
        <v>5670</v>
      </c>
      <c r="D328" s="293" t="s">
        <v>5859</v>
      </c>
      <c r="E328" s="293" t="s">
        <v>5920</v>
      </c>
      <c r="F328" s="293" t="s">
        <v>5671</v>
      </c>
      <c r="G328" s="293" t="s">
        <v>5580</v>
      </c>
      <c r="H328" s="294">
        <v>41090</v>
      </c>
      <c r="I328" s="295">
        <v>35045</v>
      </c>
    </row>
    <row r="329" spans="1:9" x14ac:dyDescent="0.2">
      <c r="A329" s="293" t="s">
        <v>5809</v>
      </c>
      <c r="B329" s="293" t="s">
        <v>5632</v>
      </c>
      <c r="C329" s="293" t="s">
        <v>5670</v>
      </c>
      <c r="D329" s="293" t="s">
        <v>5859</v>
      </c>
      <c r="E329" s="293" t="s">
        <v>5921</v>
      </c>
      <c r="F329" s="293" t="s">
        <v>5671</v>
      </c>
      <c r="G329" s="293" t="s">
        <v>5577</v>
      </c>
      <c r="H329" s="294">
        <v>41090</v>
      </c>
      <c r="I329" s="295">
        <v>11329.25</v>
      </c>
    </row>
    <row r="330" spans="1:9" x14ac:dyDescent="0.2">
      <c r="A330" s="293" t="s">
        <v>5809</v>
      </c>
      <c r="B330" s="293" t="s">
        <v>5632</v>
      </c>
      <c r="C330" s="293" t="s">
        <v>5670</v>
      </c>
      <c r="D330" s="293" t="s">
        <v>5859</v>
      </c>
      <c r="E330" s="293" t="s">
        <v>5922</v>
      </c>
      <c r="F330" s="293" t="s">
        <v>5671</v>
      </c>
      <c r="G330" s="293" t="s">
        <v>5578</v>
      </c>
      <c r="H330" s="294">
        <v>41090</v>
      </c>
      <c r="I330" s="295">
        <v>10138.58</v>
      </c>
    </row>
    <row r="331" spans="1:9" x14ac:dyDescent="0.2">
      <c r="A331" s="293" t="s">
        <v>5809</v>
      </c>
      <c r="B331" s="293" t="s">
        <v>5632</v>
      </c>
      <c r="C331" s="293" t="s">
        <v>5670</v>
      </c>
      <c r="D331" s="293" t="s">
        <v>5859</v>
      </c>
      <c r="E331" s="293" t="s">
        <v>5923</v>
      </c>
      <c r="F331" s="293" t="s">
        <v>5671</v>
      </c>
      <c r="G331" s="293" t="s">
        <v>5579</v>
      </c>
      <c r="H331" s="294">
        <v>41090</v>
      </c>
      <c r="I331" s="295">
        <v>2414.83</v>
      </c>
    </row>
    <row r="332" spans="1:9" x14ac:dyDescent="0.2">
      <c r="A332" s="293" t="s">
        <v>5809</v>
      </c>
      <c r="B332" s="293" t="s">
        <v>5632</v>
      </c>
      <c r="C332" s="293" t="s">
        <v>5670</v>
      </c>
      <c r="D332" s="293" t="s">
        <v>5859</v>
      </c>
      <c r="E332" s="293" t="s">
        <v>5924</v>
      </c>
      <c r="F332" s="293" t="s">
        <v>5671</v>
      </c>
      <c r="G332" s="293" t="s">
        <v>5591</v>
      </c>
      <c r="H332" s="294">
        <v>41090</v>
      </c>
      <c r="I332" s="295">
        <v>14003.55</v>
      </c>
    </row>
    <row r="333" spans="1:9" x14ac:dyDescent="0.2">
      <c r="A333" s="293" t="s">
        <v>5809</v>
      </c>
      <c r="B333" s="293" t="s">
        <v>5632</v>
      </c>
      <c r="C333" s="293" t="s">
        <v>5670</v>
      </c>
      <c r="D333" s="293" t="s">
        <v>5859</v>
      </c>
      <c r="E333" s="293" t="s">
        <v>5925</v>
      </c>
      <c r="F333" s="293" t="s">
        <v>5671</v>
      </c>
      <c r="G333" s="293" t="s">
        <v>5592</v>
      </c>
      <c r="H333" s="294">
        <v>41090</v>
      </c>
      <c r="I333" s="295">
        <v>60304.98</v>
      </c>
    </row>
    <row r="334" spans="1:9" x14ac:dyDescent="0.2">
      <c r="A334" s="293" t="s">
        <v>5810</v>
      </c>
      <c r="B334" s="293" t="s">
        <v>5632</v>
      </c>
      <c r="C334" s="293" t="s">
        <v>5670</v>
      </c>
      <c r="D334" s="293" t="s">
        <v>5859</v>
      </c>
      <c r="E334" s="293" t="s">
        <v>5912</v>
      </c>
      <c r="F334" s="293" t="s">
        <v>5671</v>
      </c>
      <c r="G334" s="293" t="s">
        <v>5573</v>
      </c>
      <c r="H334" s="294">
        <v>41090</v>
      </c>
      <c r="I334" s="295">
        <v>-6531.18</v>
      </c>
    </row>
    <row r="335" spans="1:9" x14ac:dyDescent="0.2">
      <c r="A335" s="293" t="s">
        <v>5810</v>
      </c>
      <c r="B335" s="293" t="s">
        <v>5632</v>
      </c>
      <c r="C335" s="293" t="s">
        <v>5670</v>
      </c>
      <c r="D335" s="293" t="s">
        <v>5859</v>
      </c>
      <c r="E335" s="293" t="s">
        <v>5911</v>
      </c>
      <c r="F335" s="293" t="s">
        <v>5671</v>
      </c>
      <c r="G335" s="293" t="s">
        <v>5582</v>
      </c>
      <c r="H335" s="294">
        <v>41090</v>
      </c>
      <c r="I335" s="295">
        <v>-4422.05</v>
      </c>
    </row>
    <row r="336" spans="1:9" x14ac:dyDescent="0.2">
      <c r="A336" s="293" t="s">
        <v>5810</v>
      </c>
      <c r="B336" s="293" t="s">
        <v>5632</v>
      </c>
      <c r="C336" s="293" t="s">
        <v>5670</v>
      </c>
      <c r="D336" s="293" t="s">
        <v>5859</v>
      </c>
      <c r="E336" s="293" t="s">
        <v>5979</v>
      </c>
      <c r="F336" s="293" t="s">
        <v>5671</v>
      </c>
      <c r="G336" s="293" t="s">
        <v>5589</v>
      </c>
      <c r="H336" s="294">
        <v>41090</v>
      </c>
      <c r="I336" s="295">
        <v>2400463.4700000002</v>
      </c>
    </row>
    <row r="337" spans="1:9" x14ac:dyDescent="0.2">
      <c r="A337" s="293" t="s">
        <v>5810</v>
      </c>
      <c r="B337" s="293" t="s">
        <v>5632</v>
      </c>
      <c r="C337" s="293" t="s">
        <v>5670</v>
      </c>
      <c r="D337" s="293" t="s">
        <v>5859</v>
      </c>
      <c r="E337" s="293" t="s">
        <v>5919</v>
      </c>
      <c r="F337" s="293" t="s">
        <v>5671</v>
      </c>
      <c r="G337" s="293" t="s">
        <v>5590</v>
      </c>
      <c r="H337" s="294">
        <v>41090</v>
      </c>
      <c r="I337" s="295">
        <v>-12467.89</v>
      </c>
    </row>
    <row r="338" spans="1:9" x14ac:dyDescent="0.2">
      <c r="A338" s="293" t="s">
        <v>5810</v>
      </c>
      <c r="B338" s="293" t="s">
        <v>5632</v>
      </c>
      <c r="C338" s="293" t="s">
        <v>5670</v>
      </c>
      <c r="D338" s="293" t="s">
        <v>5859</v>
      </c>
      <c r="E338" s="293" t="s">
        <v>5921</v>
      </c>
      <c r="F338" s="293" t="s">
        <v>5671</v>
      </c>
      <c r="G338" s="293" t="s">
        <v>5577</v>
      </c>
      <c r="H338" s="294">
        <v>41090</v>
      </c>
      <c r="I338" s="295">
        <v>-11329.25</v>
      </c>
    </row>
    <row r="339" spans="1:9" x14ac:dyDescent="0.2">
      <c r="A339" s="293" t="s">
        <v>5810</v>
      </c>
      <c r="B339" s="293" t="s">
        <v>5632</v>
      </c>
      <c r="C339" s="293" t="s">
        <v>5670</v>
      </c>
      <c r="D339" s="293" t="s">
        <v>5859</v>
      </c>
      <c r="E339" s="293" t="s">
        <v>5922</v>
      </c>
      <c r="F339" s="293" t="s">
        <v>5671</v>
      </c>
      <c r="G339" s="293" t="s">
        <v>5578</v>
      </c>
      <c r="H339" s="294">
        <v>41090</v>
      </c>
      <c r="I339" s="295">
        <v>-10138.58</v>
      </c>
    </row>
    <row r="340" spans="1:9" x14ac:dyDescent="0.2">
      <c r="A340" s="293" t="s">
        <v>5810</v>
      </c>
      <c r="B340" s="293" t="s">
        <v>5632</v>
      </c>
      <c r="C340" s="293" t="s">
        <v>5670</v>
      </c>
      <c r="D340" s="293" t="s">
        <v>5859</v>
      </c>
      <c r="E340" s="293" t="s">
        <v>5923</v>
      </c>
      <c r="F340" s="293" t="s">
        <v>5671</v>
      </c>
      <c r="G340" s="293" t="s">
        <v>5579</v>
      </c>
      <c r="H340" s="294">
        <v>41090</v>
      </c>
      <c r="I340" s="295">
        <v>-2414.83</v>
      </c>
    </row>
    <row r="341" spans="1:9" x14ac:dyDescent="0.2">
      <c r="A341" s="293" t="s">
        <v>5810</v>
      </c>
      <c r="B341" s="293" t="s">
        <v>5632</v>
      </c>
      <c r="C341" s="293" t="s">
        <v>5670</v>
      </c>
      <c r="D341" s="293" t="s">
        <v>5859</v>
      </c>
      <c r="E341" s="293" t="s">
        <v>5925</v>
      </c>
      <c r="F341" s="293" t="s">
        <v>5671</v>
      </c>
      <c r="G341" s="293" t="s">
        <v>5592</v>
      </c>
      <c r="H341" s="294">
        <v>41090</v>
      </c>
      <c r="I341" s="295">
        <v>-60304.98</v>
      </c>
    </row>
    <row r="342" spans="1:9" x14ac:dyDescent="0.2">
      <c r="A342" s="293" t="s">
        <v>5810</v>
      </c>
      <c r="B342" s="293" t="s">
        <v>5632</v>
      </c>
      <c r="C342" s="293" t="s">
        <v>5670</v>
      </c>
      <c r="D342" s="293" t="s">
        <v>5859</v>
      </c>
      <c r="E342" s="293" t="s">
        <v>5913</v>
      </c>
      <c r="F342" s="293" t="s">
        <v>5671</v>
      </c>
      <c r="G342" s="293" t="s">
        <v>5585</v>
      </c>
      <c r="H342" s="294">
        <v>41090</v>
      </c>
      <c r="I342" s="295">
        <v>-11502.62</v>
      </c>
    </row>
    <row r="343" spans="1:9" x14ac:dyDescent="0.2">
      <c r="A343" s="293" t="s">
        <v>5810</v>
      </c>
      <c r="B343" s="293" t="s">
        <v>5632</v>
      </c>
      <c r="C343" s="293" t="s">
        <v>5670</v>
      </c>
      <c r="D343" s="293" t="s">
        <v>5859</v>
      </c>
      <c r="E343" s="293" t="s">
        <v>5914</v>
      </c>
      <c r="F343" s="293" t="s">
        <v>5671</v>
      </c>
      <c r="G343" s="293" t="s">
        <v>5586</v>
      </c>
      <c r="H343" s="294">
        <v>41090</v>
      </c>
      <c r="I343" s="295">
        <v>-3059.89</v>
      </c>
    </row>
    <row r="344" spans="1:9" x14ac:dyDescent="0.2">
      <c r="A344" s="293" t="s">
        <v>5810</v>
      </c>
      <c r="B344" s="293" t="s">
        <v>5632</v>
      </c>
      <c r="C344" s="293" t="s">
        <v>5670</v>
      </c>
      <c r="D344" s="293" t="s">
        <v>5859</v>
      </c>
      <c r="E344" s="293" t="s">
        <v>5915</v>
      </c>
      <c r="F344" s="293" t="s">
        <v>5671</v>
      </c>
      <c r="G344" s="293" t="s">
        <v>5581</v>
      </c>
      <c r="H344" s="294">
        <v>41090</v>
      </c>
      <c r="I344" s="295">
        <v>-8058.13</v>
      </c>
    </row>
    <row r="345" spans="1:9" x14ac:dyDescent="0.2">
      <c r="A345" s="293" t="s">
        <v>5810</v>
      </c>
      <c r="B345" s="293" t="s">
        <v>5632</v>
      </c>
      <c r="C345" s="293" t="s">
        <v>5670</v>
      </c>
      <c r="D345" s="293" t="s">
        <v>5859</v>
      </c>
      <c r="E345" s="293" t="s">
        <v>5916</v>
      </c>
      <c r="F345" s="293" t="s">
        <v>5671</v>
      </c>
      <c r="G345" s="293" t="s">
        <v>5587</v>
      </c>
      <c r="H345" s="294">
        <v>41090</v>
      </c>
      <c r="I345" s="295">
        <v>-4326.07</v>
      </c>
    </row>
    <row r="346" spans="1:9" x14ac:dyDescent="0.2">
      <c r="A346" s="293" t="s">
        <v>5810</v>
      </c>
      <c r="B346" s="293" t="s">
        <v>5632</v>
      </c>
      <c r="C346" s="293" t="s">
        <v>5670</v>
      </c>
      <c r="D346" s="293" t="s">
        <v>5859</v>
      </c>
      <c r="E346" s="293" t="s">
        <v>5917</v>
      </c>
      <c r="F346" s="293" t="s">
        <v>5671</v>
      </c>
      <c r="G346" s="293" t="s">
        <v>5576</v>
      </c>
      <c r="H346" s="294">
        <v>41090</v>
      </c>
      <c r="I346" s="295">
        <v>-3340.78</v>
      </c>
    </row>
    <row r="347" spans="1:9" x14ac:dyDescent="0.2">
      <c r="A347" s="293" t="s">
        <v>5810</v>
      </c>
      <c r="B347" s="293" t="s">
        <v>5632</v>
      </c>
      <c r="C347" s="293" t="s">
        <v>5670</v>
      </c>
      <c r="D347" s="293" t="s">
        <v>5859</v>
      </c>
      <c r="E347" s="293" t="s">
        <v>5918</v>
      </c>
      <c r="F347" s="293" t="s">
        <v>5671</v>
      </c>
      <c r="G347" s="293" t="s">
        <v>5588</v>
      </c>
      <c r="H347" s="294">
        <v>41090</v>
      </c>
      <c r="I347" s="295">
        <v>-71344.75</v>
      </c>
    </row>
    <row r="348" spans="1:9" x14ac:dyDescent="0.2">
      <c r="A348" s="293" t="s">
        <v>5810</v>
      </c>
      <c r="B348" s="293" t="s">
        <v>5632</v>
      </c>
      <c r="C348" s="293" t="s">
        <v>5670</v>
      </c>
      <c r="D348" s="293" t="s">
        <v>5859</v>
      </c>
      <c r="E348" s="293" t="s">
        <v>5920</v>
      </c>
      <c r="F348" s="293" t="s">
        <v>5671</v>
      </c>
      <c r="G348" s="293" t="s">
        <v>5580</v>
      </c>
      <c r="H348" s="294">
        <v>41090</v>
      </c>
      <c r="I348" s="295">
        <v>-35045</v>
      </c>
    </row>
    <row r="349" spans="1:9" x14ac:dyDescent="0.2">
      <c r="A349" s="293" t="s">
        <v>5810</v>
      </c>
      <c r="B349" s="293" t="s">
        <v>5632</v>
      </c>
      <c r="C349" s="293" t="s">
        <v>5670</v>
      </c>
      <c r="D349" s="293" t="s">
        <v>5859</v>
      </c>
      <c r="E349" s="293" t="s">
        <v>5924</v>
      </c>
      <c r="F349" s="293" t="s">
        <v>5671</v>
      </c>
      <c r="G349" s="293" t="s">
        <v>5591</v>
      </c>
      <c r="H349" s="294">
        <v>41090</v>
      </c>
      <c r="I349" s="295">
        <v>-14003.55</v>
      </c>
    </row>
    <row r="350" spans="1:9" x14ac:dyDescent="0.2">
      <c r="A350" s="293" t="s">
        <v>6127</v>
      </c>
      <c r="B350" s="293" t="s">
        <v>6010</v>
      </c>
      <c r="C350" s="293" t="s">
        <v>6128</v>
      </c>
      <c r="D350" s="293" t="s">
        <v>5859</v>
      </c>
      <c r="E350" s="293" t="s">
        <v>5088</v>
      </c>
      <c r="F350" s="293" t="s">
        <v>6129</v>
      </c>
      <c r="G350" s="293" t="s">
        <v>5589</v>
      </c>
      <c r="H350" s="294">
        <v>41169</v>
      </c>
      <c r="I350" s="295">
        <v>93750</v>
      </c>
    </row>
    <row r="351" spans="1:9" x14ac:dyDescent="0.2">
      <c r="A351" s="293" t="s">
        <v>5986</v>
      </c>
      <c r="B351" s="293" t="s">
        <v>5666</v>
      </c>
      <c r="C351" s="293" t="s">
        <v>5987</v>
      </c>
      <c r="D351" s="293" t="s">
        <v>5859</v>
      </c>
      <c r="E351" s="293" t="s">
        <v>6002</v>
      </c>
      <c r="F351" s="293" t="s">
        <v>5989</v>
      </c>
      <c r="G351" s="293" t="s">
        <v>5573</v>
      </c>
      <c r="H351" s="294">
        <v>41120</v>
      </c>
      <c r="I351" s="295">
        <v>-6400.96</v>
      </c>
    </row>
    <row r="352" spans="1:9" x14ac:dyDescent="0.2">
      <c r="A352" s="293" t="s">
        <v>5986</v>
      </c>
      <c r="B352" s="293" t="s">
        <v>5666</v>
      </c>
      <c r="C352" s="293" t="s">
        <v>5987</v>
      </c>
      <c r="D352" s="293" t="s">
        <v>5859</v>
      </c>
      <c r="E352" s="293" t="s">
        <v>6002</v>
      </c>
      <c r="F352" s="293" t="s">
        <v>5989</v>
      </c>
      <c r="G352" s="293" t="s">
        <v>5573</v>
      </c>
      <c r="H352" s="294">
        <v>41120</v>
      </c>
      <c r="I352" s="295">
        <v>-130.22</v>
      </c>
    </row>
    <row r="353" spans="1:9" x14ac:dyDescent="0.2">
      <c r="A353" s="293" t="s">
        <v>5986</v>
      </c>
      <c r="B353" s="293" t="s">
        <v>5666</v>
      </c>
      <c r="C353" s="293" t="s">
        <v>5987</v>
      </c>
      <c r="D353" s="293" t="s">
        <v>5859</v>
      </c>
      <c r="E353" s="293" t="s">
        <v>5988</v>
      </c>
      <c r="F353" s="293" t="s">
        <v>5989</v>
      </c>
      <c r="G353" s="293" t="s">
        <v>5585</v>
      </c>
      <c r="H353" s="294">
        <v>41120</v>
      </c>
      <c r="I353" s="295">
        <v>-6872.38</v>
      </c>
    </row>
    <row r="354" spans="1:9" x14ac:dyDescent="0.2">
      <c r="A354" s="293" t="s">
        <v>5986</v>
      </c>
      <c r="B354" s="293" t="s">
        <v>5666</v>
      </c>
      <c r="C354" s="293" t="s">
        <v>5987</v>
      </c>
      <c r="D354" s="293" t="s">
        <v>5859</v>
      </c>
      <c r="E354" s="293" t="s">
        <v>5988</v>
      </c>
      <c r="F354" s="293" t="s">
        <v>5989</v>
      </c>
      <c r="G354" s="293" t="s">
        <v>5585</v>
      </c>
      <c r="H354" s="294">
        <v>41120</v>
      </c>
      <c r="I354" s="295">
        <v>-4630.24</v>
      </c>
    </row>
    <row r="355" spans="1:9" x14ac:dyDescent="0.2">
      <c r="A355" s="293" t="s">
        <v>5986</v>
      </c>
      <c r="B355" s="293" t="s">
        <v>5666</v>
      </c>
      <c r="C355" s="293" t="s">
        <v>5987</v>
      </c>
      <c r="D355" s="293" t="s">
        <v>5859</v>
      </c>
      <c r="E355" s="293" t="s">
        <v>5990</v>
      </c>
      <c r="F355" s="293" t="s">
        <v>5989</v>
      </c>
      <c r="G355" s="293" t="s">
        <v>5586</v>
      </c>
      <c r="H355" s="294">
        <v>41120</v>
      </c>
      <c r="I355" s="295">
        <v>-3059.89</v>
      </c>
    </row>
    <row r="356" spans="1:9" x14ac:dyDescent="0.2">
      <c r="A356" s="293" t="s">
        <v>5986</v>
      </c>
      <c r="B356" s="293" t="s">
        <v>5666</v>
      </c>
      <c r="C356" s="293" t="s">
        <v>5987</v>
      </c>
      <c r="D356" s="293" t="s">
        <v>5859</v>
      </c>
      <c r="E356" s="293" t="s">
        <v>5991</v>
      </c>
      <c r="F356" s="293" t="s">
        <v>5989</v>
      </c>
      <c r="G356" s="293" t="s">
        <v>5581</v>
      </c>
      <c r="H356" s="294">
        <v>41120</v>
      </c>
      <c r="I356" s="295">
        <v>-8058.13</v>
      </c>
    </row>
    <row r="357" spans="1:9" x14ac:dyDescent="0.2">
      <c r="A357" s="293" t="s">
        <v>5986</v>
      </c>
      <c r="B357" s="293" t="s">
        <v>5666</v>
      </c>
      <c r="C357" s="293" t="s">
        <v>5987</v>
      </c>
      <c r="D357" s="293" t="s">
        <v>5859</v>
      </c>
      <c r="E357" s="293" t="s">
        <v>5992</v>
      </c>
      <c r="F357" s="293" t="s">
        <v>5989</v>
      </c>
      <c r="G357" s="293" t="s">
        <v>5582</v>
      </c>
      <c r="H357" s="294">
        <v>41120</v>
      </c>
      <c r="I357" s="295">
        <v>-4422.05</v>
      </c>
    </row>
    <row r="358" spans="1:9" x14ac:dyDescent="0.2">
      <c r="A358" s="293" t="s">
        <v>5986</v>
      </c>
      <c r="B358" s="293" t="s">
        <v>5666</v>
      </c>
      <c r="C358" s="293" t="s">
        <v>5987</v>
      </c>
      <c r="D358" s="293" t="s">
        <v>5859</v>
      </c>
      <c r="E358" s="293" t="s">
        <v>5993</v>
      </c>
      <c r="F358" s="293" t="s">
        <v>5989</v>
      </c>
      <c r="G358" s="293" t="s">
        <v>5576</v>
      </c>
      <c r="H358" s="294">
        <v>41120</v>
      </c>
      <c r="I358" s="295">
        <v>-3340.78</v>
      </c>
    </row>
    <row r="359" spans="1:9" x14ac:dyDescent="0.2">
      <c r="A359" s="293" t="s">
        <v>5986</v>
      </c>
      <c r="B359" s="293" t="s">
        <v>5666</v>
      </c>
      <c r="C359" s="293" t="s">
        <v>5987</v>
      </c>
      <c r="D359" s="293" t="s">
        <v>5859</v>
      </c>
      <c r="E359" s="293" t="s">
        <v>5994</v>
      </c>
      <c r="F359" s="293" t="s">
        <v>5989</v>
      </c>
      <c r="G359" s="293" t="s">
        <v>5588</v>
      </c>
      <c r="H359" s="294">
        <v>41120</v>
      </c>
      <c r="I359" s="295">
        <v>-71344.75</v>
      </c>
    </row>
    <row r="360" spans="1:9" x14ac:dyDescent="0.2">
      <c r="A360" s="293" t="s">
        <v>5986</v>
      </c>
      <c r="B360" s="293" t="s">
        <v>5666</v>
      </c>
      <c r="C360" s="293" t="s">
        <v>5987</v>
      </c>
      <c r="D360" s="293" t="s">
        <v>5859</v>
      </c>
      <c r="E360" s="293" t="s">
        <v>5995</v>
      </c>
      <c r="F360" s="293" t="s">
        <v>5989</v>
      </c>
      <c r="G360" s="293" t="s">
        <v>5589</v>
      </c>
      <c r="H360" s="294">
        <v>41120</v>
      </c>
      <c r="I360" s="295">
        <v>-6728.55</v>
      </c>
    </row>
    <row r="361" spans="1:9" x14ac:dyDescent="0.2">
      <c r="A361" s="293" t="s">
        <v>5986</v>
      </c>
      <c r="B361" s="293" t="s">
        <v>5666</v>
      </c>
      <c r="C361" s="293" t="s">
        <v>5987</v>
      </c>
      <c r="D361" s="293" t="s">
        <v>5859</v>
      </c>
      <c r="E361" s="293" t="s">
        <v>5996</v>
      </c>
      <c r="F361" s="293" t="s">
        <v>5989</v>
      </c>
      <c r="G361" s="293" t="s">
        <v>5590</v>
      </c>
      <c r="H361" s="294">
        <v>41120</v>
      </c>
      <c r="I361" s="295">
        <v>-12467.89</v>
      </c>
    </row>
    <row r="362" spans="1:9" x14ac:dyDescent="0.2">
      <c r="A362" s="293" t="s">
        <v>5986</v>
      </c>
      <c r="B362" s="293" t="s">
        <v>5666</v>
      </c>
      <c r="C362" s="293" t="s">
        <v>5987</v>
      </c>
      <c r="D362" s="293" t="s">
        <v>5859</v>
      </c>
      <c r="E362" s="293" t="s">
        <v>5997</v>
      </c>
      <c r="F362" s="293" t="s">
        <v>5989</v>
      </c>
      <c r="G362" s="293" t="s">
        <v>5577</v>
      </c>
      <c r="H362" s="294">
        <v>41120</v>
      </c>
      <c r="I362" s="295">
        <v>-7696.08</v>
      </c>
    </row>
    <row r="363" spans="1:9" x14ac:dyDescent="0.2">
      <c r="A363" s="293" t="s">
        <v>5986</v>
      </c>
      <c r="B363" s="293" t="s">
        <v>5666</v>
      </c>
      <c r="C363" s="293" t="s">
        <v>5987</v>
      </c>
      <c r="D363" s="293" t="s">
        <v>5859</v>
      </c>
      <c r="E363" s="293" t="s">
        <v>5997</v>
      </c>
      <c r="F363" s="293" t="s">
        <v>5989</v>
      </c>
      <c r="G363" s="293" t="s">
        <v>5577</v>
      </c>
      <c r="H363" s="294">
        <v>41120</v>
      </c>
      <c r="I363" s="295">
        <v>-3633.17</v>
      </c>
    </row>
    <row r="364" spans="1:9" x14ac:dyDescent="0.2">
      <c r="A364" s="293" t="s">
        <v>5986</v>
      </c>
      <c r="B364" s="293" t="s">
        <v>5666</v>
      </c>
      <c r="C364" s="293" t="s">
        <v>5987</v>
      </c>
      <c r="D364" s="293" t="s">
        <v>5859</v>
      </c>
      <c r="E364" s="293" t="s">
        <v>5998</v>
      </c>
      <c r="F364" s="293" t="s">
        <v>5989</v>
      </c>
      <c r="G364" s="293" t="s">
        <v>5578</v>
      </c>
      <c r="H364" s="294">
        <v>41120</v>
      </c>
      <c r="I364" s="295">
        <v>-4399.9399999999996</v>
      </c>
    </row>
    <row r="365" spans="1:9" x14ac:dyDescent="0.2">
      <c r="A365" s="293" t="s">
        <v>5986</v>
      </c>
      <c r="B365" s="293" t="s">
        <v>5666</v>
      </c>
      <c r="C365" s="293" t="s">
        <v>5987</v>
      </c>
      <c r="D365" s="293" t="s">
        <v>5859</v>
      </c>
      <c r="E365" s="293" t="s">
        <v>5998</v>
      </c>
      <c r="F365" s="293" t="s">
        <v>5989</v>
      </c>
      <c r="G365" s="293" t="s">
        <v>5578</v>
      </c>
      <c r="H365" s="294">
        <v>41120</v>
      </c>
      <c r="I365" s="295">
        <v>-5738.64</v>
      </c>
    </row>
    <row r="366" spans="1:9" x14ac:dyDescent="0.2">
      <c r="A366" s="293" t="s">
        <v>5986</v>
      </c>
      <c r="B366" s="293" t="s">
        <v>5666</v>
      </c>
      <c r="C366" s="293" t="s">
        <v>5987</v>
      </c>
      <c r="D366" s="293" t="s">
        <v>5859</v>
      </c>
      <c r="E366" s="293" t="s">
        <v>5999</v>
      </c>
      <c r="F366" s="293" t="s">
        <v>5989</v>
      </c>
      <c r="G366" s="293" t="s">
        <v>5579</v>
      </c>
      <c r="H366" s="294">
        <v>41120</v>
      </c>
      <c r="I366" s="295">
        <v>-2351.71</v>
      </c>
    </row>
    <row r="367" spans="1:9" x14ac:dyDescent="0.2">
      <c r="A367" s="293" t="s">
        <v>5986</v>
      </c>
      <c r="B367" s="293" t="s">
        <v>5666</v>
      </c>
      <c r="C367" s="293" t="s">
        <v>5987</v>
      </c>
      <c r="D367" s="293" t="s">
        <v>5859</v>
      </c>
      <c r="E367" s="293" t="s">
        <v>5999</v>
      </c>
      <c r="F367" s="293" t="s">
        <v>5989</v>
      </c>
      <c r="G367" s="293" t="s">
        <v>5579</v>
      </c>
      <c r="H367" s="294">
        <v>41120</v>
      </c>
      <c r="I367" s="295">
        <v>-63.12</v>
      </c>
    </row>
    <row r="368" spans="1:9" x14ac:dyDescent="0.2">
      <c r="A368" s="293" t="s">
        <v>5986</v>
      </c>
      <c r="B368" s="293" t="s">
        <v>5666</v>
      </c>
      <c r="C368" s="293" t="s">
        <v>5987</v>
      </c>
      <c r="D368" s="293" t="s">
        <v>5859</v>
      </c>
      <c r="E368" s="293" t="s">
        <v>6000</v>
      </c>
      <c r="F368" s="293" t="s">
        <v>5989</v>
      </c>
      <c r="G368" s="293" t="s">
        <v>5591</v>
      </c>
      <c r="H368" s="294">
        <v>41120</v>
      </c>
      <c r="I368" s="295">
        <v>-6308.36</v>
      </c>
    </row>
    <row r="369" spans="1:9" x14ac:dyDescent="0.2">
      <c r="A369" s="293" t="s">
        <v>5986</v>
      </c>
      <c r="B369" s="293" t="s">
        <v>5666</v>
      </c>
      <c r="C369" s="293" t="s">
        <v>5987</v>
      </c>
      <c r="D369" s="293" t="s">
        <v>5859</v>
      </c>
      <c r="E369" s="293" t="s">
        <v>6000</v>
      </c>
      <c r="F369" s="293" t="s">
        <v>5989</v>
      </c>
      <c r="G369" s="293" t="s">
        <v>5591</v>
      </c>
      <c r="H369" s="294">
        <v>41120</v>
      </c>
      <c r="I369" s="295">
        <v>-7695.19</v>
      </c>
    </row>
    <row r="370" spans="1:9" x14ac:dyDescent="0.2">
      <c r="A370" s="293" t="s">
        <v>5986</v>
      </c>
      <c r="B370" s="293" t="s">
        <v>5666</v>
      </c>
      <c r="C370" s="293" t="s">
        <v>5987</v>
      </c>
      <c r="D370" s="293" t="s">
        <v>5859</v>
      </c>
      <c r="E370" s="293" t="s">
        <v>6001</v>
      </c>
      <c r="F370" s="293" t="s">
        <v>5989</v>
      </c>
      <c r="G370" s="293" t="s">
        <v>5592</v>
      </c>
      <c r="H370" s="294">
        <v>41120</v>
      </c>
      <c r="I370" s="295">
        <v>-40069.410000000003</v>
      </c>
    </row>
    <row r="371" spans="1:9" x14ac:dyDescent="0.2">
      <c r="A371" s="293" t="s">
        <v>6013</v>
      </c>
      <c r="B371" s="293" t="s">
        <v>6010</v>
      </c>
      <c r="C371" s="293" t="s">
        <v>6014</v>
      </c>
      <c r="D371" s="293" t="s">
        <v>5859</v>
      </c>
      <c r="E371" s="293" t="s">
        <v>5088</v>
      </c>
      <c r="F371" s="293" t="s">
        <v>6015</v>
      </c>
      <c r="G371" s="293" t="s">
        <v>5589</v>
      </c>
      <c r="H371" s="294">
        <v>41135</v>
      </c>
      <c r="I371" s="295">
        <v>1717.92</v>
      </c>
    </row>
    <row r="372" spans="1:9" x14ac:dyDescent="0.2">
      <c r="A372" s="293" t="s">
        <v>6021</v>
      </c>
      <c r="B372" s="293" t="s">
        <v>6010</v>
      </c>
      <c r="C372" s="293" t="s">
        <v>6022</v>
      </c>
      <c r="D372" s="293" t="s">
        <v>5859</v>
      </c>
      <c r="E372" s="293" t="s">
        <v>5088</v>
      </c>
      <c r="F372" s="293" t="s">
        <v>6015</v>
      </c>
      <c r="G372" s="293" t="s">
        <v>5589</v>
      </c>
      <c r="H372" s="294">
        <v>41145</v>
      </c>
      <c r="I372" s="295">
        <v>7453.34</v>
      </c>
    </row>
    <row r="373" spans="1:9" x14ac:dyDescent="0.2">
      <c r="A373" s="293" t="s">
        <v>6137</v>
      </c>
      <c r="B373" s="293" t="s">
        <v>6010</v>
      </c>
      <c r="C373" s="293" t="s">
        <v>6138</v>
      </c>
      <c r="D373" s="293" t="s">
        <v>5859</v>
      </c>
      <c r="E373" s="293" t="s">
        <v>5088</v>
      </c>
      <c r="F373" s="293" t="s">
        <v>6015</v>
      </c>
      <c r="G373" s="293" t="s">
        <v>5589</v>
      </c>
      <c r="H373" s="294">
        <v>41180</v>
      </c>
      <c r="I373" s="295">
        <v>237.5</v>
      </c>
    </row>
    <row r="374" spans="1:9" x14ac:dyDescent="0.2">
      <c r="A374" s="293" t="s">
        <v>6363</v>
      </c>
      <c r="B374" s="293" t="s">
        <v>6010</v>
      </c>
      <c r="C374" s="293" t="s">
        <v>6364</v>
      </c>
      <c r="D374" s="293" t="s">
        <v>5859</v>
      </c>
      <c r="E374" s="293" t="s">
        <v>5088</v>
      </c>
      <c r="F374" s="293" t="s">
        <v>6365</v>
      </c>
      <c r="G374" s="293" t="s">
        <v>5589</v>
      </c>
      <c r="H374" s="294">
        <v>41270</v>
      </c>
      <c r="I374" s="295">
        <v>1760.32</v>
      </c>
    </row>
    <row r="375" spans="1:9" x14ac:dyDescent="0.2">
      <c r="A375" s="293" t="s">
        <v>6026</v>
      </c>
      <c r="B375" s="293" t="s">
        <v>5666</v>
      </c>
      <c r="C375" s="293" t="s">
        <v>6027</v>
      </c>
      <c r="D375" s="293" t="s">
        <v>5859</v>
      </c>
      <c r="E375" s="293" t="s">
        <v>6028</v>
      </c>
      <c r="F375" s="293" t="s">
        <v>5814</v>
      </c>
      <c r="G375" s="293" t="s">
        <v>5573</v>
      </c>
      <c r="H375" s="294">
        <v>41152</v>
      </c>
      <c r="I375" s="295">
        <v>-6400.96</v>
      </c>
    </row>
    <row r="376" spans="1:9" x14ac:dyDescent="0.2">
      <c r="A376" s="293" t="s">
        <v>6029</v>
      </c>
      <c r="B376" s="293" t="s">
        <v>5666</v>
      </c>
      <c r="C376" s="293" t="s">
        <v>6030</v>
      </c>
      <c r="D376" s="293" t="s">
        <v>5859</v>
      </c>
      <c r="E376" s="293" t="s">
        <v>6028</v>
      </c>
      <c r="F376" s="293" t="s">
        <v>5814</v>
      </c>
      <c r="G376" s="293" t="s">
        <v>5573</v>
      </c>
      <c r="H376" s="294">
        <v>41152</v>
      </c>
      <c r="I376" s="295">
        <v>-130.22</v>
      </c>
    </row>
    <row r="377" spans="1:9" x14ac:dyDescent="0.2">
      <c r="A377" s="293" t="s">
        <v>6031</v>
      </c>
      <c r="B377" s="293" t="s">
        <v>5666</v>
      </c>
      <c r="C377" s="293" t="s">
        <v>6032</v>
      </c>
      <c r="D377" s="293" t="s">
        <v>5859</v>
      </c>
      <c r="E377" s="293" t="s">
        <v>6033</v>
      </c>
      <c r="F377" s="293" t="s">
        <v>5814</v>
      </c>
      <c r="G377" s="293" t="s">
        <v>5585</v>
      </c>
      <c r="H377" s="294">
        <v>41152</v>
      </c>
      <c r="I377" s="295">
        <v>-6872.38</v>
      </c>
    </row>
    <row r="378" spans="1:9" x14ac:dyDescent="0.2">
      <c r="A378" s="293" t="s">
        <v>6034</v>
      </c>
      <c r="B378" s="293" t="s">
        <v>5666</v>
      </c>
      <c r="C378" s="293" t="s">
        <v>6035</v>
      </c>
      <c r="D378" s="293" t="s">
        <v>5859</v>
      </c>
      <c r="E378" s="293" t="s">
        <v>6033</v>
      </c>
      <c r="F378" s="293" t="s">
        <v>5814</v>
      </c>
      <c r="G378" s="293" t="s">
        <v>5585</v>
      </c>
      <c r="H378" s="294">
        <v>41152</v>
      </c>
      <c r="I378" s="295">
        <v>-4630.24</v>
      </c>
    </row>
    <row r="379" spans="1:9" x14ac:dyDescent="0.2">
      <c r="A379" s="293" t="s">
        <v>6036</v>
      </c>
      <c r="B379" s="293" t="s">
        <v>5666</v>
      </c>
      <c r="C379" s="293" t="s">
        <v>6037</v>
      </c>
      <c r="D379" s="293" t="s">
        <v>5859</v>
      </c>
      <c r="E379" s="293" t="s">
        <v>6038</v>
      </c>
      <c r="F379" s="293" t="s">
        <v>5814</v>
      </c>
      <c r="G379" s="293" t="s">
        <v>5586</v>
      </c>
      <c r="H379" s="294">
        <v>41152</v>
      </c>
      <c r="I379" s="295">
        <v>-3059.89</v>
      </c>
    </row>
    <row r="380" spans="1:9" x14ac:dyDescent="0.2">
      <c r="A380" s="293" t="s">
        <v>6039</v>
      </c>
      <c r="B380" s="293" t="s">
        <v>5666</v>
      </c>
      <c r="C380" s="293" t="s">
        <v>6040</v>
      </c>
      <c r="D380" s="293" t="s">
        <v>5859</v>
      </c>
      <c r="E380" s="293" t="s">
        <v>6041</v>
      </c>
      <c r="F380" s="293" t="s">
        <v>5814</v>
      </c>
      <c r="G380" s="293" t="s">
        <v>5581</v>
      </c>
      <c r="H380" s="294">
        <v>41152</v>
      </c>
      <c r="I380" s="295">
        <v>-8058.13</v>
      </c>
    </row>
    <row r="381" spans="1:9" x14ac:dyDescent="0.2">
      <c r="A381" s="293" t="s">
        <v>6042</v>
      </c>
      <c r="B381" s="293" t="s">
        <v>5666</v>
      </c>
      <c r="C381" s="293" t="s">
        <v>6043</v>
      </c>
      <c r="D381" s="293" t="s">
        <v>5859</v>
      </c>
      <c r="E381" s="293" t="s">
        <v>6044</v>
      </c>
      <c r="F381" s="293" t="s">
        <v>5814</v>
      </c>
      <c r="G381" s="293" t="s">
        <v>5582</v>
      </c>
      <c r="H381" s="294">
        <v>41152</v>
      </c>
      <c r="I381" s="295">
        <v>-4422.05</v>
      </c>
    </row>
    <row r="382" spans="1:9" x14ac:dyDescent="0.2">
      <c r="A382" s="293" t="s">
        <v>6045</v>
      </c>
      <c r="B382" s="293" t="s">
        <v>5666</v>
      </c>
      <c r="C382" s="293" t="s">
        <v>6046</v>
      </c>
      <c r="D382" s="293" t="s">
        <v>5859</v>
      </c>
      <c r="E382" s="293" t="s">
        <v>6047</v>
      </c>
      <c r="F382" s="293" t="s">
        <v>5814</v>
      </c>
      <c r="G382" s="293" t="s">
        <v>5576</v>
      </c>
      <c r="H382" s="294">
        <v>41152</v>
      </c>
      <c r="I382" s="295">
        <v>-3340.78</v>
      </c>
    </row>
    <row r="383" spans="1:9" x14ac:dyDescent="0.2">
      <c r="A383" s="293" t="s">
        <v>6048</v>
      </c>
      <c r="B383" s="293" t="s">
        <v>5666</v>
      </c>
      <c r="C383" s="293" t="s">
        <v>6049</v>
      </c>
      <c r="D383" s="293" t="s">
        <v>5859</v>
      </c>
      <c r="E383" s="293" t="s">
        <v>6050</v>
      </c>
      <c r="F383" s="293" t="s">
        <v>5814</v>
      </c>
      <c r="G383" s="293" t="s">
        <v>5590</v>
      </c>
      <c r="H383" s="294">
        <v>41152</v>
      </c>
      <c r="I383" s="295">
        <v>-12467.89</v>
      </c>
    </row>
    <row r="384" spans="1:9" x14ac:dyDescent="0.2">
      <c r="A384" s="293" t="s">
        <v>6051</v>
      </c>
      <c r="B384" s="293" t="s">
        <v>5666</v>
      </c>
      <c r="C384" s="293" t="s">
        <v>6052</v>
      </c>
      <c r="D384" s="293" t="s">
        <v>5859</v>
      </c>
      <c r="E384" s="293" t="s">
        <v>5817</v>
      </c>
      <c r="F384" s="293" t="s">
        <v>5814</v>
      </c>
      <c r="G384" s="293" t="s">
        <v>5577</v>
      </c>
      <c r="H384" s="294">
        <v>41152</v>
      </c>
      <c r="I384" s="295">
        <v>-7696.08</v>
      </c>
    </row>
    <row r="385" spans="1:9" x14ac:dyDescent="0.2">
      <c r="A385" s="293" t="s">
        <v>6053</v>
      </c>
      <c r="B385" s="293" t="s">
        <v>5666</v>
      </c>
      <c r="C385" s="293" t="s">
        <v>6054</v>
      </c>
      <c r="D385" s="293" t="s">
        <v>5859</v>
      </c>
      <c r="E385" s="293" t="s">
        <v>5817</v>
      </c>
      <c r="F385" s="293" t="s">
        <v>5814</v>
      </c>
      <c r="G385" s="293" t="s">
        <v>5577</v>
      </c>
      <c r="H385" s="294">
        <v>41152</v>
      </c>
      <c r="I385" s="295">
        <v>-3633.17</v>
      </c>
    </row>
    <row r="386" spans="1:9" x14ac:dyDescent="0.2">
      <c r="A386" s="293" t="s">
        <v>6055</v>
      </c>
      <c r="B386" s="293" t="s">
        <v>5666</v>
      </c>
      <c r="C386" s="293" t="s">
        <v>6056</v>
      </c>
      <c r="D386" s="293" t="s">
        <v>5859</v>
      </c>
      <c r="E386" s="293" t="s">
        <v>6057</v>
      </c>
      <c r="F386" s="293" t="s">
        <v>5814</v>
      </c>
      <c r="G386" s="293" t="s">
        <v>5578</v>
      </c>
      <c r="H386" s="294">
        <v>41152</v>
      </c>
      <c r="I386" s="295">
        <v>-4399.9399999999996</v>
      </c>
    </row>
    <row r="387" spans="1:9" x14ac:dyDescent="0.2">
      <c r="A387" s="293" t="s">
        <v>6058</v>
      </c>
      <c r="B387" s="293" t="s">
        <v>5666</v>
      </c>
      <c r="C387" s="293" t="s">
        <v>6059</v>
      </c>
      <c r="D387" s="293" t="s">
        <v>5859</v>
      </c>
      <c r="E387" s="293" t="s">
        <v>6060</v>
      </c>
      <c r="F387" s="293" t="s">
        <v>5814</v>
      </c>
      <c r="G387" s="293" t="s">
        <v>5578</v>
      </c>
      <c r="H387" s="294">
        <v>41152</v>
      </c>
      <c r="I387" s="295">
        <v>-5738.64</v>
      </c>
    </row>
    <row r="388" spans="1:9" x14ac:dyDescent="0.2">
      <c r="A388" s="293" t="s">
        <v>6061</v>
      </c>
      <c r="B388" s="293" t="s">
        <v>5666</v>
      </c>
      <c r="C388" s="293" t="s">
        <v>6062</v>
      </c>
      <c r="D388" s="293" t="s">
        <v>5859</v>
      </c>
      <c r="E388" s="293" t="s">
        <v>6063</v>
      </c>
      <c r="F388" s="293" t="s">
        <v>5814</v>
      </c>
      <c r="G388" s="293" t="s">
        <v>5579</v>
      </c>
      <c r="H388" s="294">
        <v>41152</v>
      </c>
      <c r="I388" s="295">
        <v>-2351.71</v>
      </c>
    </row>
    <row r="389" spans="1:9" x14ac:dyDescent="0.2">
      <c r="A389" s="293" t="s">
        <v>6064</v>
      </c>
      <c r="B389" s="293" t="s">
        <v>5666</v>
      </c>
      <c r="C389" s="293" t="s">
        <v>6065</v>
      </c>
      <c r="D389" s="293" t="s">
        <v>5859</v>
      </c>
      <c r="E389" s="293" t="s">
        <v>6063</v>
      </c>
      <c r="F389" s="293" t="s">
        <v>5814</v>
      </c>
      <c r="G389" s="293" t="s">
        <v>5579</v>
      </c>
      <c r="H389" s="294">
        <v>41152</v>
      </c>
      <c r="I389" s="295">
        <v>-63.12</v>
      </c>
    </row>
    <row r="390" spans="1:9" x14ac:dyDescent="0.2">
      <c r="A390" s="293" t="s">
        <v>6066</v>
      </c>
      <c r="B390" s="293" t="s">
        <v>5666</v>
      </c>
      <c r="C390" s="293" t="s">
        <v>6067</v>
      </c>
      <c r="D390" s="293" t="s">
        <v>5859</v>
      </c>
      <c r="E390" s="293" t="s">
        <v>5817</v>
      </c>
      <c r="F390" s="293" t="s">
        <v>5814</v>
      </c>
      <c r="G390" s="293" t="s">
        <v>5591</v>
      </c>
      <c r="H390" s="294">
        <v>41152</v>
      </c>
      <c r="I390" s="295">
        <v>-6308.36</v>
      </c>
    </row>
    <row r="391" spans="1:9" x14ac:dyDescent="0.2">
      <c r="A391" s="293" t="s">
        <v>6068</v>
      </c>
      <c r="B391" s="293" t="s">
        <v>5666</v>
      </c>
      <c r="C391" s="293" t="s">
        <v>6069</v>
      </c>
      <c r="D391" s="293" t="s">
        <v>5859</v>
      </c>
      <c r="E391" s="293" t="s">
        <v>5817</v>
      </c>
      <c r="F391" s="293" t="s">
        <v>5814</v>
      </c>
      <c r="G391" s="293" t="s">
        <v>5591</v>
      </c>
      <c r="H391" s="294">
        <v>41152</v>
      </c>
      <c r="I391" s="295">
        <v>-7695.19</v>
      </c>
    </row>
    <row r="392" spans="1:9" x14ac:dyDescent="0.2">
      <c r="A392" s="293" t="s">
        <v>6070</v>
      </c>
      <c r="B392" s="293" t="s">
        <v>5666</v>
      </c>
      <c r="C392" s="293" t="s">
        <v>5987</v>
      </c>
      <c r="D392" s="293" t="s">
        <v>5859</v>
      </c>
      <c r="E392" s="293" t="s">
        <v>6071</v>
      </c>
      <c r="F392" s="293" t="s">
        <v>6072</v>
      </c>
      <c r="G392" s="293" t="s">
        <v>5588</v>
      </c>
      <c r="H392" s="294">
        <v>41152</v>
      </c>
      <c r="I392" s="295">
        <v>-33290.74</v>
      </c>
    </row>
    <row r="393" spans="1:9" x14ac:dyDescent="0.2">
      <c r="A393" s="293" t="s">
        <v>6070</v>
      </c>
      <c r="B393" s="293" t="s">
        <v>5666</v>
      </c>
      <c r="C393" s="293" t="s">
        <v>5987</v>
      </c>
      <c r="D393" s="293" t="s">
        <v>5859</v>
      </c>
      <c r="E393" s="293" t="s">
        <v>6071</v>
      </c>
      <c r="F393" s="293" t="s">
        <v>6072</v>
      </c>
      <c r="G393" s="293" t="s">
        <v>5592</v>
      </c>
      <c r="H393" s="294">
        <v>41152</v>
      </c>
      <c r="I393" s="295">
        <v>-20034.75</v>
      </c>
    </row>
    <row r="394" spans="1:9" x14ac:dyDescent="0.2">
      <c r="A394" s="293" t="s">
        <v>6070</v>
      </c>
      <c r="B394" s="293" t="s">
        <v>5666</v>
      </c>
      <c r="C394" s="293" t="s">
        <v>5987</v>
      </c>
      <c r="D394" s="293" t="s">
        <v>5859</v>
      </c>
      <c r="E394" s="293" t="s">
        <v>5995</v>
      </c>
      <c r="F394" s="293" t="s">
        <v>6072</v>
      </c>
      <c r="G394" s="293" t="s">
        <v>5589</v>
      </c>
      <c r="H394" s="294">
        <v>41152</v>
      </c>
      <c r="I394" s="295">
        <v>-7145.93</v>
      </c>
    </row>
    <row r="395" spans="1:9" x14ac:dyDescent="0.2">
      <c r="A395" s="293" t="s">
        <v>6073</v>
      </c>
      <c r="B395" s="293" t="s">
        <v>5666</v>
      </c>
      <c r="C395" s="293" t="s">
        <v>6074</v>
      </c>
      <c r="D395" s="293" t="s">
        <v>5859</v>
      </c>
      <c r="E395" s="293" t="s">
        <v>6075</v>
      </c>
      <c r="F395" s="293" t="s">
        <v>6076</v>
      </c>
      <c r="G395" s="293" t="s">
        <v>5577</v>
      </c>
      <c r="H395" s="294">
        <v>41152</v>
      </c>
      <c r="I395" s="295">
        <v>-5170.1099999999997</v>
      </c>
    </row>
    <row r="396" spans="1:9" x14ac:dyDescent="0.2">
      <c r="A396" s="293" t="s">
        <v>6073</v>
      </c>
      <c r="B396" s="293" t="s">
        <v>5666</v>
      </c>
      <c r="C396" s="293" t="s">
        <v>6074</v>
      </c>
      <c r="D396" s="293" t="s">
        <v>5859</v>
      </c>
      <c r="E396" s="293" t="s">
        <v>6075</v>
      </c>
      <c r="F396" s="293" t="s">
        <v>6076</v>
      </c>
      <c r="G396" s="293" t="s">
        <v>5578</v>
      </c>
      <c r="H396" s="294">
        <v>41152</v>
      </c>
      <c r="I396" s="295">
        <v>-4922.1000000000004</v>
      </c>
    </row>
    <row r="397" spans="1:9" x14ac:dyDescent="0.2">
      <c r="A397" s="293" t="s">
        <v>6073</v>
      </c>
      <c r="B397" s="293" t="s">
        <v>5666</v>
      </c>
      <c r="C397" s="293" t="s">
        <v>6074</v>
      </c>
      <c r="D397" s="293" t="s">
        <v>5859</v>
      </c>
      <c r="E397" s="293" t="s">
        <v>6075</v>
      </c>
      <c r="F397" s="293" t="s">
        <v>6076</v>
      </c>
      <c r="G397" s="293" t="s">
        <v>5637</v>
      </c>
      <c r="H397" s="294">
        <v>41152</v>
      </c>
      <c r="I397" s="295">
        <v>-1907.79</v>
      </c>
    </row>
    <row r="398" spans="1:9" x14ac:dyDescent="0.2">
      <c r="A398" s="293" t="s">
        <v>6366</v>
      </c>
      <c r="B398" s="293" t="s">
        <v>6010</v>
      </c>
      <c r="C398" s="293" t="s">
        <v>6367</v>
      </c>
      <c r="D398" s="293" t="s">
        <v>5859</v>
      </c>
      <c r="E398" s="293" t="s">
        <v>5088</v>
      </c>
      <c r="F398" s="293" t="s">
        <v>6368</v>
      </c>
      <c r="G398" s="293" t="s">
        <v>5589</v>
      </c>
      <c r="H398" s="294">
        <v>41270</v>
      </c>
      <c r="I398" s="295">
        <v>1402.62</v>
      </c>
    </row>
    <row r="399" spans="1:9" x14ac:dyDescent="0.2">
      <c r="A399" s="293" t="s">
        <v>6130</v>
      </c>
      <c r="B399" s="293" t="s">
        <v>6010</v>
      </c>
      <c r="C399" s="293" t="s">
        <v>6131</v>
      </c>
      <c r="D399" s="293" t="s">
        <v>5859</v>
      </c>
      <c r="E399" s="293" t="s">
        <v>5088</v>
      </c>
      <c r="F399" s="293" t="s">
        <v>6132</v>
      </c>
      <c r="G399" s="293" t="s">
        <v>5593</v>
      </c>
      <c r="H399" s="294">
        <v>41171</v>
      </c>
      <c r="I399" s="295">
        <v>25785</v>
      </c>
    </row>
    <row r="400" spans="1:9" x14ac:dyDescent="0.2">
      <c r="A400" s="293" t="s">
        <v>6178</v>
      </c>
      <c r="B400" s="293" t="s">
        <v>6010</v>
      </c>
      <c r="C400" s="293" t="s">
        <v>6179</v>
      </c>
      <c r="D400" s="293" t="s">
        <v>5859</v>
      </c>
      <c r="E400" s="293" t="s">
        <v>5088</v>
      </c>
      <c r="F400" s="293" t="s">
        <v>6180</v>
      </c>
      <c r="G400" s="293" t="s">
        <v>5593</v>
      </c>
      <c r="H400" s="294">
        <v>41185</v>
      </c>
      <c r="I400" s="295">
        <v>78750</v>
      </c>
    </row>
    <row r="401" spans="1:9" x14ac:dyDescent="0.2">
      <c r="A401" s="293" t="s">
        <v>6184</v>
      </c>
      <c r="B401" s="293" t="s">
        <v>6010</v>
      </c>
      <c r="C401" s="293" t="s">
        <v>6185</v>
      </c>
      <c r="D401" s="293" t="s">
        <v>5859</v>
      </c>
      <c r="E401" s="293" t="s">
        <v>5088</v>
      </c>
      <c r="F401" s="293" t="s">
        <v>6186</v>
      </c>
      <c r="G401" s="293" t="s">
        <v>5593</v>
      </c>
      <c r="H401" s="294">
        <v>41190</v>
      </c>
      <c r="I401" s="295">
        <v>79875</v>
      </c>
    </row>
    <row r="402" spans="1:9" x14ac:dyDescent="0.2">
      <c r="A402" s="293" t="s">
        <v>6139</v>
      </c>
      <c r="B402" s="293" t="s">
        <v>5666</v>
      </c>
      <c r="C402" s="293" t="s">
        <v>5987</v>
      </c>
      <c r="D402" s="293" t="s">
        <v>5859</v>
      </c>
      <c r="E402" s="293" t="s">
        <v>5995</v>
      </c>
      <c r="F402" s="293" t="s">
        <v>5819</v>
      </c>
      <c r="G402" s="293" t="s">
        <v>5589</v>
      </c>
      <c r="H402" s="294">
        <v>41182</v>
      </c>
      <c r="I402" s="295">
        <v>-7897.98</v>
      </c>
    </row>
    <row r="403" spans="1:9" x14ac:dyDescent="0.2">
      <c r="A403" s="293" t="s">
        <v>6140</v>
      </c>
      <c r="B403" s="293" t="s">
        <v>5666</v>
      </c>
      <c r="C403" s="293" t="s">
        <v>6027</v>
      </c>
      <c r="D403" s="293" t="s">
        <v>5859</v>
      </c>
      <c r="E403" s="293" t="s">
        <v>6028</v>
      </c>
      <c r="F403" s="293" t="s">
        <v>5819</v>
      </c>
      <c r="G403" s="293" t="s">
        <v>5573</v>
      </c>
      <c r="H403" s="294">
        <v>41182</v>
      </c>
      <c r="I403" s="295">
        <v>-6400.96</v>
      </c>
    </row>
    <row r="404" spans="1:9" x14ac:dyDescent="0.2">
      <c r="A404" s="293" t="s">
        <v>6141</v>
      </c>
      <c r="B404" s="293" t="s">
        <v>5666</v>
      </c>
      <c r="C404" s="293" t="s">
        <v>6030</v>
      </c>
      <c r="D404" s="293" t="s">
        <v>5859</v>
      </c>
      <c r="E404" s="293" t="s">
        <v>6028</v>
      </c>
      <c r="F404" s="293" t="s">
        <v>5819</v>
      </c>
      <c r="G404" s="293" t="s">
        <v>5573</v>
      </c>
      <c r="H404" s="294">
        <v>41182</v>
      </c>
      <c r="I404" s="295">
        <v>-130.22</v>
      </c>
    </row>
    <row r="405" spans="1:9" x14ac:dyDescent="0.2">
      <c r="A405" s="293" t="s">
        <v>6142</v>
      </c>
      <c r="B405" s="293" t="s">
        <v>5666</v>
      </c>
      <c r="C405" s="293" t="s">
        <v>6032</v>
      </c>
      <c r="D405" s="293" t="s">
        <v>5859</v>
      </c>
      <c r="E405" s="293" t="s">
        <v>6033</v>
      </c>
      <c r="F405" s="293" t="s">
        <v>5819</v>
      </c>
      <c r="G405" s="293" t="s">
        <v>5585</v>
      </c>
      <c r="H405" s="294">
        <v>41182</v>
      </c>
      <c r="I405" s="295">
        <v>-6872.38</v>
      </c>
    </row>
    <row r="406" spans="1:9" x14ac:dyDescent="0.2">
      <c r="A406" s="293" t="s">
        <v>6143</v>
      </c>
      <c r="B406" s="293" t="s">
        <v>5666</v>
      </c>
      <c r="C406" s="293" t="s">
        <v>6035</v>
      </c>
      <c r="D406" s="293" t="s">
        <v>5859</v>
      </c>
      <c r="E406" s="293" t="s">
        <v>6033</v>
      </c>
      <c r="F406" s="293" t="s">
        <v>5819</v>
      </c>
      <c r="G406" s="293" t="s">
        <v>5585</v>
      </c>
      <c r="H406" s="294">
        <v>41182</v>
      </c>
      <c r="I406" s="295">
        <v>-4630.24</v>
      </c>
    </row>
    <row r="407" spans="1:9" x14ac:dyDescent="0.2">
      <c r="A407" s="293" t="s">
        <v>6144</v>
      </c>
      <c r="B407" s="293" t="s">
        <v>5666</v>
      </c>
      <c r="C407" s="293" t="s">
        <v>6037</v>
      </c>
      <c r="D407" s="293" t="s">
        <v>5859</v>
      </c>
      <c r="E407" s="293" t="s">
        <v>6038</v>
      </c>
      <c r="F407" s="293" t="s">
        <v>5819</v>
      </c>
      <c r="G407" s="293" t="s">
        <v>5586</v>
      </c>
      <c r="H407" s="294">
        <v>41182</v>
      </c>
      <c r="I407" s="295">
        <v>-3059.89</v>
      </c>
    </row>
    <row r="408" spans="1:9" x14ac:dyDescent="0.2">
      <c r="A408" s="293" t="s">
        <v>6145</v>
      </c>
      <c r="B408" s="293" t="s">
        <v>5666</v>
      </c>
      <c r="C408" s="293" t="s">
        <v>6040</v>
      </c>
      <c r="D408" s="293" t="s">
        <v>5859</v>
      </c>
      <c r="E408" s="293" t="s">
        <v>6041</v>
      </c>
      <c r="F408" s="293" t="s">
        <v>5819</v>
      </c>
      <c r="G408" s="293" t="s">
        <v>5581</v>
      </c>
      <c r="H408" s="294">
        <v>41182</v>
      </c>
      <c r="I408" s="295">
        <v>-8058.13</v>
      </c>
    </row>
    <row r="409" spans="1:9" x14ac:dyDescent="0.2">
      <c r="A409" s="293" t="s">
        <v>6146</v>
      </c>
      <c r="B409" s="293" t="s">
        <v>5666</v>
      </c>
      <c r="C409" s="293" t="s">
        <v>6043</v>
      </c>
      <c r="D409" s="293" t="s">
        <v>5859</v>
      </c>
      <c r="E409" s="293" t="s">
        <v>6044</v>
      </c>
      <c r="F409" s="293" t="s">
        <v>5819</v>
      </c>
      <c r="G409" s="293" t="s">
        <v>5582</v>
      </c>
      <c r="H409" s="294">
        <v>41182</v>
      </c>
      <c r="I409" s="295">
        <v>-4422.05</v>
      </c>
    </row>
    <row r="410" spans="1:9" x14ac:dyDescent="0.2">
      <c r="A410" s="293" t="s">
        <v>6147</v>
      </c>
      <c r="B410" s="293" t="s">
        <v>5666</v>
      </c>
      <c r="C410" s="293" t="s">
        <v>6046</v>
      </c>
      <c r="D410" s="293" t="s">
        <v>5859</v>
      </c>
      <c r="E410" s="293" t="s">
        <v>6047</v>
      </c>
      <c r="F410" s="293" t="s">
        <v>5819</v>
      </c>
      <c r="G410" s="293" t="s">
        <v>5576</v>
      </c>
      <c r="H410" s="294">
        <v>41182</v>
      </c>
      <c r="I410" s="295">
        <v>-3340.78</v>
      </c>
    </row>
    <row r="411" spans="1:9" x14ac:dyDescent="0.2">
      <c r="A411" s="293" t="s">
        <v>6148</v>
      </c>
      <c r="B411" s="293" t="s">
        <v>5666</v>
      </c>
      <c r="C411" s="293" t="s">
        <v>6049</v>
      </c>
      <c r="D411" s="293" t="s">
        <v>5859</v>
      </c>
      <c r="E411" s="293" t="s">
        <v>6050</v>
      </c>
      <c r="F411" s="293" t="s">
        <v>5819</v>
      </c>
      <c r="G411" s="293" t="s">
        <v>5590</v>
      </c>
      <c r="H411" s="294">
        <v>41182</v>
      </c>
      <c r="I411" s="295">
        <v>-12467.89</v>
      </c>
    </row>
    <row r="412" spans="1:9" x14ac:dyDescent="0.2">
      <c r="A412" s="293" t="s">
        <v>6149</v>
      </c>
      <c r="B412" s="293" t="s">
        <v>5666</v>
      </c>
      <c r="C412" s="293" t="s">
        <v>6052</v>
      </c>
      <c r="D412" s="293" t="s">
        <v>5859</v>
      </c>
      <c r="E412" s="293" t="s">
        <v>5817</v>
      </c>
      <c r="F412" s="293" t="s">
        <v>5819</v>
      </c>
      <c r="G412" s="293" t="s">
        <v>5577</v>
      </c>
      <c r="H412" s="294">
        <v>41182</v>
      </c>
      <c r="I412" s="295">
        <v>-7696.08</v>
      </c>
    </row>
    <row r="413" spans="1:9" x14ac:dyDescent="0.2">
      <c r="A413" s="293" t="s">
        <v>6150</v>
      </c>
      <c r="B413" s="293" t="s">
        <v>5666</v>
      </c>
      <c r="C413" s="293" t="s">
        <v>6054</v>
      </c>
      <c r="D413" s="293" t="s">
        <v>5859</v>
      </c>
      <c r="E413" s="293" t="s">
        <v>5817</v>
      </c>
      <c r="F413" s="293" t="s">
        <v>5819</v>
      </c>
      <c r="G413" s="293" t="s">
        <v>5577</v>
      </c>
      <c r="H413" s="294">
        <v>41182</v>
      </c>
      <c r="I413" s="295">
        <v>-3633.17</v>
      </c>
    </row>
    <row r="414" spans="1:9" x14ac:dyDescent="0.2">
      <c r="A414" s="293" t="s">
        <v>6151</v>
      </c>
      <c r="B414" s="293" t="s">
        <v>5666</v>
      </c>
      <c r="C414" s="293" t="s">
        <v>6056</v>
      </c>
      <c r="D414" s="293" t="s">
        <v>5859</v>
      </c>
      <c r="E414" s="293" t="s">
        <v>6057</v>
      </c>
      <c r="F414" s="293" t="s">
        <v>5819</v>
      </c>
      <c r="G414" s="293" t="s">
        <v>5578</v>
      </c>
      <c r="H414" s="294">
        <v>41182</v>
      </c>
      <c r="I414" s="295">
        <v>-4399.9399999999996</v>
      </c>
    </row>
    <row r="415" spans="1:9" x14ac:dyDescent="0.2">
      <c r="A415" s="293" t="s">
        <v>6152</v>
      </c>
      <c r="B415" s="293" t="s">
        <v>5666</v>
      </c>
      <c r="C415" s="293" t="s">
        <v>6059</v>
      </c>
      <c r="D415" s="293" t="s">
        <v>5859</v>
      </c>
      <c r="E415" s="293" t="s">
        <v>6060</v>
      </c>
      <c r="F415" s="293" t="s">
        <v>5819</v>
      </c>
      <c r="G415" s="293" t="s">
        <v>5578</v>
      </c>
      <c r="H415" s="294">
        <v>41182</v>
      </c>
      <c r="I415" s="295">
        <v>-5738.64</v>
      </c>
    </row>
    <row r="416" spans="1:9" x14ac:dyDescent="0.2">
      <c r="A416" s="293" t="s">
        <v>6153</v>
      </c>
      <c r="B416" s="293" t="s">
        <v>5666</v>
      </c>
      <c r="C416" s="293" t="s">
        <v>6062</v>
      </c>
      <c r="D416" s="293" t="s">
        <v>5859</v>
      </c>
      <c r="E416" s="293" t="s">
        <v>6063</v>
      </c>
      <c r="F416" s="293" t="s">
        <v>5819</v>
      </c>
      <c r="G416" s="293" t="s">
        <v>5579</v>
      </c>
      <c r="H416" s="294">
        <v>41182</v>
      </c>
      <c r="I416" s="295">
        <v>-2351.71</v>
      </c>
    </row>
    <row r="417" spans="1:9" x14ac:dyDescent="0.2">
      <c r="A417" s="293" t="s">
        <v>6154</v>
      </c>
      <c r="B417" s="293" t="s">
        <v>5666</v>
      </c>
      <c r="C417" s="293" t="s">
        <v>6065</v>
      </c>
      <c r="D417" s="293" t="s">
        <v>5859</v>
      </c>
      <c r="E417" s="293" t="s">
        <v>6063</v>
      </c>
      <c r="F417" s="293" t="s">
        <v>5819</v>
      </c>
      <c r="G417" s="293" t="s">
        <v>5579</v>
      </c>
      <c r="H417" s="294">
        <v>41182</v>
      </c>
      <c r="I417" s="295">
        <v>-63.12</v>
      </c>
    </row>
    <row r="418" spans="1:9" x14ac:dyDescent="0.2">
      <c r="A418" s="293" t="s">
        <v>6155</v>
      </c>
      <c r="B418" s="293" t="s">
        <v>5666</v>
      </c>
      <c r="C418" s="293" t="s">
        <v>6067</v>
      </c>
      <c r="D418" s="293" t="s">
        <v>5859</v>
      </c>
      <c r="E418" s="293" t="s">
        <v>5817</v>
      </c>
      <c r="F418" s="293" t="s">
        <v>5819</v>
      </c>
      <c r="G418" s="293" t="s">
        <v>5591</v>
      </c>
      <c r="H418" s="294">
        <v>41182</v>
      </c>
      <c r="I418" s="295">
        <v>-6308.36</v>
      </c>
    </row>
    <row r="419" spans="1:9" x14ac:dyDescent="0.2">
      <c r="A419" s="293" t="s">
        <v>6156</v>
      </c>
      <c r="B419" s="293" t="s">
        <v>5666</v>
      </c>
      <c r="C419" s="293" t="s">
        <v>6069</v>
      </c>
      <c r="D419" s="293" t="s">
        <v>5859</v>
      </c>
      <c r="E419" s="293" t="s">
        <v>5817</v>
      </c>
      <c r="F419" s="293" t="s">
        <v>5819</v>
      </c>
      <c r="G419" s="293" t="s">
        <v>5591</v>
      </c>
      <c r="H419" s="294">
        <v>41182</v>
      </c>
      <c r="I419" s="295">
        <v>-7695.19</v>
      </c>
    </row>
    <row r="420" spans="1:9" x14ac:dyDescent="0.2">
      <c r="A420" s="293" t="s">
        <v>6195</v>
      </c>
      <c r="B420" s="293" t="s">
        <v>5666</v>
      </c>
      <c r="C420" s="293" t="s">
        <v>5987</v>
      </c>
      <c r="D420" s="293" t="s">
        <v>5859</v>
      </c>
      <c r="E420" s="293" t="s">
        <v>6196</v>
      </c>
      <c r="F420" s="293" t="s">
        <v>5680</v>
      </c>
      <c r="G420" s="293" t="s">
        <v>5589</v>
      </c>
      <c r="H420" s="294">
        <v>41213</v>
      </c>
      <c r="I420" s="295">
        <v>-7114.74</v>
      </c>
    </row>
    <row r="421" spans="1:9" x14ac:dyDescent="0.2">
      <c r="A421" s="293" t="s">
        <v>6195</v>
      </c>
      <c r="B421" s="293" t="s">
        <v>5666</v>
      </c>
      <c r="C421" s="293" t="s">
        <v>5987</v>
      </c>
      <c r="D421" s="293" t="s">
        <v>5859</v>
      </c>
      <c r="E421" s="293" t="s">
        <v>6196</v>
      </c>
      <c r="F421" s="293" t="s">
        <v>5680</v>
      </c>
      <c r="G421" s="293" t="s">
        <v>5593</v>
      </c>
      <c r="H421" s="294">
        <v>41213</v>
      </c>
      <c r="I421" s="295">
        <v>-14163.99</v>
      </c>
    </row>
    <row r="422" spans="1:9" x14ac:dyDescent="0.2">
      <c r="A422" s="293" t="s">
        <v>6195</v>
      </c>
      <c r="B422" s="293" t="s">
        <v>5666</v>
      </c>
      <c r="C422" s="293" t="s">
        <v>5987</v>
      </c>
      <c r="D422" s="293" t="s">
        <v>5859</v>
      </c>
      <c r="E422" s="293" t="s">
        <v>5601</v>
      </c>
      <c r="F422" s="293" t="s">
        <v>5680</v>
      </c>
      <c r="G422" s="293" t="s">
        <v>5582</v>
      </c>
      <c r="H422" s="294">
        <v>41213</v>
      </c>
      <c r="I422" s="295">
        <v>-53064.98</v>
      </c>
    </row>
    <row r="423" spans="1:9" x14ac:dyDescent="0.2">
      <c r="A423" s="293" t="s">
        <v>6195</v>
      </c>
      <c r="B423" s="293" t="s">
        <v>5666</v>
      </c>
      <c r="C423" s="293" t="s">
        <v>5987</v>
      </c>
      <c r="D423" s="293" t="s">
        <v>5859</v>
      </c>
      <c r="E423" s="293" t="s">
        <v>5601</v>
      </c>
      <c r="F423" s="293" t="s">
        <v>5680</v>
      </c>
      <c r="G423" s="293" t="s">
        <v>5576</v>
      </c>
      <c r="H423" s="294">
        <v>41213</v>
      </c>
      <c r="I423" s="295">
        <v>-440982.93</v>
      </c>
    </row>
    <row r="424" spans="1:9" x14ac:dyDescent="0.2">
      <c r="A424" s="293" t="s">
        <v>6193</v>
      </c>
      <c r="B424" s="293" t="s">
        <v>6010</v>
      </c>
      <c r="C424" s="293" t="s">
        <v>6194</v>
      </c>
      <c r="D424" s="293" t="s">
        <v>5859</v>
      </c>
      <c r="E424" s="293" t="s">
        <v>5088</v>
      </c>
      <c r="F424" s="293" t="s">
        <v>5680</v>
      </c>
      <c r="G424" s="293" t="s">
        <v>5593</v>
      </c>
      <c r="H424" s="294">
        <v>41206</v>
      </c>
      <c r="I424" s="295">
        <v>5130</v>
      </c>
    </row>
    <row r="425" spans="1:9" x14ac:dyDescent="0.2">
      <c r="A425" s="293" t="s">
        <v>6181</v>
      </c>
      <c r="B425" s="293" t="s">
        <v>6010</v>
      </c>
      <c r="C425" s="293" t="s">
        <v>6182</v>
      </c>
      <c r="D425" s="293" t="s">
        <v>5859</v>
      </c>
      <c r="E425" s="293" t="s">
        <v>5088</v>
      </c>
      <c r="F425" s="293" t="s">
        <v>6183</v>
      </c>
      <c r="G425" s="293" t="s">
        <v>5593</v>
      </c>
      <c r="H425" s="294">
        <v>41187</v>
      </c>
      <c r="I425" s="295">
        <v>6795</v>
      </c>
    </row>
    <row r="426" spans="1:9" x14ac:dyDescent="0.2">
      <c r="A426" s="293" t="s">
        <v>6187</v>
      </c>
      <c r="B426" s="293" t="s">
        <v>6010</v>
      </c>
      <c r="C426" s="293" t="s">
        <v>6188</v>
      </c>
      <c r="D426" s="293" t="s">
        <v>5859</v>
      </c>
      <c r="E426" s="293" t="s">
        <v>5088</v>
      </c>
      <c r="F426" s="293" t="s">
        <v>6189</v>
      </c>
      <c r="G426" s="293" t="s">
        <v>5593</v>
      </c>
      <c r="H426" s="294">
        <v>41201</v>
      </c>
      <c r="I426" s="295">
        <v>36175.050000000003</v>
      </c>
    </row>
    <row r="427" spans="1:9" x14ac:dyDescent="0.2">
      <c r="A427" s="293" t="s">
        <v>6190</v>
      </c>
      <c r="B427" s="293" t="s">
        <v>6010</v>
      </c>
      <c r="C427" s="293" t="s">
        <v>6191</v>
      </c>
      <c r="D427" s="293" t="s">
        <v>5859</v>
      </c>
      <c r="E427" s="293" t="s">
        <v>5088</v>
      </c>
      <c r="F427" s="293" t="s">
        <v>6192</v>
      </c>
      <c r="G427" s="293" t="s">
        <v>5593</v>
      </c>
      <c r="H427" s="294">
        <v>41201</v>
      </c>
      <c r="I427" s="295">
        <v>4189.5</v>
      </c>
    </row>
    <row r="428" spans="1:9" x14ac:dyDescent="0.2">
      <c r="A428" s="293" t="s">
        <v>6360</v>
      </c>
      <c r="B428" s="293" t="s">
        <v>6010</v>
      </c>
      <c r="C428" s="293" t="s">
        <v>6361</v>
      </c>
      <c r="D428" s="293" t="s">
        <v>5859</v>
      </c>
      <c r="E428" s="293" t="s">
        <v>5088</v>
      </c>
      <c r="F428" s="293" t="s">
        <v>6362</v>
      </c>
      <c r="G428" s="293" t="s">
        <v>5593</v>
      </c>
      <c r="H428" s="294">
        <v>41248</v>
      </c>
      <c r="I428" s="295">
        <v>58500</v>
      </c>
    </row>
    <row r="429" spans="1:9" x14ac:dyDescent="0.2">
      <c r="A429" s="293" t="s">
        <v>6197</v>
      </c>
      <c r="B429" s="293" t="s">
        <v>5666</v>
      </c>
      <c r="C429" s="293" t="s">
        <v>6027</v>
      </c>
      <c r="D429" s="293" t="s">
        <v>5859</v>
      </c>
      <c r="E429" s="293" t="s">
        <v>6028</v>
      </c>
      <c r="F429" s="293" t="s">
        <v>5822</v>
      </c>
      <c r="G429" s="293" t="s">
        <v>5573</v>
      </c>
      <c r="H429" s="294">
        <v>41213</v>
      </c>
      <c r="I429" s="295">
        <v>-6400.96</v>
      </c>
    </row>
    <row r="430" spans="1:9" x14ac:dyDescent="0.2">
      <c r="A430" s="293" t="s">
        <v>6198</v>
      </c>
      <c r="B430" s="293" t="s">
        <v>5666</v>
      </c>
      <c r="C430" s="293" t="s">
        <v>6030</v>
      </c>
      <c r="D430" s="293" t="s">
        <v>5859</v>
      </c>
      <c r="E430" s="293" t="s">
        <v>6028</v>
      </c>
      <c r="F430" s="293" t="s">
        <v>5822</v>
      </c>
      <c r="G430" s="293" t="s">
        <v>5573</v>
      </c>
      <c r="H430" s="294">
        <v>41213</v>
      </c>
      <c r="I430" s="295">
        <v>-130.22</v>
      </c>
    </row>
    <row r="431" spans="1:9" x14ac:dyDescent="0.2">
      <c r="A431" s="293" t="s">
        <v>6199</v>
      </c>
      <c r="B431" s="293" t="s">
        <v>5666</v>
      </c>
      <c r="C431" s="293" t="s">
        <v>6032</v>
      </c>
      <c r="D431" s="293" t="s">
        <v>5859</v>
      </c>
      <c r="E431" s="293" t="s">
        <v>6033</v>
      </c>
      <c r="F431" s="293" t="s">
        <v>5822</v>
      </c>
      <c r="G431" s="293" t="s">
        <v>5585</v>
      </c>
      <c r="H431" s="294">
        <v>41213</v>
      </c>
      <c r="I431" s="295">
        <v>-6872.38</v>
      </c>
    </row>
    <row r="432" spans="1:9" x14ac:dyDescent="0.2">
      <c r="A432" s="293" t="s">
        <v>6200</v>
      </c>
      <c r="B432" s="293" t="s">
        <v>5666</v>
      </c>
      <c r="C432" s="293" t="s">
        <v>6035</v>
      </c>
      <c r="D432" s="293" t="s">
        <v>5859</v>
      </c>
      <c r="E432" s="293" t="s">
        <v>6033</v>
      </c>
      <c r="F432" s="293" t="s">
        <v>5822</v>
      </c>
      <c r="G432" s="293" t="s">
        <v>5585</v>
      </c>
      <c r="H432" s="294">
        <v>41213</v>
      </c>
      <c r="I432" s="295">
        <v>-4630.24</v>
      </c>
    </row>
    <row r="433" spans="1:9" x14ac:dyDescent="0.2">
      <c r="A433" s="293" t="s">
        <v>6201</v>
      </c>
      <c r="B433" s="293" t="s">
        <v>5666</v>
      </c>
      <c r="C433" s="293" t="s">
        <v>6037</v>
      </c>
      <c r="D433" s="293" t="s">
        <v>5859</v>
      </c>
      <c r="E433" s="293" t="s">
        <v>6038</v>
      </c>
      <c r="F433" s="293" t="s">
        <v>5822</v>
      </c>
      <c r="G433" s="293" t="s">
        <v>5586</v>
      </c>
      <c r="H433" s="294">
        <v>41213</v>
      </c>
      <c r="I433" s="295">
        <v>-3059.89</v>
      </c>
    </row>
    <row r="434" spans="1:9" x14ac:dyDescent="0.2">
      <c r="A434" s="293" t="s">
        <v>6202</v>
      </c>
      <c r="B434" s="293" t="s">
        <v>5666</v>
      </c>
      <c r="C434" s="293" t="s">
        <v>6040</v>
      </c>
      <c r="D434" s="293" t="s">
        <v>5859</v>
      </c>
      <c r="E434" s="293" t="s">
        <v>6041</v>
      </c>
      <c r="F434" s="293" t="s">
        <v>5822</v>
      </c>
      <c r="G434" s="293" t="s">
        <v>5581</v>
      </c>
      <c r="H434" s="294">
        <v>41213</v>
      </c>
      <c r="I434" s="295">
        <v>-8058.13</v>
      </c>
    </row>
    <row r="435" spans="1:9" x14ac:dyDescent="0.2">
      <c r="A435" s="293" t="s">
        <v>6203</v>
      </c>
      <c r="B435" s="293" t="s">
        <v>5666</v>
      </c>
      <c r="C435" s="293" t="s">
        <v>6043</v>
      </c>
      <c r="D435" s="293" t="s">
        <v>5859</v>
      </c>
      <c r="E435" s="293" t="s">
        <v>6044</v>
      </c>
      <c r="F435" s="293" t="s">
        <v>5822</v>
      </c>
      <c r="G435" s="293" t="s">
        <v>5582</v>
      </c>
      <c r="H435" s="294">
        <v>41213</v>
      </c>
      <c r="I435" s="295">
        <v>-4422.05</v>
      </c>
    </row>
    <row r="436" spans="1:9" x14ac:dyDescent="0.2">
      <c r="A436" s="293" t="s">
        <v>6204</v>
      </c>
      <c r="B436" s="293" t="s">
        <v>5666</v>
      </c>
      <c r="C436" s="293" t="s">
        <v>6046</v>
      </c>
      <c r="D436" s="293" t="s">
        <v>5859</v>
      </c>
      <c r="E436" s="293" t="s">
        <v>6047</v>
      </c>
      <c r="F436" s="293" t="s">
        <v>5822</v>
      </c>
      <c r="G436" s="293" t="s">
        <v>5576</v>
      </c>
      <c r="H436" s="294">
        <v>41213</v>
      </c>
      <c r="I436" s="295">
        <v>-3340.78</v>
      </c>
    </row>
    <row r="437" spans="1:9" x14ac:dyDescent="0.2">
      <c r="A437" s="293" t="s">
        <v>6205</v>
      </c>
      <c r="B437" s="293" t="s">
        <v>5666</v>
      </c>
      <c r="C437" s="293" t="s">
        <v>6049</v>
      </c>
      <c r="D437" s="293" t="s">
        <v>5859</v>
      </c>
      <c r="E437" s="293" t="s">
        <v>6050</v>
      </c>
      <c r="F437" s="293" t="s">
        <v>5822</v>
      </c>
      <c r="G437" s="293" t="s">
        <v>5590</v>
      </c>
      <c r="H437" s="294">
        <v>41213</v>
      </c>
      <c r="I437" s="295">
        <v>-12467.89</v>
      </c>
    </row>
    <row r="438" spans="1:9" x14ac:dyDescent="0.2">
      <c r="A438" s="293" t="s">
        <v>6206</v>
      </c>
      <c r="B438" s="293" t="s">
        <v>5666</v>
      </c>
      <c r="C438" s="293" t="s">
        <v>6052</v>
      </c>
      <c r="D438" s="293" t="s">
        <v>5859</v>
      </c>
      <c r="E438" s="293" t="s">
        <v>5817</v>
      </c>
      <c r="F438" s="293" t="s">
        <v>5822</v>
      </c>
      <c r="G438" s="293" t="s">
        <v>5577</v>
      </c>
      <c r="H438" s="294">
        <v>41213</v>
      </c>
      <c r="I438" s="295">
        <v>-7696.08</v>
      </c>
    </row>
    <row r="439" spans="1:9" x14ac:dyDescent="0.2">
      <c r="A439" s="293" t="s">
        <v>6207</v>
      </c>
      <c r="B439" s="293" t="s">
        <v>5666</v>
      </c>
      <c r="C439" s="293" t="s">
        <v>6054</v>
      </c>
      <c r="D439" s="293" t="s">
        <v>5859</v>
      </c>
      <c r="E439" s="293" t="s">
        <v>5817</v>
      </c>
      <c r="F439" s="293" t="s">
        <v>5822</v>
      </c>
      <c r="G439" s="293" t="s">
        <v>5577</v>
      </c>
      <c r="H439" s="294">
        <v>41213</v>
      </c>
      <c r="I439" s="295">
        <v>-3633.17</v>
      </c>
    </row>
    <row r="440" spans="1:9" x14ac:dyDescent="0.2">
      <c r="A440" s="293" t="s">
        <v>6208</v>
      </c>
      <c r="B440" s="293" t="s">
        <v>5666</v>
      </c>
      <c r="C440" s="293" t="s">
        <v>6056</v>
      </c>
      <c r="D440" s="293" t="s">
        <v>5859</v>
      </c>
      <c r="E440" s="293" t="s">
        <v>6057</v>
      </c>
      <c r="F440" s="293" t="s">
        <v>5822</v>
      </c>
      <c r="G440" s="293" t="s">
        <v>5578</v>
      </c>
      <c r="H440" s="294">
        <v>41213</v>
      </c>
      <c r="I440" s="295">
        <v>-4399.9399999999996</v>
      </c>
    </row>
    <row r="441" spans="1:9" x14ac:dyDescent="0.2">
      <c r="A441" s="293" t="s">
        <v>6209</v>
      </c>
      <c r="B441" s="293" t="s">
        <v>5666</v>
      </c>
      <c r="C441" s="293" t="s">
        <v>6059</v>
      </c>
      <c r="D441" s="293" t="s">
        <v>5859</v>
      </c>
      <c r="E441" s="293" t="s">
        <v>6060</v>
      </c>
      <c r="F441" s="293" t="s">
        <v>5822</v>
      </c>
      <c r="G441" s="293" t="s">
        <v>5578</v>
      </c>
      <c r="H441" s="294">
        <v>41213</v>
      </c>
      <c r="I441" s="295">
        <v>-5738.64</v>
      </c>
    </row>
    <row r="442" spans="1:9" x14ac:dyDescent="0.2">
      <c r="A442" s="293" t="s">
        <v>6210</v>
      </c>
      <c r="B442" s="293" t="s">
        <v>5666</v>
      </c>
      <c r="C442" s="293" t="s">
        <v>6062</v>
      </c>
      <c r="D442" s="293" t="s">
        <v>5859</v>
      </c>
      <c r="E442" s="293" t="s">
        <v>6063</v>
      </c>
      <c r="F442" s="293" t="s">
        <v>5822</v>
      </c>
      <c r="G442" s="293" t="s">
        <v>5579</v>
      </c>
      <c r="H442" s="294">
        <v>41213</v>
      </c>
      <c r="I442" s="295">
        <v>-2351.71</v>
      </c>
    </row>
    <row r="443" spans="1:9" x14ac:dyDescent="0.2">
      <c r="A443" s="293" t="s">
        <v>6211</v>
      </c>
      <c r="B443" s="293" t="s">
        <v>5666</v>
      </c>
      <c r="C443" s="293" t="s">
        <v>6065</v>
      </c>
      <c r="D443" s="293" t="s">
        <v>5859</v>
      </c>
      <c r="E443" s="293" t="s">
        <v>6063</v>
      </c>
      <c r="F443" s="293" t="s">
        <v>5822</v>
      </c>
      <c r="G443" s="293" t="s">
        <v>5579</v>
      </c>
      <c r="H443" s="294">
        <v>41213</v>
      </c>
      <c r="I443" s="295">
        <v>-63.12</v>
      </c>
    </row>
    <row r="444" spans="1:9" x14ac:dyDescent="0.2">
      <c r="A444" s="293" t="s">
        <v>6212</v>
      </c>
      <c r="B444" s="293" t="s">
        <v>5666</v>
      </c>
      <c r="C444" s="293" t="s">
        <v>6067</v>
      </c>
      <c r="D444" s="293" t="s">
        <v>5859</v>
      </c>
      <c r="E444" s="293" t="s">
        <v>5817</v>
      </c>
      <c r="F444" s="293" t="s">
        <v>5822</v>
      </c>
      <c r="G444" s="293" t="s">
        <v>5591</v>
      </c>
      <c r="H444" s="294">
        <v>41213</v>
      </c>
      <c r="I444" s="295">
        <v>-6308.36</v>
      </c>
    </row>
    <row r="445" spans="1:9" x14ac:dyDescent="0.2">
      <c r="A445" s="293" t="s">
        <v>6213</v>
      </c>
      <c r="B445" s="293" t="s">
        <v>5666</v>
      </c>
      <c r="C445" s="293" t="s">
        <v>6069</v>
      </c>
      <c r="D445" s="293" t="s">
        <v>5859</v>
      </c>
      <c r="E445" s="293" t="s">
        <v>5817</v>
      </c>
      <c r="F445" s="293" t="s">
        <v>5822</v>
      </c>
      <c r="G445" s="293" t="s">
        <v>5591</v>
      </c>
      <c r="H445" s="294">
        <v>41213</v>
      </c>
      <c r="I445" s="295">
        <v>-7695.19</v>
      </c>
    </row>
    <row r="446" spans="1:9" x14ac:dyDescent="0.2">
      <c r="A446" s="293" t="s">
        <v>6214</v>
      </c>
      <c r="B446" s="293" t="s">
        <v>5825</v>
      </c>
      <c r="C446" s="293" t="s">
        <v>6043</v>
      </c>
      <c r="D446" s="293" t="s">
        <v>5859</v>
      </c>
      <c r="E446" s="293" t="s">
        <v>6044</v>
      </c>
      <c r="F446" s="293" t="s">
        <v>5822</v>
      </c>
      <c r="G446" s="293" t="s">
        <v>5582</v>
      </c>
      <c r="H446" s="294">
        <v>41213</v>
      </c>
      <c r="I446" s="295">
        <v>4422.05</v>
      </c>
    </row>
    <row r="447" spans="1:9" x14ac:dyDescent="0.2">
      <c r="A447" s="293" t="s">
        <v>6215</v>
      </c>
      <c r="B447" s="293" t="s">
        <v>5825</v>
      </c>
      <c r="C447" s="293" t="s">
        <v>6046</v>
      </c>
      <c r="D447" s="293" t="s">
        <v>5859</v>
      </c>
      <c r="E447" s="293" t="s">
        <v>6047</v>
      </c>
      <c r="F447" s="293" t="s">
        <v>5822</v>
      </c>
      <c r="G447" s="293" t="s">
        <v>5576</v>
      </c>
      <c r="H447" s="294">
        <v>41213</v>
      </c>
      <c r="I447" s="295">
        <v>3340.78</v>
      </c>
    </row>
    <row r="448" spans="1:9" x14ac:dyDescent="0.2">
      <c r="A448" s="293" t="s">
        <v>6216</v>
      </c>
      <c r="B448" s="293" t="s">
        <v>6010</v>
      </c>
      <c r="C448" s="293" t="s">
        <v>6217</v>
      </c>
      <c r="D448" s="293" t="s">
        <v>5859</v>
      </c>
      <c r="E448" s="293" t="s">
        <v>6218</v>
      </c>
      <c r="F448" s="293" t="s">
        <v>5822</v>
      </c>
      <c r="G448" s="293" t="s">
        <v>5593</v>
      </c>
      <c r="H448" s="294">
        <v>41213</v>
      </c>
      <c r="I448" s="295">
        <v>478.8</v>
      </c>
    </row>
    <row r="449" spans="1:9" x14ac:dyDescent="0.2">
      <c r="A449" s="293" t="s">
        <v>6216</v>
      </c>
      <c r="B449" s="293" t="s">
        <v>6010</v>
      </c>
      <c r="C449" s="293" t="s">
        <v>6217</v>
      </c>
      <c r="D449" s="293" t="s">
        <v>5859</v>
      </c>
      <c r="E449" s="293" t="s">
        <v>6218</v>
      </c>
      <c r="F449" s="293" t="s">
        <v>5822</v>
      </c>
      <c r="G449" s="293" t="s">
        <v>5589</v>
      </c>
      <c r="H449" s="294">
        <v>41213</v>
      </c>
      <c r="I449" s="295">
        <v>-1512.5</v>
      </c>
    </row>
    <row r="450" spans="1:9" x14ac:dyDescent="0.2">
      <c r="A450" s="293" t="s">
        <v>6216</v>
      </c>
      <c r="B450" s="293" t="s">
        <v>6010</v>
      </c>
      <c r="C450" s="293" t="s">
        <v>6217</v>
      </c>
      <c r="D450" s="293" t="s">
        <v>5859</v>
      </c>
      <c r="E450" s="293" t="s">
        <v>6218</v>
      </c>
      <c r="F450" s="293" t="s">
        <v>5822</v>
      </c>
      <c r="G450" s="293" t="s">
        <v>5637</v>
      </c>
      <c r="H450" s="294">
        <v>41213</v>
      </c>
      <c r="I450" s="295">
        <v>-532</v>
      </c>
    </row>
    <row r="451" spans="1:9" x14ac:dyDescent="0.2">
      <c r="A451" s="293" t="s">
        <v>6319</v>
      </c>
      <c r="B451" s="293" t="s">
        <v>5666</v>
      </c>
      <c r="C451" s="293" t="s">
        <v>5987</v>
      </c>
      <c r="D451" s="293" t="s">
        <v>5859</v>
      </c>
      <c r="E451" s="293" t="s">
        <v>5088</v>
      </c>
      <c r="F451" s="293" t="s">
        <v>5684</v>
      </c>
      <c r="G451" s="293" t="s">
        <v>5589</v>
      </c>
      <c r="H451" s="294">
        <v>41243</v>
      </c>
      <c r="I451" s="295">
        <v>-7114.74</v>
      </c>
    </row>
    <row r="452" spans="1:9" x14ac:dyDescent="0.2">
      <c r="A452" s="293" t="s">
        <v>6319</v>
      </c>
      <c r="B452" s="293" t="s">
        <v>5666</v>
      </c>
      <c r="C452" s="293" t="s">
        <v>5987</v>
      </c>
      <c r="D452" s="293" t="s">
        <v>5859</v>
      </c>
      <c r="E452" s="293" t="s">
        <v>5088</v>
      </c>
      <c r="F452" s="293" t="s">
        <v>5684</v>
      </c>
      <c r="G452" s="293" t="s">
        <v>5593</v>
      </c>
      <c r="H452" s="294">
        <v>41243</v>
      </c>
      <c r="I452" s="295">
        <v>-14163.99</v>
      </c>
    </row>
    <row r="453" spans="1:9" x14ac:dyDescent="0.2">
      <c r="A453" s="293" t="s">
        <v>6219</v>
      </c>
      <c r="B453" s="293" t="s">
        <v>6010</v>
      </c>
      <c r="C453" s="293" t="s">
        <v>6217</v>
      </c>
      <c r="D453" s="293" t="s">
        <v>5859</v>
      </c>
      <c r="E453" s="293" t="s">
        <v>5088</v>
      </c>
      <c r="F453" s="293" t="s">
        <v>6220</v>
      </c>
      <c r="G453" s="293" t="s">
        <v>5637</v>
      </c>
      <c r="H453" s="294">
        <v>41213</v>
      </c>
      <c r="I453" s="295">
        <v>-532</v>
      </c>
    </row>
    <row r="454" spans="1:9" x14ac:dyDescent="0.2">
      <c r="A454" s="293" t="s">
        <v>6219</v>
      </c>
      <c r="B454" s="293" t="s">
        <v>6010</v>
      </c>
      <c r="C454" s="293" t="s">
        <v>6217</v>
      </c>
      <c r="D454" s="293" t="s">
        <v>5859</v>
      </c>
      <c r="E454" s="293" t="s">
        <v>5088</v>
      </c>
      <c r="F454" s="293" t="s">
        <v>6220</v>
      </c>
      <c r="G454" s="293" t="s">
        <v>5589</v>
      </c>
      <c r="H454" s="294">
        <v>41213</v>
      </c>
      <c r="I454" s="295">
        <v>-1512.5</v>
      </c>
    </row>
    <row r="455" spans="1:9" x14ac:dyDescent="0.2">
      <c r="A455" s="293" t="s">
        <v>6221</v>
      </c>
      <c r="B455" s="293" t="s">
        <v>6010</v>
      </c>
      <c r="C455" s="293" t="s">
        <v>6217</v>
      </c>
      <c r="D455" s="293" t="s">
        <v>5859</v>
      </c>
      <c r="E455" s="293" t="s">
        <v>5088</v>
      </c>
      <c r="F455" s="293" t="s">
        <v>6220</v>
      </c>
      <c r="G455" s="293" t="s">
        <v>5637</v>
      </c>
      <c r="H455" s="294">
        <v>41213</v>
      </c>
      <c r="I455" s="295">
        <v>532</v>
      </c>
    </row>
    <row r="456" spans="1:9" x14ac:dyDescent="0.2">
      <c r="A456" s="293" t="s">
        <v>6221</v>
      </c>
      <c r="B456" s="293" t="s">
        <v>6010</v>
      </c>
      <c r="C456" s="293" t="s">
        <v>6217</v>
      </c>
      <c r="D456" s="293" t="s">
        <v>5859</v>
      </c>
      <c r="E456" s="293" t="s">
        <v>5088</v>
      </c>
      <c r="F456" s="293" t="s">
        <v>6220</v>
      </c>
      <c r="G456" s="293" t="s">
        <v>5589</v>
      </c>
      <c r="H456" s="294">
        <v>41213</v>
      </c>
      <c r="I456" s="295">
        <v>1512.5</v>
      </c>
    </row>
    <row r="457" spans="1:9" x14ac:dyDescent="0.2">
      <c r="A457" s="293" t="s">
        <v>6369</v>
      </c>
      <c r="B457" s="293" t="s">
        <v>6010</v>
      </c>
      <c r="C457" s="293" t="s">
        <v>6370</v>
      </c>
      <c r="D457" s="293" t="s">
        <v>5859</v>
      </c>
      <c r="E457" s="293" t="s">
        <v>5088</v>
      </c>
      <c r="F457" s="293" t="s">
        <v>6371</v>
      </c>
      <c r="G457" s="293" t="s">
        <v>5593</v>
      </c>
      <c r="H457" s="294">
        <v>41270</v>
      </c>
      <c r="I457" s="295">
        <v>271.89</v>
      </c>
    </row>
    <row r="458" spans="1:9" x14ac:dyDescent="0.2">
      <c r="A458" s="293" t="s">
        <v>6320</v>
      </c>
      <c r="B458" s="293" t="s">
        <v>5666</v>
      </c>
      <c r="C458" s="293" t="s">
        <v>6027</v>
      </c>
      <c r="D458" s="293" t="s">
        <v>5859</v>
      </c>
      <c r="E458" s="293" t="s">
        <v>6028</v>
      </c>
      <c r="F458" s="293" t="s">
        <v>5832</v>
      </c>
      <c r="G458" s="293" t="s">
        <v>5573</v>
      </c>
      <c r="H458" s="294">
        <v>41243</v>
      </c>
      <c r="I458" s="295">
        <v>-6400.96</v>
      </c>
    </row>
    <row r="459" spans="1:9" x14ac:dyDescent="0.2">
      <c r="A459" s="293" t="s">
        <v>6321</v>
      </c>
      <c r="B459" s="293" t="s">
        <v>5666</v>
      </c>
      <c r="C459" s="293" t="s">
        <v>6030</v>
      </c>
      <c r="D459" s="293" t="s">
        <v>5859</v>
      </c>
      <c r="E459" s="293" t="s">
        <v>6028</v>
      </c>
      <c r="F459" s="293" t="s">
        <v>5832</v>
      </c>
      <c r="G459" s="293" t="s">
        <v>5573</v>
      </c>
      <c r="H459" s="294">
        <v>41243</v>
      </c>
      <c r="I459" s="295">
        <v>-130.22</v>
      </c>
    </row>
    <row r="460" spans="1:9" x14ac:dyDescent="0.2">
      <c r="A460" s="293" t="s">
        <v>6322</v>
      </c>
      <c r="B460" s="293" t="s">
        <v>5666</v>
      </c>
      <c r="C460" s="293" t="s">
        <v>6032</v>
      </c>
      <c r="D460" s="293" t="s">
        <v>5859</v>
      </c>
      <c r="E460" s="293" t="s">
        <v>6033</v>
      </c>
      <c r="F460" s="293" t="s">
        <v>5832</v>
      </c>
      <c r="G460" s="293" t="s">
        <v>5585</v>
      </c>
      <c r="H460" s="294">
        <v>41243</v>
      </c>
      <c r="I460" s="295">
        <v>-6872.38</v>
      </c>
    </row>
    <row r="461" spans="1:9" x14ac:dyDescent="0.2">
      <c r="A461" s="293" t="s">
        <v>6323</v>
      </c>
      <c r="B461" s="293" t="s">
        <v>5666</v>
      </c>
      <c r="C461" s="293" t="s">
        <v>6035</v>
      </c>
      <c r="D461" s="293" t="s">
        <v>5859</v>
      </c>
      <c r="E461" s="293" t="s">
        <v>6033</v>
      </c>
      <c r="F461" s="293" t="s">
        <v>5832</v>
      </c>
      <c r="G461" s="293" t="s">
        <v>5585</v>
      </c>
      <c r="H461" s="294">
        <v>41243</v>
      </c>
      <c r="I461" s="295">
        <v>-4630.24</v>
      </c>
    </row>
    <row r="462" spans="1:9" x14ac:dyDescent="0.2">
      <c r="A462" s="293" t="s">
        <v>6324</v>
      </c>
      <c r="B462" s="293" t="s">
        <v>5666</v>
      </c>
      <c r="C462" s="293" t="s">
        <v>6037</v>
      </c>
      <c r="D462" s="293" t="s">
        <v>5859</v>
      </c>
      <c r="E462" s="293" t="s">
        <v>6038</v>
      </c>
      <c r="F462" s="293" t="s">
        <v>5832</v>
      </c>
      <c r="G462" s="293" t="s">
        <v>5586</v>
      </c>
      <c r="H462" s="294">
        <v>41243</v>
      </c>
      <c r="I462" s="295">
        <v>-3059.89</v>
      </c>
    </row>
    <row r="463" spans="1:9" x14ac:dyDescent="0.2">
      <c r="A463" s="293" t="s">
        <v>6325</v>
      </c>
      <c r="B463" s="293" t="s">
        <v>5666</v>
      </c>
      <c r="C463" s="293" t="s">
        <v>6040</v>
      </c>
      <c r="D463" s="293" t="s">
        <v>5859</v>
      </c>
      <c r="E463" s="293" t="s">
        <v>6041</v>
      </c>
      <c r="F463" s="293" t="s">
        <v>5832</v>
      </c>
      <c r="G463" s="293" t="s">
        <v>5581</v>
      </c>
      <c r="H463" s="294">
        <v>41243</v>
      </c>
      <c r="I463" s="295">
        <v>-8058.13</v>
      </c>
    </row>
    <row r="464" spans="1:9" x14ac:dyDescent="0.2">
      <c r="A464" s="293" t="s">
        <v>6326</v>
      </c>
      <c r="B464" s="293" t="s">
        <v>5666</v>
      </c>
      <c r="C464" s="293" t="s">
        <v>6049</v>
      </c>
      <c r="D464" s="293" t="s">
        <v>5859</v>
      </c>
      <c r="E464" s="293" t="s">
        <v>6050</v>
      </c>
      <c r="F464" s="293" t="s">
        <v>5832</v>
      </c>
      <c r="G464" s="293" t="s">
        <v>5590</v>
      </c>
      <c r="H464" s="294">
        <v>41243</v>
      </c>
      <c r="I464" s="295">
        <v>-12467.89</v>
      </c>
    </row>
    <row r="465" spans="1:9" x14ac:dyDescent="0.2">
      <c r="A465" s="293" t="s">
        <v>6327</v>
      </c>
      <c r="B465" s="293" t="s">
        <v>5666</v>
      </c>
      <c r="C465" s="293" t="s">
        <v>6052</v>
      </c>
      <c r="D465" s="293" t="s">
        <v>5859</v>
      </c>
      <c r="E465" s="293" t="s">
        <v>5817</v>
      </c>
      <c r="F465" s="293" t="s">
        <v>5832</v>
      </c>
      <c r="G465" s="293" t="s">
        <v>5577</v>
      </c>
      <c r="H465" s="294">
        <v>41243</v>
      </c>
      <c r="I465" s="295">
        <v>-7696.08</v>
      </c>
    </row>
    <row r="466" spans="1:9" x14ac:dyDescent="0.2">
      <c r="A466" s="293" t="s">
        <v>6328</v>
      </c>
      <c r="B466" s="293" t="s">
        <v>5666</v>
      </c>
      <c r="C466" s="293" t="s">
        <v>6054</v>
      </c>
      <c r="D466" s="293" t="s">
        <v>5859</v>
      </c>
      <c r="E466" s="293" t="s">
        <v>5817</v>
      </c>
      <c r="F466" s="293" t="s">
        <v>5832</v>
      </c>
      <c r="G466" s="293" t="s">
        <v>5577</v>
      </c>
      <c r="H466" s="294">
        <v>41243</v>
      </c>
      <c r="I466" s="295">
        <v>-3633.17</v>
      </c>
    </row>
    <row r="467" spans="1:9" x14ac:dyDescent="0.2">
      <c r="A467" s="293" t="s">
        <v>6329</v>
      </c>
      <c r="B467" s="293" t="s">
        <v>5666</v>
      </c>
      <c r="C467" s="293" t="s">
        <v>6056</v>
      </c>
      <c r="D467" s="293" t="s">
        <v>5859</v>
      </c>
      <c r="E467" s="293" t="s">
        <v>6057</v>
      </c>
      <c r="F467" s="293" t="s">
        <v>5832</v>
      </c>
      <c r="G467" s="293" t="s">
        <v>5578</v>
      </c>
      <c r="H467" s="294">
        <v>41243</v>
      </c>
      <c r="I467" s="295">
        <v>-4399.9399999999996</v>
      </c>
    </row>
    <row r="468" spans="1:9" x14ac:dyDescent="0.2">
      <c r="A468" s="293" t="s">
        <v>6330</v>
      </c>
      <c r="B468" s="293" t="s">
        <v>5666</v>
      </c>
      <c r="C468" s="293" t="s">
        <v>6059</v>
      </c>
      <c r="D468" s="293" t="s">
        <v>5859</v>
      </c>
      <c r="E468" s="293" t="s">
        <v>6060</v>
      </c>
      <c r="F468" s="293" t="s">
        <v>5832</v>
      </c>
      <c r="G468" s="293" t="s">
        <v>5578</v>
      </c>
      <c r="H468" s="294">
        <v>41243</v>
      </c>
      <c r="I468" s="295">
        <v>-5738.64</v>
      </c>
    </row>
    <row r="469" spans="1:9" x14ac:dyDescent="0.2">
      <c r="A469" s="293" t="s">
        <v>6331</v>
      </c>
      <c r="B469" s="293" t="s">
        <v>5666</v>
      </c>
      <c r="C469" s="293" t="s">
        <v>6062</v>
      </c>
      <c r="D469" s="293" t="s">
        <v>5859</v>
      </c>
      <c r="E469" s="293" t="s">
        <v>6063</v>
      </c>
      <c r="F469" s="293" t="s">
        <v>5832</v>
      </c>
      <c r="G469" s="293" t="s">
        <v>5579</v>
      </c>
      <c r="H469" s="294">
        <v>41243</v>
      </c>
      <c r="I469" s="295">
        <v>-2351.71</v>
      </c>
    </row>
    <row r="470" spans="1:9" x14ac:dyDescent="0.2">
      <c r="A470" s="293" t="s">
        <v>6332</v>
      </c>
      <c r="B470" s="293" t="s">
        <v>5666</v>
      </c>
      <c r="C470" s="293" t="s">
        <v>6065</v>
      </c>
      <c r="D470" s="293" t="s">
        <v>5859</v>
      </c>
      <c r="E470" s="293" t="s">
        <v>6063</v>
      </c>
      <c r="F470" s="293" t="s">
        <v>5832</v>
      </c>
      <c r="G470" s="293" t="s">
        <v>5579</v>
      </c>
      <c r="H470" s="294">
        <v>41243</v>
      </c>
      <c r="I470" s="295">
        <v>-63.12</v>
      </c>
    </row>
    <row r="471" spans="1:9" x14ac:dyDescent="0.2">
      <c r="A471" s="293" t="s">
        <v>6333</v>
      </c>
      <c r="B471" s="293" t="s">
        <v>5666</v>
      </c>
      <c r="C471" s="293" t="s">
        <v>6067</v>
      </c>
      <c r="D471" s="293" t="s">
        <v>5859</v>
      </c>
      <c r="E471" s="293" t="s">
        <v>5817</v>
      </c>
      <c r="F471" s="293" t="s">
        <v>5832</v>
      </c>
      <c r="G471" s="293" t="s">
        <v>5591</v>
      </c>
      <c r="H471" s="294">
        <v>41243</v>
      </c>
      <c r="I471" s="295">
        <v>-6308.36</v>
      </c>
    </row>
    <row r="472" spans="1:9" x14ac:dyDescent="0.2">
      <c r="A472" s="293" t="s">
        <v>6334</v>
      </c>
      <c r="B472" s="293" t="s">
        <v>5666</v>
      </c>
      <c r="C472" s="293" t="s">
        <v>6069</v>
      </c>
      <c r="D472" s="293" t="s">
        <v>5859</v>
      </c>
      <c r="E472" s="293" t="s">
        <v>5817</v>
      </c>
      <c r="F472" s="293" t="s">
        <v>5832</v>
      </c>
      <c r="G472" s="293" t="s">
        <v>5591</v>
      </c>
      <c r="H472" s="294">
        <v>41243</v>
      </c>
      <c r="I472" s="295">
        <v>-7695.19</v>
      </c>
    </row>
    <row r="473" spans="1:9" x14ac:dyDescent="0.2">
      <c r="A473" s="293" t="s">
        <v>6375</v>
      </c>
      <c r="B473" s="293" t="s">
        <v>5666</v>
      </c>
      <c r="C473" s="293" t="s">
        <v>5987</v>
      </c>
      <c r="D473" s="293" t="s">
        <v>5859</v>
      </c>
      <c r="E473" s="293" t="s">
        <v>5088</v>
      </c>
      <c r="F473" s="293" t="s">
        <v>5686</v>
      </c>
      <c r="G473" s="293" t="s">
        <v>5589</v>
      </c>
      <c r="H473" s="294">
        <v>41274</v>
      </c>
      <c r="I473" s="295">
        <v>-7176.27</v>
      </c>
    </row>
    <row r="474" spans="1:9" x14ac:dyDescent="0.2">
      <c r="A474" s="293" t="s">
        <v>6375</v>
      </c>
      <c r="B474" s="293" t="s">
        <v>5666</v>
      </c>
      <c r="C474" s="293" t="s">
        <v>5987</v>
      </c>
      <c r="D474" s="293" t="s">
        <v>5859</v>
      </c>
      <c r="E474" s="293" t="s">
        <v>5088</v>
      </c>
      <c r="F474" s="293" t="s">
        <v>5686</v>
      </c>
      <c r="G474" s="293" t="s">
        <v>5593</v>
      </c>
      <c r="H474" s="294">
        <v>41274</v>
      </c>
      <c r="I474" s="295">
        <v>-15678.03</v>
      </c>
    </row>
    <row r="475" spans="1:9" x14ac:dyDescent="0.2">
      <c r="A475" s="293" t="s">
        <v>6372</v>
      </c>
      <c r="B475" s="293" t="s">
        <v>6010</v>
      </c>
      <c r="C475" s="293" t="s">
        <v>6373</v>
      </c>
      <c r="D475" s="293" t="s">
        <v>5859</v>
      </c>
      <c r="E475" s="293" t="s">
        <v>5088</v>
      </c>
      <c r="F475" s="293" t="s">
        <v>6374</v>
      </c>
      <c r="G475" s="293" t="s">
        <v>5593</v>
      </c>
      <c r="H475" s="294">
        <v>41270</v>
      </c>
      <c r="I475" s="295">
        <v>1789.94</v>
      </c>
    </row>
    <row r="476" spans="1:9" x14ac:dyDescent="0.2">
      <c r="A476" s="293" t="s">
        <v>6376</v>
      </c>
      <c r="B476" s="293" t="s">
        <v>5666</v>
      </c>
      <c r="C476" s="293" t="s">
        <v>6027</v>
      </c>
      <c r="D476" s="293" t="s">
        <v>5859</v>
      </c>
      <c r="E476" s="293" t="s">
        <v>6028</v>
      </c>
      <c r="F476" s="293" t="s">
        <v>5837</v>
      </c>
      <c r="G476" s="293" t="s">
        <v>5573</v>
      </c>
      <c r="H476" s="294">
        <v>41274</v>
      </c>
      <c r="I476" s="295">
        <v>-6400.96</v>
      </c>
    </row>
    <row r="477" spans="1:9" x14ac:dyDescent="0.2">
      <c r="A477" s="293" t="s">
        <v>6377</v>
      </c>
      <c r="B477" s="293" t="s">
        <v>5666</v>
      </c>
      <c r="C477" s="293" t="s">
        <v>6030</v>
      </c>
      <c r="D477" s="293" t="s">
        <v>5859</v>
      </c>
      <c r="E477" s="293" t="s">
        <v>6028</v>
      </c>
      <c r="F477" s="293" t="s">
        <v>5837</v>
      </c>
      <c r="G477" s="293" t="s">
        <v>5573</v>
      </c>
      <c r="H477" s="294">
        <v>41274</v>
      </c>
      <c r="I477" s="295">
        <v>-130.22</v>
      </c>
    </row>
    <row r="478" spans="1:9" x14ac:dyDescent="0.2">
      <c r="A478" s="293" t="s">
        <v>6378</v>
      </c>
      <c r="B478" s="293" t="s">
        <v>5666</v>
      </c>
      <c r="C478" s="293" t="s">
        <v>6032</v>
      </c>
      <c r="D478" s="293" t="s">
        <v>5859</v>
      </c>
      <c r="E478" s="293" t="s">
        <v>6033</v>
      </c>
      <c r="F478" s="293" t="s">
        <v>5837</v>
      </c>
      <c r="G478" s="293" t="s">
        <v>5585</v>
      </c>
      <c r="H478" s="294">
        <v>41274</v>
      </c>
      <c r="I478" s="295">
        <v>-6872.38</v>
      </c>
    </row>
    <row r="479" spans="1:9" x14ac:dyDescent="0.2">
      <c r="A479" s="293" t="s">
        <v>6379</v>
      </c>
      <c r="B479" s="293" t="s">
        <v>5666</v>
      </c>
      <c r="C479" s="293" t="s">
        <v>6035</v>
      </c>
      <c r="D479" s="293" t="s">
        <v>5859</v>
      </c>
      <c r="E479" s="293" t="s">
        <v>6033</v>
      </c>
      <c r="F479" s="293" t="s">
        <v>5837</v>
      </c>
      <c r="G479" s="293" t="s">
        <v>5585</v>
      </c>
      <c r="H479" s="294">
        <v>41274</v>
      </c>
      <c r="I479" s="295">
        <v>-4630.24</v>
      </c>
    </row>
    <row r="480" spans="1:9" x14ac:dyDescent="0.2">
      <c r="A480" s="293" t="s">
        <v>6380</v>
      </c>
      <c r="B480" s="293" t="s">
        <v>5666</v>
      </c>
      <c r="C480" s="293" t="s">
        <v>6037</v>
      </c>
      <c r="D480" s="293" t="s">
        <v>5859</v>
      </c>
      <c r="E480" s="293" t="s">
        <v>6038</v>
      </c>
      <c r="F480" s="293" t="s">
        <v>5837</v>
      </c>
      <c r="G480" s="293" t="s">
        <v>5586</v>
      </c>
      <c r="H480" s="294">
        <v>41274</v>
      </c>
      <c r="I480" s="295">
        <v>-3059.89</v>
      </c>
    </row>
    <row r="481" spans="1:9" x14ac:dyDescent="0.2">
      <c r="A481" s="293" t="s">
        <v>6381</v>
      </c>
      <c r="B481" s="293" t="s">
        <v>5666</v>
      </c>
      <c r="C481" s="293" t="s">
        <v>6040</v>
      </c>
      <c r="D481" s="293" t="s">
        <v>5859</v>
      </c>
      <c r="E481" s="293" t="s">
        <v>6041</v>
      </c>
      <c r="F481" s="293" t="s">
        <v>5837</v>
      </c>
      <c r="G481" s="293" t="s">
        <v>5581</v>
      </c>
      <c r="H481" s="294">
        <v>41274</v>
      </c>
      <c r="I481" s="295">
        <v>-8058.13</v>
      </c>
    </row>
    <row r="482" spans="1:9" x14ac:dyDescent="0.2">
      <c r="A482" s="293" t="s">
        <v>6382</v>
      </c>
      <c r="B482" s="293" t="s">
        <v>5666</v>
      </c>
      <c r="C482" s="293" t="s">
        <v>6049</v>
      </c>
      <c r="D482" s="293" t="s">
        <v>5859</v>
      </c>
      <c r="E482" s="293" t="s">
        <v>6050</v>
      </c>
      <c r="F482" s="293" t="s">
        <v>5837</v>
      </c>
      <c r="G482" s="293" t="s">
        <v>5590</v>
      </c>
      <c r="H482" s="294">
        <v>41274</v>
      </c>
      <c r="I482" s="295">
        <v>-12467.89</v>
      </c>
    </row>
    <row r="483" spans="1:9" x14ac:dyDescent="0.2">
      <c r="A483" s="293" t="s">
        <v>6383</v>
      </c>
      <c r="B483" s="293" t="s">
        <v>5666</v>
      </c>
      <c r="C483" s="293" t="s">
        <v>6052</v>
      </c>
      <c r="D483" s="293" t="s">
        <v>5859</v>
      </c>
      <c r="E483" s="293" t="s">
        <v>5817</v>
      </c>
      <c r="F483" s="293" t="s">
        <v>5837</v>
      </c>
      <c r="G483" s="293" t="s">
        <v>5577</v>
      </c>
      <c r="H483" s="294">
        <v>41274</v>
      </c>
      <c r="I483" s="295">
        <v>-7696.08</v>
      </c>
    </row>
    <row r="484" spans="1:9" x14ac:dyDescent="0.2">
      <c r="A484" s="293" t="s">
        <v>6384</v>
      </c>
      <c r="B484" s="293" t="s">
        <v>5666</v>
      </c>
      <c r="C484" s="293" t="s">
        <v>6054</v>
      </c>
      <c r="D484" s="293" t="s">
        <v>5859</v>
      </c>
      <c r="E484" s="293" t="s">
        <v>5817</v>
      </c>
      <c r="F484" s="293" t="s">
        <v>5837</v>
      </c>
      <c r="G484" s="293" t="s">
        <v>5577</v>
      </c>
      <c r="H484" s="294">
        <v>41274</v>
      </c>
      <c r="I484" s="295">
        <v>-3633.17</v>
      </c>
    </row>
    <row r="485" spans="1:9" x14ac:dyDescent="0.2">
      <c r="A485" s="293" t="s">
        <v>6385</v>
      </c>
      <c r="B485" s="293" t="s">
        <v>5666</v>
      </c>
      <c r="C485" s="293" t="s">
        <v>6056</v>
      </c>
      <c r="D485" s="293" t="s">
        <v>5859</v>
      </c>
      <c r="E485" s="293" t="s">
        <v>6057</v>
      </c>
      <c r="F485" s="293" t="s">
        <v>5837</v>
      </c>
      <c r="G485" s="293" t="s">
        <v>5578</v>
      </c>
      <c r="H485" s="294">
        <v>41274</v>
      </c>
      <c r="I485" s="295">
        <v>-4399.9399999999996</v>
      </c>
    </row>
    <row r="486" spans="1:9" x14ac:dyDescent="0.2">
      <c r="A486" s="293" t="s">
        <v>6386</v>
      </c>
      <c r="B486" s="293" t="s">
        <v>5666</v>
      </c>
      <c r="C486" s="293" t="s">
        <v>6059</v>
      </c>
      <c r="D486" s="293" t="s">
        <v>5859</v>
      </c>
      <c r="E486" s="293" t="s">
        <v>6060</v>
      </c>
      <c r="F486" s="293" t="s">
        <v>5837</v>
      </c>
      <c r="G486" s="293" t="s">
        <v>5578</v>
      </c>
      <c r="H486" s="294">
        <v>41274</v>
      </c>
      <c r="I486" s="295">
        <v>-5738.64</v>
      </c>
    </row>
    <row r="487" spans="1:9" x14ac:dyDescent="0.2">
      <c r="A487" s="293" t="s">
        <v>6387</v>
      </c>
      <c r="B487" s="293" t="s">
        <v>5666</v>
      </c>
      <c r="C487" s="293" t="s">
        <v>6062</v>
      </c>
      <c r="D487" s="293" t="s">
        <v>5859</v>
      </c>
      <c r="E487" s="293" t="s">
        <v>6063</v>
      </c>
      <c r="F487" s="293" t="s">
        <v>5837</v>
      </c>
      <c r="G487" s="293" t="s">
        <v>5579</v>
      </c>
      <c r="H487" s="294">
        <v>41274</v>
      </c>
      <c r="I487" s="295">
        <v>-2351.71</v>
      </c>
    </row>
    <row r="488" spans="1:9" x14ac:dyDescent="0.2">
      <c r="A488" s="293" t="s">
        <v>6388</v>
      </c>
      <c r="B488" s="293" t="s">
        <v>5666</v>
      </c>
      <c r="C488" s="293" t="s">
        <v>6065</v>
      </c>
      <c r="D488" s="293" t="s">
        <v>5859</v>
      </c>
      <c r="E488" s="293" t="s">
        <v>6063</v>
      </c>
      <c r="F488" s="293" t="s">
        <v>5837</v>
      </c>
      <c r="G488" s="293" t="s">
        <v>5579</v>
      </c>
      <c r="H488" s="294">
        <v>41274</v>
      </c>
      <c r="I488" s="295">
        <v>-63.12</v>
      </c>
    </row>
    <row r="489" spans="1:9" x14ac:dyDescent="0.2">
      <c r="A489" s="293" t="s">
        <v>6389</v>
      </c>
      <c r="B489" s="293" t="s">
        <v>5666</v>
      </c>
      <c r="C489" s="293" t="s">
        <v>6067</v>
      </c>
      <c r="D489" s="293" t="s">
        <v>5859</v>
      </c>
      <c r="E489" s="293" t="s">
        <v>5817</v>
      </c>
      <c r="F489" s="293" t="s">
        <v>5837</v>
      </c>
      <c r="G489" s="293" t="s">
        <v>5591</v>
      </c>
      <c r="H489" s="294">
        <v>41274</v>
      </c>
      <c r="I489" s="295">
        <v>-6308.36</v>
      </c>
    </row>
    <row r="490" spans="1:9" x14ac:dyDescent="0.2">
      <c r="A490" s="293" t="s">
        <v>6390</v>
      </c>
      <c r="B490" s="293" t="s">
        <v>5666</v>
      </c>
      <c r="C490" s="293" t="s">
        <v>6069</v>
      </c>
      <c r="D490" s="293" t="s">
        <v>5859</v>
      </c>
      <c r="E490" s="293" t="s">
        <v>5817</v>
      </c>
      <c r="F490" s="293" t="s">
        <v>5837</v>
      </c>
      <c r="G490" s="293" t="s">
        <v>5591</v>
      </c>
      <c r="H490" s="294">
        <v>41274</v>
      </c>
      <c r="I490" s="295">
        <v>-7695.19</v>
      </c>
    </row>
    <row r="491" spans="1:9" x14ac:dyDescent="0.2">
      <c r="A491" s="293" t="s">
        <v>6433</v>
      </c>
      <c r="B491" s="293" t="s">
        <v>5666</v>
      </c>
      <c r="C491" s="293" t="s">
        <v>5987</v>
      </c>
      <c r="D491" s="293" t="s">
        <v>5859</v>
      </c>
      <c r="E491" s="293" t="s">
        <v>5088</v>
      </c>
      <c r="F491" s="293" t="s">
        <v>6434</v>
      </c>
      <c r="G491" s="293" t="s">
        <v>5589</v>
      </c>
      <c r="H491" s="294">
        <v>41305</v>
      </c>
      <c r="I491" s="295">
        <v>-7123.53</v>
      </c>
    </row>
    <row r="492" spans="1:9" x14ac:dyDescent="0.2">
      <c r="A492" s="293" t="s">
        <v>6433</v>
      </c>
      <c r="B492" s="293" t="s">
        <v>5666</v>
      </c>
      <c r="C492" s="293" t="s">
        <v>5987</v>
      </c>
      <c r="D492" s="293" t="s">
        <v>5859</v>
      </c>
      <c r="E492" s="293" t="s">
        <v>5088</v>
      </c>
      <c r="F492" s="293" t="s">
        <v>6434</v>
      </c>
      <c r="G492" s="293" t="s">
        <v>5593</v>
      </c>
      <c r="H492" s="294">
        <v>41305</v>
      </c>
      <c r="I492" s="295">
        <v>-14668.67</v>
      </c>
    </row>
    <row r="493" spans="1:9" x14ac:dyDescent="0.2">
      <c r="A493" s="293" t="s">
        <v>6435</v>
      </c>
      <c r="B493" s="293" t="s">
        <v>5666</v>
      </c>
      <c r="C493" s="293" t="s">
        <v>6027</v>
      </c>
      <c r="D493" s="293" t="s">
        <v>5859</v>
      </c>
      <c r="E493" s="293" t="s">
        <v>6028</v>
      </c>
      <c r="F493" s="293" t="s">
        <v>6436</v>
      </c>
      <c r="G493" s="293" t="s">
        <v>5573</v>
      </c>
      <c r="H493" s="294">
        <v>41305</v>
      </c>
      <c r="I493" s="295">
        <v>-6400.96</v>
      </c>
    </row>
    <row r="494" spans="1:9" x14ac:dyDescent="0.2">
      <c r="A494" s="293" t="s">
        <v>6437</v>
      </c>
      <c r="B494" s="293" t="s">
        <v>5666</v>
      </c>
      <c r="C494" s="293" t="s">
        <v>6030</v>
      </c>
      <c r="D494" s="293" t="s">
        <v>5859</v>
      </c>
      <c r="E494" s="293" t="s">
        <v>6028</v>
      </c>
      <c r="F494" s="293" t="s">
        <v>6436</v>
      </c>
      <c r="G494" s="293" t="s">
        <v>5573</v>
      </c>
      <c r="H494" s="294">
        <v>41305</v>
      </c>
      <c r="I494" s="295">
        <v>-130.22</v>
      </c>
    </row>
    <row r="495" spans="1:9" x14ac:dyDescent="0.2">
      <c r="A495" s="293" t="s">
        <v>6438</v>
      </c>
      <c r="B495" s="293" t="s">
        <v>5666</v>
      </c>
      <c r="C495" s="293" t="s">
        <v>6032</v>
      </c>
      <c r="D495" s="293" t="s">
        <v>5859</v>
      </c>
      <c r="E495" s="293" t="s">
        <v>6033</v>
      </c>
      <c r="F495" s="293" t="s">
        <v>6436</v>
      </c>
      <c r="G495" s="293" t="s">
        <v>5585</v>
      </c>
      <c r="H495" s="294">
        <v>41305</v>
      </c>
      <c r="I495" s="295">
        <v>-6872.38</v>
      </c>
    </row>
    <row r="496" spans="1:9" x14ac:dyDescent="0.2">
      <c r="A496" s="293" t="s">
        <v>6439</v>
      </c>
      <c r="B496" s="293" t="s">
        <v>5666</v>
      </c>
      <c r="C496" s="293" t="s">
        <v>6035</v>
      </c>
      <c r="D496" s="293" t="s">
        <v>5859</v>
      </c>
      <c r="E496" s="293" t="s">
        <v>6033</v>
      </c>
      <c r="F496" s="293" t="s">
        <v>6436</v>
      </c>
      <c r="G496" s="293" t="s">
        <v>5585</v>
      </c>
      <c r="H496" s="294">
        <v>41305</v>
      </c>
      <c r="I496" s="295">
        <v>-4630.24</v>
      </c>
    </row>
    <row r="497" spans="1:9" x14ac:dyDescent="0.2">
      <c r="A497" s="293" t="s">
        <v>6440</v>
      </c>
      <c r="B497" s="293" t="s">
        <v>5666</v>
      </c>
      <c r="C497" s="293" t="s">
        <v>6037</v>
      </c>
      <c r="D497" s="293" t="s">
        <v>5859</v>
      </c>
      <c r="E497" s="293" t="s">
        <v>6038</v>
      </c>
      <c r="F497" s="293" t="s">
        <v>6436</v>
      </c>
      <c r="G497" s="293" t="s">
        <v>5586</v>
      </c>
      <c r="H497" s="294">
        <v>41305</v>
      </c>
      <c r="I497" s="295">
        <v>-3059.89</v>
      </c>
    </row>
    <row r="498" spans="1:9" x14ac:dyDescent="0.2">
      <c r="A498" s="293" t="s">
        <v>6441</v>
      </c>
      <c r="B498" s="293" t="s">
        <v>5666</v>
      </c>
      <c r="C498" s="293" t="s">
        <v>6040</v>
      </c>
      <c r="D498" s="293" t="s">
        <v>5859</v>
      </c>
      <c r="E498" s="293" t="s">
        <v>6041</v>
      </c>
      <c r="F498" s="293" t="s">
        <v>6436</v>
      </c>
      <c r="G498" s="293" t="s">
        <v>5581</v>
      </c>
      <c r="H498" s="294">
        <v>41305</v>
      </c>
      <c r="I498" s="295">
        <v>-8058.13</v>
      </c>
    </row>
    <row r="499" spans="1:9" x14ac:dyDescent="0.2">
      <c r="A499" s="293" t="s">
        <v>6442</v>
      </c>
      <c r="B499" s="293" t="s">
        <v>5666</v>
      </c>
      <c r="C499" s="293" t="s">
        <v>6049</v>
      </c>
      <c r="D499" s="293" t="s">
        <v>5859</v>
      </c>
      <c r="E499" s="293" t="s">
        <v>6050</v>
      </c>
      <c r="F499" s="293" t="s">
        <v>6436</v>
      </c>
      <c r="G499" s="293" t="s">
        <v>5590</v>
      </c>
      <c r="H499" s="294">
        <v>41305</v>
      </c>
      <c r="I499" s="295">
        <v>-12467.89</v>
      </c>
    </row>
    <row r="500" spans="1:9" x14ac:dyDescent="0.2">
      <c r="A500" s="293" t="s">
        <v>6443</v>
      </c>
      <c r="B500" s="293" t="s">
        <v>5666</v>
      </c>
      <c r="C500" s="293" t="s">
        <v>6052</v>
      </c>
      <c r="D500" s="293" t="s">
        <v>5859</v>
      </c>
      <c r="E500" s="293" t="s">
        <v>5817</v>
      </c>
      <c r="F500" s="293" t="s">
        <v>6436</v>
      </c>
      <c r="G500" s="293" t="s">
        <v>5577</v>
      </c>
      <c r="H500" s="294">
        <v>41305</v>
      </c>
      <c r="I500" s="295">
        <v>-7696.08</v>
      </c>
    </row>
    <row r="501" spans="1:9" x14ac:dyDescent="0.2">
      <c r="A501" s="293" t="s">
        <v>6444</v>
      </c>
      <c r="B501" s="293" t="s">
        <v>5666</v>
      </c>
      <c r="C501" s="293" t="s">
        <v>6054</v>
      </c>
      <c r="D501" s="293" t="s">
        <v>5859</v>
      </c>
      <c r="E501" s="293" t="s">
        <v>5817</v>
      </c>
      <c r="F501" s="293" t="s">
        <v>6436</v>
      </c>
      <c r="G501" s="293" t="s">
        <v>5577</v>
      </c>
      <c r="H501" s="294">
        <v>41305</v>
      </c>
      <c r="I501" s="295">
        <v>-3633.17</v>
      </c>
    </row>
    <row r="502" spans="1:9" x14ac:dyDescent="0.2">
      <c r="A502" s="293" t="s">
        <v>6445</v>
      </c>
      <c r="B502" s="293" t="s">
        <v>5666</v>
      </c>
      <c r="C502" s="293" t="s">
        <v>6056</v>
      </c>
      <c r="D502" s="293" t="s">
        <v>5859</v>
      </c>
      <c r="E502" s="293" t="s">
        <v>6057</v>
      </c>
      <c r="F502" s="293" t="s">
        <v>6436</v>
      </c>
      <c r="G502" s="293" t="s">
        <v>5578</v>
      </c>
      <c r="H502" s="294">
        <v>41305</v>
      </c>
      <c r="I502" s="295">
        <v>-4399.9399999999996</v>
      </c>
    </row>
    <row r="503" spans="1:9" x14ac:dyDescent="0.2">
      <c r="A503" s="293" t="s">
        <v>6446</v>
      </c>
      <c r="B503" s="293" t="s">
        <v>5666</v>
      </c>
      <c r="C503" s="293" t="s">
        <v>6059</v>
      </c>
      <c r="D503" s="293" t="s">
        <v>5859</v>
      </c>
      <c r="E503" s="293" t="s">
        <v>6060</v>
      </c>
      <c r="F503" s="293" t="s">
        <v>6436</v>
      </c>
      <c r="G503" s="293" t="s">
        <v>5578</v>
      </c>
      <c r="H503" s="294">
        <v>41305</v>
      </c>
      <c r="I503" s="295">
        <v>-5738.64</v>
      </c>
    </row>
    <row r="504" spans="1:9" x14ac:dyDescent="0.2">
      <c r="A504" s="293" t="s">
        <v>6447</v>
      </c>
      <c r="B504" s="293" t="s">
        <v>5666</v>
      </c>
      <c r="C504" s="293" t="s">
        <v>6062</v>
      </c>
      <c r="D504" s="293" t="s">
        <v>5859</v>
      </c>
      <c r="E504" s="293" t="s">
        <v>6063</v>
      </c>
      <c r="F504" s="293" t="s">
        <v>6436</v>
      </c>
      <c r="G504" s="293" t="s">
        <v>5579</v>
      </c>
      <c r="H504" s="294">
        <v>41305</v>
      </c>
      <c r="I504" s="295">
        <v>-2351.71</v>
      </c>
    </row>
    <row r="505" spans="1:9" x14ac:dyDescent="0.2">
      <c r="A505" s="293" t="s">
        <v>6448</v>
      </c>
      <c r="B505" s="293" t="s">
        <v>5666</v>
      </c>
      <c r="C505" s="293" t="s">
        <v>6065</v>
      </c>
      <c r="D505" s="293" t="s">
        <v>5859</v>
      </c>
      <c r="E505" s="293" t="s">
        <v>6063</v>
      </c>
      <c r="F505" s="293" t="s">
        <v>6436</v>
      </c>
      <c r="G505" s="293" t="s">
        <v>5579</v>
      </c>
      <c r="H505" s="294">
        <v>41305</v>
      </c>
      <c r="I505" s="295">
        <v>-63.12</v>
      </c>
    </row>
    <row r="506" spans="1:9" x14ac:dyDescent="0.2">
      <c r="A506" s="293" t="s">
        <v>6449</v>
      </c>
      <c r="B506" s="293" t="s">
        <v>5666</v>
      </c>
      <c r="C506" s="293" t="s">
        <v>6067</v>
      </c>
      <c r="D506" s="293" t="s">
        <v>5859</v>
      </c>
      <c r="E506" s="293" t="s">
        <v>5817</v>
      </c>
      <c r="F506" s="293" t="s">
        <v>6436</v>
      </c>
      <c r="G506" s="293" t="s">
        <v>5591</v>
      </c>
      <c r="H506" s="294">
        <v>41305</v>
      </c>
      <c r="I506" s="295">
        <v>-6308.36</v>
      </c>
    </row>
    <row r="507" spans="1:9" x14ac:dyDescent="0.2">
      <c r="A507" s="293" t="s">
        <v>6450</v>
      </c>
      <c r="B507" s="293" t="s">
        <v>5666</v>
      </c>
      <c r="C507" s="293" t="s">
        <v>6069</v>
      </c>
      <c r="D507" s="293" t="s">
        <v>5859</v>
      </c>
      <c r="E507" s="293" t="s">
        <v>5817</v>
      </c>
      <c r="F507" s="293" t="s">
        <v>6436</v>
      </c>
      <c r="G507" s="293" t="s">
        <v>5591</v>
      </c>
      <c r="H507" s="294">
        <v>41305</v>
      </c>
      <c r="I507" s="295">
        <v>-7695.19</v>
      </c>
    </row>
    <row r="508" spans="1:9" x14ac:dyDescent="0.2">
      <c r="A508" s="293" t="s">
        <v>6451</v>
      </c>
      <c r="B508" s="293" t="s">
        <v>5666</v>
      </c>
      <c r="C508" s="293" t="s">
        <v>6452</v>
      </c>
      <c r="D508" s="293" t="s">
        <v>5859</v>
      </c>
      <c r="E508" s="293" t="s">
        <v>5088</v>
      </c>
      <c r="F508" s="293" t="s">
        <v>6453</v>
      </c>
      <c r="G508" s="293" t="s">
        <v>5578</v>
      </c>
      <c r="H508" s="294">
        <v>41333</v>
      </c>
      <c r="I508" s="295">
        <v>0.19</v>
      </c>
    </row>
    <row r="509" spans="1:9" x14ac:dyDescent="0.2">
      <c r="A509" s="293" t="s">
        <v>6451</v>
      </c>
      <c r="B509" s="293" t="s">
        <v>5666</v>
      </c>
      <c r="C509" s="293" t="s">
        <v>6452</v>
      </c>
      <c r="D509" s="293" t="s">
        <v>5859</v>
      </c>
      <c r="E509" s="293" t="s">
        <v>5088</v>
      </c>
      <c r="F509" s="293" t="s">
        <v>6453</v>
      </c>
      <c r="G509" s="293" t="s">
        <v>5592</v>
      </c>
      <c r="H509" s="294">
        <v>41333</v>
      </c>
      <c r="I509" s="295">
        <v>0.02</v>
      </c>
    </row>
    <row r="510" spans="1:9" x14ac:dyDescent="0.2">
      <c r="A510" s="293" t="s">
        <v>6451</v>
      </c>
      <c r="B510" s="293" t="s">
        <v>5666</v>
      </c>
      <c r="C510" s="293" t="s">
        <v>6452</v>
      </c>
      <c r="D510" s="293" t="s">
        <v>5859</v>
      </c>
      <c r="E510" s="293" t="s">
        <v>5088</v>
      </c>
      <c r="F510" s="293" t="s">
        <v>6453</v>
      </c>
      <c r="G510" s="293" t="s">
        <v>5589</v>
      </c>
      <c r="H510" s="294">
        <v>41333</v>
      </c>
      <c r="I510" s="295">
        <v>-0.94</v>
      </c>
    </row>
    <row r="511" spans="1:9" x14ac:dyDescent="0.2">
      <c r="A511" s="293" t="s">
        <v>6451</v>
      </c>
      <c r="B511" s="293" t="s">
        <v>5666</v>
      </c>
      <c r="C511" s="293" t="s">
        <v>6452</v>
      </c>
      <c r="D511" s="293" t="s">
        <v>5859</v>
      </c>
      <c r="E511" s="293" t="s">
        <v>5088</v>
      </c>
      <c r="F511" s="293" t="s">
        <v>6453</v>
      </c>
      <c r="G511" s="293" t="s">
        <v>5593</v>
      </c>
      <c r="H511" s="294">
        <v>41333</v>
      </c>
      <c r="I511" s="295">
        <v>-0.12</v>
      </c>
    </row>
    <row r="512" spans="1:9" x14ac:dyDescent="0.2">
      <c r="A512" s="293" t="s">
        <v>6451</v>
      </c>
      <c r="B512" s="293" t="s">
        <v>5666</v>
      </c>
      <c r="C512" s="293" t="s">
        <v>6452</v>
      </c>
      <c r="D512" s="293" t="s">
        <v>5859</v>
      </c>
      <c r="E512" s="293" t="s">
        <v>5088</v>
      </c>
      <c r="F512" s="293" t="s">
        <v>6453</v>
      </c>
      <c r="G512" s="293" t="s">
        <v>5589</v>
      </c>
      <c r="H512" s="294">
        <v>41333</v>
      </c>
      <c r="I512" s="295">
        <v>0.02</v>
      </c>
    </row>
    <row r="513" spans="1:9" x14ac:dyDescent="0.2">
      <c r="A513" s="293" t="s">
        <v>6454</v>
      </c>
      <c r="B513" s="293" t="s">
        <v>5666</v>
      </c>
      <c r="C513" s="293" t="s">
        <v>6027</v>
      </c>
      <c r="D513" s="293" t="s">
        <v>5859</v>
      </c>
      <c r="E513" s="293" t="s">
        <v>6028</v>
      </c>
      <c r="F513" s="293" t="s">
        <v>6455</v>
      </c>
      <c r="G513" s="293" t="s">
        <v>5573</v>
      </c>
      <c r="H513" s="294">
        <v>41333</v>
      </c>
      <c r="I513" s="295">
        <v>-6400.96</v>
      </c>
    </row>
    <row r="514" spans="1:9" x14ac:dyDescent="0.2">
      <c r="A514" s="293" t="s">
        <v>6456</v>
      </c>
      <c r="B514" s="293" t="s">
        <v>5666</v>
      </c>
      <c r="C514" s="293" t="s">
        <v>6030</v>
      </c>
      <c r="D514" s="293" t="s">
        <v>5859</v>
      </c>
      <c r="E514" s="293" t="s">
        <v>6028</v>
      </c>
      <c r="F514" s="293" t="s">
        <v>6455</v>
      </c>
      <c r="G514" s="293" t="s">
        <v>5573</v>
      </c>
      <c r="H514" s="294">
        <v>41333</v>
      </c>
      <c r="I514" s="295">
        <v>-130.22</v>
      </c>
    </row>
    <row r="515" spans="1:9" x14ac:dyDescent="0.2">
      <c r="A515" s="293" t="s">
        <v>6457</v>
      </c>
      <c r="B515" s="293" t="s">
        <v>5666</v>
      </c>
      <c r="C515" s="293" t="s">
        <v>6032</v>
      </c>
      <c r="D515" s="293" t="s">
        <v>5859</v>
      </c>
      <c r="E515" s="293" t="s">
        <v>6033</v>
      </c>
      <c r="F515" s="293" t="s">
        <v>6455</v>
      </c>
      <c r="G515" s="293" t="s">
        <v>5585</v>
      </c>
      <c r="H515" s="294">
        <v>41333</v>
      </c>
      <c r="I515" s="295">
        <v>-6872.38</v>
      </c>
    </row>
    <row r="516" spans="1:9" x14ac:dyDescent="0.2">
      <c r="A516" s="293" t="s">
        <v>6458</v>
      </c>
      <c r="B516" s="293" t="s">
        <v>5666</v>
      </c>
      <c r="C516" s="293" t="s">
        <v>6035</v>
      </c>
      <c r="D516" s="293" t="s">
        <v>5859</v>
      </c>
      <c r="E516" s="293" t="s">
        <v>6033</v>
      </c>
      <c r="F516" s="293" t="s">
        <v>6455</v>
      </c>
      <c r="G516" s="293" t="s">
        <v>5585</v>
      </c>
      <c r="H516" s="294">
        <v>41333</v>
      </c>
      <c r="I516" s="295">
        <v>-4630.24</v>
      </c>
    </row>
    <row r="517" spans="1:9" x14ac:dyDescent="0.2">
      <c r="A517" s="293" t="s">
        <v>6459</v>
      </c>
      <c r="B517" s="293" t="s">
        <v>5666</v>
      </c>
      <c r="C517" s="293" t="s">
        <v>6037</v>
      </c>
      <c r="D517" s="293" t="s">
        <v>5859</v>
      </c>
      <c r="E517" s="293" t="s">
        <v>6038</v>
      </c>
      <c r="F517" s="293" t="s">
        <v>6455</v>
      </c>
      <c r="G517" s="293" t="s">
        <v>5586</v>
      </c>
      <c r="H517" s="294">
        <v>41333</v>
      </c>
      <c r="I517" s="295">
        <v>-3059.89</v>
      </c>
    </row>
    <row r="518" spans="1:9" x14ac:dyDescent="0.2">
      <c r="A518" s="293" t="s">
        <v>6460</v>
      </c>
      <c r="B518" s="293" t="s">
        <v>5666</v>
      </c>
      <c r="C518" s="293" t="s">
        <v>6040</v>
      </c>
      <c r="D518" s="293" t="s">
        <v>5859</v>
      </c>
      <c r="E518" s="293" t="s">
        <v>6041</v>
      </c>
      <c r="F518" s="293" t="s">
        <v>6455</v>
      </c>
      <c r="G518" s="293" t="s">
        <v>5581</v>
      </c>
      <c r="H518" s="294">
        <v>41333</v>
      </c>
      <c r="I518" s="295">
        <v>-8058.13</v>
      </c>
    </row>
    <row r="519" spans="1:9" x14ac:dyDescent="0.2">
      <c r="A519" s="293" t="s">
        <v>6461</v>
      </c>
      <c r="B519" s="293" t="s">
        <v>5666</v>
      </c>
      <c r="C519" s="293" t="s">
        <v>6049</v>
      </c>
      <c r="D519" s="293" t="s">
        <v>5859</v>
      </c>
      <c r="E519" s="293" t="s">
        <v>6050</v>
      </c>
      <c r="F519" s="293" t="s">
        <v>6455</v>
      </c>
      <c r="G519" s="293" t="s">
        <v>5590</v>
      </c>
      <c r="H519" s="294">
        <v>41333</v>
      </c>
      <c r="I519" s="295">
        <v>-12467.89</v>
      </c>
    </row>
    <row r="520" spans="1:9" x14ac:dyDescent="0.2">
      <c r="A520" s="293" t="s">
        <v>6462</v>
      </c>
      <c r="B520" s="293" t="s">
        <v>5666</v>
      </c>
      <c r="C520" s="293" t="s">
        <v>6052</v>
      </c>
      <c r="D520" s="293" t="s">
        <v>5859</v>
      </c>
      <c r="E520" s="293" t="s">
        <v>5817</v>
      </c>
      <c r="F520" s="293" t="s">
        <v>6455</v>
      </c>
      <c r="G520" s="293" t="s">
        <v>5577</v>
      </c>
      <c r="H520" s="294">
        <v>41333</v>
      </c>
      <c r="I520" s="295">
        <v>-7696.08</v>
      </c>
    </row>
    <row r="521" spans="1:9" x14ac:dyDescent="0.2">
      <c r="A521" s="293" t="s">
        <v>6463</v>
      </c>
      <c r="B521" s="293" t="s">
        <v>5666</v>
      </c>
      <c r="C521" s="293" t="s">
        <v>6054</v>
      </c>
      <c r="D521" s="293" t="s">
        <v>5859</v>
      </c>
      <c r="E521" s="293" t="s">
        <v>5817</v>
      </c>
      <c r="F521" s="293" t="s">
        <v>6455</v>
      </c>
      <c r="G521" s="293" t="s">
        <v>5577</v>
      </c>
      <c r="H521" s="294">
        <v>41333</v>
      </c>
      <c r="I521" s="295">
        <v>-3633.17</v>
      </c>
    </row>
    <row r="522" spans="1:9" x14ac:dyDescent="0.2">
      <c r="A522" s="293" t="s">
        <v>6464</v>
      </c>
      <c r="B522" s="293" t="s">
        <v>5666</v>
      </c>
      <c r="C522" s="293" t="s">
        <v>6056</v>
      </c>
      <c r="D522" s="293" t="s">
        <v>5859</v>
      </c>
      <c r="E522" s="293" t="s">
        <v>6057</v>
      </c>
      <c r="F522" s="293" t="s">
        <v>6455</v>
      </c>
      <c r="G522" s="293" t="s">
        <v>5578</v>
      </c>
      <c r="H522" s="294">
        <v>41333</v>
      </c>
      <c r="I522" s="295">
        <v>-4399.9399999999996</v>
      </c>
    </row>
    <row r="523" spans="1:9" x14ac:dyDescent="0.2">
      <c r="A523" s="293" t="s">
        <v>6465</v>
      </c>
      <c r="B523" s="293" t="s">
        <v>5666</v>
      </c>
      <c r="C523" s="293" t="s">
        <v>6059</v>
      </c>
      <c r="D523" s="293" t="s">
        <v>5859</v>
      </c>
      <c r="E523" s="293" t="s">
        <v>6060</v>
      </c>
      <c r="F523" s="293" t="s">
        <v>6455</v>
      </c>
      <c r="G523" s="293" t="s">
        <v>5578</v>
      </c>
      <c r="H523" s="294">
        <v>41333</v>
      </c>
      <c r="I523" s="295">
        <v>-5738.64</v>
      </c>
    </row>
    <row r="524" spans="1:9" x14ac:dyDescent="0.2">
      <c r="A524" s="293" t="s">
        <v>6466</v>
      </c>
      <c r="B524" s="293" t="s">
        <v>5666</v>
      </c>
      <c r="C524" s="293" t="s">
        <v>6062</v>
      </c>
      <c r="D524" s="293" t="s">
        <v>5859</v>
      </c>
      <c r="E524" s="293" t="s">
        <v>6063</v>
      </c>
      <c r="F524" s="293" t="s">
        <v>6455</v>
      </c>
      <c r="G524" s="293" t="s">
        <v>5579</v>
      </c>
      <c r="H524" s="294">
        <v>41333</v>
      </c>
      <c r="I524" s="295">
        <v>-2351.71</v>
      </c>
    </row>
    <row r="525" spans="1:9" x14ac:dyDescent="0.2">
      <c r="A525" s="293" t="s">
        <v>6467</v>
      </c>
      <c r="B525" s="293" t="s">
        <v>5666</v>
      </c>
      <c r="C525" s="293" t="s">
        <v>6065</v>
      </c>
      <c r="D525" s="293" t="s">
        <v>5859</v>
      </c>
      <c r="E525" s="293" t="s">
        <v>6063</v>
      </c>
      <c r="F525" s="293" t="s">
        <v>6455</v>
      </c>
      <c r="G525" s="293" t="s">
        <v>5579</v>
      </c>
      <c r="H525" s="294">
        <v>41333</v>
      </c>
      <c r="I525" s="295">
        <v>-63.12</v>
      </c>
    </row>
    <row r="526" spans="1:9" x14ac:dyDescent="0.2">
      <c r="A526" s="293" t="s">
        <v>6468</v>
      </c>
      <c r="B526" s="293" t="s">
        <v>5666</v>
      </c>
      <c r="C526" s="293" t="s">
        <v>6067</v>
      </c>
      <c r="D526" s="293" t="s">
        <v>5859</v>
      </c>
      <c r="E526" s="293" t="s">
        <v>5817</v>
      </c>
      <c r="F526" s="293" t="s">
        <v>6455</v>
      </c>
      <c r="G526" s="293" t="s">
        <v>5591</v>
      </c>
      <c r="H526" s="294">
        <v>41333</v>
      </c>
      <c r="I526" s="295">
        <v>-6308.36</v>
      </c>
    </row>
    <row r="527" spans="1:9" x14ac:dyDescent="0.2">
      <c r="A527" s="293" t="s">
        <v>6469</v>
      </c>
      <c r="B527" s="293" t="s">
        <v>5666</v>
      </c>
      <c r="C527" s="293" t="s">
        <v>6069</v>
      </c>
      <c r="D527" s="293" t="s">
        <v>5859</v>
      </c>
      <c r="E527" s="293" t="s">
        <v>5817</v>
      </c>
      <c r="F527" s="293" t="s">
        <v>6455</v>
      </c>
      <c r="G527" s="293" t="s">
        <v>5591</v>
      </c>
      <c r="H527" s="294">
        <v>41333</v>
      </c>
      <c r="I527" s="295">
        <v>-7695.19</v>
      </c>
    </row>
    <row r="528" spans="1:9" x14ac:dyDescent="0.2">
      <c r="A528" s="293" t="s">
        <v>6470</v>
      </c>
      <c r="B528" s="293" t="s">
        <v>5666</v>
      </c>
      <c r="C528" s="293" t="s">
        <v>6471</v>
      </c>
      <c r="D528" s="293" t="s">
        <v>5859</v>
      </c>
      <c r="E528" s="293" t="s">
        <v>5744</v>
      </c>
      <c r="F528" s="293" t="s">
        <v>6455</v>
      </c>
      <c r="G528" s="293" t="s">
        <v>5589</v>
      </c>
      <c r="H528" s="294">
        <v>41333</v>
      </c>
      <c r="I528" s="295">
        <v>-7123.53</v>
      </c>
    </row>
    <row r="529" spans="1:9" x14ac:dyDescent="0.2">
      <c r="A529" s="293" t="s">
        <v>6472</v>
      </c>
      <c r="B529" s="293" t="s">
        <v>5666</v>
      </c>
      <c r="C529" s="293" t="s">
        <v>6473</v>
      </c>
      <c r="D529" s="293" t="s">
        <v>5859</v>
      </c>
      <c r="E529" s="293" t="s">
        <v>6474</v>
      </c>
      <c r="F529" s="293" t="s">
        <v>6455</v>
      </c>
      <c r="G529" s="293" t="s">
        <v>5593</v>
      </c>
      <c r="H529" s="294">
        <v>41333</v>
      </c>
      <c r="I529" s="295">
        <v>-14668.67</v>
      </c>
    </row>
    <row r="530" spans="1:9" x14ac:dyDescent="0.2">
      <c r="A530" s="293" t="s">
        <v>6475</v>
      </c>
      <c r="B530" s="293" t="s">
        <v>5666</v>
      </c>
      <c r="C530" s="293" t="s">
        <v>6027</v>
      </c>
      <c r="D530" s="293" t="s">
        <v>5859</v>
      </c>
      <c r="E530" s="293" t="s">
        <v>6028</v>
      </c>
      <c r="F530" s="293" t="s">
        <v>6476</v>
      </c>
      <c r="G530" s="293" t="s">
        <v>5573</v>
      </c>
      <c r="H530" s="294">
        <v>41364</v>
      </c>
      <c r="I530" s="295">
        <v>-6400.96</v>
      </c>
    </row>
    <row r="531" spans="1:9" x14ac:dyDescent="0.2">
      <c r="A531" s="293" t="s">
        <v>6477</v>
      </c>
      <c r="B531" s="293" t="s">
        <v>5666</v>
      </c>
      <c r="C531" s="293" t="s">
        <v>6030</v>
      </c>
      <c r="D531" s="293" t="s">
        <v>5859</v>
      </c>
      <c r="E531" s="293" t="s">
        <v>6028</v>
      </c>
      <c r="F531" s="293" t="s">
        <v>6476</v>
      </c>
      <c r="G531" s="293" t="s">
        <v>5573</v>
      </c>
      <c r="H531" s="294">
        <v>41364</v>
      </c>
      <c r="I531" s="295">
        <v>-130.22</v>
      </c>
    </row>
    <row r="532" spans="1:9" x14ac:dyDescent="0.2">
      <c r="A532" s="293" t="s">
        <v>6478</v>
      </c>
      <c r="B532" s="293" t="s">
        <v>5666</v>
      </c>
      <c r="C532" s="293" t="s">
        <v>6032</v>
      </c>
      <c r="D532" s="293" t="s">
        <v>5859</v>
      </c>
      <c r="E532" s="293" t="s">
        <v>6033</v>
      </c>
      <c r="F532" s="293" t="s">
        <v>6476</v>
      </c>
      <c r="G532" s="293" t="s">
        <v>5585</v>
      </c>
      <c r="H532" s="294">
        <v>41364</v>
      </c>
      <c r="I532" s="295">
        <v>-6872.38</v>
      </c>
    </row>
    <row r="533" spans="1:9" x14ac:dyDescent="0.2">
      <c r="A533" s="293" t="s">
        <v>6479</v>
      </c>
      <c r="B533" s="293" t="s">
        <v>5666</v>
      </c>
      <c r="C533" s="293" t="s">
        <v>6035</v>
      </c>
      <c r="D533" s="293" t="s">
        <v>5859</v>
      </c>
      <c r="E533" s="293" t="s">
        <v>6033</v>
      </c>
      <c r="F533" s="293" t="s">
        <v>6476</v>
      </c>
      <c r="G533" s="293" t="s">
        <v>5585</v>
      </c>
      <c r="H533" s="294">
        <v>41364</v>
      </c>
      <c r="I533" s="295">
        <v>-4630.24</v>
      </c>
    </row>
    <row r="534" spans="1:9" x14ac:dyDescent="0.2">
      <c r="A534" s="293" t="s">
        <v>6480</v>
      </c>
      <c r="B534" s="293" t="s">
        <v>5666</v>
      </c>
      <c r="C534" s="293" t="s">
        <v>6037</v>
      </c>
      <c r="D534" s="293" t="s">
        <v>5859</v>
      </c>
      <c r="E534" s="293" t="s">
        <v>6038</v>
      </c>
      <c r="F534" s="293" t="s">
        <v>6476</v>
      </c>
      <c r="G534" s="293" t="s">
        <v>5586</v>
      </c>
      <c r="H534" s="294">
        <v>41364</v>
      </c>
      <c r="I534" s="295">
        <v>-3059.89</v>
      </c>
    </row>
    <row r="535" spans="1:9" x14ac:dyDescent="0.2">
      <c r="A535" s="293" t="s">
        <v>6481</v>
      </c>
      <c r="B535" s="293" t="s">
        <v>5666</v>
      </c>
      <c r="C535" s="293" t="s">
        <v>6040</v>
      </c>
      <c r="D535" s="293" t="s">
        <v>5859</v>
      </c>
      <c r="E535" s="293" t="s">
        <v>6041</v>
      </c>
      <c r="F535" s="293" t="s">
        <v>6476</v>
      </c>
      <c r="G535" s="293" t="s">
        <v>5581</v>
      </c>
      <c r="H535" s="294">
        <v>41364</v>
      </c>
      <c r="I535" s="295">
        <v>-8058.13</v>
      </c>
    </row>
    <row r="536" spans="1:9" x14ac:dyDescent="0.2">
      <c r="A536" s="293" t="s">
        <v>6482</v>
      </c>
      <c r="B536" s="293" t="s">
        <v>5666</v>
      </c>
      <c r="C536" s="293" t="s">
        <v>6049</v>
      </c>
      <c r="D536" s="293" t="s">
        <v>5859</v>
      </c>
      <c r="E536" s="293" t="s">
        <v>6050</v>
      </c>
      <c r="F536" s="293" t="s">
        <v>6476</v>
      </c>
      <c r="G536" s="293" t="s">
        <v>5590</v>
      </c>
      <c r="H536" s="294">
        <v>41364</v>
      </c>
      <c r="I536" s="295">
        <v>-12467.89</v>
      </c>
    </row>
    <row r="537" spans="1:9" x14ac:dyDescent="0.2">
      <c r="A537" s="293" t="s">
        <v>6483</v>
      </c>
      <c r="B537" s="293" t="s">
        <v>5666</v>
      </c>
      <c r="C537" s="293" t="s">
        <v>6052</v>
      </c>
      <c r="D537" s="293" t="s">
        <v>5859</v>
      </c>
      <c r="E537" s="293" t="s">
        <v>5817</v>
      </c>
      <c r="F537" s="293" t="s">
        <v>6476</v>
      </c>
      <c r="G537" s="293" t="s">
        <v>5577</v>
      </c>
      <c r="H537" s="294">
        <v>41364</v>
      </c>
      <c r="I537" s="295">
        <v>-7696.08</v>
      </c>
    </row>
    <row r="538" spans="1:9" x14ac:dyDescent="0.2">
      <c r="A538" s="293" t="s">
        <v>6484</v>
      </c>
      <c r="B538" s="293" t="s">
        <v>5666</v>
      </c>
      <c r="C538" s="293" t="s">
        <v>6054</v>
      </c>
      <c r="D538" s="293" t="s">
        <v>5859</v>
      </c>
      <c r="E538" s="293" t="s">
        <v>5817</v>
      </c>
      <c r="F538" s="293" t="s">
        <v>6476</v>
      </c>
      <c r="G538" s="293" t="s">
        <v>5577</v>
      </c>
      <c r="H538" s="294">
        <v>41364</v>
      </c>
      <c r="I538" s="295">
        <v>-3633.17</v>
      </c>
    </row>
    <row r="539" spans="1:9" x14ac:dyDescent="0.2">
      <c r="A539" s="293" t="s">
        <v>6485</v>
      </c>
      <c r="B539" s="293" t="s">
        <v>5666</v>
      </c>
      <c r="C539" s="293" t="s">
        <v>6056</v>
      </c>
      <c r="D539" s="293" t="s">
        <v>5859</v>
      </c>
      <c r="E539" s="293" t="s">
        <v>6057</v>
      </c>
      <c r="F539" s="293" t="s">
        <v>6476</v>
      </c>
      <c r="G539" s="293" t="s">
        <v>5578</v>
      </c>
      <c r="H539" s="294">
        <v>41364</v>
      </c>
      <c r="I539" s="295">
        <v>-4399.9399999999996</v>
      </c>
    </row>
    <row r="540" spans="1:9" x14ac:dyDescent="0.2">
      <c r="A540" s="293" t="s">
        <v>6486</v>
      </c>
      <c r="B540" s="293" t="s">
        <v>5666</v>
      </c>
      <c r="C540" s="293" t="s">
        <v>6059</v>
      </c>
      <c r="D540" s="293" t="s">
        <v>5859</v>
      </c>
      <c r="E540" s="293" t="s">
        <v>6060</v>
      </c>
      <c r="F540" s="293" t="s">
        <v>6476</v>
      </c>
      <c r="G540" s="293" t="s">
        <v>5578</v>
      </c>
      <c r="H540" s="294">
        <v>41364</v>
      </c>
      <c r="I540" s="295">
        <v>-5738.64</v>
      </c>
    </row>
    <row r="541" spans="1:9" x14ac:dyDescent="0.2">
      <c r="A541" s="293" t="s">
        <v>6487</v>
      </c>
      <c r="B541" s="293" t="s">
        <v>5666</v>
      </c>
      <c r="C541" s="293" t="s">
        <v>6062</v>
      </c>
      <c r="D541" s="293" t="s">
        <v>5859</v>
      </c>
      <c r="E541" s="293" t="s">
        <v>6063</v>
      </c>
      <c r="F541" s="293" t="s">
        <v>6476</v>
      </c>
      <c r="G541" s="293" t="s">
        <v>5579</v>
      </c>
      <c r="H541" s="294">
        <v>41364</v>
      </c>
      <c r="I541" s="295">
        <v>-2351.71</v>
      </c>
    </row>
    <row r="542" spans="1:9" x14ac:dyDescent="0.2">
      <c r="A542" s="293" t="s">
        <v>6488</v>
      </c>
      <c r="B542" s="293" t="s">
        <v>5666</v>
      </c>
      <c r="C542" s="293" t="s">
        <v>6065</v>
      </c>
      <c r="D542" s="293" t="s">
        <v>5859</v>
      </c>
      <c r="E542" s="293" t="s">
        <v>6063</v>
      </c>
      <c r="F542" s="293" t="s">
        <v>6476</v>
      </c>
      <c r="G542" s="293" t="s">
        <v>5579</v>
      </c>
      <c r="H542" s="294">
        <v>41364</v>
      </c>
      <c r="I542" s="295">
        <v>-63.12</v>
      </c>
    </row>
    <row r="543" spans="1:9" x14ac:dyDescent="0.2">
      <c r="A543" s="293" t="s">
        <v>6489</v>
      </c>
      <c r="B543" s="293" t="s">
        <v>5666</v>
      </c>
      <c r="C543" s="293" t="s">
        <v>6067</v>
      </c>
      <c r="D543" s="293" t="s">
        <v>5859</v>
      </c>
      <c r="E543" s="293" t="s">
        <v>5817</v>
      </c>
      <c r="F543" s="293" t="s">
        <v>6476</v>
      </c>
      <c r="G543" s="293" t="s">
        <v>5591</v>
      </c>
      <c r="H543" s="294">
        <v>41364</v>
      </c>
      <c r="I543" s="295">
        <v>-6308.36</v>
      </c>
    </row>
    <row r="544" spans="1:9" x14ac:dyDescent="0.2">
      <c r="A544" s="293" t="s">
        <v>6490</v>
      </c>
      <c r="B544" s="293" t="s">
        <v>5666</v>
      </c>
      <c r="C544" s="293" t="s">
        <v>6069</v>
      </c>
      <c r="D544" s="293" t="s">
        <v>5859</v>
      </c>
      <c r="E544" s="293" t="s">
        <v>5817</v>
      </c>
      <c r="F544" s="293" t="s">
        <v>6476</v>
      </c>
      <c r="G544" s="293" t="s">
        <v>5591</v>
      </c>
      <c r="H544" s="294">
        <v>41364</v>
      </c>
      <c r="I544" s="295">
        <v>-7695.19</v>
      </c>
    </row>
    <row r="545" spans="1:9" x14ac:dyDescent="0.2">
      <c r="A545" s="293" t="s">
        <v>6491</v>
      </c>
      <c r="B545" s="293" t="s">
        <v>5666</v>
      </c>
      <c r="C545" s="293" t="s">
        <v>6471</v>
      </c>
      <c r="D545" s="293" t="s">
        <v>5859</v>
      </c>
      <c r="E545" s="293" t="s">
        <v>5744</v>
      </c>
      <c r="F545" s="293" t="s">
        <v>6476</v>
      </c>
      <c r="G545" s="293" t="s">
        <v>5589</v>
      </c>
      <c r="H545" s="294">
        <v>41364</v>
      </c>
      <c r="I545" s="295">
        <v>-7123.53</v>
      </c>
    </row>
    <row r="546" spans="1:9" x14ac:dyDescent="0.2">
      <c r="A546" s="293" t="s">
        <v>6492</v>
      </c>
      <c r="B546" s="293" t="s">
        <v>5666</v>
      </c>
      <c r="C546" s="293" t="s">
        <v>6473</v>
      </c>
      <c r="D546" s="293" t="s">
        <v>5859</v>
      </c>
      <c r="E546" s="293" t="s">
        <v>6474</v>
      </c>
      <c r="F546" s="293" t="s">
        <v>6476</v>
      </c>
      <c r="G546" s="293" t="s">
        <v>5593</v>
      </c>
      <c r="H546" s="294">
        <v>41364</v>
      </c>
      <c r="I546" s="295">
        <v>-14668.67</v>
      </c>
    </row>
    <row r="547" spans="1:9" x14ac:dyDescent="0.2">
      <c r="A547" s="293" t="s">
        <v>6493</v>
      </c>
      <c r="B547" s="293" t="s">
        <v>5666</v>
      </c>
      <c r="C547" s="293" t="s">
        <v>5835</v>
      </c>
      <c r="D547" s="293" t="s">
        <v>5859</v>
      </c>
      <c r="E547" s="293" t="s">
        <v>5088</v>
      </c>
      <c r="F547" s="293" t="s">
        <v>6494</v>
      </c>
      <c r="G547" s="293" t="s">
        <v>5589</v>
      </c>
      <c r="H547" s="294">
        <v>41394</v>
      </c>
      <c r="I547" s="295">
        <v>0.01</v>
      </c>
    </row>
    <row r="548" spans="1:9" x14ac:dyDescent="0.2">
      <c r="A548" s="293" t="s">
        <v>6495</v>
      </c>
      <c r="B548" s="293" t="s">
        <v>5666</v>
      </c>
      <c r="C548" s="293" t="s">
        <v>6027</v>
      </c>
      <c r="D548" s="293" t="s">
        <v>5859</v>
      </c>
      <c r="E548" s="293" t="s">
        <v>6028</v>
      </c>
      <c r="F548" s="293" t="s">
        <v>6496</v>
      </c>
      <c r="G548" s="293" t="s">
        <v>5573</v>
      </c>
      <c r="H548" s="294">
        <v>41394</v>
      </c>
      <c r="I548" s="295">
        <v>-6400.96</v>
      </c>
    </row>
    <row r="549" spans="1:9" x14ac:dyDescent="0.2">
      <c r="A549" s="293" t="s">
        <v>6497</v>
      </c>
      <c r="B549" s="293" t="s">
        <v>5666</v>
      </c>
      <c r="C549" s="293" t="s">
        <v>6030</v>
      </c>
      <c r="D549" s="293" t="s">
        <v>5859</v>
      </c>
      <c r="E549" s="293" t="s">
        <v>6028</v>
      </c>
      <c r="F549" s="293" t="s">
        <v>6496</v>
      </c>
      <c r="G549" s="293" t="s">
        <v>5573</v>
      </c>
      <c r="H549" s="294">
        <v>41394</v>
      </c>
      <c r="I549" s="295">
        <v>-130.22</v>
      </c>
    </row>
    <row r="550" spans="1:9" x14ac:dyDescent="0.2">
      <c r="A550" s="293" t="s">
        <v>6498</v>
      </c>
      <c r="B550" s="293" t="s">
        <v>5666</v>
      </c>
      <c r="C550" s="293" t="s">
        <v>6032</v>
      </c>
      <c r="D550" s="293" t="s">
        <v>5859</v>
      </c>
      <c r="E550" s="293" t="s">
        <v>6033</v>
      </c>
      <c r="F550" s="293" t="s">
        <v>6496</v>
      </c>
      <c r="G550" s="293" t="s">
        <v>5585</v>
      </c>
      <c r="H550" s="294">
        <v>41394</v>
      </c>
      <c r="I550" s="295">
        <v>-6872.38</v>
      </c>
    </row>
    <row r="551" spans="1:9" x14ac:dyDescent="0.2">
      <c r="A551" s="293" t="s">
        <v>6499</v>
      </c>
      <c r="B551" s="293" t="s">
        <v>5666</v>
      </c>
      <c r="C551" s="293" t="s">
        <v>6035</v>
      </c>
      <c r="D551" s="293" t="s">
        <v>5859</v>
      </c>
      <c r="E551" s="293" t="s">
        <v>6033</v>
      </c>
      <c r="F551" s="293" t="s">
        <v>6496</v>
      </c>
      <c r="G551" s="293" t="s">
        <v>5585</v>
      </c>
      <c r="H551" s="294">
        <v>41394</v>
      </c>
      <c r="I551" s="295">
        <v>-4630.24</v>
      </c>
    </row>
    <row r="552" spans="1:9" x14ac:dyDescent="0.2">
      <c r="A552" s="293" t="s">
        <v>6500</v>
      </c>
      <c r="B552" s="293" t="s">
        <v>5666</v>
      </c>
      <c r="C552" s="293" t="s">
        <v>6037</v>
      </c>
      <c r="D552" s="293" t="s">
        <v>5859</v>
      </c>
      <c r="E552" s="293" t="s">
        <v>6038</v>
      </c>
      <c r="F552" s="293" t="s">
        <v>6496</v>
      </c>
      <c r="G552" s="293" t="s">
        <v>5586</v>
      </c>
      <c r="H552" s="294">
        <v>41394</v>
      </c>
      <c r="I552" s="295">
        <v>-3059.89</v>
      </c>
    </row>
    <row r="553" spans="1:9" x14ac:dyDescent="0.2">
      <c r="A553" s="293" t="s">
        <v>6501</v>
      </c>
      <c r="B553" s="293" t="s">
        <v>5666</v>
      </c>
      <c r="C553" s="293" t="s">
        <v>6040</v>
      </c>
      <c r="D553" s="293" t="s">
        <v>5859</v>
      </c>
      <c r="E553" s="293" t="s">
        <v>6041</v>
      </c>
      <c r="F553" s="293" t="s">
        <v>6496</v>
      </c>
      <c r="G553" s="293" t="s">
        <v>5581</v>
      </c>
      <c r="H553" s="294">
        <v>41394</v>
      </c>
      <c r="I553" s="295">
        <v>-8058.13</v>
      </c>
    </row>
    <row r="554" spans="1:9" x14ac:dyDescent="0.2">
      <c r="A554" s="293" t="s">
        <v>6502</v>
      </c>
      <c r="B554" s="293" t="s">
        <v>5666</v>
      </c>
      <c r="C554" s="293" t="s">
        <v>6049</v>
      </c>
      <c r="D554" s="293" t="s">
        <v>5859</v>
      </c>
      <c r="E554" s="293" t="s">
        <v>6050</v>
      </c>
      <c r="F554" s="293" t="s">
        <v>6496</v>
      </c>
      <c r="G554" s="293" t="s">
        <v>5590</v>
      </c>
      <c r="H554" s="294">
        <v>41394</v>
      </c>
      <c r="I554" s="295">
        <v>-12467.89</v>
      </c>
    </row>
    <row r="555" spans="1:9" x14ac:dyDescent="0.2">
      <c r="A555" s="293" t="s">
        <v>6503</v>
      </c>
      <c r="B555" s="293" t="s">
        <v>5666</v>
      </c>
      <c r="C555" s="293" t="s">
        <v>6052</v>
      </c>
      <c r="D555" s="293" t="s">
        <v>5859</v>
      </c>
      <c r="E555" s="293" t="s">
        <v>5817</v>
      </c>
      <c r="F555" s="293" t="s">
        <v>6496</v>
      </c>
      <c r="G555" s="293" t="s">
        <v>5577</v>
      </c>
      <c r="H555" s="294">
        <v>41394</v>
      </c>
      <c r="I555" s="295">
        <v>-7696.08</v>
      </c>
    </row>
    <row r="556" spans="1:9" x14ac:dyDescent="0.2">
      <c r="A556" s="293" t="s">
        <v>6504</v>
      </c>
      <c r="B556" s="293" t="s">
        <v>5666</v>
      </c>
      <c r="C556" s="293" t="s">
        <v>6054</v>
      </c>
      <c r="D556" s="293" t="s">
        <v>5859</v>
      </c>
      <c r="E556" s="293" t="s">
        <v>5817</v>
      </c>
      <c r="F556" s="293" t="s">
        <v>6496</v>
      </c>
      <c r="G556" s="293" t="s">
        <v>5577</v>
      </c>
      <c r="H556" s="294">
        <v>41394</v>
      </c>
      <c r="I556" s="295">
        <v>-3633.17</v>
      </c>
    </row>
    <row r="557" spans="1:9" x14ac:dyDescent="0.2">
      <c r="A557" s="293" t="s">
        <v>6505</v>
      </c>
      <c r="B557" s="293" t="s">
        <v>5666</v>
      </c>
      <c r="C557" s="293" t="s">
        <v>6056</v>
      </c>
      <c r="D557" s="293" t="s">
        <v>5859</v>
      </c>
      <c r="E557" s="293" t="s">
        <v>6057</v>
      </c>
      <c r="F557" s="293" t="s">
        <v>6496</v>
      </c>
      <c r="G557" s="293" t="s">
        <v>5578</v>
      </c>
      <c r="H557" s="294">
        <v>41394</v>
      </c>
      <c r="I557" s="295">
        <v>-4399.9399999999996</v>
      </c>
    </row>
    <row r="558" spans="1:9" x14ac:dyDescent="0.2">
      <c r="A558" s="293" t="s">
        <v>6506</v>
      </c>
      <c r="B558" s="293" t="s">
        <v>5666</v>
      </c>
      <c r="C558" s="293" t="s">
        <v>6059</v>
      </c>
      <c r="D558" s="293" t="s">
        <v>5859</v>
      </c>
      <c r="E558" s="293" t="s">
        <v>6060</v>
      </c>
      <c r="F558" s="293" t="s">
        <v>6496</v>
      </c>
      <c r="G558" s="293" t="s">
        <v>5578</v>
      </c>
      <c r="H558" s="294">
        <v>41394</v>
      </c>
      <c r="I558" s="295">
        <v>-5738.64</v>
      </c>
    </row>
    <row r="559" spans="1:9" x14ac:dyDescent="0.2">
      <c r="A559" s="293" t="s">
        <v>6507</v>
      </c>
      <c r="B559" s="293" t="s">
        <v>5666</v>
      </c>
      <c r="C559" s="293" t="s">
        <v>6062</v>
      </c>
      <c r="D559" s="293" t="s">
        <v>5859</v>
      </c>
      <c r="E559" s="293" t="s">
        <v>6063</v>
      </c>
      <c r="F559" s="293" t="s">
        <v>6496</v>
      </c>
      <c r="G559" s="293" t="s">
        <v>5579</v>
      </c>
      <c r="H559" s="294">
        <v>41394</v>
      </c>
      <c r="I559" s="295">
        <v>-2351.71</v>
      </c>
    </row>
    <row r="560" spans="1:9" x14ac:dyDescent="0.2">
      <c r="A560" s="293" t="s">
        <v>6508</v>
      </c>
      <c r="B560" s="293" t="s">
        <v>5666</v>
      </c>
      <c r="C560" s="293" t="s">
        <v>6065</v>
      </c>
      <c r="D560" s="293" t="s">
        <v>5859</v>
      </c>
      <c r="E560" s="293" t="s">
        <v>6063</v>
      </c>
      <c r="F560" s="293" t="s">
        <v>6496</v>
      </c>
      <c r="G560" s="293" t="s">
        <v>5579</v>
      </c>
      <c r="H560" s="294">
        <v>41394</v>
      </c>
      <c r="I560" s="295">
        <v>-63.12</v>
      </c>
    </row>
    <row r="561" spans="1:9" x14ac:dyDescent="0.2">
      <c r="A561" s="293" t="s">
        <v>6509</v>
      </c>
      <c r="B561" s="293" t="s">
        <v>5666</v>
      </c>
      <c r="C561" s="293" t="s">
        <v>6067</v>
      </c>
      <c r="D561" s="293" t="s">
        <v>5859</v>
      </c>
      <c r="E561" s="293" t="s">
        <v>5817</v>
      </c>
      <c r="F561" s="293" t="s">
        <v>6496</v>
      </c>
      <c r="G561" s="293" t="s">
        <v>5591</v>
      </c>
      <c r="H561" s="294">
        <v>41394</v>
      </c>
      <c r="I561" s="295">
        <v>-6308.36</v>
      </c>
    </row>
    <row r="562" spans="1:9" x14ac:dyDescent="0.2">
      <c r="A562" s="293" t="s">
        <v>6510</v>
      </c>
      <c r="B562" s="293" t="s">
        <v>5666</v>
      </c>
      <c r="C562" s="293" t="s">
        <v>6069</v>
      </c>
      <c r="D562" s="293" t="s">
        <v>5859</v>
      </c>
      <c r="E562" s="293" t="s">
        <v>5817</v>
      </c>
      <c r="F562" s="293" t="s">
        <v>6496</v>
      </c>
      <c r="G562" s="293" t="s">
        <v>5591</v>
      </c>
      <c r="H562" s="294">
        <v>41394</v>
      </c>
      <c r="I562" s="295">
        <v>-7695.19</v>
      </c>
    </row>
    <row r="563" spans="1:9" x14ac:dyDescent="0.2">
      <c r="A563" s="293" t="s">
        <v>6511</v>
      </c>
      <c r="B563" s="293" t="s">
        <v>5666</v>
      </c>
      <c r="C563" s="293" t="s">
        <v>6471</v>
      </c>
      <c r="D563" s="293" t="s">
        <v>5859</v>
      </c>
      <c r="E563" s="293" t="s">
        <v>5744</v>
      </c>
      <c r="F563" s="293" t="s">
        <v>6496</v>
      </c>
      <c r="G563" s="293" t="s">
        <v>5589</v>
      </c>
      <c r="H563" s="294">
        <v>41394</v>
      </c>
      <c r="I563" s="295">
        <v>-7123.53</v>
      </c>
    </row>
    <row r="564" spans="1:9" x14ac:dyDescent="0.2">
      <c r="A564" s="293" t="s">
        <v>6512</v>
      </c>
      <c r="B564" s="293" t="s">
        <v>5666</v>
      </c>
      <c r="C564" s="293" t="s">
        <v>6473</v>
      </c>
      <c r="D564" s="293" t="s">
        <v>5859</v>
      </c>
      <c r="E564" s="293" t="s">
        <v>6474</v>
      </c>
      <c r="F564" s="293" t="s">
        <v>6496</v>
      </c>
      <c r="G564" s="293" t="s">
        <v>5593</v>
      </c>
      <c r="H564" s="294">
        <v>41394</v>
      </c>
      <c r="I564" s="295">
        <v>-14668.67</v>
      </c>
    </row>
    <row r="565" spans="1:9" x14ac:dyDescent="0.2">
      <c r="A565" s="293" t="s">
        <v>6513</v>
      </c>
      <c r="B565" s="293" t="s">
        <v>5666</v>
      </c>
      <c r="C565" s="293" t="s">
        <v>6027</v>
      </c>
      <c r="D565" s="293" t="s">
        <v>5859</v>
      </c>
      <c r="E565" s="293" t="s">
        <v>6028</v>
      </c>
      <c r="F565" s="293" t="s">
        <v>6514</v>
      </c>
      <c r="G565" s="293" t="s">
        <v>5573</v>
      </c>
      <c r="H565" s="294">
        <v>41425</v>
      </c>
      <c r="I565" s="295">
        <v>-6400.96</v>
      </c>
    </row>
    <row r="566" spans="1:9" x14ac:dyDescent="0.2">
      <c r="A566" s="293" t="s">
        <v>6515</v>
      </c>
      <c r="B566" s="293" t="s">
        <v>5666</v>
      </c>
      <c r="C566" s="293" t="s">
        <v>6030</v>
      </c>
      <c r="D566" s="293" t="s">
        <v>5859</v>
      </c>
      <c r="E566" s="293" t="s">
        <v>6028</v>
      </c>
      <c r="F566" s="293" t="s">
        <v>6514</v>
      </c>
      <c r="G566" s="293" t="s">
        <v>5573</v>
      </c>
      <c r="H566" s="294">
        <v>41425</v>
      </c>
      <c r="I566" s="295">
        <v>-130.22</v>
      </c>
    </row>
    <row r="567" spans="1:9" x14ac:dyDescent="0.2">
      <c r="A567" s="293" t="s">
        <v>6516</v>
      </c>
      <c r="B567" s="293" t="s">
        <v>5666</v>
      </c>
      <c r="C567" s="293" t="s">
        <v>6032</v>
      </c>
      <c r="D567" s="293" t="s">
        <v>5859</v>
      </c>
      <c r="E567" s="293" t="s">
        <v>6033</v>
      </c>
      <c r="F567" s="293" t="s">
        <v>6514</v>
      </c>
      <c r="G567" s="293" t="s">
        <v>5585</v>
      </c>
      <c r="H567" s="294">
        <v>41425</v>
      </c>
      <c r="I567" s="295">
        <v>-6872.38</v>
      </c>
    </row>
    <row r="568" spans="1:9" x14ac:dyDescent="0.2">
      <c r="A568" s="293" t="s">
        <v>6517</v>
      </c>
      <c r="B568" s="293" t="s">
        <v>5666</v>
      </c>
      <c r="C568" s="293" t="s">
        <v>6035</v>
      </c>
      <c r="D568" s="293" t="s">
        <v>5859</v>
      </c>
      <c r="E568" s="293" t="s">
        <v>6033</v>
      </c>
      <c r="F568" s="293" t="s">
        <v>6514</v>
      </c>
      <c r="G568" s="293" t="s">
        <v>5585</v>
      </c>
      <c r="H568" s="294">
        <v>41425</v>
      </c>
      <c r="I568" s="295">
        <v>-4630.24</v>
      </c>
    </row>
    <row r="569" spans="1:9" x14ac:dyDescent="0.2">
      <c r="A569" s="293" t="s">
        <v>6518</v>
      </c>
      <c r="B569" s="293" t="s">
        <v>5666</v>
      </c>
      <c r="C569" s="293" t="s">
        <v>6037</v>
      </c>
      <c r="D569" s="293" t="s">
        <v>5859</v>
      </c>
      <c r="E569" s="293" t="s">
        <v>6038</v>
      </c>
      <c r="F569" s="293" t="s">
        <v>6514</v>
      </c>
      <c r="G569" s="293" t="s">
        <v>5586</v>
      </c>
      <c r="H569" s="294">
        <v>41425</v>
      </c>
      <c r="I569" s="295">
        <v>-3059.89</v>
      </c>
    </row>
    <row r="570" spans="1:9" x14ac:dyDescent="0.2">
      <c r="A570" s="293" t="s">
        <v>6519</v>
      </c>
      <c r="B570" s="293" t="s">
        <v>5666</v>
      </c>
      <c r="C570" s="293" t="s">
        <v>6040</v>
      </c>
      <c r="D570" s="293" t="s">
        <v>5859</v>
      </c>
      <c r="E570" s="293" t="s">
        <v>6041</v>
      </c>
      <c r="F570" s="293" t="s">
        <v>6514</v>
      </c>
      <c r="G570" s="293" t="s">
        <v>5581</v>
      </c>
      <c r="H570" s="294">
        <v>41425</v>
      </c>
      <c r="I570" s="295">
        <v>-8058.13</v>
      </c>
    </row>
    <row r="571" spans="1:9" x14ac:dyDescent="0.2">
      <c r="A571" s="293" t="s">
        <v>6520</v>
      </c>
      <c r="B571" s="293" t="s">
        <v>5666</v>
      </c>
      <c r="C571" s="293" t="s">
        <v>6049</v>
      </c>
      <c r="D571" s="293" t="s">
        <v>5859</v>
      </c>
      <c r="E571" s="293" t="s">
        <v>6050</v>
      </c>
      <c r="F571" s="293" t="s">
        <v>6514</v>
      </c>
      <c r="G571" s="293" t="s">
        <v>5590</v>
      </c>
      <c r="H571" s="294">
        <v>41425</v>
      </c>
      <c r="I571" s="295">
        <v>-12467.89</v>
      </c>
    </row>
    <row r="572" spans="1:9" x14ac:dyDescent="0.2">
      <c r="A572" s="293" t="s">
        <v>6521</v>
      </c>
      <c r="B572" s="293" t="s">
        <v>5666</v>
      </c>
      <c r="C572" s="293" t="s">
        <v>6052</v>
      </c>
      <c r="D572" s="293" t="s">
        <v>5859</v>
      </c>
      <c r="E572" s="293" t="s">
        <v>5817</v>
      </c>
      <c r="F572" s="293" t="s">
        <v>6514</v>
      </c>
      <c r="G572" s="293" t="s">
        <v>5577</v>
      </c>
      <c r="H572" s="294">
        <v>41425</v>
      </c>
      <c r="I572" s="295">
        <v>-7696.08</v>
      </c>
    </row>
    <row r="573" spans="1:9" x14ac:dyDescent="0.2">
      <c r="A573" s="293" t="s">
        <v>6522</v>
      </c>
      <c r="B573" s="293" t="s">
        <v>5666</v>
      </c>
      <c r="C573" s="293" t="s">
        <v>6054</v>
      </c>
      <c r="D573" s="293" t="s">
        <v>5859</v>
      </c>
      <c r="E573" s="293" t="s">
        <v>5817</v>
      </c>
      <c r="F573" s="293" t="s">
        <v>6514</v>
      </c>
      <c r="G573" s="293" t="s">
        <v>5577</v>
      </c>
      <c r="H573" s="294">
        <v>41425</v>
      </c>
      <c r="I573" s="295">
        <v>-3633.17</v>
      </c>
    </row>
    <row r="574" spans="1:9" x14ac:dyDescent="0.2">
      <c r="A574" s="293" t="s">
        <v>6523</v>
      </c>
      <c r="B574" s="293" t="s">
        <v>5666</v>
      </c>
      <c r="C574" s="293" t="s">
        <v>6056</v>
      </c>
      <c r="D574" s="293" t="s">
        <v>5859</v>
      </c>
      <c r="E574" s="293" t="s">
        <v>6057</v>
      </c>
      <c r="F574" s="293" t="s">
        <v>6514</v>
      </c>
      <c r="G574" s="293" t="s">
        <v>5578</v>
      </c>
      <c r="H574" s="294">
        <v>41425</v>
      </c>
      <c r="I574" s="295">
        <v>-4399.9399999999996</v>
      </c>
    </row>
    <row r="575" spans="1:9" x14ac:dyDescent="0.2">
      <c r="A575" s="293" t="s">
        <v>6524</v>
      </c>
      <c r="B575" s="293" t="s">
        <v>5666</v>
      </c>
      <c r="C575" s="293" t="s">
        <v>6059</v>
      </c>
      <c r="D575" s="293" t="s">
        <v>5859</v>
      </c>
      <c r="E575" s="293" t="s">
        <v>6060</v>
      </c>
      <c r="F575" s="293" t="s">
        <v>6514</v>
      </c>
      <c r="G575" s="293" t="s">
        <v>5578</v>
      </c>
      <c r="H575" s="294">
        <v>41425</v>
      </c>
      <c r="I575" s="295">
        <v>-5738.64</v>
      </c>
    </row>
    <row r="576" spans="1:9" x14ac:dyDescent="0.2">
      <c r="A576" s="293" t="s">
        <v>6525</v>
      </c>
      <c r="B576" s="293" t="s">
        <v>5666</v>
      </c>
      <c r="C576" s="293" t="s">
        <v>6062</v>
      </c>
      <c r="D576" s="293" t="s">
        <v>5859</v>
      </c>
      <c r="E576" s="293" t="s">
        <v>6063</v>
      </c>
      <c r="F576" s="293" t="s">
        <v>6514</v>
      </c>
      <c r="G576" s="293" t="s">
        <v>5579</v>
      </c>
      <c r="H576" s="294">
        <v>41425</v>
      </c>
      <c r="I576" s="295">
        <v>-2351.71</v>
      </c>
    </row>
    <row r="577" spans="1:9" x14ac:dyDescent="0.2">
      <c r="A577" s="293" t="s">
        <v>6526</v>
      </c>
      <c r="B577" s="293" t="s">
        <v>5666</v>
      </c>
      <c r="C577" s="293" t="s">
        <v>6065</v>
      </c>
      <c r="D577" s="293" t="s">
        <v>5859</v>
      </c>
      <c r="E577" s="293" t="s">
        <v>6063</v>
      </c>
      <c r="F577" s="293" t="s">
        <v>6514</v>
      </c>
      <c r="G577" s="293" t="s">
        <v>5579</v>
      </c>
      <c r="H577" s="294">
        <v>41425</v>
      </c>
      <c r="I577" s="295">
        <v>-63.12</v>
      </c>
    </row>
    <row r="578" spans="1:9" x14ac:dyDescent="0.2">
      <c r="A578" s="293" t="s">
        <v>6527</v>
      </c>
      <c r="B578" s="293" t="s">
        <v>5666</v>
      </c>
      <c r="C578" s="293" t="s">
        <v>6067</v>
      </c>
      <c r="D578" s="293" t="s">
        <v>5859</v>
      </c>
      <c r="E578" s="293" t="s">
        <v>5817</v>
      </c>
      <c r="F578" s="293" t="s">
        <v>6514</v>
      </c>
      <c r="G578" s="293" t="s">
        <v>5591</v>
      </c>
      <c r="H578" s="294">
        <v>41425</v>
      </c>
      <c r="I578" s="295">
        <v>-6308.36</v>
      </c>
    </row>
    <row r="579" spans="1:9" x14ac:dyDescent="0.2">
      <c r="A579" s="293" t="s">
        <v>6528</v>
      </c>
      <c r="B579" s="293" t="s">
        <v>5666</v>
      </c>
      <c r="C579" s="293" t="s">
        <v>6069</v>
      </c>
      <c r="D579" s="293" t="s">
        <v>5859</v>
      </c>
      <c r="E579" s="293" t="s">
        <v>5817</v>
      </c>
      <c r="F579" s="293" t="s">
        <v>6514</v>
      </c>
      <c r="G579" s="293" t="s">
        <v>5591</v>
      </c>
      <c r="H579" s="294">
        <v>41425</v>
      </c>
      <c r="I579" s="295">
        <v>-7695.19</v>
      </c>
    </row>
    <row r="580" spans="1:9" x14ac:dyDescent="0.2">
      <c r="A580" s="293" t="s">
        <v>6529</v>
      </c>
      <c r="B580" s="293" t="s">
        <v>5666</v>
      </c>
      <c r="C580" s="293" t="s">
        <v>6471</v>
      </c>
      <c r="D580" s="293" t="s">
        <v>5859</v>
      </c>
      <c r="E580" s="293" t="s">
        <v>5744</v>
      </c>
      <c r="F580" s="293" t="s">
        <v>6514</v>
      </c>
      <c r="G580" s="293" t="s">
        <v>5589</v>
      </c>
      <c r="H580" s="294">
        <v>41425</v>
      </c>
      <c r="I580" s="295">
        <v>-7123.53</v>
      </c>
    </row>
    <row r="581" spans="1:9" x14ac:dyDescent="0.2">
      <c r="A581" s="293" t="s">
        <v>6530</v>
      </c>
      <c r="B581" s="293" t="s">
        <v>5666</v>
      </c>
      <c r="C581" s="293" t="s">
        <v>6473</v>
      </c>
      <c r="D581" s="293" t="s">
        <v>5859</v>
      </c>
      <c r="E581" s="293" t="s">
        <v>6474</v>
      </c>
      <c r="F581" s="293" t="s">
        <v>6514</v>
      </c>
      <c r="G581" s="293" t="s">
        <v>5593</v>
      </c>
      <c r="H581" s="294">
        <v>41425</v>
      </c>
      <c r="I581" s="295">
        <v>-14668.67</v>
      </c>
    </row>
    <row r="582" spans="1:9" x14ac:dyDescent="0.2">
      <c r="A582" s="293" t="s">
        <v>6531</v>
      </c>
      <c r="B582" s="293" t="s">
        <v>5666</v>
      </c>
      <c r="C582" s="293" t="s">
        <v>6532</v>
      </c>
      <c r="D582" s="293" t="s">
        <v>5859</v>
      </c>
      <c r="E582" s="293" t="s">
        <v>6474</v>
      </c>
      <c r="F582" s="293" t="s">
        <v>6533</v>
      </c>
      <c r="G582" s="293" t="s">
        <v>5593</v>
      </c>
      <c r="H582" s="294">
        <v>41455</v>
      </c>
      <c r="I582" s="295">
        <v>0.01</v>
      </c>
    </row>
    <row r="583" spans="1:9" x14ac:dyDescent="0.2">
      <c r="A583" s="293" t="s">
        <v>6369</v>
      </c>
      <c r="B583" s="293" t="s">
        <v>6010</v>
      </c>
      <c r="C583" s="293" t="s">
        <v>6534</v>
      </c>
      <c r="D583" s="293" t="s">
        <v>5859</v>
      </c>
      <c r="E583" s="293" t="s">
        <v>5088</v>
      </c>
      <c r="F583" s="293" t="s">
        <v>6535</v>
      </c>
      <c r="G583" s="293" t="s">
        <v>5589</v>
      </c>
      <c r="H583" s="294">
        <v>41471</v>
      </c>
      <c r="I583" s="295">
        <v>3092.33</v>
      </c>
    </row>
    <row r="584" spans="1:9" x14ac:dyDescent="0.2">
      <c r="A584" s="293" t="s">
        <v>6536</v>
      </c>
      <c r="B584" s="293" t="s">
        <v>5666</v>
      </c>
      <c r="C584" s="293" t="s">
        <v>6027</v>
      </c>
      <c r="D584" s="293" t="s">
        <v>5859</v>
      </c>
      <c r="E584" s="293" t="s">
        <v>6028</v>
      </c>
      <c r="F584" s="293" t="s">
        <v>6537</v>
      </c>
      <c r="G584" s="293" t="s">
        <v>5573</v>
      </c>
      <c r="H584" s="294">
        <v>41455</v>
      </c>
      <c r="I584" s="295">
        <v>-6400.96</v>
      </c>
    </row>
    <row r="585" spans="1:9" x14ac:dyDescent="0.2">
      <c r="A585" s="293" t="s">
        <v>6538</v>
      </c>
      <c r="B585" s="293" t="s">
        <v>5666</v>
      </c>
      <c r="C585" s="293" t="s">
        <v>6030</v>
      </c>
      <c r="D585" s="293" t="s">
        <v>5859</v>
      </c>
      <c r="E585" s="293" t="s">
        <v>6028</v>
      </c>
      <c r="F585" s="293" t="s">
        <v>6537</v>
      </c>
      <c r="G585" s="293" t="s">
        <v>5573</v>
      </c>
      <c r="H585" s="294">
        <v>41455</v>
      </c>
      <c r="I585" s="295">
        <v>-130.22</v>
      </c>
    </row>
    <row r="586" spans="1:9" x14ac:dyDescent="0.2">
      <c r="A586" s="293" t="s">
        <v>6539</v>
      </c>
      <c r="B586" s="293" t="s">
        <v>5666</v>
      </c>
      <c r="C586" s="293" t="s">
        <v>6032</v>
      </c>
      <c r="D586" s="293" t="s">
        <v>5859</v>
      </c>
      <c r="E586" s="293" t="s">
        <v>6033</v>
      </c>
      <c r="F586" s="293" t="s">
        <v>6537</v>
      </c>
      <c r="G586" s="293" t="s">
        <v>5585</v>
      </c>
      <c r="H586" s="294">
        <v>41455</v>
      </c>
      <c r="I586" s="295">
        <v>-6872.38</v>
      </c>
    </row>
    <row r="587" spans="1:9" x14ac:dyDescent="0.2">
      <c r="A587" s="293" t="s">
        <v>6540</v>
      </c>
      <c r="B587" s="293" t="s">
        <v>5666</v>
      </c>
      <c r="C587" s="293" t="s">
        <v>6035</v>
      </c>
      <c r="D587" s="293" t="s">
        <v>5859</v>
      </c>
      <c r="E587" s="293" t="s">
        <v>6033</v>
      </c>
      <c r="F587" s="293" t="s">
        <v>6537</v>
      </c>
      <c r="G587" s="293" t="s">
        <v>5585</v>
      </c>
      <c r="H587" s="294">
        <v>41455</v>
      </c>
      <c r="I587" s="295">
        <v>-4630.24</v>
      </c>
    </row>
    <row r="588" spans="1:9" x14ac:dyDescent="0.2">
      <c r="A588" s="293" t="s">
        <v>6541</v>
      </c>
      <c r="B588" s="293" t="s">
        <v>5666</v>
      </c>
      <c r="C588" s="293" t="s">
        <v>6037</v>
      </c>
      <c r="D588" s="293" t="s">
        <v>5859</v>
      </c>
      <c r="E588" s="293" t="s">
        <v>6038</v>
      </c>
      <c r="F588" s="293" t="s">
        <v>6537</v>
      </c>
      <c r="G588" s="293" t="s">
        <v>5586</v>
      </c>
      <c r="H588" s="294">
        <v>41455</v>
      </c>
      <c r="I588" s="295">
        <v>-3059.89</v>
      </c>
    </row>
    <row r="589" spans="1:9" x14ac:dyDescent="0.2">
      <c r="A589" s="293" t="s">
        <v>6542</v>
      </c>
      <c r="B589" s="293" t="s">
        <v>5666</v>
      </c>
      <c r="C589" s="293" t="s">
        <v>6040</v>
      </c>
      <c r="D589" s="293" t="s">
        <v>5859</v>
      </c>
      <c r="E589" s="293" t="s">
        <v>6041</v>
      </c>
      <c r="F589" s="293" t="s">
        <v>6537</v>
      </c>
      <c r="G589" s="293" t="s">
        <v>5581</v>
      </c>
      <c r="H589" s="294">
        <v>41455</v>
      </c>
      <c r="I589" s="295">
        <v>-8058.13</v>
      </c>
    </row>
    <row r="590" spans="1:9" x14ac:dyDescent="0.2">
      <c r="A590" s="293" t="s">
        <v>6543</v>
      </c>
      <c r="B590" s="293" t="s">
        <v>5666</v>
      </c>
      <c r="C590" s="293" t="s">
        <v>6049</v>
      </c>
      <c r="D590" s="293" t="s">
        <v>5859</v>
      </c>
      <c r="E590" s="293" t="s">
        <v>6050</v>
      </c>
      <c r="F590" s="293" t="s">
        <v>6537</v>
      </c>
      <c r="G590" s="293" t="s">
        <v>5590</v>
      </c>
      <c r="H590" s="294">
        <v>41455</v>
      </c>
      <c r="I590" s="295">
        <v>-12467.89</v>
      </c>
    </row>
    <row r="591" spans="1:9" x14ac:dyDescent="0.2">
      <c r="A591" s="293" t="s">
        <v>6544</v>
      </c>
      <c r="B591" s="293" t="s">
        <v>5666</v>
      </c>
      <c r="C591" s="293" t="s">
        <v>6052</v>
      </c>
      <c r="D591" s="293" t="s">
        <v>5859</v>
      </c>
      <c r="E591" s="293" t="s">
        <v>5817</v>
      </c>
      <c r="F591" s="293" t="s">
        <v>6537</v>
      </c>
      <c r="G591" s="293" t="s">
        <v>5577</v>
      </c>
      <c r="H591" s="294">
        <v>41455</v>
      </c>
      <c r="I591" s="295">
        <v>-7696.08</v>
      </c>
    </row>
    <row r="592" spans="1:9" x14ac:dyDescent="0.2">
      <c r="A592" s="293" t="s">
        <v>6545</v>
      </c>
      <c r="B592" s="293" t="s">
        <v>5666</v>
      </c>
      <c r="C592" s="293" t="s">
        <v>6054</v>
      </c>
      <c r="D592" s="293" t="s">
        <v>5859</v>
      </c>
      <c r="E592" s="293" t="s">
        <v>5817</v>
      </c>
      <c r="F592" s="293" t="s">
        <v>6537</v>
      </c>
      <c r="G592" s="293" t="s">
        <v>5577</v>
      </c>
      <c r="H592" s="294">
        <v>41455</v>
      </c>
      <c r="I592" s="295">
        <v>-3633.17</v>
      </c>
    </row>
    <row r="593" spans="1:9" x14ac:dyDescent="0.2">
      <c r="A593" s="293" t="s">
        <v>6546</v>
      </c>
      <c r="B593" s="293" t="s">
        <v>5666</v>
      </c>
      <c r="C593" s="293" t="s">
        <v>6056</v>
      </c>
      <c r="D593" s="293" t="s">
        <v>5859</v>
      </c>
      <c r="E593" s="293" t="s">
        <v>6057</v>
      </c>
      <c r="F593" s="293" t="s">
        <v>6537</v>
      </c>
      <c r="G593" s="293" t="s">
        <v>5578</v>
      </c>
      <c r="H593" s="294">
        <v>41455</v>
      </c>
      <c r="I593" s="295">
        <v>-4399.9399999999996</v>
      </c>
    </row>
    <row r="594" spans="1:9" x14ac:dyDescent="0.2">
      <c r="A594" s="293" t="s">
        <v>6547</v>
      </c>
      <c r="B594" s="293" t="s">
        <v>5666</v>
      </c>
      <c r="C594" s="293" t="s">
        <v>6059</v>
      </c>
      <c r="D594" s="293" t="s">
        <v>5859</v>
      </c>
      <c r="E594" s="293" t="s">
        <v>6060</v>
      </c>
      <c r="F594" s="293" t="s">
        <v>6537</v>
      </c>
      <c r="G594" s="293" t="s">
        <v>5578</v>
      </c>
      <c r="H594" s="294">
        <v>41455</v>
      </c>
      <c r="I594" s="295">
        <v>-5738.64</v>
      </c>
    </row>
    <row r="595" spans="1:9" x14ac:dyDescent="0.2">
      <c r="A595" s="293" t="s">
        <v>6548</v>
      </c>
      <c r="B595" s="293" t="s">
        <v>5666</v>
      </c>
      <c r="C595" s="293" t="s">
        <v>6062</v>
      </c>
      <c r="D595" s="293" t="s">
        <v>5859</v>
      </c>
      <c r="E595" s="293" t="s">
        <v>6063</v>
      </c>
      <c r="F595" s="293" t="s">
        <v>6537</v>
      </c>
      <c r="G595" s="293" t="s">
        <v>5579</v>
      </c>
      <c r="H595" s="294">
        <v>41455</v>
      </c>
      <c r="I595" s="295">
        <v>-2351.71</v>
      </c>
    </row>
    <row r="596" spans="1:9" x14ac:dyDescent="0.2">
      <c r="A596" s="293" t="s">
        <v>6549</v>
      </c>
      <c r="B596" s="293" t="s">
        <v>5666</v>
      </c>
      <c r="C596" s="293" t="s">
        <v>6065</v>
      </c>
      <c r="D596" s="293" t="s">
        <v>5859</v>
      </c>
      <c r="E596" s="293" t="s">
        <v>6063</v>
      </c>
      <c r="F596" s="293" t="s">
        <v>6537</v>
      </c>
      <c r="G596" s="293" t="s">
        <v>5579</v>
      </c>
      <c r="H596" s="294">
        <v>41455</v>
      </c>
      <c r="I596" s="295">
        <v>-63.12</v>
      </c>
    </row>
    <row r="597" spans="1:9" x14ac:dyDescent="0.2">
      <c r="A597" s="293" t="s">
        <v>6550</v>
      </c>
      <c r="B597" s="293" t="s">
        <v>5666</v>
      </c>
      <c r="C597" s="293" t="s">
        <v>6067</v>
      </c>
      <c r="D597" s="293" t="s">
        <v>5859</v>
      </c>
      <c r="E597" s="293" t="s">
        <v>5817</v>
      </c>
      <c r="F597" s="293" t="s">
        <v>6537</v>
      </c>
      <c r="G597" s="293" t="s">
        <v>5591</v>
      </c>
      <c r="H597" s="294">
        <v>41455</v>
      </c>
      <c r="I597" s="295">
        <v>-6308.36</v>
      </c>
    </row>
    <row r="598" spans="1:9" x14ac:dyDescent="0.2">
      <c r="A598" s="293" t="s">
        <v>6551</v>
      </c>
      <c r="B598" s="293" t="s">
        <v>5666</v>
      </c>
      <c r="C598" s="293" t="s">
        <v>6069</v>
      </c>
      <c r="D598" s="293" t="s">
        <v>5859</v>
      </c>
      <c r="E598" s="293" t="s">
        <v>5817</v>
      </c>
      <c r="F598" s="293" t="s">
        <v>6537</v>
      </c>
      <c r="G598" s="293" t="s">
        <v>5591</v>
      </c>
      <c r="H598" s="294">
        <v>41455</v>
      </c>
      <c r="I598" s="295">
        <v>-7695.19</v>
      </c>
    </row>
    <row r="599" spans="1:9" x14ac:dyDescent="0.2">
      <c r="A599" s="293" t="s">
        <v>6552</v>
      </c>
      <c r="B599" s="293" t="s">
        <v>5666</v>
      </c>
      <c r="C599" s="293" t="s">
        <v>6471</v>
      </c>
      <c r="D599" s="293" t="s">
        <v>5859</v>
      </c>
      <c r="E599" s="293" t="s">
        <v>5744</v>
      </c>
      <c r="F599" s="293" t="s">
        <v>6537</v>
      </c>
      <c r="G599" s="293" t="s">
        <v>5589</v>
      </c>
      <c r="H599" s="294">
        <v>41455</v>
      </c>
      <c r="I599" s="295">
        <v>-7123.53</v>
      </c>
    </row>
    <row r="600" spans="1:9" x14ac:dyDescent="0.2">
      <c r="A600" s="293" t="s">
        <v>6553</v>
      </c>
      <c r="B600" s="293" t="s">
        <v>5666</v>
      </c>
      <c r="C600" s="293" t="s">
        <v>6473</v>
      </c>
      <c r="D600" s="293" t="s">
        <v>5859</v>
      </c>
      <c r="E600" s="293" t="s">
        <v>6474</v>
      </c>
      <c r="F600" s="293" t="s">
        <v>6537</v>
      </c>
      <c r="G600" s="293" t="s">
        <v>5593</v>
      </c>
      <c r="H600" s="294">
        <v>41455</v>
      </c>
      <c r="I600" s="295">
        <v>-14668.67</v>
      </c>
    </row>
    <row r="601" spans="1:9" x14ac:dyDescent="0.2">
      <c r="A601" s="293" t="s">
        <v>6554</v>
      </c>
      <c r="B601" s="293" t="s">
        <v>5666</v>
      </c>
      <c r="C601" s="293" t="s">
        <v>5987</v>
      </c>
      <c r="D601" s="293" t="s">
        <v>5859</v>
      </c>
      <c r="E601" s="293" t="s">
        <v>6555</v>
      </c>
      <c r="F601" s="293" t="s">
        <v>6556</v>
      </c>
      <c r="G601" s="293" t="s">
        <v>5577</v>
      </c>
      <c r="H601" s="294">
        <v>41486</v>
      </c>
      <c r="I601" s="295">
        <v>-4000</v>
      </c>
    </row>
    <row r="602" spans="1:9" x14ac:dyDescent="0.2">
      <c r="A602" s="293" t="s">
        <v>6554</v>
      </c>
      <c r="B602" s="293" t="s">
        <v>5666</v>
      </c>
      <c r="C602" s="293" t="s">
        <v>5987</v>
      </c>
      <c r="D602" s="293" t="s">
        <v>5859</v>
      </c>
      <c r="E602" s="293" t="s">
        <v>6555</v>
      </c>
      <c r="F602" s="293" t="s">
        <v>6556</v>
      </c>
      <c r="G602" s="293" t="s">
        <v>5578</v>
      </c>
      <c r="H602" s="294">
        <v>41486</v>
      </c>
      <c r="I602" s="295">
        <v>-4000</v>
      </c>
    </row>
    <row r="603" spans="1:9" x14ac:dyDescent="0.2">
      <c r="A603" s="293" t="s">
        <v>6554</v>
      </c>
      <c r="B603" s="293" t="s">
        <v>5666</v>
      </c>
      <c r="C603" s="293" t="s">
        <v>5987</v>
      </c>
      <c r="D603" s="293" t="s">
        <v>5859</v>
      </c>
      <c r="E603" s="293" t="s">
        <v>6555</v>
      </c>
      <c r="F603" s="293" t="s">
        <v>6556</v>
      </c>
      <c r="G603" s="293" t="s">
        <v>5637</v>
      </c>
      <c r="H603" s="294">
        <v>41486</v>
      </c>
      <c r="I603" s="295">
        <v>-4000</v>
      </c>
    </row>
    <row r="604" spans="1:9" x14ac:dyDescent="0.2">
      <c r="A604" s="293" t="s">
        <v>6554</v>
      </c>
      <c r="B604" s="293" t="s">
        <v>5666</v>
      </c>
      <c r="C604" s="293" t="s">
        <v>5987</v>
      </c>
      <c r="D604" s="293" t="s">
        <v>5859</v>
      </c>
      <c r="E604" s="293" t="s">
        <v>6555</v>
      </c>
      <c r="F604" s="293" t="s">
        <v>6556</v>
      </c>
      <c r="G604" s="293" t="s">
        <v>5589</v>
      </c>
      <c r="H604" s="294">
        <v>41486</v>
      </c>
      <c r="I604" s="295">
        <v>-3092.33</v>
      </c>
    </row>
    <row r="605" spans="1:9" x14ac:dyDescent="0.2">
      <c r="A605" s="293" t="s">
        <v>6557</v>
      </c>
      <c r="B605" s="293" t="s">
        <v>5983</v>
      </c>
      <c r="C605" s="293" t="s">
        <v>6558</v>
      </c>
      <c r="D605" s="293" t="s">
        <v>5859</v>
      </c>
      <c r="E605" s="293" t="s">
        <v>5088</v>
      </c>
      <c r="F605" s="293" t="s">
        <v>6559</v>
      </c>
      <c r="G605" s="293" t="s">
        <v>5577</v>
      </c>
      <c r="H605" s="294">
        <v>41479</v>
      </c>
      <c r="I605" s="295">
        <v>4000</v>
      </c>
    </row>
    <row r="606" spans="1:9" x14ac:dyDescent="0.2">
      <c r="A606" s="293" t="s">
        <v>6557</v>
      </c>
      <c r="B606" s="293" t="s">
        <v>5983</v>
      </c>
      <c r="C606" s="293" t="s">
        <v>6558</v>
      </c>
      <c r="D606" s="293" t="s">
        <v>5859</v>
      </c>
      <c r="E606" s="293" t="s">
        <v>5088</v>
      </c>
      <c r="F606" s="293" t="s">
        <v>6559</v>
      </c>
      <c r="G606" s="293" t="s">
        <v>5578</v>
      </c>
      <c r="H606" s="294">
        <v>41479</v>
      </c>
      <c r="I606" s="295">
        <v>4000</v>
      </c>
    </row>
    <row r="607" spans="1:9" x14ac:dyDescent="0.2">
      <c r="A607" s="293" t="s">
        <v>6557</v>
      </c>
      <c r="B607" s="293" t="s">
        <v>5983</v>
      </c>
      <c r="C607" s="293" t="s">
        <v>6558</v>
      </c>
      <c r="D607" s="293" t="s">
        <v>5859</v>
      </c>
      <c r="E607" s="293" t="s">
        <v>5088</v>
      </c>
      <c r="F607" s="293" t="s">
        <v>6559</v>
      </c>
      <c r="G607" s="293" t="s">
        <v>5637</v>
      </c>
      <c r="H607" s="294">
        <v>41479</v>
      </c>
      <c r="I607" s="295">
        <v>4000</v>
      </c>
    </row>
    <row r="608" spans="1:9" x14ac:dyDescent="0.2">
      <c r="A608" s="293" t="s">
        <v>6560</v>
      </c>
      <c r="B608" s="293" t="s">
        <v>5666</v>
      </c>
      <c r="C608" s="293" t="s">
        <v>6471</v>
      </c>
      <c r="D608" s="293" t="s">
        <v>5859</v>
      </c>
      <c r="E608" s="293" t="s">
        <v>5744</v>
      </c>
      <c r="F608" s="293" t="s">
        <v>6561</v>
      </c>
      <c r="G608" s="293" t="s">
        <v>5589</v>
      </c>
      <c r="H608" s="294">
        <v>41486</v>
      </c>
      <c r="I608" s="295">
        <v>-7123.53</v>
      </c>
    </row>
    <row r="609" spans="1:9" x14ac:dyDescent="0.2">
      <c r="A609" s="293" t="s">
        <v>6562</v>
      </c>
      <c r="B609" s="293" t="s">
        <v>5666</v>
      </c>
      <c r="C609" s="293" t="s">
        <v>6473</v>
      </c>
      <c r="D609" s="293" t="s">
        <v>5859</v>
      </c>
      <c r="E609" s="293" t="s">
        <v>6474</v>
      </c>
      <c r="F609" s="293" t="s">
        <v>6561</v>
      </c>
      <c r="G609" s="293" t="s">
        <v>5593</v>
      </c>
      <c r="H609" s="294">
        <v>41486</v>
      </c>
      <c r="I609" s="295">
        <v>-14668.67</v>
      </c>
    </row>
    <row r="610" spans="1:9" x14ac:dyDescent="0.2">
      <c r="A610" s="293" t="s">
        <v>6563</v>
      </c>
      <c r="B610" s="293" t="s">
        <v>5666</v>
      </c>
      <c r="C610" s="293" t="s">
        <v>6027</v>
      </c>
      <c r="D610" s="293" t="s">
        <v>5859</v>
      </c>
      <c r="E610" s="293" t="s">
        <v>6028</v>
      </c>
      <c r="F610" s="293" t="s">
        <v>6561</v>
      </c>
      <c r="G610" s="293" t="s">
        <v>5573</v>
      </c>
      <c r="H610" s="294">
        <v>41486</v>
      </c>
      <c r="I610" s="295">
        <v>-6400.96</v>
      </c>
    </row>
    <row r="611" spans="1:9" x14ac:dyDescent="0.2">
      <c r="A611" s="293" t="s">
        <v>6564</v>
      </c>
      <c r="B611" s="293" t="s">
        <v>5666</v>
      </c>
      <c r="C611" s="293" t="s">
        <v>6030</v>
      </c>
      <c r="D611" s="293" t="s">
        <v>5859</v>
      </c>
      <c r="E611" s="293" t="s">
        <v>6028</v>
      </c>
      <c r="F611" s="293" t="s">
        <v>6561</v>
      </c>
      <c r="G611" s="293" t="s">
        <v>5573</v>
      </c>
      <c r="H611" s="294">
        <v>41486</v>
      </c>
      <c r="I611" s="295">
        <v>-130.22</v>
      </c>
    </row>
    <row r="612" spans="1:9" x14ac:dyDescent="0.2">
      <c r="A612" s="293" t="s">
        <v>6565</v>
      </c>
      <c r="B612" s="293" t="s">
        <v>5666</v>
      </c>
      <c r="C612" s="293" t="s">
        <v>6032</v>
      </c>
      <c r="D612" s="293" t="s">
        <v>5859</v>
      </c>
      <c r="E612" s="293" t="s">
        <v>6033</v>
      </c>
      <c r="F612" s="293" t="s">
        <v>6561</v>
      </c>
      <c r="G612" s="293" t="s">
        <v>5585</v>
      </c>
      <c r="H612" s="294">
        <v>41486</v>
      </c>
      <c r="I612" s="295">
        <v>-6872.38</v>
      </c>
    </row>
    <row r="613" spans="1:9" x14ac:dyDescent="0.2">
      <c r="A613" s="293" t="s">
        <v>6566</v>
      </c>
      <c r="B613" s="293" t="s">
        <v>5666</v>
      </c>
      <c r="C613" s="293" t="s">
        <v>6035</v>
      </c>
      <c r="D613" s="293" t="s">
        <v>5859</v>
      </c>
      <c r="E613" s="293" t="s">
        <v>6033</v>
      </c>
      <c r="F613" s="293" t="s">
        <v>6561</v>
      </c>
      <c r="G613" s="293" t="s">
        <v>5585</v>
      </c>
      <c r="H613" s="294">
        <v>41486</v>
      </c>
      <c r="I613" s="295">
        <v>-4630.24</v>
      </c>
    </row>
    <row r="614" spans="1:9" x14ac:dyDescent="0.2">
      <c r="A614" s="293" t="s">
        <v>6567</v>
      </c>
      <c r="B614" s="293" t="s">
        <v>5666</v>
      </c>
      <c r="C614" s="293" t="s">
        <v>6037</v>
      </c>
      <c r="D614" s="293" t="s">
        <v>5859</v>
      </c>
      <c r="E614" s="293" t="s">
        <v>6038</v>
      </c>
      <c r="F614" s="293" t="s">
        <v>6561</v>
      </c>
      <c r="G614" s="293" t="s">
        <v>5586</v>
      </c>
      <c r="H614" s="294">
        <v>41486</v>
      </c>
      <c r="I614" s="295">
        <v>-3059.89</v>
      </c>
    </row>
    <row r="615" spans="1:9" x14ac:dyDescent="0.2">
      <c r="A615" s="293" t="s">
        <v>6568</v>
      </c>
      <c r="B615" s="293" t="s">
        <v>5666</v>
      </c>
      <c r="C615" s="293" t="s">
        <v>6040</v>
      </c>
      <c r="D615" s="293" t="s">
        <v>5859</v>
      </c>
      <c r="E615" s="293" t="s">
        <v>6041</v>
      </c>
      <c r="F615" s="293" t="s">
        <v>6561</v>
      </c>
      <c r="G615" s="293" t="s">
        <v>5581</v>
      </c>
      <c r="H615" s="294">
        <v>41486</v>
      </c>
      <c r="I615" s="295">
        <v>-8058.13</v>
      </c>
    </row>
    <row r="616" spans="1:9" x14ac:dyDescent="0.2">
      <c r="A616" s="293" t="s">
        <v>6569</v>
      </c>
      <c r="B616" s="293" t="s">
        <v>5666</v>
      </c>
      <c r="C616" s="293" t="s">
        <v>6049</v>
      </c>
      <c r="D616" s="293" t="s">
        <v>5859</v>
      </c>
      <c r="E616" s="293" t="s">
        <v>6050</v>
      </c>
      <c r="F616" s="293" t="s">
        <v>6561</v>
      </c>
      <c r="G616" s="293" t="s">
        <v>5590</v>
      </c>
      <c r="H616" s="294">
        <v>41486</v>
      </c>
      <c r="I616" s="295">
        <v>-12467.89</v>
      </c>
    </row>
    <row r="617" spans="1:9" x14ac:dyDescent="0.2">
      <c r="A617" s="293" t="s">
        <v>6570</v>
      </c>
      <c r="B617" s="293" t="s">
        <v>5666</v>
      </c>
      <c r="C617" s="293" t="s">
        <v>6052</v>
      </c>
      <c r="D617" s="293" t="s">
        <v>5859</v>
      </c>
      <c r="E617" s="293" t="s">
        <v>5817</v>
      </c>
      <c r="F617" s="293" t="s">
        <v>6561</v>
      </c>
      <c r="G617" s="293" t="s">
        <v>5577</v>
      </c>
      <c r="H617" s="294">
        <v>41486</v>
      </c>
      <c r="I617" s="295">
        <v>-7696.08</v>
      </c>
    </row>
    <row r="618" spans="1:9" x14ac:dyDescent="0.2">
      <c r="A618" s="293" t="s">
        <v>6571</v>
      </c>
      <c r="B618" s="293" t="s">
        <v>5666</v>
      </c>
      <c r="C618" s="293" t="s">
        <v>6054</v>
      </c>
      <c r="D618" s="293" t="s">
        <v>5859</v>
      </c>
      <c r="E618" s="293" t="s">
        <v>5817</v>
      </c>
      <c r="F618" s="293" t="s">
        <v>6561</v>
      </c>
      <c r="G618" s="293" t="s">
        <v>5577</v>
      </c>
      <c r="H618" s="294">
        <v>41486</v>
      </c>
      <c r="I618" s="295">
        <v>-3633.17</v>
      </c>
    </row>
    <row r="619" spans="1:9" x14ac:dyDescent="0.2">
      <c r="A619" s="293" t="s">
        <v>6572</v>
      </c>
      <c r="B619" s="293" t="s">
        <v>5666</v>
      </c>
      <c r="C619" s="293" t="s">
        <v>6056</v>
      </c>
      <c r="D619" s="293" t="s">
        <v>5859</v>
      </c>
      <c r="E619" s="293" t="s">
        <v>6057</v>
      </c>
      <c r="F619" s="293" t="s">
        <v>6561</v>
      </c>
      <c r="G619" s="293" t="s">
        <v>5578</v>
      </c>
      <c r="H619" s="294">
        <v>41486</v>
      </c>
      <c r="I619" s="295">
        <v>-4399.9399999999996</v>
      </c>
    </row>
    <row r="620" spans="1:9" x14ac:dyDescent="0.2">
      <c r="A620" s="293" t="s">
        <v>6573</v>
      </c>
      <c r="B620" s="293" t="s">
        <v>5666</v>
      </c>
      <c r="C620" s="293" t="s">
        <v>6062</v>
      </c>
      <c r="D620" s="293" t="s">
        <v>5859</v>
      </c>
      <c r="E620" s="293" t="s">
        <v>6063</v>
      </c>
      <c r="F620" s="293" t="s">
        <v>6561</v>
      </c>
      <c r="G620" s="293" t="s">
        <v>5579</v>
      </c>
      <c r="H620" s="294">
        <v>41486</v>
      </c>
      <c r="I620" s="295">
        <v>-2351.71</v>
      </c>
    </row>
    <row r="621" spans="1:9" x14ac:dyDescent="0.2">
      <c r="A621" s="293" t="s">
        <v>6574</v>
      </c>
      <c r="B621" s="293" t="s">
        <v>5666</v>
      </c>
      <c r="C621" s="293" t="s">
        <v>6065</v>
      </c>
      <c r="D621" s="293" t="s">
        <v>5859</v>
      </c>
      <c r="E621" s="293" t="s">
        <v>6063</v>
      </c>
      <c r="F621" s="293" t="s">
        <v>6561</v>
      </c>
      <c r="G621" s="293" t="s">
        <v>5579</v>
      </c>
      <c r="H621" s="294">
        <v>41486</v>
      </c>
      <c r="I621" s="295">
        <v>-63.12</v>
      </c>
    </row>
    <row r="622" spans="1:9" x14ac:dyDescent="0.2">
      <c r="A622" s="293" t="s">
        <v>6575</v>
      </c>
      <c r="B622" s="293" t="s">
        <v>5666</v>
      </c>
      <c r="C622" s="293" t="s">
        <v>6067</v>
      </c>
      <c r="D622" s="293" t="s">
        <v>5859</v>
      </c>
      <c r="E622" s="293" t="s">
        <v>5817</v>
      </c>
      <c r="F622" s="293" t="s">
        <v>6561</v>
      </c>
      <c r="G622" s="293" t="s">
        <v>5591</v>
      </c>
      <c r="H622" s="294">
        <v>41486</v>
      </c>
      <c r="I622" s="295">
        <v>-6308.36</v>
      </c>
    </row>
    <row r="623" spans="1:9" x14ac:dyDescent="0.2">
      <c r="A623" s="293" t="s">
        <v>6576</v>
      </c>
      <c r="B623" s="293" t="s">
        <v>5666</v>
      </c>
      <c r="C623" s="293" t="s">
        <v>6069</v>
      </c>
      <c r="D623" s="293" t="s">
        <v>5859</v>
      </c>
      <c r="E623" s="293" t="s">
        <v>5817</v>
      </c>
      <c r="F623" s="293" t="s">
        <v>6561</v>
      </c>
      <c r="G623" s="293" t="s">
        <v>5591</v>
      </c>
      <c r="H623" s="294">
        <v>41486</v>
      </c>
      <c r="I623" s="295">
        <v>-7695.19</v>
      </c>
    </row>
    <row r="624" spans="1:9" x14ac:dyDescent="0.2">
      <c r="A624" s="293" t="s">
        <v>6577</v>
      </c>
      <c r="B624" s="293" t="s">
        <v>5666</v>
      </c>
      <c r="C624" s="293" t="s">
        <v>6059</v>
      </c>
      <c r="D624" s="293" t="s">
        <v>5859</v>
      </c>
      <c r="E624" s="293" t="s">
        <v>6060</v>
      </c>
      <c r="F624" s="293" t="s">
        <v>6561</v>
      </c>
      <c r="G624" s="293" t="s">
        <v>5578</v>
      </c>
      <c r="H624" s="294">
        <v>41486</v>
      </c>
      <c r="I624" s="295">
        <v>-5738.64</v>
      </c>
    </row>
    <row r="625" spans="1:9" x14ac:dyDescent="0.2">
      <c r="A625" s="293" t="s">
        <v>6578</v>
      </c>
      <c r="B625" s="293" t="s">
        <v>5666</v>
      </c>
      <c r="C625" s="293" t="s">
        <v>6027</v>
      </c>
      <c r="D625" s="293" t="s">
        <v>5859</v>
      </c>
      <c r="E625" s="293" t="s">
        <v>6028</v>
      </c>
      <c r="F625" s="293" t="s">
        <v>6579</v>
      </c>
      <c r="G625" s="293" t="s">
        <v>5573</v>
      </c>
      <c r="H625" s="294">
        <v>41517</v>
      </c>
      <c r="I625" s="295">
        <v>-6400.96</v>
      </c>
    </row>
    <row r="626" spans="1:9" x14ac:dyDescent="0.2">
      <c r="A626" s="293" t="s">
        <v>6580</v>
      </c>
      <c r="B626" s="293" t="s">
        <v>5666</v>
      </c>
      <c r="C626" s="293" t="s">
        <v>6030</v>
      </c>
      <c r="D626" s="293" t="s">
        <v>5859</v>
      </c>
      <c r="E626" s="293" t="s">
        <v>6028</v>
      </c>
      <c r="F626" s="293" t="s">
        <v>6579</v>
      </c>
      <c r="G626" s="293" t="s">
        <v>5573</v>
      </c>
      <c r="H626" s="294">
        <v>41517</v>
      </c>
      <c r="I626" s="295">
        <v>-130.22</v>
      </c>
    </row>
    <row r="627" spans="1:9" x14ac:dyDescent="0.2">
      <c r="A627" s="293" t="s">
        <v>6581</v>
      </c>
      <c r="B627" s="293" t="s">
        <v>5666</v>
      </c>
      <c r="C627" s="293" t="s">
        <v>6032</v>
      </c>
      <c r="D627" s="293" t="s">
        <v>5859</v>
      </c>
      <c r="E627" s="293" t="s">
        <v>6033</v>
      </c>
      <c r="F627" s="293" t="s">
        <v>6579</v>
      </c>
      <c r="G627" s="293" t="s">
        <v>5585</v>
      </c>
      <c r="H627" s="294">
        <v>41517</v>
      </c>
      <c r="I627" s="295">
        <v>-6872.38</v>
      </c>
    </row>
    <row r="628" spans="1:9" x14ac:dyDescent="0.2">
      <c r="A628" s="293" t="s">
        <v>6582</v>
      </c>
      <c r="B628" s="293" t="s">
        <v>5666</v>
      </c>
      <c r="C628" s="293" t="s">
        <v>6035</v>
      </c>
      <c r="D628" s="293" t="s">
        <v>5859</v>
      </c>
      <c r="E628" s="293" t="s">
        <v>6033</v>
      </c>
      <c r="F628" s="293" t="s">
        <v>6579</v>
      </c>
      <c r="G628" s="293" t="s">
        <v>5585</v>
      </c>
      <c r="H628" s="294">
        <v>41517</v>
      </c>
      <c r="I628" s="295">
        <v>-4630.24</v>
      </c>
    </row>
    <row r="629" spans="1:9" x14ac:dyDescent="0.2">
      <c r="A629" s="293" t="s">
        <v>6583</v>
      </c>
      <c r="B629" s="293" t="s">
        <v>5666</v>
      </c>
      <c r="C629" s="293" t="s">
        <v>6037</v>
      </c>
      <c r="D629" s="293" t="s">
        <v>5859</v>
      </c>
      <c r="E629" s="293" t="s">
        <v>6038</v>
      </c>
      <c r="F629" s="293" t="s">
        <v>6579</v>
      </c>
      <c r="G629" s="293" t="s">
        <v>5586</v>
      </c>
      <c r="H629" s="294">
        <v>41517</v>
      </c>
      <c r="I629" s="295">
        <v>-3059.89</v>
      </c>
    </row>
    <row r="630" spans="1:9" x14ac:dyDescent="0.2">
      <c r="A630" s="293" t="s">
        <v>6584</v>
      </c>
      <c r="B630" s="293" t="s">
        <v>5666</v>
      </c>
      <c r="C630" s="293" t="s">
        <v>6040</v>
      </c>
      <c r="D630" s="293" t="s">
        <v>5859</v>
      </c>
      <c r="E630" s="293" t="s">
        <v>6041</v>
      </c>
      <c r="F630" s="293" t="s">
        <v>6579</v>
      </c>
      <c r="G630" s="293" t="s">
        <v>5581</v>
      </c>
      <c r="H630" s="294">
        <v>41517</v>
      </c>
      <c r="I630" s="295">
        <v>-8058.13</v>
      </c>
    </row>
    <row r="631" spans="1:9" x14ac:dyDescent="0.2">
      <c r="A631" s="293" t="s">
        <v>6585</v>
      </c>
      <c r="B631" s="293" t="s">
        <v>5666</v>
      </c>
      <c r="C631" s="293" t="s">
        <v>6049</v>
      </c>
      <c r="D631" s="293" t="s">
        <v>5859</v>
      </c>
      <c r="E631" s="293" t="s">
        <v>6050</v>
      </c>
      <c r="F631" s="293" t="s">
        <v>6579</v>
      </c>
      <c r="G631" s="293" t="s">
        <v>5590</v>
      </c>
      <c r="H631" s="294">
        <v>41517</v>
      </c>
      <c r="I631" s="295">
        <v>-12467.89</v>
      </c>
    </row>
    <row r="632" spans="1:9" x14ac:dyDescent="0.2">
      <c r="A632" s="293" t="s">
        <v>6586</v>
      </c>
      <c r="B632" s="293" t="s">
        <v>5666</v>
      </c>
      <c r="C632" s="293" t="s">
        <v>6052</v>
      </c>
      <c r="D632" s="293" t="s">
        <v>5859</v>
      </c>
      <c r="E632" s="293" t="s">
        <v>5817</v>
      </c>
      <c r="F632" s="293" t="s">
        <v>6579</v>
      </c>
      <c r="G632" s="293" t="s">
        <v>5577</v>
      </c>
      <c r="H632" s="294">
        <v>41517</v>
      </c>
      <c r="I632" s="295">
        <v>-7696.08</v>
      </c>
    </row>
    <row r="633" spans="1:9" x14ac:dyDescent="0.2">
      <c r="A633" s="293" t="s">
        <v>6587</v>
      </c>
      <c r="B633" s="293" t="s">
        <v>5666</v>
      </c>
      <c r="C633" s="293" t="s">
        <v>6054</v>
      </c>
      <c r="D633" s="293" t="s">
        <v>5859</v>
      </c>
      <c r="E633" s="293" t="s">
        <v>5817</v>
      </c>
      <c r="F633" s="293" t="s">
        <v>6579</v>
      </c>
      <c r="G633" s="293" t="s">
        <v>5577</v>
      </c>
      <c r="H633" s="294">
        <v>41517</v>
      </c>
      <c r="I633" s="295">
        <v>-3633.17</v>
      </c>
    </row>
    <row r="634" spans="1:9" x14ac:dyDescent="0.2">
      <c r="A634" s="293" t="s">
        <v>6588</v>
      </c>
      <c r="B634" s="293" t="s">
        <v>5666</v>
      </c>
      <c r="C634" s="293" t="s">
        <v>6056</v>
      </c>
      <c r="D634" s="293" t="s">
        <v>5859</v>
      </c>
      <c r="E634" s="293" t="s">
        <v>6057</v>
      </c>
      <c r="F634" s="293" t="s">
        <v>6579</v>
      </c>
      <c r="G634" s="293" t="s">
        <v>5578</v>
      </c>
      <c r="H634" s="294">
        <v>41517</v>
      </c>
      <c r="I634" s="295">
        <v>-4399.9399999999996</v>
      </c>
    </row>
    <row r="635" spans="1:9" x14ac:dyDescent="0.2">
      <c r="A635" s="293" t="s">
        <v>6589</v>
      </c>
      <c r="B635" s="293" t="s">
        <v>5666</v>
      </c>
      <c r="C635" s="293" t="s">
        <v>6062</v>
      </c>
      <c r="D635" s="293" t="s">
        <v>5859</v>
      </c>
      <c r="E635" s="293" t="s">
        <v>6063</v>
      </c>
      <c r="F635" s="293" t="s">
        <v>6579</v>
      </c>
      <c r="G635" s="293" t="s">
        <v>5579</v>
      </c>
      <c r="H635" s="294">
        <v>41517</v>
      </c>
      <c r="I635" s="295">
        <v>-2351.71</v>
      </c>
    </row>
    <row r="636" spans="1:9" x14ac:dyDescent="0.2">
      <c r="A636" s="293" t="s">
        <v>6590</v>
      </c>
      <c r="B636" s="293" t="s">
        <v>5666</v>
      </c>
      <c r="C636" s="293" t="s">
        <v>6065</v>
      </c>
      <c r="D636" s="293" t="s">
        <v>5859</v>
      </c>
      <c r="E636" s="293" t="s">
        <v>6063</v>
      </c>
      <c r="F636" s="293" t="s">
        <v>6579</v>
      </c>
      <c r="G636" s="293" t="s">
        <v>5579</v>
      </c>
      <c r="H636" s="294">
        <v>41517</v>
      </c>
      <c r="I636" s="295">
        <v>-63.12</v>
      </c>
    </row>
    <row r="637" spans="1:9" x14ac:dyDescent="0.2">
      <c r="A637" s="293" t="s">
        <v>6591</v>
      </c>
      <c r="B637" s="293" t="s">
        <v>5666</v>
      </c>
      <c r="C637" s="293" t="s">
        <v>6067</v>
      </c>
      <c r="D637" s="293" t="s">
        <v>5859</v>
      </c>
      <c r="E637" s="293" t="s">
        <v>5817</v>
      </c>
      <c r="F637" s="293" t="s">
        <v>6579</v>
      </c>
      <c r="G637" s="293" t="s">
        <v>5591</v>
      </c>
      <c r="H637" s="294">
        <v>41517</v>
      </c>
      <c r="I637" s="295">
        <v>-6308.36</v>
      </c>
    </row>
    <row r="638" spans="1:9" x14ac:dyDescent="0.2">
      <c r="A638" s="293" t="s">
        <v>6592</v>
      </c>
      <c r="B638" s="293" t="s">
        <v>5666</v>
      </c>
      <c r="C638" s="293" t="s">
        <v>6069</v>
      </c>
      <c r="D638" s="293" t="s">
        <v>5859</v>
      </c>
      <c r="E638" s="293" t="s">
        <v>5817</v>
      </c>
      <c r="F638" s="293" t="s">
        <v>6579</v>
      </c>
      <c r="G638" s="293" t="s">
        <v>5591</v>
      </c>
      <c r="H638" s="294">
        <v>41517</v>
      </c>
      <c r="I638" s="295">
        <v>-7695.19</v>
      </c>
    </row>
    <row r="639" spans="1:9" x14ac:dyDescent="0.2">
      <c r="A639" s="293" t="s">
        <v>6593</v>
      </c>
      <c r="B639" s="293" t="s">
        <v>5666</v>
      </c>
      <c r="C639" s="293" t="s">
        <v>6059</v>
      </c>
      <c r="D639" s="293" t="s">
        <v>5859</v>
      </c>
      <c r="E639" s="293" t="s">
        <v>6594</v>
      </c>
      <c r="F639" s="293" t="s">
        <v>6579</v>
      </c>
      <c r="G639" s="293" t="s">
        <v>5578</v>
      </c>
      <c r="H639" s="294">
        <v>41517</v>
      </c>
      <c r="I639" s="295">
        <v>-5738.84</v>
      </c>
    </row>
    <row r="640" spans="1:9" x14ac:dyDescent="0.2">
      <c r="A640" s="293" t="s">
        <v>6595</v>
      </c>
      <c r="B640" s="293" t="s">
        <v>5666</v>
      </c>
      <c r="C640" s="293" t="s">
        <v>6471</v>
      </c>
      <c r="D640" s="293" t="s">
        <v>5859</v>
      </c>
      <c r="E640" s="293" t="s">
        <v>5744</v>
      </c>
      <c r="F640" s="293" t="s">
        <v>6579</v>
      </c>
      <c r="G640" s="293" t="s">
        <v>5589</v>
      </c>
      <c r="H640" s="294">
        <v>41517</v>
      </c>
      <c r="I640" s="295">
        <v>-7123.53</v>
      </c>
    </row>
    <row r="641" spans="1:9" x14ac:dyDescent="0.2">
      <c r="A641" s="293" t="s">
        <v>6596</v>
      </c>
      <c r="B641" s="293" t="s">
        <v>5666</v>
      </c>
      <c r="C641" s="293" t="s">
        <v>6473</v>
      </c>
      <c r="D641" s="293" t="s">
        <v>5859</v>
      </c>
      <c r="E641" s="293" t="s">
        <v>6474</v>
      </c>
      <c r="F641" s="293" t="s">
        <v>6579</v>
      </c>
      <c r="G641" s="293" t="s">
        <v>5593</v>
      </c>
      <c r="H641" s="294">
        <v>41517</v>
      </c>
      <c r="I641" s="295">
        <v>-14668.67</v>
      </c>
    </row>
    <row r="642" spans="1:9" x14ac:dyDescent="0.2">
      <c r="A642" s="293" t="s">
        <v>6597</v>
      </c>
      <c r="B642" s="293" t="s">
        <v>6010</v>
      </c>
      <c r="C642" s="293" t="s">
        <v>6598</v>
      </c>
      <c r="D642" s="293" t="s">
        <v>5859</v>
      </c>
      <c r="E642" s="293" t="s">
        <v>5088</v>
      </c>
      <c r="F642" s="293" t="s">
        <v>6599</v>
      </c>
      <c r="G642" s="293" t="s">
        <v>5593</v>
      </c>
      <c r="H642" s="294">
        <v>41542</v>
      </c>
      <c r="I642" s="295">
        <v>3330</v>
      </c>
    </row>
    <row r="643" spans="1:9" x14ac:dyDescent="0.2">
      <c r="A643" s="293" t="s">
        <v>6600</v>
      </c>
      <c r="B643" s="293" t="s">
        <v>5666</v>
      </c>
      <c r="C643" s="293" t="s">
        <v>6027</v>
      </c>
      <c r="D643" s="293" t="s">
        <v>5859</v>
      </c>
      <c r="E643" s="293" t="s">
        <v>6028</v>
      </c>
      <c r="F643" s="293" t="s">
        <v>6601</v>
      </c>
      <c r="G643" s="293" t="s">
        <v>5573</v>
      </c>
      <c r="H643" s="294">
        <v>41547</v>
      </c>
      <c r="I643" s="295">
        <v>-6400.96</v>
      </c>
    </row>
    <row r="644" spans="1:9" x14ac:dyDescent="0.2">
      <c r="A644" s="293" t="s">
        <v>6602</v>
      </c>
      <c r="B644" s="293" t="s">
        <v>5666</v>
      </c>
      <c r="C644" s="293" t="s">
        <v>6030</v>
      </c>
      <c r="D644" s="293" t="s">
        <v>5859</v>
      </c>
      <c r="E644" s="293" t="s">
        <v>6028</v>
      </c>
      <c r="F644" s="293" t="s">
        <v>6601</v>
      </c>
      <c r="G644" s="293" t="s">
        <v>5573</v>
      </c>
      <c r="H644" s="294">
        <v>41547</v>
      </c>
      <c r="I644" s="295">
        <v>-130.22</v>
      </c>
    </row>
    <row r="645" spans="1:9" x14ac:dyDescent="0.2">
      <c r="A645" s="293" t="s">
        <v>6603</v>
      </c>
      <c r="B645" s="293" t="s">
        <v>5666</v>
      </c>
      <c r="C645" s="293" t="s">
        <v>6032</v>
      </c>
      <c r="D645" s="293" t="s">
        <v>5859</v>
      </c>
      <c r="E645" s="293" t="s">
        <v>6033</v>
      </c>
      <c r="F645" s="293" t="s">
        <v>6601</v>
      </c>
      <c r="G645" s="293" t="s">
        <v>5585</v>
      </c>
      <c r="H645" s="294">
        <v>41547</v>
      </c>
      <c r="I645" s="295">
        <v>-6872.38</v>
      </c>
    </row>
    <row r="646" spans="1:9" x14ac:dyDescent="0.2">
      <c r="A646" s="293" t="s">
        <v>6604</v>
      </c>
      <c r="B646" s="293" t="s">
        <v>5666</v>
      </c>
      <c r="C646" s="293" t="s">
        <v>6035</v>
      </c>
      <c r="D646" s="293" t="s">
        <v>5859</v>
      </c>
      <c r="E646" s="293" t="s">
        <v>6033</v>
      </c>
      <c r="F646" s="293" t="s">
        <v>6601</v>
      </c>
      <c r="G646" s="293" t="s">
        <v>5585</v>
      </c>
      <c r="H646" s="294">
        <v>41547</v>
      </c>
      <c r="I646" s="295">
        <v>-4630.24</v>
      </c>
    </row>
    <row r="647" spans="1:9" x14ac:dyDescent="0.2">
      <c r="A647" s="293" t="s">
        <v>6605</v>
      </c>
      <c r="B647" s="293" t="s">
        <v>5666</v>
      </c>
      <c r="C647" s="293" t="s">
        <v>6037</v>
      </c>
      <c r="D647" s="293" t="s">
        <v>5859</v>
      </c>
      <c r="E647" s="293" t="s">
        <v>6038</v>
      </c>
      <c r="F647" s="293" t="s">
        <v>6601</v>
      </c>
      <c r="G647" s="293" t="s">
        <v>5586</v>
      </c>
      <c r="H647" s="294">
        <v>41547</v>
      </c>
      <c r="I647" s="295">
        <v>-3059.89</v>
      </c>
    </row>
    <row r="648" spans="1:9" x14ac:dyDescent="0.2">
      <c r="A648" s="293" t="s">
        <v>6606</v>
      </c>
      <c r="B648" s="293" t="s">
        <v>5666</v>
      </c>
      <c r="C648" s="293" t="s">
        <v>6040</v>
      </c>
      <c r="D648" s="293" t="s">
        <v>5859</v>
      </c>
      <c r="E648" s="293" t="s">
        <v>6041</v>
      </c>
      <c r="F648" s="293" t="s">
        <v>6601</v>
      </c>
      <c r="G648" s="293" t="s">
        <v>5581</v>
      </c>
      <c r="H648" s="294">
        <v>41547</v>
      </c>
      <c r="I648" s="295">
        <v>-8058.13</v>
      </c>
    </row>
    <row r="649" spans="1:9" x14ac:dyDescent="0.2">
      <c r="A649" s="293" t="s">
        <v>6607</v>
      </c>
      <c r="B649" s="293" t="s">
        <v>5666</v>
      </c>
      <c r="C649" s="293" t="s">
        <v>6049</v>
      </c>
      <c r="D649" s="293" t="s">
        <v>5859</v>
      </c>
      <c r="E649" s="293" t="s">
        <v>6050</v>
      </c>
      <c r="F649" s="293" t="s">
        <v>6601</v>
      </c>
      <c r="G649" s="293" t="s">
        <v>5590</v>
      </c>
      <c r="H649" s="294">
        <v>41547</v>
      </c>
      <c r="I649" s="295">
        <v>-12467.89</v>
      </c>
    </row>
    <row r="650" spans="1:9" x14ac:dyDescent="0.2">
      <c r="A650" s="293" t="s">
        <v>6608</v>
      </c>
      <c r="B650" s="293" t="s">
        <v>5666</v>
      </c>
      <c r="C650" s="293" t="s">
        <v>6052</v>
      </c>
      <c r="D650" s="293" t="s">
        <v>5859</v>
      </c>
      <c r="E650" s="293" t="s">
        <v>5817</v>
      </c>
      <c r="F650" s="293" t="s">
        <v>6601</v>
      </c>
      <c r="G650" s="293" t="s">
        <v>5577</v>
      </c>
      <c r="H650" s="294">
        <v>41547</v>
      </c>
      <c r="I650" s="295">
        <v>-7696.08</v>
      </c>
    </row>
    <row r="651" spans="1:9" x14ac:dyDescent="0.2">
      <c r="A651" s="293" t="s">
        <v>6609</v>
      </c>
      <c r="B651" s="293" t="s">
        <v>5666</v>
      </c>
      <c r="C651" s="293" t="s">
        <v>6054</v>
      </c>
      <c r="D651" s="293" t="s">
        <v>5859</v>
      </c>
      <c r="E651" s="293" t="s">
        <v>5817</v>
      </c>
      <c r="F651" s="293" t="s">
        <v>6601</v>
      </c>
      <c r="G651" s="293" t="s">
        <v>5577</v>
      </c>
      <c r="H651" s="294">
        <v>41547</v>
      </c>
      <c r="I651" s="295">
        <v>-3633.17</v>
      </c>
    </row>
    <row r="652" spans="1:9" x14ac:dyDescent="0.2">
      <c r="A652" s="293" t="s">
        <v>6610</v>
      </c>
      <c r="B652" s="293" t="s">
        <v>5666</v>
      </c>
      <c r="C652" s="293" t="s">
        <v>6056</v>
      </c>
      <c r="D652" s="293" t="s">
        <v>5859</v>
      </c>
      <c r="E652" s="293" t="s">
        <v>6057</v>
      </c>
      <c r="F652" s="293" t="s">
        <v>6601</v>
      </c>
      <c r="G652" s="293" t="s">
        <v>5578</v>
      </c>
      <c r="H652" s="294">
        <v>41547</v>
      </c>
      <c r="I652" s="295">
        <v>-4399.9399999999996</v>
      </c>
    </row>
    <row r="653" spans="1:9" x14ac:dyDescent="0.2">
      <c r="A653" s="293" t="s">
        <v>6611</v>
      </c>
      <c r="B653" s="293" t="s">
        <v>5666</v>
      </c>
      <c r="C653" s="293" t="s">
        <v>6062</v>
      </c>
      <c r="D653" s="293" t="s">
        <v>5859</v>
      </c>
      <c r="E653" s="293" t="s">
        <v>6063</v>
      </c>
      <c r="F653" s="293" t="s">
        <v>6601</v>
      </c>
      <c r="G653" s="293" t="s">
        <v>5579</v>
      </c>
      <c r="H653" s="294">
        <v>41547</v>
      </c>
      <c r="I653" s="295">
        <v>-2351.71</v>
      </c>
    </row>
    <row r="654" spans="1:9" x14ac:dyDescent="0.2">
      <c r="A654" s="293" t="s">
        <v>6612</v>
      </c>
      <c r="B654" s="293" t="s">
        <v>5666</v>
      </c>
      <c r="C654" s="293" t="s">
        <v>6065</v>
      </c>
      <c r="D654" s="293" t="s">
        <v>5859</v>
      </c>
      <c r="E654" s="293" t="s">
        <v>6063</v>
      </c>
      <c r="F654" s="293" t="s">
        <v>6601</v>
      </c>
      <c r="G654" s="293" t="s">
        <v>5579</v>
      </c>
      <c r="H654" s="294">
        <v>41547</v>
      </c>
      <c r="I654" s="295">
        <v>-63.12</v>
      </c>
    </row>
    <row r="655" spans="1:9" x14ac:dyDescent="0.2">
      <c r="A655" s="293" t="s">
        <v>6613</v>
      </c>
      <c r="B655" s="293" t="s">
        <v>5666</v>
      </c>
      <c r="C655" s="293" t="s">
        <v>6067</v>
      </c>
      <c r="D655" s="293" t="s">
        <v>5859</v>
      </c>
      <c r="E655" s="293" t="s">
        <v>5817</v>
      </c>
      <c r="F655" s="293" t="s">
        <v>6601</v>
      </c>
      <c r="G655" s="293" t="s">
        <v>5591</v>
      </c>
      <c r="H655" s="294">
        <v>41547</v>
      </c>
      <c r="I655" s="295">
        <v>-6308.36</v>
      </c>
    </row>
    <row r="656" spans="1:9" x14ac:dyDescent="0.2">
      <c r="A656" s="293" t="s">
        <v>6614</v>
      </c>
      <c r="B656" s="293" t="s">
        <v>5666</v>
      </c>
      <c r="C656" s="293" t="s">
        <v>6069</v>
      </c>
      <c r="D656" s="293" t="s">
        <v>5859</v>
      </c>
      <c r="E656" s="293" t="s">
        <v>5817</v>
      </c>
      <c r="F656" s="293" t="s">
        <v>6601</v>
      </c>
      <c r="G656" s="293" t="s">
        <v>5591</v>
      </c>
      <c r="H656" s="294">
        <v>41547</v>
      </c>
      <c r="I656" s="295">
        <v>-7695.19</v>
      </c>
    </row>
    <row r="657" spans="1:9" x14ac:dyDescent="0.2">
      <c r="A657" s="293" t="s">
        <v>6615</v>
      </c>
      <c r="B657" s="293" t="s">
        <v>5666</v>
      </c>
      <c r="C657" s="293" t="s">
        <v>6471</v>
      </c>
      <c r="D657" s="293" t="s">
        <v>5859</v>
      </c>
      <c r="E657" s="293" t="s">
        <v>5744</v>
      </c>
      <c r="F657" s="293" t="s">
        <v>6601</v>
      </c>
      <c r="G657" s="293" t="s">
        <v>5589</v>
      </c>
      <c r="H657" s="294">
        <v>41547</v>
      </c>
      <c r="I657" s="295">
        <v>-7123.53</v>
      </c>
    </row>
    <row r="658" spans="1:9" x14ac:dyDescent="0.2">
      <c r="A658" s="293" t="s">
        <v>6616</v>
      </c>
      <c r="B658" s="293" t="s">
        <v>5666</v>
      </c>
      <c r="C658" s="293" t="s">
        <v>6473</v>
      </c>
      <c r="D658" s="293" t="s">
        <v>5859</v>
      </c>
      <c r="E658" s="293" t="s">
        <v>6474</v>
      </c>
      <c r="F658" s="293" t="s">
        <v>6601</v>
      </c>
      <c r="G658" s="293" t="s">
        <v>5593</v>
      </c>
      <c r="H658" s="294">
        <v>41547</v>
      </c>
      <c r="I658" s="295">
        <v>-14668.67</v>
      </c>
    </row>
    <row r="659" spans="1:9" x14ac:dyDescent="0.2">
      <c r="A659" s="293" t="s">
        <v>6617</v>
      </c>
      <c r="B659" s="293" t="s">
        <v>5666</v>
      </c>
      <c r="C659" s="293" t="s">
        <v>6618</v>
      </c>
      <c r="D659" s="293" t="s">
        <v>5859</v>
      </c>
      <c r="E659" s="293" t="s">
        <v>5088</v>
      </c>
      <c r="F659" s="293" t="s">
        <v>6619</v>
      </c>
      <c r="G659" s="293" t="s">
        <v>5589</v>
      </c>
      <c r="H659" s="294">
        <v>41547</v>
      </c>
      <c r="I659" s="295">
        <v>0.01</v>
      </c>
    </row>
    <row r="660" spans="1:9" x14ac:dyDescent="0.2">
      <c r="A660" s="293" t="s">
        <v>6617</v>
      </c>
      <c r="B660" s="293" t="s">
        <v>5666</v>
      </c>
      <c r="C660" s="293" t="s">
        <v>6618</v>
      </c>
      <c r="D660" s="293" t="s">
        <v>5859</v>
      </c>
      <c r="E660" s="293" t="s">
        <v>5088</v>
      </c>
      <c r="F660" s="293" t="s">
        <v>6619</v>
      </c>
      <c r="G660" s="293" t="s">
        <v>5593</v>
      </c>
      <c r="H660" s="294">
        <v>41547</v>
      </c>
      <c r="I660" s="295">
        <v>0.01</v>
      </c>
    </row>
    <row r="661" spans="1:9" x14ac:dyDescent="0.2">
      <c r="A661" s="293" t="s">
        <v>6620</v>
      </c>
      <c r="B661" s="293" t="s">
        <v>5666</v>
      </c>
      <c r="C661" s="293" t="s">
        <v>6027</v>
      </c>
      <c r="D661" s="293" t="s">
        <v>5859</v>
      </c>
      <c r="E661" s="293" t="s">
        <v>6028</v>
      </c>
      <c r="F661" s="293" t="s">
        <v>6621</v>
      </c>
      <c r="G661" s="293" t="s">
        <v>5573</v>
      </c>
      <c r="H661" s="294">
        <v>41578</v>
      </c>
      <c r="I661" s="295">
        <v>-6400.96</v>
      </c>
    </row>
    <row r="662" spans="1:9" x14ac:dyDescent="0.2">
      <c r="A662" s="293" t="s">
        <v>6622</v>
      </c>
      <c r="B662" s="293" t="s">
        <v>5666</v>
      </c>
      <c r="C662" s="293" t="s">
        <v>6030</v>
      </c>
      <c r="D662" s="293" t="s">
        <v>5859</v>
      </c>
      <c r="E662" s="293" t="s">
        <v>6028</v>
      </c>
      <c r="F662" s="293" t="s">
        <v>6621</v>
      </c>
      <c r="G662" s="293" t="s">
        <v>5573</v>
      </c>
      <c r="H662" s="294">
        <v>41578</v>
      </c>
      <c r="I662" s="295">
        <v>-130.22</v>
      </c>
    </row>
    <row r="663" spans="1:9" x14ac:dyDescent="0.2">
      <c r="A663" s="293" t="s">
        <v>6623</v>
      </c>
      <c r="B663" s="293" t="s">
        <v>5666</v>
      </c>
      <c r="C663" s="293" t="s">
        <v>6032</v>
      </c>
      <c r="D663" s="293" t="s">
        <v>5859</v>
      </c>
      <c r="E663" s="293" t="s">
        <v>6033</v>
      </c>
      <c r="F663" s="293" t="s">
        <v>6621</v>
      </c>
      <c r="G663" s="293" t="s">
        <v>5585</v>
      </c>
      <c r="H663" s="294">
        <v>41578</v>
      </c>
      <c r="I663" s="295">
        <v>-6872.38</v>
      </c>
    </row>
    <row r="664" spans="1:9" x14ac:dyDescent="0.2">
      <c r="A664" s="293" t="s">
        <v>6624</v>
      </c>
      <c r="B664" s="293" t="s">
        <v>5666</v>
      </c>
      <c r="C664" s="293" t="s">
        <v>6035</v>
      </c>
      <c r="D664" s="293" t="s">
        <v>5859</v>
      </c>
      <c r="E664" s="293" t="s">
        <v>6033</v>
      </c>
      <c r="F664" s="293" t="s">
        <v>6621</v>
      </c>
      <c r="G664" s="293" t="s">
        <v>5585</v>
      </c>
      <c r="H664" s="294">
        <v>41578</v>
      </c>
      <c r="I664" s="295">
        <v>-4630.24</v>
      </c>
    </row>
    <row r="665" spans="1:9" x14ac:dyDescent="0.2">
      <c r="A665" s="293" t="s">
        <v>6625</v>
      </c>
      <c r="B665" s="293" t="s">
        <v>5666</v>
      </c>
      <c r="C665" s="293" t="s">
        <v>6037</v>
      </c>
      <c r="D665" s="293" t="s">
        <v>5859</v>
      </c>
      <c r="E665" s="293" t="s">
        <v>6038</v>
      </c>
      <c r="F665" s="293" t="s">
        <v>6621</v>
      </c>
      <c r="G665" s="293" t="s">
        <v>5586</v>
      </c>
      <c r="H665" s="294">
        <v>41578</v>
      </c>
      <c r="I665" s="295">
        <v>-3059.89</v>
      </c>
    </row>
    <row r="666" spans="1:9" x14ac:dyDescent="0.2">
      <c r="A666" s="293" t="s">
        <v>6626</v>
      </c>
      <c r="B666" s="293" t="s">
        <v>5666</v>
      </c>
      <c r="C666" s="293" t="s">
        <v>6040</v>
      </c>
      <c r="D666" s="293" t="s">
        <v>5859</v>
      </c>
      <c r="E666" s="293" t="s">
        <v>6041</v>
      </c>
      <c r="F666" s="293" t="s">
        <v>6621</v>
      </c>
      <c r="G666" s="293" t="s">
        <v>5581</v>
      </c>
      <c r="H666" s="294">
        <v>41578</v>
      </c>
      <c r="I666" s="295">
        <v>-8058.13</v>
      </c>
    </row>
    <row r="667" spans="1:9" x14ac:dyDescent="0.2">
      <c r="A667" s="293" t="s">
        <v>6627</v>
      </c>
      <c r="B667" s="293" t="s">
        <v>5666</v>
      </c>
      <c r="C667" s="293" t="s">
        <v>6049</v>
      </c>
      <c r="D667" s="293" t="s">
        <v>5859</v>
      </c>
      <c r="E667" s="293" t="s">
        <v>6050</v>
      </c>
      <c r="F667" s="293" t="s">
        <v>6621</v>
      </c>
      <c r="G667" s="293" t="s">
        <v>5590</v>
      </c>
      <c r="H667" s="294">
        <v>41578</v>
      </c>
      <c r="I667" s="295">
        <v>-12467.89</v>
      </c>
    </row>
    <row r="668" spans="1:9" x14ac:dyDescent="0.2">
      <c r="A668" s="293" t="s">
        <v>6628</v>
      </c>
      <c r="B668" s="293" t="s">
        <v>5666</v>
      </c>
      <c r="C668" s="293" t="s">
        <v>6052</v>
      </c>
      <c r="D668" s="293" t="s">
        <v>5859</v>
      </c>
      <c r="E668" s="293" t="s">
        <v>5817</v>
      </c>
      <c r="F668" s="293" t="s">
        <v>6621</v>
      </c>
      <c r="G668" s="293" t="s">
        <v>5577</v>
      </c>
      <c r="H668" s="294">
        <v>41578</v>
      </c>
      <c r="I668" s="295">
        <v>-7696.08</v>
      </c>
    </row>
    <row r="669" spans="1:9" x14ac:dyDescent="0.2">
      <c r="A669" s="293" t="s">
        <v>6629</v>
      </c>
      <c r="B669" s="293" t="s">
        <v>5666</v>
      </c>
      <c r="C669" s="293" t="s">
        <v>6054</v>
      </c>
      <c r="D669" s="293" t="s">
        <v>5859</v>
      </c>
      <c r="E669" s="293" t="s">
        <v>5817</v>
      </c>
      <c r="F669" s="293" t="s">
        <v>6621</v>
      </c>
      <c r="G669" s="293" t="s">
        <v>5577</v>
      </c>
      <c r="H669" s="294">
        <v>41578</v>
      </c>
      <c r="I669" s="295">
        <v>-3633.17</v>
      </c>
    </row>
    <row r="670" spans="1:9" x14ac:dyDescent="0.2">
      <c r="A670" s="293" t="s">
        <v>6630</v>
      </c>
      <c r="B670" s="293" t="s">
        <v>5666</v>
      </c>
      <c r="C670" s="293" t="s">
        <v>6056</v>
      </c>
      <c r="D670" s="293" t="s">
        <v>5859</v>
      </c>
      <c r="E670" s="293" t="s">
        <v>6057</v>
      </c>
      <c r="F670" s="293" t="s">
        <v>6621</v>
      </c>
      <c r="G670" s="293" t="s">
        <v>5578</v>
      </c>
      <c r="H670" s="294">
        <v>41578</v>
      </c>
      <c r="I670" s="295">
        <v>-4399.9399999999996</v>
      </c>
    </row>
    <row r="671" spans="1:9" x14ac:dyDescent="0.2">
      <c r="A671" s="293" t="s">
        <v>6631</v>
      </c>
      <c r="B671" s="293" t="s">
        <v>5666</v>
      </c>
      <c r="C671" s="293" t="s">
        <v>6062</v>
      </c>
      <c r="D671" s="293" t="s">
        <v>5859</v>
      </c>
      <c r="E671" s="293" t="s">
        <v>6063</v>
      </c>
      <c r="F671" s="293" t="s">
        <v>6621</v>
      </c>
      <c r="G671" s="293" t="s">
        <v>5579</v>
      </c>
      <c r="H671" s="294">
        <v>41578</v>
      </c>
      <c r="I671" s="295">
        <v>-2351.71</v>
      </c>
    </row>
    <row r="672" spans="1:9" x14ac:dyDescent="0.2">
      <c r="A672" s="293" t="s">
        <v>6632</v>
      </c>
      <c r="B672" s="293" t="s">
        <v>5666</v>
      </c>
      <c r="C672" s="293" t="s">
        <v>6065</v>
      </c>
      <c r="D672" s="293" t="s">
        <v>5859</v>
      </c>
      <c r="E672" s="293" t="s">
        <v>6063</v>
      </c>
      <c r="F672" s="293" t="s">
        <v>6621</v>
      </c>
      <c r="G672" s="293" t="s">
        <v>5579</v>
      </c>
      <c r="H672" s="294">
        <v>41578</v>
      </c>
      <c r="I672" s="295">
        <v>-63.12</v>
      </c>
    </row>
    <row r="673" spans="1:9" x14ac:dyDescent="0.2">
      <c r="A673" s="293" t="s">
        <v>6633</v>
      </c>
      <c r="B673" s="293" t="s">
        <v>5666</v>
      </c>
      <c r="C673" s="293" t="s">
        <v>6067</v>
      </c>
      <c r="D673" s="293" t="s">
        <v>5859</v>
      </c>
      <c r="E673" s="293" t="s">
        <v>5817</v>
      </c>
      <c r="F673" s="293" t="s">
        <v>6621</v>
      </c>
      <c r="G673" s="293" t="s">
        <v>5591</v>
      </c>
      <c r="H673" s="294">
        <v>41578</v>
      </c>
      <c r="I673" s="295">
        <v>-6308.36</v>
      </c>
    </row>
    <row r="674" spans="1:9" x14ac:dyDescent="0.2">
      <c r="A674" s="293" t="s">
        <v>6634</v>
      </c>
      <c r="B674" s="293" t="s">
        <v>5666</v>
      </c>
      <c r="C674" s="293" t="s">
        <v>6069</v>
      </c>
      <c r="D674" s="293" t="s">
        <v>5859</v>
      </c>
      <c r="E674" s="293" t="s">
        <v>5817</v>
      </c>
      <c r="F674" s="293" t="s">
        <v>6621</v>
      </c>
      <c r="G674" s="293" t="s">
        <v>5591</v>
      </c>
      <c r="H674" s="294">
        <v>41578</v>
      </c>
      <c r="I674" s="295">
        <v>-7695.19</v>
      </c>
    </row>
    <row r="675" spans="1:9" x14ac:dyDescent="0.2">
      <c r="A675" s="293" t="s">
        <v>6635</v>
      </c>
      <c r="B675" s="293" t="s">
        <v>5666</v>
      </c>
      <c r="C675" s="293" t="s">
        <v>6471</v>
      </c>
      <c r="D675" s="293" t="s">
        <v>5859</v>
      </c>
      <c r="E675" s="293" t="s">
        <v>5744</v>
      </c>
      <c r="F675" s="293" t="s">
        <v>6621</v>
      </c>
      <c r="G675" s="293" t="s">
        <v>5589</v>
      </c>
      <c r="H675" s="294">
        <v>41578</v>
      </c>
      <c r="I675" s="295">
        <v>-7123.53</v>
      </c>
    </row>
    <row r="676" spans="1:9" x14ac:dyDescent="0.2">
      <c r="A676" s="293" t="s">
        <v>6636</v>
      </c>
      <c r="B676" s="293" t="s">
        <v>5666</v>
      </c>
      <c r="C676" s="293" t="s">
        <v>6473</v>
      </c>
      <c r="D676" s="293" t="s">
        <v>5859</v>
      </c>
      <c r="E676" s="293" t="s">
        <v>6474</v>
      </c>
      <c r="F676" s="293" t="s">
        <v>6621</v>
      </c>
      <c r="G676" s="293" t="s">
        <v>5593</v>
      </c>
      <c r="H676" s="294">
        <v>41578</v>
      </c>
      <c r="I676" s="295">
        <v>-14668.67</v>
      </c>
    </row>
    <row r="677" spans="1:9" x14ac:dyDescent="0.2">
      <c r="A677" s="293" t="s">
        <v>6637</v>
      </c>
      <c r="B677" s="293" t="s">
        <v>5666</v>
      </c>
      <c r="C677" s="293" t="s">
        <v>5987</v>
      </c>
      <c r="D677" s="293" t="s">
        <v>5859</v>
      </c>
      <c r="E677" s="293" t="s">
        <v>5088</v>
      </c>
      <c r="F677" s="293" t="s">
        <v>6638</v>
      </c>
      <c r="G677" s="293" t="s">
        <v>5593</v>
      </c>
      <c r="H677" s="294">
        <v>41578</v>
      </c>
      <c r="I677" s="295">
        <v>-3330</v>
      </c>
    </row>
    <row r="678" spans="1:9" x14ac:dyDescent="0.2">
      <c r="A678" s="293" t="s">
        <v>6639</v>
      </c>
      <c r="B678" s="293" t="s">
        <v>5666</v>
      </c>
      <c r="C678" s="293" t="s">
        <v>6027</v>
      </c>
      <c r="D678" s="293" t="s">
        <v>5859</v>
      </c>
      <c r="E678" s="293" t="s">
        <v>6028</v>
      </c>
      <c r="F678" s="293" t="s">
        <v>6640</v>
      </c>
      <c r="G678" s="293" t="s">
        <v>5573</v>
      </c>
      <c r="H678" s="294">
        <v>41608</v>
      </c>
      <c r="I678" s="295">
        <v>-6400.96</v>
      </c>
    </row>
    <row r="679" spans="1:9" x14ac:dyDescent="0.2">
      <c r="A679" s="293" t="s">
        <v>6641</v>
      </c>
      <c r="B679" s="293" t="s">
        <v>5666</v>
      </c>
      <c r="C679" s="293" t="s">
        <v>6030</v>
      </c>
      <c r="D679" s="293" t="s">
        <v>5859</v>
      </c>
      <c r="E679" s="293" t="s">
        <v>6028</v>
      </c>
      <c r="F679" s="293" t="s">
        <v>6640</v>
      </c>
      <c r="G679" s="293" t="s">
        <v>5573</v>
      </c>
      <c r="H679" s="294">
        <v>41608</v>
      </c>
      <c r="I679" s="295">
        <v>-130.22</v>
      </c>
    </row>
    <row r="680" spans="1:9" x14ac:dyDescent="0.2">
      <c r="A680" s="293" t="s">
        <v>6642</v>
      </c>
      <c r="B680" s="293" t="s">
        <v>5666</v>
      </c>
      <c r="C680" s="293" t="s">
        <v>6032</v>
      </c>
      <c r="D680" s="293" t="s">
        <v>5859</v>
      </c>
      <c r="E680" s="293" t="s">
        <v>6033</v>
      </c>
      <c r="F680" s="293" t="s">
        <v>6640</v>
      </c>
      <c r="G680" s="293" t="s">
        <v>5585</v>
      </c>
      <c r="H680" s="294">
        <v>41608</v>
      </c>
      <c r="I680" s="295">
        <v>-6872.38</v>
      </c>
    </row>
    <row r="681" spans="1:9" x14ac:dyDescent="0.2">
      <c r="A681" s="293" t="s">
        <v>6643</v>
      </c>
      <c r="B681" s="293" t="s">
        <v>5666</v>
      </c>
      <c r="C681" s="293" t="s">
        <v>6035</v>
      </c>
      <c r="D681" s="293" t="s">
        <v>5859</v>
      </c>
      <c r="E681" s="293" t="s">
        <v>6033</v>
      </c>
      <c r="F681" s="293" t="s">
        <v>6640</v>
      </c>
      <c r="G681" s="293" t="s">
        <v>5585</v>
      </c>
      <c r="H681" s="294">
        <v>41608</v>
      </c>
      <c r="I681" s="295">
        <v>-4630.24</v>
      </c>
    </row>
    <row r="682" spans="1:9" x14ac:dyDescent="0.2">
      <c r="A682" s="293" t="s">
        <v>6644</v>
      </c>
      <c r="B682" s="293" t="s">
        <v>5666</v>
      </c>
      <c r="C682" s="293" t="s">
        <v>6037</v>
      </c>
      <c r="D682" s="293" t="s">
        <v>5859</v>
      </c>
      <c r="E682" s="293" t="s">
        <v>6038</v>
      </c>
      <c r="F682" s="293" t="s">
        <v>6640</v>
      </c>
      <c r="G682" s="293" t="s">
        <v>5586</v>
      </c>
      <c r="H682" s="294">
        <v>41608</v>
      </c>
      <c r="I682" s="295">
        <v>-3059.89</v>
      </c>
    </row>
    <row r="683" spans="1:9" x14ac:dyDescent="0.2">
      <c r="A683" s="293" t="s">
        <v>6645</v>
      </c>
      <c r="B683" s="293" t="s">
        <v>5666</v>
      </c>
      <c r="C683" s="293" t="s">
        <v>6040</v>
      </c>
      <c r="D683" s="293" t="s">
        <v>5859</v>
      </c>
      <c r="E683" s="293" t="s">
        <v>6041</v>
      </c>
      <c r="F683" s="293" t="s">
        <v>6640</v>
      </c>
      <c r="G683" s="293" t="s">
        <v>5581</v>
      </c>
      <c r="H683" s="294">
        <v>41608</v>
      </c>
      <c r="I683" s="295">
        <v>-8058.13</v>
      </c>
    </row>
    <row r="684" spans="1:9" x14ac:dyDescent="0.2">
      <c r="A684" s="293" t="s">
        <v>6646</v>
      </c>
      <c r="B684" s="293" t="s">
        <v>5666</v>
      </c>
      <c r="C684" s="293" t="s">
        <v>6049</v>
      </c>
      <c r="D684" s="293" t="s">
        <v>5859</v>
      </c>
      <c r="E684" s="293" t="s">
        <v>6050</v>
      </c>
      <c r="F684" s="293" t="s">
        <v>6640</v>
      </c>
      <c r="G684" s="293" t="s">
        <v>5590</v>
      </c>
      <c r="H684" s="294">
        <v>41608</v>
      </c>
      <c r="I684" s="295">
        <v>-12467.89</v>
      </c>
    </row>
    <row r="685" spans="1:9" x14ac:dyDescent="0.2">
      <c r="A685" s="293" t="s">
        <v>6647</v>
      </c>
      <c r="B685" s="293" t="s">
        <v>5666</v>
      </c>
      <c r="C685" s="293" t="s">
        <v>6052</v>
      </c>
      <c r="D685" s="293" t="s">
        <v>5859</v>
      </c>
      <c r="E685" s="293" t="s">
        <v>5817</v>
      </c>
      <c r="F685" s="293" t="s">
        <v>6640</v>
      </c>
      <c r="G685" s="293" t="s">
        <v>5577</v>
      </c>
      <c r="H685" s="294">
        <v>41608</v>
      </c>
      <c r="I685" s="295">
        <v>-7696.08</v>
      </c>
    </row>
    <row r="686" spans="1:9" x14ac:dyDescent="0.2">
      <c r="A686" s="293" t="s">
        <v>6648</v>
      </c>
      <c r="B686" s="293" t="s">
        <v>5666</v>
      </c>
      <c r="C686" s="293" t="s">
        <v>6054</v>
      </c>
      <c r="D686" s="293" t="s">
        <v>5859</v>
      </c>
      <c r="E686" s="293" t="s">
        <v>5817</v>
      </c>
      <c r="F686" s="293" t="s">
        <v>6640</v>
      </c>
      <c r="G686" s="293" t="s">
        <v>5577</v>
      </c>
      <c r="H686" s="294">
        <v>41608</v>
      </c>
      <c r="I686" s="295">
        <v>-3633.17</v>
      </c>
    </row>
    <row r="687" spans="1:9" x14ac:dyDescent="0.2">
      <c r="A687" s="293" t="s">
        <v>6649</v>
      </c>
      <c r="B687" s="293" t="s">
        <v>5666</v>
      </c>
      <c r="C687" s="293" t="s">
        <v>6056</v>
      </c>
      <c r="D687" s="293" t="s">
        <v>5859</v>
      </c>
      <c r="E687" s="293" t="s">
        <v>6057</v>
      </c>
      <c r="F687" s="293" t="s">
        <v>6640</v>
      </c>
      <c r="G687" s="293" t="s">
        <v>5578</v>
      </c>
      <c r="H687" s="294">
        <v>41608</v>
      </c>
      <c r="I687" s="295">
        <v>-4399.9399999999996</v>
      </c>
    </row>
    <row r="688" spans="1:9" x14ac:dyDescent="0.2">
      <c r="A688" s="293" t="s">
        <v>6650</v>
      </c>
      <c r="B688" s="293" t="s">
        <v>5666</v>
      </c>
      <c r="C688" s="293" t="s">
        <v>6062</v>
      </c>
      <c r="D688" s="293" t="s">
        <v>5859</v>
      </c>
      <c r="E688" s="293" t="s">
        <v>6063</v>
      </c>
      <c r="F688" s="293" t="s">
        <v>6640</v>
      </c>
      <c r="G688" s="293" t="s">
        <v>5579</v>
      </c>
      <c r="H688" s="294">
        <v>41608</v>
      </c>
      <c r="I688" s="295">
        <v>-2351.71</v>
      </c>
    </row>
    <row r="689" spans="1:9" x14ac:dyDescent="0.2">
      <c r="A689" s="293" t="s">
        <v>6651</v>
      </c>
      <c r="B689" s="293" t="s">
        <v>5666</v>
      </c>
      <c r="C689" s="293" t="s">
        <v>6065</v>
      </c>
      <c r="D689" s="293" t="s">
        <v>5859</v>
      </c>
      <c r="E689" s="293" t="s">
        <v>6063</v>
      </c>
      <c r="F689" s="293" t="s">
        <v>6640</v>
      </c>
      <c r="G689" s="293" t="s">
        <v>5579</v>
      </c>
      <c r="H689" s="294">
        <v>41608</v>
      </c>
      <c r="I689" s="295">
        <v>-63.12</v>
      </c>
    </row>
    <row r="690" spans="1:9" x14ac:dyDescent="0.2">
      <c r="A690" s="293" t="s">
        <v>6652</v>
      </c>
      <c r="B690" s="293" t="s">
        <v>5666</v>
      </c>
      <c r="C690" s="293" t="s">
        <v>6067</v>
      </c>
      <c r="D690" s="293" t="s">
        <v>5859</v>
      </c>
      <c r="E690" s="293" t="s">
        <v>5817</v>
      </c>
      <c r="F690" s="293" t="s">
        <v>6640</v>
      </c>
      <c r="G690" s="293" t="s">
        <v>5591</v>
      </c>
      <c r="H690" s="294">
        <v>41608</v>
      </c>
      <c r="I690" s="295">
        <v>-6308.36</v>
      </c>
    </row>
    <row r="691" spans="1:9" x14ac:dyDescent="0.2">
      <c r="A691" s="293" t="s">
        <v>6653</v>
      </c>
      <c r="B691" s="293" t="s">
        <v>5666</v>
      </c>
      <c r="C691" s="293" t="s">
        <v>6069</v>
      </c>
      <c r="D691" s="293" t="s">
        <v>5859</v>
      </c>
      <c r="E691" s="293" t="s">
        <v>5817</v>
      </c>
      <c r="F691" s="293" t="s">
        <v>6640</v>
      </c>
      <c r="G691" s="293" t="s">
        <v>5591</v>
      </c>
      <c r="H691" s="294">
        <v>41608</v>
      </c>
      <c r="I691" s="295">
        <v>-7695.19</v>
      </c>
    </row>
    <row r="692" spans="1:9" x14ac:dyDescent="0.2">
      <c r="A692" s="293" t="s">
        <v>6654</v>
      </c>
      <c r="B692" s="293" t="s">
        <v>5666</v>
      </c>
      <c r="C692" s="293" t="s">
        <v>6471</v>
      </c>
      <c r="D692" s="293" t="s">
        <v>5859</v>
      </c>
      <c r="E692" s="293" t="s">
        <v>5744</v>
      </c>
      <c r="F692" s="293" t="s">
        <v>6640</v>
      </c>
      <c r="G692" s="293" t="s">
        <v>5589</v>
      </c>
      <c r="H692" s="294">
        <v>41608</v>
      </c>
      <c r="I692" s="295">
        <v>-7123.53</v>
      </c>
    </row>
    <row r="693" spans="1:9" x14ac:dyDescent="0.2">
      <c r="A693" s="293" t="s">
        <v>6655</v>
      </c>
      <c r="B693" s="293" t="s">
        <v>5666</v>
      </c>
      <c r="C693" s="293" t="s">
        <v>6473</v>
      </c>
      <c r="D693" s="293" t="s">
        <v>5859</v>
      </c>
      <c r="E693" s="293" t="s">
        <v>6474</v>
      </c>
      <c r="F693" s="293" t="s">
        <v>6640</v>
      </c>
      <c r="G693" s="293" t="s">
        <v>5593</v>
      </c>
      <c r="H693" s="294">
        <v>41608</v>
      </c>
      <c r="I693" s="295">
        <v>-14668.67</v>
      </c>
    </row>
    <row r="694" spans="1:9" x14ac:dyDescent="0.2">
      <c r="A694" s="293" t="s">
        <v>6656</v>
      </c>
      <c r="B694" s="293" t="s">
        <v>5666</v>
      </c>
      <c r="C694" s="293" t="s">
        <v>6027</v>
      </c>
      <c r="D694" s="293" t="s">
        <v>5859</v>
      </c>
      <c r="E694" s="293" t="s">
        <v>6028</v>
      </c>
      <c r="F694" s="293" t="s">
        <v>6657</v>
      </c>
      <c r="G694" s="293" t="s">
        <v>5573</v>
      </c>
      <c r="H694" s="294">
        <v>41639</v>
      </c>
      <c r="I694" s="295">
        <v>-6400.96</v>
      </c>
    </row>
    <row r="695" spans="1:9" x14ac:dyDescent="0.2">
      <c r="A695" s="293" t="s">
        <v>6658</v>
      </c>
      <c r="B695" s="293" t="s">
        <v>5666</v>
      </c>
      <c r="C695" s="293" t="s">
        <v>6030</v>
      </c>
      <c r="D695" s="293" t="s">
        <v>5859</v>
      </c>
      <c r="E695" s="293" t="s">
        <v>6028</v>
      </c>
      <c r="F695" s="293" t="s">
        <v>6657</v>
      </c>
      <c r="G695" s="293" t="s">
        <v>5573</v>
      </c>
      <c r="H695" s="294">
        <v>41639</v>
      </c>
      <c r="I695" s="295">
        <v>-130.22</v>
      </c>
    </row>
    <row r="696" spans="1:9" x14ac:dyDescent="0.2">
      <c r="A696" s="293" t="s">
        <v>6659</v>
      </c>
      <c r="B696" s="293" t="s">
        <v>5666</v>
      </c>
      <c r="C696" s="293" t="s">
        <v>6032</v>
      </c>
      <c r="D696" s="293" t="s">
        <v>5859</v>
      </c>
      <c r="E696" s="293" t="s">
        <v>6033</v>
      </c>
      <c r="F696" s="293" t="s">
        <v>6657</v>
      </c>
      <c r="G696" s="293" t="s">
        <v>5585</v>
      </c>
      <c r="H696" s="294">
        <v>41639</v>
      </c>
      <c r="I696" s="295">
        <v>-6872.38</v>
      </c>
    </row>
    <row r="697" spans="1:9" x14ac:dyDescent="0.2">
      <c r="A697" s="293" t="s">
        <v>6660</v>
      </c>
      <c r="B697" s="293" t="s">
        <v>5666</v>
      </c>
      <c r="C697" s="293" t="s">
        <v>6035</v>
      </c>
      <c r="D697" s="293" t="s">
        <v>5859</v>
      </c>
      <c r="E697" s="293" t="s">
        <v>6033</v>
      </c>
      <c r="F697" s="293" t="s">
        <v>6657</v>
      </c>
      <c r="G697" s="293" t="s">
        <v>5585</v>
      </c>
      <c r="H697" s="294">
        <v>41639</v>
      </c>
      <c r="I697" s="295">
        <v>-4630.24</v>
      </c>
    </row>
    <row r="698" spans="1:9" x14ac:dyDescent="0.2">
      <c r="A698" s="293" t="s">
        <v>6661</v>
      </c>
      <c r="B698" s="293" t="s">
        <v>5666</v>
      </c>
      <c r="C698" s="293" t="s">
        <v>6037</v>
      </c>
      <c r="D698" s="293" t="s">
        <v>5859</v>
      </c>
      <c r="E698" s="293" t="s">
        <v>6038</v>
      </c>
      <c r="F698" s="293" t="s">
        <v>6657</v>
      </c>
      <c r="G698" s="293" t="s">
        <v>5586</v>
      </c>
      <c r="H698" s="294">
        <v>41639</v>
      </c>
      <c r="I698" s="295">
        <v>-3059.89</v>
      </c>
    </row>
    <row r="699" spans="1:9" x14ac:dyDescent="0.2">
      <c r="A699" s="293" t="s">
        <v>6662</v>
      </c>
      <c r="B699" s="293" t="s">
        <v>5666</v>
      </c>
      <c r="C699" s="293" t="s">
        <v>6040</v>
      </c>
      <c r="D699" s="293" t="s">
        <v>5859</v>
      </c>
      <c r="E699" s="293" t="s">
        <v>6041</v>
      </c>
      <c r="F699" s="293" t="s">
        <v>6657</v>
      </c>
      <c r="G699" s="293" t="s">
        <v>5581</v>
      </c>
      <c r="H699" s="294">
        <v>41639</v>
      </c>
      <c r="I699" s="295">
        <v>-8058.13</v>
      </c>
    </row>
    <row r="700" spans="1:9" x14ac:dyDescent="0.2">
      <c r="A700" s="293" t="s">
        <v>6663</v>
      </c>
      <c r="B700" s="293" t="s">
        <v>5666</v>
      </c>
      <c r="C700" s="293" t="s">
        <v>6049</v>
      </c>
      <c r="D700" s="293" t="s">
        <v>5859</v>
      </c>
      <c r="E700" s="293" t="s">
        <v>6050</v>
      </c>
      <c r="F700" s="293" t="s">
        <v>6657</v>
      </c>
      <c r="G700" s="293" t="s">
        <v>5590</v>
      </c>
      <c r="H700" s="294">
        <v>41639</v>
      </c>
      <c r="I700" s="295">
        <v>-12467.89</v>
      </c>
    </row>
    <row r="701" spans="1:9" x14ac:dyDescent="0.2">
      <c r="A701" s="293" t="s">
        <v>6664</v>
      </c>
      <c r="B701" s="293" t="s">
        <v>5666</v>
      </c>
      <c r="C701" s="293" t="s">
        <v>6052</v>
      </c>
      <c r="D701" s="293" t="s">
        <v>5859</v>
      </c>
      <c r="E701" s="293" t="s">
        <v>5817</v>
      </c>
      <c r="F701" s="293" t="s">
        <v>6657</v>
      </c>
      <c r="G701" s="293" t="s">
        <v>5577</v>
      </c>
      <c r="H701" s="294">
        <v>41639</v>
      </c>
      <c r="I701" s="295">
        <v>-7696.08</v>
      </c>
    </row>
    <row r="702" spans="1:9" x14ac:dyDescent="0.2">
      <c r="A702" s="293" t="s">
        <v>6665</v>
      </c>
      <c r="B702" s="293" t="s">
        <v>5666</v>
      </c>
      <c r="C702" s="293" t="s">
        <v>6054</v>
      </c>
      <c r="D702" s="293" t="s">
        <v>5859</v>
      </c>
      <c r="E702" s="293" t="s">
        <v>5817</v>
      </c>
      <c r="F702" s="293" t="s">
        <v>6657</v>
      </c>
      <c r="G702" s="293" t="s">
        <v>5577</v>
      </c>
      <c r="H702" s="294">
        <v>41639</v>
      </c>
      <c r="I702" s="295">
        <v>-3633.17</v>
      </c>
    </row>
    <row r="703" spans="1:9" x14ac:dyDescent="0.2">
      <c r="A703" s="293" t="s">
        <v>6666</v>
      </c>
      <c r="B703" s="293" t="s">
        <v>5666</v>
      </c>
      <c r="C703" s="293" t="s">
        <v>6056</v>
      </c>
      <c r="D703" s="293" t="s">
        <v>5859</v>
      </c>
      <c r="E703" s="293" t="s">
        <v>6057</v>
      </c>
      <c r="F703" s="293" t="s">
        <v>6657</v>
      </c>
      <c r="G703" s="293" t="s">
        <v>5578</v>
      </c>
      <c r="H703" s="294">
        <v>41639</v>
      </c>
      <c r="I703" s="295">
        <v>-4399.9399999999996</v>
      </c>
    </row>
    <row r="704" spans="1:9" x14ac:dyDescent="0.2">
      <c r="A704" s="293" t="s">
        <v>6667</v>
      </c>
      <c r="B704" s="293" t="s">
        <v>5666</v>
      </c>
      <c r="C704" s="293" t="s">
        <v>6062</v>
      </c>
      <c r="D704" s="293" t="s">
        <v>5859</v>
      </c>
      <c r="E704" s="293" t="s">
        <v>6063</v>
      </c>
      <c r="F704" s="293" t="s">
        <v>6657</v>
      </c>
      <c r="G704" s="293" t="s">
        <v>5579</v>
      </c>
      <c r="H704" s="294">
        <v>41639</v>
      </c>
      <c r="I704" s="295">
        <v>-2351.71</v>
      </c>
    </row>
    <row r="705" spans="1:9" x14ac:dyDescent="0.2">
      <c r="A705" s="293" t="s">
        <v>6668</v>
      </c>
      <c r="B705" s="293" t="s">
        <v>5666</v>
      </c>
      <c r="C705" s="293" t="s">
        <v>6065</v>
      </c>
      <c r="D705" s="293" t="s">
        <v>5859</v>
      </c>
      <c r="E705" s="293" t="s">
        <v>6063</v>
      </c>
      <c r="F705" s="293" t="s">
        <v>6657</v>
      </c>
      <c r="G705" s="293" t="s">
        <v>5579</v>
      </c>
      <c r="H705" s="294">
        <v>41639</v>
      </c>
      <c r="I705" s="295">
        <v>-63.12</v>
      </c>
    </row>
    <row r="706" spans="1:9" x14ac:dyDescent="0.2">
      <c r="A706" s="293" t="s">
        <v>6669</v>
      </c>
      <c r="B706" s="293" t="s">
        <v>5666</v>
      </c>
      <c r="C706" s="293" t="s">
        <v>6067</v>
      </c>
      <c r="D706" s="293" t="s">
        <v>5859</v>
      </c>
      <c r="E706" s="293" t="s">
        <v>5817</v>
      </c>
      <c r="F706" s="293" t="s">
        <v>6657</v>
      </c>
      <c r="G706" s="293" t="s">
        <v>5591</v>
      </c>
      <c r="H706" s="294">
        <v>41639</v>
      </c>
      <c r="I706" s="295">
        <v>-6308.36</v>
      </c>
    </row>
    <row r="707" spans="1:9" x14ac:dyDescent="0.2">
      <c r="A707" s="293" t="s">
        <v>6670</v>
      </c>
      <c r="B707" s="293" t="s">
        <v>5666</v>
      </c>
      <c r="C707" s="293" t="s">
        <v>6069</v>
      </c>
      <c r="D707" s="293" t="s">
        <v>5859</v>
      </c>
      <c r="E707" s="293" t="s">
        <v>5817</v>
      </c>
      <c r="F707" s="293" t="s">
        <v>6657</v>
      </c>
      <c r="G707" s="293" t="s">
        <v>5591</v>
      </c>
      <c r="H707" s="294">
        <v>41639</v>
      </c>
      <c r="I707" s="295">
        <v>-7695.19</v>
      </c>
    </row>
    <row r="708" spans="1:9" x14ac:dyDescent="0.2">
      <c r="A708" s="293" t="s">
        <v>6671</v>
      </c>
      <c r="B708" s="293" t="s">
        <v>5666</v>
      </c>
      <c r="C708" s="293" t="s">
        <v>6471</v>
      </c>
      <c r="D708" s="293" t="s">
        <v>5859</v>
      </c>
      <c r="E708" s="293" t="s">
        <v>5744</v>
      </c>
      <c r="F708" s="293" t="s">
        <v>6657</v>
      </c>
      <c r="G708" s="293" t="s">
        <v>5589</v>
      </c>
      <c r="H708" s="294">
        <v>41639</v>
      </c>
      <c r="I708" s="295">
        <v>-7123.53</v>
      </c>
    </row>
    <row r="709" spans="1:9" x14ac:dyDescent="0.2">
      <c r="A709" s="293" t="s">
        <v>6672</v>
      </c>
      <c r="B709" s="293" t="s">
        <v>5666</v>
      </c>
      <c r="C709" s="293" t="s">
        <v>6473</v>
      </c>
      <c r="D709" s="293" t="s">
        <v>5859</v>
      </c>
      <c r="E709" s="293" t="s">
        <v>6474</v>
      </c>
      <c r="F709" s="293" t="s">
        <v>6657</v>
      </c>
      <c r="G709" s="293" t="s">
        <v>5593</v>
      </c>
      <c r="H709" s="294">
        <v>41639</v>
      </c>
      <c r="I709" s="295">
        <v>-14668.67</v>
      </c>
    </row>
    <row r="710" spans="1:9" x14ac:dyDescent="0.2">
      <c r="A710" s="293" t="s">
        <v>6673</v>
      </c>
      <c r="B710" s="293" t="s">
        <v>5666</v>
      </c>
      <c r="C710" s="293" t="s">
        <v>6674</v>
      </c>
      <c r="D710" s="293" t="s">
        <v>5859</v>
      </c>
      <c r="E710" s="293" t="s">
        <v>5088</v>
      </c>
      <c r="F710" s="293" t="s">
        <v>6675</v>
      </c>
      <c r="G710" s="293" t="s">
        <v>5589</v>
      </c>
      <c r="H710" s="294">
        <v>41639</v>
      </c>
      <c r="I710" s="295">
        <v>0.01</v>
      </c>
    </row>
    <row r="711" spans="1:9" x14ac:dyDescent="0.2">
      <c r="A711" s="293" t="s">
        <v>6673</v>
      </c>
      <c r="B711" s="293" t="s">
        <v>5666</v>
      </c>
      <c r="C711" s="293" t="s">
        <v>6674</v>
      </c>
      <c r="D711" s="293" t="s">
        <v>5859</v>
      </c>
      <c r="E711" s="293" t="s">
        <v>5088</v>
      </c>
      <c r="F711" s="293" t="s">
        <v>6675</v>
      </c>
      <c r="G711" s="293" t="s">
        <v>5593</v>
      </c>
      <c r="H711" s="294">
        <v>41639</v>
      </c>
      <c r="I711" s="295">
        <v>0.01</v>
      </c>
    </row>
    <row r="712" spans="1:9" x14ac:dyDescent="0.2">
      <c r="A712" s="293" t="s">
        <v>6676</v>
      </c>
      <c r="B712" s="293" t="s">
        <v>5666</v>
      </c>
      <c r="C712" s="293" t="s">
        <v>6027</v>
      </c>
      <c r="D712" s="293" t="s">
        <v>5859</v>
      </c>
      <c r="E712" s="293" t="s">
        <v>6028</v>
      </c>
      <c r="F712" s="293" t="s">
        <v>6677</v>
      </c>
      <c r="G712" s="293" t="s">
        <v>5573</v>
      </c>
      <c r="H712" s="294">
        <v>41670</v>
      </c>
      <c r="I712" s="295">
        <v>-6400.96</v>
      </c>
    </row>
    <row r="713" spans="1:9" x14ac:dyDescent="0.2">
      <c r="A713" s="293" t="s">
        <v>6678</v>
      </c>
      <c r="B713" s="293" t="s">
        <v>5666</v>
      </c>
      <c r="C713" s="293" t="s">
        <v>6030</v>
      </c>
      <c r="D713" s="293" t="s">
        <v>5859</v>
      </c>
      <c r="E713" s="293" t="s">
        <v>6028</v>
      </c>
      <c r="F713" s="293" t="s">
        <v>6677</v>
      </c>
      <c r="G713" s="293" t="s">
        <v>5573</v>
      </c>
      <c r="H713" s="294">
        <v>41670</v>
      </c>
      <c r="I713" s="295">
        <v>-130.22</v>
      </c>
    </row>
    <row r="714" spans="1:9" x14ac:dyDescent="0.2">
      <c r="A714" s="293" t="s">
        <v>6679</v>
      </c>
      <c r="B714" s="293" t="s">
        <v>5666</v>
      </c>
      <c r="C714" s="293" t="s">
        <v>6032</v>
      </c>
      <c r="D714" s="293" t="s">
        <v>5859</v>
      </c>
      <c r="E714" s="293" t="s">
        <v>6033</v>
      </c>
      <c r="F714" s="293" t="s">
        <v>6677</v>
      </c>
      <c r="G714" s="293" t="s">
        <v>5585</v>
      </c>
      <c r="H714" s="294">
        <v>41670</v>
      </c>
      <c r="I714" s="295">
        <v>-6872.38</v>
      </c>
    </row>
    <row r="715" spans="1:9" x14ac:dyDescent="0.2">
      <c r="A715" s="293" t="s">
        <v>6680</v>
      </c>
      <c r="B715" s="293" t="s">
        <v>5666</v>
      </c>
      <c r="C715" s="293" t="s">
        <v>6035</v>
      </c>
      <c r="D715" s="293" t="s">
        <v>5859</v>
      </c>
      <c r="E715" s="293" t="s">
        <v>6033</v>
      </c>
      <c r="F715" s="293" t="s">
        <v>6677</v>
      </c>
      <c r="G715" s="293" t="s">
        <v>5585</v>
      </c>
      <c r="H715" s="294">
        <v>41670</v>
      </c>
      <c r="I715" s="295">
        <v>-4630.24</v>
      </c>
    </row>
    <row r="716" spans="1:9" x14ac:dyDescent="0.2">
      <c r="A716" s="293" t="s">
        <v>6681</v>
      </c>
      <c r="B716" s="293" t="s">
        <v>5666</v>
      </c>
      <c r="C716" s="293" t="s">
        <v>6037</v>
      </c>
      <c r="D716" s="293" t="s">
        <v>5859</v>
      </c>
      <c r="E716" s="293" t="s">
        <v>6038</v>
      </c>
      <c r="F716" s="293" t="s">
        <v>6677</v>
      </c>
      <c r="G716" s="293" t="s">
        <v>5586</v>
      </c>
      <c r="H716" s="294">
        <v>41670</v>
      </c>
      <c r="I716" s="295">
        <v>-3059.89</v>
      </c>
    </row>
    <row r="717" spans="1:9" x14ac:dyDescent="0.2">
      <c r="A717" s="293" t="s">
        <v>6682</v>
      </c>
      <c r="B717" s="293" t="s">
        <v>5666</v>
      </c>
      <c r="C717" s="293" t="s">
        <v>6040</v>
      </c>
      <c r="D717" s="293" t="s">
        <v>5859</v>
      </c>
      <c r="E717" s="293" t="s">
        <v>6041</v>
      </c>
      <c r="F717" s="293" t="s">
        <v>6677</v>
      </c>
      <c r="G717" s="293" t="s">
        <v>5581</v>
      </c>
      <c r="H717" s="294">
        <v>41670</v>
      </c>
      <c r="I717" s="295">
        <v>-8058.13</v>
      </c>
    </row>
    <row r="718" spans="1:9" x14ac:dyDescent="0.2">
      <c r="A718" s="293" t="s">
        <v>6683</v>
      </c>
      <c r="B718" s="293" t="s">
        <v>5666</v>
      </c>
      <c r="C718" s="293" t="s">
        <v>6049</v>
      </c>
      <c r="D718" s="293" t="s">
        <v>5859</v>
      </c>
      <c r="E718" s="293" t="s">
        <v>6050</v>
      </c>
      <c r="F718" s="293" t="s">
        <v>6677</v>
      </c>
      <c r="G718" s="293" t="s">
        <v>5590</v>
      </c>
      <c r="H718" s="294">
        <v>41670</v>
      </c>
      <c r="I718" s="295">
        <v>-12467.89</v>
      </c>
    </row>
    <row r="719" spans="1:9" x14ac:dyDescent="0.2">
      <c r="A719" s="293" t="s">
        <v>6684</v>
      </c>
      <c r="B719" s="293" t="s">
        <v>5666</v>
      </c>
      <c r="C719" s="293" t="s">
        <v>6052</v>
      </c>
      <c r="D719" s="293" t="s">
        <v>5859</v>
      </c>
      <c r="E719" s="293" t="s">
        <v>5817</v>
      </c>
      <c r="F719" s="293" t="s">
        <v>6677</v>
      </c>
      <c r="G719" s="293" t="s">
        <v>5577</v>
      </c>
      <c r="H719" s="294">
        <v>41670</v>
      </c>
      <c r="I719" s="295">
        <v>-7696.08</v>
      </c>
    </row>
    <row r="720" spans="1:9" x14ac:dyDescent="0.2">
      <c r="A720" s="293" t="s">
        <v>6685</v>
      </c>
      <c r="B720" s="293" t="s">
        <v>5666</v>
      </c>
      <c r="C720" s="293" t="s">
        <v>6054</v>
      </c>
      <c r="D720" s="293" t="s">
        <v>5859</v>
      </c>
      <c r="E720" s="293" t="s">
        <v>5817</v>
      </c>
      <c r="F720" s="293" t="s">
        <v>6677</v>
      </c>
      <c r="G720" s="293" t="s">
        <v>5577</v>
      </c>
      <c r="H720" s="294">
        <v>41670</v>
      </c>
      <c r="I720" s="295">
        <v>-3633.17</v>
      </c>
    </row>
    <row r="721" spans="1:9" x14ac:dyDescent="0.2">
      <c r="A721" s="293" t="s">
        <v>6686</v>
      </c>
      <c r="B721" s="293" t="s">
        <v>5666</v>
      </c>
      <c r="C721" s="293" t="s">
        <v>6056</v>
      </c>
      <c r="D721" s="293" t="s">
        <v>5859</v>
      </c>
      <c r="E721" s="293" t="s">
        <v>6057</v>
      </c>
      <c r="F721" s="293" t="s">
        <v>6677</v>
      </c>
      <c r="G721" s="293" t="s">
        <v>5578</v>
      </c>
      <c r="H721" s="294">
        <v>41670</v>
      </c>
      <c r="I721" s="295">
        <v>-4399.9399999999996</v>
      </c>
    </row>
    <row r="722" spans="1:9" x14ac:dyDescent="0.2">
      <c r="A722" s="293" t="s">
        <v>6687</v>
      </c>
      <c r="B722" s="293" t="s">
        <v>5666</v>
      </c>
      <c r="C722" s="293" t="s">
        <v>6062</v>
      </c>
      <c r="D722" s="293" t="s">
        <v>5859</v>
      </c>
      <c r="E722" s="293" t="s">
        <v>6063</v>
      </c>
      <c r="F722" s="293" t="s">
        <v>6677</v>
      </c>
      <c r="G722" s="293" t="s">
        <v>5579</v>
      </c>
      <c r="H722" s="294">
        <v>41670</v>
      </c>
      <c r="I722" s="295">
        <v>-2351.71</v>
      </c>
    </row>
    <row r="723" spans="1:9" x14ac:dyDescent="0.2">
      <c r="A723" s="293" t="s">
        <v>6688</v>
      </c>
      <c r="B723" s="293" t="s">
        <v>5666</v>
      </c>
      <c r="C723" s="293" t="s">
        <v>6065</v>
      </c>
      <c r="D723" s="293" t="s">
        <v>5859</v>
      </c>
      <c r="E723" s="293" t="s">
        <v>6063</v>
      </c>
      <c r="F723" s="293" t="s">
        <v>6677</v>
      </c>
      <c r="G723" s="293" t="s">
        <v>5579</v>
      </c>
      <c r="H723" s="294">
        <v>41670</v>
      </c>
      <c r="I723" s="295">
        <v>-63.12</v>
      </c>
    </row>
    <row r="724" spans="1:9" x14ac:dyDescent="0.2">
      <c r="A724" s="293" t="s">
        <v>6689</v>
      </c>
      <c r="B724" s="293" t="s">
        <v>5666</v>
      </c>
      <c r="C724" s="293" t="s">
        <v>6067</v>
      </c>
      <c r="D724" s="293" t="s">
        <v>5859</v>
      </c>
      <c r="E724" s="293" t="s">
        <v>5817</v>
      </c>
      <c r="F724" s="293" t="s">
        <v>6677</v>
      </c>
      <c r="G724" s="293" t="s">
        <v>5591</v>
      </c>
      <c r="H724" s="294">
        <v>41670</v>
      </c>
      <c r="I724" s="295">
        <v>-6308.36</v>
      </c>
    </row>
    <row r="725" spans="1:9" x14ac:dyDescent="0.2">
      <c r="A725" s="293" t="s">
        <v>6690</v>
      </c>
      <c r="B725" s="293" t="s">
        <v>5666</v>
      </c>
      <c r="C725" s="293" t="s">
        <v>6069</v>
      </c>
      <c r="D725" s="293" t="s">
        <v>5859</v>
      </c>
      <c r="E725" s="293" t="s">
        <v>5817</v>
      </c>
      <c r="F725" s="293" t="s">
        <v>6677</v>
      </c>
      <c r="G725" s="293" t="s">
        <v>5591</v>
      </c>
      <c r="H725" s="294">
        <v>41670</v>
      </c>
      <c r="I725" s="295">
        <v>-7695.19</v>
      </c>
    </row>
    <row r="726" spans="1:9" x14ac:dyDescent="0.2">
      <c r="A726" s="293" t="s">
        <v>6691</v>
      </c>
      <c r="B726" s="293" t="s">
        <v>5666</v>
      </c>
      <c r="C726" s="293" t="s">
        <v>6471</v>
      </c>
      <c r="D726" s="293" t="s">
        <v>5859</v>
      </c>
      <c r="E726" s="293" t="s">
        <v>5744</v>
      </c>
      <c r="F726" s="293" t="s">
        <v>6677</v>
      </c>
      <c r="G726" s="293" t="s">
        <v>5589</v>
      </c>
      <c r="H726" s="294">
        <v>41670</v>
      </c>
      <c r="I726" s="295">
        <v>-7123.53</v>
      </c>
    </row>
    <row r="727" spans="1:9" x14ac:dyDescent="0.2">
      <c r="A727" s="293" t="s">
        <v>6692</v>
      </c>
      <c r="B727" s="293" t="s">
        <v>5666</v>
      </c>
      <c r="C727" s="293" t="s">
        <v>6473</v>
      </c>
      <c r="D727" s="293" t="s">
        <v>5859</v>
      </c>
      <c r="E727" s="293" t="s">
        <v>6474</v>
      </c>
      <c r="F727" s="293" t="s">
        <v>6677</v>
      </c>
      <c r="G727" s="293" t="s">
        <v>5593</v>
      </c>
      <c r="H727" s="294">
        <v>41670</v>
      </c>
      <c r="I727" s="295">
        <v>-14668.67</v>
      </c>
    </row>
    <row r="728" spans="1:9" x14ac:dyDescent="0.2">
      <c r="A728" s="293" t="s">
        <v>6693</v>
      </c>
      <c r="B728" s="293" t="s">
        <v>5666</v>
      </c>
      <c r="C728" s="293" t="s">
        <v>6027</v>
      </c>
      <c r="D728" s="293" t="s">
        <v>5859</v>
      </c>
      <c r="E728" s="293" t="s">
        <v>6028</v>
      </c>
      <c r="F728" s="293" t="s">
        <v>6694</v>
      </c>
      <c r="G728" s="293" t="s">
        <v>5573</v>
      </c>
      <c r="H728" s="294">
        <v>41698</v>
      </c>
      <c r="I728" s="295">
        <v>-6400.96</v>
      </c>
    </row>
    <row r="729" spans="1:9" x14ac:dyDescent="0.2">
      <c r="A729" s="293" t="s">
        <v>6695</v>
      </c>
      <c r="B729" s="293" t="s">
        <v>5666</v>
      </c>
      <c r="C729" s="293" t="s">
        <v>6030</v>
      </c>
      <c r="D729" s="293" t="s">
        <v>5859</v>
      </c>
      <c r="E729" s="293" t="s">
        <v>6028</v>
      </c>
      <c r="F729" s="293" t="s">
        <v>6694</v>
      </c>
      <c r="G729" s="293" t="s">
        <v>5573</v>
      </c>
      <c r="H729" s="294">
        <v>41698</v>
      </c>
      <c r="I729" s="295">
        <v>-130.22</v>
      </c>
    </row>
    <row r="730" spans="1:9" x14ac:dyDescent="0.2">
      <c r="A730" s="293" t="s">
        <v>6696</v>
      </c>
      <c r="B730" s="293" t="s">
        <v>5666</v>
      </c>
      <c r="C730" s="293" t="s">
        <v>6032</v>
      </c>
      <c r="D730" s="293" t="s">
        <v>5859</v>
      </c>
      <c r="E730" s="293" t="s">
        <v>6033</v>
      </c>
      <c r="F730" s="293" t="s">
        <v>6694</v>
      </c>
      <c r="G730" s="293" t="s">
        <v>5585</v>
      </c>
      <c r="H730" s="294">
        <v>41698</v>
      </c>
      <c r="I730" s="295">
        <v>-6872.38</v>
      </c>
    </row>
    <row r="731" spans="1:9" x14ac:dyDescent="0.2">
      <c r="A731" s="293" t="s">
        <v>6697</v>
      </c>
      <c r="B731" s="293" t="s">
        <v>5666</v>
      </c>
      <c r="C731" s="293" t="s">
        <v>6035</v>
      </c>
      <c r="D731" s="293" t="s">
        <v>5859</v>
      </c>
      <c r="E731" s="293" t="s">
        <v>6033</v>
      </c>
      <c r="F731" s="293" t="s">
        <v>6694</v>
      </c>
      <c r="G731" s="293" t="s">
        <v>5585</v>
      </c>
      <c r="H731" s="294">
        <v>41698</v>
      </c>
      <c r="I731" s="295">
        <v>-4630.24</v>
      </c>
    </row>
    <row r="732" spans="1:9" x14ac:dyDescent="0.2">
      <c r="A732" s="293" t="s">
        <v>6698</v>
      </c>
      <c r="B732" s="293" t="s">
        <v>5666</v>
      </c>
      <c r="C732" s="293" t="s">
        <v>6037</v>
      </c>
      <c r="D732" s="293" t="s">
        <v>5859</v>
      </c>
      <c r="E732" s="293" t="s">
        <v>6038</v>
      </c>
      <c r="F732" s="293" t="s">
        <v>6694</v>
      </c>
      <c r="G732" s="293" t="s">
        <v>5586</v>
      </c>
      <c r="H732" s="294">
        <v>41698</v>
      </c>
      <c r="I732" s="295">
        <v>-3059.89</v>
      </c>
    </row>
    <row r="733" spans="1:9" x14ac:dyDescent="0.2">
      <c r="A733" s="293" t="s">
        <v>6699</v>
      </c>
      <c r="B733" s="293" t="s">
        <v>5666</v>
      </c>
      <c r="C733" s="293" t="s">
        <v>6040</v>
      </c>
      <c r="D733" s="293" t="s">
        <v>5859</v>
      </c>
      <c r="E733" s="293" t="s">
        <v>6041</v>
      </c>
      <c r="F733" s="293" t="s">
        <v>6694</v>
      </c>
      <c r="G733" s="293" t="s">
        <v>5581</v>
      </c>
      <c r="H733" s="294">
        <v>41698</v>
      </c>
      <c r="I733" s="295">
        <v>-8058.13</v>
      </c>
    </row>
    <row r="734" spans="1:9" x14ac:dyDescent="0.2">
      <c r="A734" s="293" t="s">
        <v>6700</v>
      </c>
      <c r="B734" s="293" t="s">
        <v>5666</v>
      </c>
      <c r="C734" s="293" t="s">
        <v>6049</v>
      </c>
      <c r="D734" s="293" t="s">
        <v>5859</v>
      </c>
      <c r="E734" s="293" t="s">
        <v>6050</v>
      </c>
      <c r="F734" s="293" t="s">
        <v>6694</v>
      </c>
      <c r="G734" s="293" t="s">
        <v>5590</v>
      </c>
      <c r="H734" s="294">
        <v>41698</v>
      </c>
      <c r="I734" s="295">
        <v>-12467.89</v>
      </c>
    </row>
    <row r="735" spans="1:9" x14ac:dyDescent="0.2">
      <c r="A735" s="293" t="s">
        <v>6701</v>
      </c>
      <c r="B735" s="293" t="s">
        <v>5666</v>
      </c>
      <c r="C735" s="293" t="s">
        <v>6052</v>
      </c>
      <c r="D735" s="293" t="s">
        <v>5859</v>
      </c>
      <c r="E735" s="293" t="s">
        <v>5817</v>
      </c>
      <c r="F735" s="293" t="s">
        <v>6694</v>
      </c>
      <c r="G735" s="293" t="s">
        <v>5577</v>
      </c>
      <c r="H735" s="294">
        <v>41698</v>
      </c>
      <c r="I735" s="295">
        <v>-7696.08</v>
      </c>
    </row>
    <row r="736" spans="1:9" x14ac:dyDescent="0.2">
      <c r="A736" s="293" t="s">
        <v>6702</v>
      </c>
      <c r="B736" s="293" t="s">
        <v>5666</v>
      </c>
      <c r="C736" s="293" t="s">
        <v>6054</v>
      </c>
      <c r="D736" s="293" t="s">
        <v>5859</v>
      </c>
      <c r="E736" s="293" t="s">
        <v>5817</v>
      </c>
      <c r="F736" s="293" t="s">
        <v>6694</v>
      </c>
      <c r="G736" s="293" t="s">
        <v>5577</v>
      </c>
      <c r="H736" s="294">
        <v>41698</v>
      </c>
      <c r="I736" s="295">
        <v>-3633.17</v>
      </c>
    </row>
    <row r="737" spans="1:9" x14ac:dyDescent="0.2">
      <c r="A737" s="293" t="s">
        <v>6703</v>
      </c>
      <c r="B737" s="293" t="s">
        <v>5666</v>
      </c>
      <c r="C737" s="293" t="s">
        <v>6056</v>
      </c>
      <c r="D737" s="293" t="s">
        <v>5859</v>
      </c>
      <c r="E737" s="293" t="s">
        <v>6057</v>
      </c>
      <c r="F737" s="293" t="s">
        <v>6694</v>
      </c>
      <c r="G737" s="293" t="s">
        <v>5578</v>
      </c>
      <c r="H737" s="294">
        <v>41698</v>
      </c>
      <c r="I737" s="295">
        <v>-4399.9399999999996</v>
      </c>
    </row>
    <row r="738" spans="1:9" x14ac:dyDescent="0.2">
      <c r="A738" s="293" t="s">
        <v>6704</v>
      </c>
      <c r="B738" s="293" t="s">
        <v>5666</v>
      </c>
      <c r="C738" s="293" t="s">
        <v>6062</v>
      </c>
      <c r="D738" s="293" t="s">
        <v>5859</v>
      </c>
      <c r="E738" s="293" t="s">
        <v>6063</v>
      </c>
      <c r="F738" s="293" t="s">
        <v>6694</v>
      </c>
      <c r="G738" s="293" t="s">
        <v>5579</v>
      </c>
      <c r="H738" s="294">
        <v>41698</v>
      </c>
      <c r="I738" s="295">
        <v>-2351.71</v>
      </c>
    </row>
    <row r="739" spans="1:9" x14ac:dyDescent="0.2">
      <c r="A739" s="293" t="s">
        <v>6705</v>
      </c>
      <c r="B739" s="293" t="s">
        <v>5666</v>
      </c>
      <c r="C739" s="293" t="s">
        <v>6065</v>
      </c>
      <c r="D739" s="293" t="s">
        <v>5859</v>
      </c>
      <c r="E739" s="293" t="s">
        <v>6063</v>
      </c>
      <c r="F739" s="293" t="s">
        <v>6694</v>
      </c>
      <c r="G739" s="293" t="s">
        <v>5579</v>
      </c>
      <c r="H739" s="294">
        <v>41698</v>
      </c>
      <c r="I739" s="295">
        <v>-63.12</v>
      </c>
    </row>
    <row r="740" spans="1:9" x14ac:dyDescent="0.2">
      <c r="A740" s="293" t="s">
        <v>6706</v>
      </c>
      <c r="B740" s="293" t="s">
        <v>5666</v>
      </c>
      <c r="C740" s="293" t="s">
        <v>6067</v>
      </c>
      <c r="D740" s="293" t="s">
        <v>5859</v>
      </c>
      <c r="E740" s="293" t="s">
        <v>5817</v>
      </c>
      <c r="F740" s="293" t="s">
        <v>6694</v>
      </c>
      <c r="G740" s="293" t="s">
        <v>5591</v>
      </c>
      <c r="H740" s="294">
        <v>41698</v>
      </c>
      <c r="I740" s="295">
        <v>-6308.36</v>
      </c>
    </row>
    <row r="741" spans="1:9" x14ac:dyDescent="0.2">
      <c r="A741" s="293" t="s">
        <v>6707</v>
      </c>
      <c r="B741" s="293" t="s">
        <v>5666</v>
      </c>
      <c r="C741" s="293" t="s">
        <v>6069</v>
      </c>
      <c r="D741" s="293" t="s">
        <v>5859</v>
      </c>
      <c r="E741" s="293" t="s">
        <v>5817</v>
      </c>
      <c r="F741" s="293" t="s">
        <v>6694</v>
      </c>
      <c r="G741" s="293" t="s">
        <v>5591</v>
      </c>
      <c r="H741" s="294">
        <v>41698</v>
      </c>
      <c r="I741" s="295">
        <v>-7695.19</v>
      </c>
    </row>
    <row r="742" spans="1:9" x14ac:dyDescent="0.2">
      <c r="A742" s="293" t="s">
        <v>6708</v>
      </c>
      <c r="B742" s="293" t="s">
        <v>5666</v>
      </c>
      <c r="C742" s="293" t="s">
        <v>6471</v>
      </c>
      <c r="D742" s="293" t="s">
        <v>5859</v>
      </c>
      <c r="E742" s="293" t="s">
        <v>5744</v>
      </c>
      <c r="F742" s="293" t="s">
        <v>6694</v>
      </c>
      <c r="G742" s="293" t="s">
        <v>5589</v>
      </c>
      <c r="H742" s="294">
        <v>41698</v>
      </c>
      <c r="I742" s="295">
        <v>-7123.53</v>
      </c>
    </row>
    <row r="743" spans="1:9" x14ac:dyDescent="0.2">
      <c r="A743" s="293" t="s">
        <v>6709</v>
      </c>
      <c r="B743" s="293" t="s">
        <v>5666</v>
      </c>
      <c r="C743" s="293" t="s">
        <v>6473</v>
      </c>
      <c r="D743" s="293" t="s">
        <v>5859</v>
      </c>
      <c r="E743" s="293" t="s">
        <v>6474</v>
      </c>
      <c r="F743" s="293" t="s">
        <v>6694</v>
      </c>
      <c r="G743" s="293" t="s">
        <v>5593</v>
      </c>
      <c r="H743" s="294">
        <v>41698</v>
      </c>
      <c r="I743" s="295">
        <v>-14668.67</v>
      </c>
    </row>
    <row r="744" spans="1:9" x14ac:dyDescent="0.2">
      <c r="A744" s="293" t="s">
        <v>6710</v>
      </c>
      <c r="B744" s="293" t="s">
        <v>5666</v>
      </c>
      <c r="C744" s="293" t="s">
        <v>6027</v>
      </c>
      <c r="D744" s="293" t="s">
        <v>5859</v>
      </c>
      <c r="E744" s="293" t="s">
        <v>6028</v>
      </c>
      <c r="F744" s="293" t="s">
        <v>6711</v>
      </c>
      <c r="G744" s="293" t="s">
        <v>5573</v>
      </c>
      <c r="H744" s="294">
        <v>41729</v>
      </c>
      <c r="I744" s="295">
        <v>-6400.96</v>
      </c>
    </row>
    <row r="745" spans="1:9" x14ac:dyDescent="0.2">
      <c r="A745" s="293" t="s">
        <v>6712</v>
      </c>
      <c r="B745" s="293" t="s">
        <v>5666</v>
      </c>
      <c r="C745" s="293" t="s">
        <v>6030</v>
      </c>
      <c r="D745" s="293" t="s">
        <v>5859</v>
      </c>
      <c r="E745" s="293" t="s">
        <v>6028</v>
      </c>
      <c r="F745" s="293" t="s">
        <v>6711</v>
      </c>
      <c r="G745" s="293" t="s">
        <v>5573</v>
      </c>
      <c r="H745" s="294">
        <v>41729</v>
      </c>
      <c r="I745" s="295">
        <v>-130.22</v>
      </c>
    </row>
    <row r="746" spans="1:9" x14ac:dyDescent="0.2">
      <c r="A746" s="293" t="s">
        <v>6713</v>
      </c>
      <c r="B746" s="293" t="s">
        <v>5666</v>
      </c>
      <c r="C746" s="293" t="s">
        <v>6032</v>
      </c>
      <c r="D746" s="293" t="s">
        <v>5859</v>
      </c>
      <c r="E746" s="293" t="s">
        <v>6033</v>
      </c>
      <c r="F746" s="293" t="s">
        <v>6711</v>
      </c>
      <c r="G746" s="293" t="s">
        <v>5585</v>
      </c>
      <c r="H746" s="294">
        <v>41729</v>
      </c>
      <c r="I746" s="295">
        <v>-6872.38</v>
      </c>
    </row>
    <row r="747" spans="1:9" x14ac:dyDescent="0.2">
      <c r="A747" s="293" t="s">
        <v>6714</v>
      </c>
      <c r="B747" s="293" t="s">
        <v>5666</v>
      </c>
      <c r="C747" s="293" t="s">
        <v>6035</v>
      </c>
      <c r="D747" s="293" t="s">
        <v>5859</v>
      </c>
      <c r="E747" s="293" t="s">
        <v>6033</v>
      </c>
      <c r="F747" s="293" t="s">
        <v>6711</v>
      </c>
      <c r="G747" s="293" t="s">
        <v>5585</v>
      </c>
      <c r="H747" s="294">
        <v>41729</v>
      </c>
      <c r="I747" s="295">
        <v>-4630.24</v>
      </c>
    </row>
    <row r="748" spans="1:9" x14ac:dyDescent="0.2">
      <c r="A748" s="293" t="s">
        <v>6715</v>
      </c>
      <c r="B748" s="293" t="s">
        <v>5666</v>
      </c>
      <c r="C748" s="293" t="s">
        <v>6037</v>
      </c>
      <c r="D748" s="293" t="s">
        <v>5859</v>
      </c>
      <c r="E748" s="293" t="s">
        <v>6038</v>
      </c>
      <c r="F748" s="293" t="s">
        <v>6711</v>
      </c>
      <c r="G748" s="293" t="s">
        <v>5586</v>
      </c>
      <c r="H748" s="294">
        <v>41729</v>
      </c>
      <c r="I748" s="295">
        <v>-3059.89</v>
      </c>
    </row>
    <row r="749" spans="1:9" x14ac:dyDescent="0.2">
      <c r="A749" s="293" t="s">
        <v>6716</v>
      </c>
      <c r="B749" s="293" t="s">
        <v>5666</v>
      </c>
      <c r="C749" s="293" t="s">
        <v>6040</v>
      </c>
      <c r="D749" s="293" t="s">
        <v>5859</v>
      </c>
      <c r="E749" s="293" t="s">
        <v>6041</v>
      </c>
      <c r="F749" s="293" t="s">
        <v>6711</v>
      </c>
      <c r="G749" s="293" t="s">
        <v>5581</v>
      </c>
      <c r="H749" s="294">
        <v>41729</v>
      </c>
      <c r="I749" s="295">
        <v>-8058.13</v>
      </c>
    </row>
    <row r="750" spans="1:9" x14ac:dyDescent="0.2">
      <c r="A750" s="293" t="s">
        <v>6717</v>
      </c>
      <c r="B750" s="293" t="s">
        <v>5666</v>
      </c>
      <c r="C750" s="293" t="s">
        <v>6049</v>
      </c>
      <c r="D750" s="293" t="s">
        <v>5859</v>
      </c>
      <c r="E750" s="293" t="s">
        <v>6050</v>
      </c>
      <c r="F750" s="293" t="s">
        <v>6711</v>
      </c>
      <c r="G750" s="293" t="s">
        <v>5590</v>
      </c>
      <c r="H750" s="294">
        <v>41729</v>
      </c>
      <c r="I750" s="295">
        <v>-12467.89</v>
      </c>
    </row>
    <row r="751" spans="1:9" x14ac:dyDescent="0.2">
      <c r="A751" s="293" t="s">
        <v>6718</v>
      </c>
      <c r="B751" s="293" t="s">
        <v>5666</v>
      </c>
      <c r="C751" s="293" t="s">
        <v>6052</v>
      </c>
      <c r="D751" s="293" t="s">
        <v>5859</v>
      </c>
      <c r="E751" s="293" t="s">
        <v>5817</v>
      </c>
      <c r="F751" s="293" t="s">
        <v>6711</v>
      </c>
      <c r="G751" s="293" t="s">
        <v>5577</v>
      </c>
      <c r="H751" s="294">
        <v>41729</v>
      </c>
      <c r="I751" s="295">
        <v>-7696.08</v>
      </c>
    </row>
    <row r="752" spans="1:9" x14ac:dyDescent="0.2">
      <c r="A752" s="293" t="s">
        <v>6719</v>
      </c>
      <c r="B752" s="293" t="s">
        <v>5666</v>
      </c>
      <c r="C752" s="293" t="s">
        <v>6054</v>
      </c>
      <c r="D752" s="293" t="s">
        <v>5859</v>
      </c>
      <c r="E752" s="293" t="s">
        <v>5817</v>
      </c>
      <c r="F752" s="293" t="s">
        <v>6711</v>
      </c>
      <c r="G752" s="293" t="s">
        <v>5577</v>
      </c>
      <c r="H752" s="294">
        <v>41729</v>
      </c>
      <c r="I752" s="295">
        <v>-3633.17</v>
      </c>
    </row>
    <row r="753" spans="1:9" x14ac:dyDescent="0.2">
      <c r="A753" s="293" t="s">
        <v>6720</v>
      </c>
      <c r="B753" s="293" t="s">
        <v>5666</v>
      </c>
      <c r="C753" s="293" t="s">
        <v>6056</v>
      </c>
      <c r="D753" s="293" t="s">
        <v>5859</v>
      </c>
      <c r="E753" s="293" t="s">
        <v>6057</v>
      </c>
      <c r="F753" s="293" t="s">
        <v>6711</v>
      </c>
      <c r="G753" s="293" t="s">
        <v>5578</v>
      </c>
      <c r="H753" s="294">
        <v>41729</v>
      </c>
      <c r="I753" s="295">
        <v>-4399.9399999999996</v>
      </c>
    </row>
    <row r="754" spans="1:9" x14ac:dyDescent="0.2">
      <c r="A754" s="293" t="s">
        <v>6721</v>
      </c>
      <c r="B754" s="293" t="s">
        <v>5666</v>
      </c>
      <c r="C754" s="293" t="s">
        <v>6062</v>
      </c>
      <c r="D754" s="293" t="s">
        <v>5859</v>
      </c>
      <c r="E754" s="293" t="s">
        <v>6063</v>
      </c>
      <c r="F754" s="293" t="s">
        <v>6711</v>
      </c>
      <c r="G754" s="293" t="s">
        <v>5579</v>
      </c>
      <c r="H754" s="294">
        <v>41729</v>
      </c>
      <c r="I754" s="295">
        <v>-2351.71</v>
      </c>
    </row>
    <row r="755" spans="1:9" x14ac:dyDescent="0.2">
      <c r="A755" s="293" t="s">
        <v>6722</v>
      </c>
      <c r="B755" s="293" t="s">
        <v>5666</v>
      </c>
      <c r="C755" s="293" t="s">
        <v>6065</v>
      </c>
      <c r="D755" s="293" t="s">
        <v>5859</v>
      </c>
      <c r="E755" s="293" t="s">
        <v>6063</v>
      </c>
      <c r="F755" s="293" t="s">
        <v>6711</v>
      </c>
      <c r="G755" s="293" t="s">
        <v>5579</v>
      </c>
      <c r="H755" s="294">
        <v>41729</v>
      </c>
      <c r="I755" s="295">
        <v>-63.12</v>
      </c>
    </row>
    <row r="756" spans="1:9" x14ac:dyDescent="0.2">
      <c r="A756" s="293" t="s">
        <v>6723</v>
      </c>
      <c r="B756" s="293" t="s">
        <v>5666</v>
      </c>
      <c r="C756" s="293" t="s">
        <v>6067</v>
      </c>
      <c r="D756" s="293" t="s">
        <v>5859</v>
      </c>
      <c r="E756" s="293" t="s">
        <v>5817</v>
      </c>
      <c r="F756" s="293" t="s">
        <v>6711</v>
      </c>
      <c r="G756" s="293" t="s">
        <v>5591</v>
      </c>
      <c r="H756" s="294">
        <v>41729</v>
      </c>
      <c r="I756" s="295">
        <v>-6308.36</v>
      </c>
    </row>
    <row r="757" spans="1:9" x14ac:dyDescent="0.2">
      <c r="A757" s="293" t="s">
        <v>6724</v>
      </c>
      <c r="B757" s="293" t="s">
        <v>5666</v>
      </c>
      <c r="C757" s="293" t="s">
        <v>6069</v>
      </c>
      <c r="D757" s="293" t="s">
        <v>5859</v>
      </c>
      <c r="E757" s="293" t="s">
        <v>5817</v>
      </c>
      <c r="F757" s="293" t="s">
        <v>6711</v>
      </c>
      <c r="G757" s="293" t="s">
        <v>5591</v>
      </c>
      <c r="H757" s="294">
        <v>41729</v>
      </c>
      <c r="I757" s="295">
        <v>-7695.19</v>
      </c>
    </row>
    <row r="758" spans="1:9" x14ac:dyDescent="0.2">
      <c r="A758" s="293" t="s">
        <v>6725</v>
      </c>
      <c r="B758" s="293" t="s">
        <v>5666</v>
      </c>
      <c r="C758" s="293" t="s">
        <v>6471</v>
      </c>
      <c r="D758" s="293" t="s">
        <v>5859</v>
      </c>
      <c r="E758" s="293" t="s">
        <v>5744</v>
      </c>
      <c r="F758" s="293" t="s">
        <v>6711</v>
      </c>
      <c r="G758" s="293" t="s">
        <v>5589</v>
      </c>
      <c r="H758" s="294">
        <v>41729</v>
      </c>
      <c r="I758" s="295">
        <v>-7123.53</v>
      </c>
    </row>
    <row r="759" spans="1:9" x14ac:dyDescent="0.2">
      <c r="A759" s="293" t="s">
        <v>6726</v>
      </c>
      <c r="B759" s="293" t="s">
        <v>5666</v>
      </c>
      <c r="C759" s="293" t="s">
        <v>6473</v>
      </c>
      <c r="D759" s="293" t="s">
        <v>5859</v>
      </c>
      <c r="E759" s="293" t="s">
        <v>6474</v>
      </c>
      <c r="F759" s="293" t="s">
        <v>6711</v>
      </c>
      <c r="G759" s="293" t="s">
        <v>5593</v>
      </c>
      <c r="H759" s="294">
        <v>41729</v>
      </c>
      <c r="I759" s="295">
        <v>-14668.67</v>
      </c>
    </row>
    <row r="760" spans="1:9" x14ac:dyDescent="0.2">
      <c r="A760" s="293" t="s">
        <v>6727</v>
      </c>
      <c r="B760" s="293" t="s">
        <v>5666</v>
      </c>
      <c r="C760" s="293" t="s">
        <v>6728</v>
      </c>
      <c r="D760" s="293" t="s">
        <v>5859</v>
      </c>
      <c r="E760" s="293" t="s">
        <v>5088</v>
      </c>
      <c r="F760" s="293" t="s">
        <v>6729</v>
      </c>
      <c r="G760" s="293" t="s">
        <v>5593</v>
      </c>
      <c r="H760" s="294">
        <v>41729</v>
      </c>
      <c r="I760" s="295">
        <v>0.01</v>
      </c>
    </row>
    <row r="761" spans="1:9" x14ac:dyDescent="0.2">
      <c r="A761" s="293" t="s">
        <v>6730</v>
      </c>
      <c r="B761" s="293" t="s">
        <v>5666</v>
      </c>
      <c r="C761" s="293" t="s">
        <v>6027</v>
      </c>
      <c r="D761" s="293" t="s">
        <v>5859</v>
      </c>
      <c r="E761" s="293" t="s">
        <v>6028</v>
      </c>
      <c r="F761" s="293" t="s">
        <v>6731</v>
      </c>
      <c r="G761" s="293" t="s">
        <v>5573</v>
      </c>
      <c r="H761" s="294">
        <v>41759</v>
      </c>
      <c r="I761" s="295">
        <v>-6400.96</v>
      </c>
    </row>
    <row r="762" spans="1:9" x14ac:dyDescent="0.2">
      <c r="A762" s="293" t="s">
        <v>6732</v>
      </c>
      <c r="B762" s="293" t="s">
        <v>5666</v>
      </c>
      <c r="C762" s="293" t="s">
        <v>6030</v>
      </c>
      <c r="D762" s="293" t="s">
        <v>5859</v>
      </c>
      <c r="E762" s="293" t="s">
        <v>6028</v>
      </c>
      <c r="F762" s="293" t="s">
        <v>6731</v>
      </c>
      <c r="G762" s="293" t="s">
        <v>5573</v>
      </c>
      <c r="H762" s="294">
        <v>41759</v>
      </c>
      <c r="I762" s="295">
        <v>-130.22</v>
      </c>
    </row>
    <row r="763" spans="1:9" x14ac:dyDescent="0.2">
      <c r="A763" s="293" t="s">
        <v>6733</v>
      </c>
      <c r="B763" s="293" t="s">
        <v>5666</v>
      </c>
      <c r="C763" s="293" t="s">
        <v>6032</v>
      </c>
      <c r="D763" s="293" t="s">
        <v>5859</v>
      </c>
      <c r="E763" s="293" t="s">
        <v>6033</v>
      </c>
      <c r="F763" s="293" t="s">
        <v>6731</v>
      </c>
      <c r="G763" s="293" t="s">
        <v>5585</v>
      </c>
      <c r="H763" s="294">
        <v>41759</v>
      </c>
      <c r="I763" s="295">
        <v>-6872.38</v>
      </c>
    </row>
    <row r="764" spans="1:9" x14ac:dyDescent="0.2">
      <c r="A764" s="293" t="s">
        <v>6734</v>
      </c>
      <c r="B764" s="293" t="s">
        <v>5666</v>
      </c>
      <c r="C764" s="293" t="s">
        <v>6035</v>
      </c>
      <c r="D764" s="293" t="s">
        <v>5859</v>
      </c>
      <c r="E764" s="293" t="s">
        <v>6033</v>
      </c>
      <c r="F764" s="293" t="s">
        <v>6731</v>
      </c>
      <c r="G764" s="293" t="s">
        <v>5585</v>
      </c>
      <c r="H764" s="294">
        <v>41759</v>
      </c>
      <c r="I764" s="295">
        <v>-4630.24</v>
      </c>
    </row>
    <row r="765" spans="1:9" x14ac:dyDescent="0.2">
      <c r="A765" s="293" t="s">
        <v>6735</v>
      </c>
      <c r="B765" s="293" t="s">
        <v>5666</v>
      </c>
      <c r="C765" s="293" t="s">
        <v>6037</v>
      </c>
      <c r="D765" s="293" t="s">
        <v>5859</v>
      </c>
      <c r="E765" s="293" t="s">
        <v>6038</v>
      </c>
      <c r="F765" s="293" t="s">
        <v>6731</v>
      </c>
      <c r="G765" s="293" t="s">
        <v>5586</v>
      </c>
      <c r="H765" s="294">
        <v>41759</v>
      </c>
      <c r="I765" s="295">
        <v>-3059.89</v>
      </c>
    </row>
    <row r="766" spans="1:9" x14ac:dyDescent="0.2">
      <c r="A766" s="293" t="s">
        <v>6736</v>
      </c>
      <c r="B766" s="293" t="s">
        <v>5666</v>
      </c>
      <c r="C766" s="293" t="s">
        <v>6040</v>
      </c>
      <c r="D766" s="293" t="s">
        <v>5859</v>
      </c>
      <c r="E766" s="293" t="s">
        <v>6041</v>
      </c>
      <c r="F766" s="293" t="s">
        <v>6731</v>
      </c>
      <c r="G766" s="293" t="s">
        <v>5581</v>
      </c>
      <c r="H766" s="294">
        <v>41759</v>
      </c>
      <c r="I766" s="295">
        <v>-8058.13</v>
      </c>
    </row>
    <row r="767" spans="1:9" x14ac:dyDescent="0.2">
      <c r="A767" s="293" t="s">
        <v>6737</v>
      </c>
      <c r="B767" s="293" t="s">
        <v>5666</v>
      </c>
      <c r="C767" s="293" t="s">
        <v>6049</v>
      </c>
      <c r="D767" s="293" t="s">
        <v>5859</v>
      </c>
      <c r="E767" s="293" t="s">
        <v>6050</v>
      </c>
      <c r="F767" s="293" t="s">
        <v>6731</v>
      </c>
      <c r="G767" s="293" t="s">
        <v>5590</v>
      </c>
      <c r="H767" s="294">
        <v>41759</v>
      </c>
      <c r="I767" s="295">
        <v>-12467.89</v>
      </c>
    </row>
    <row r="768" spans="1:9" x14ac:dyDescent="0.2">
      <c r="A768" s="293" t="s">
        <v>6738</v>
      </c>
      <c r="B768" s="293" t="s">
        <v>5666</v>
      </c>
      <c r="C768" s="293" t="s">
        <v>6052</v>
      </c>
      <c r="D768" s="293" t="s">
        <v>5859</v>
      </c>
      <c r="E768" s="293" t="s">
        <v>5817</v>
      </c>
      <c r="F768" s="293" t="s">
        <v>6731</v>
      </c>
      <c r="G768" s="293" t="s">
        <v>5577</v>
      </c>
      <c r="H768" s="294">
        <v>41759</v>
      </c>
      <c r="I768" s="295">
        <v>-7696.08</v>
      </c>
    </row>
    <row r="769" spans="1:9" x14ac:dyDescent="0.2">
      <c r="A769" s="293" t="s">
        <v>6739</v>
      </c>
      <c r="B769" s="293" t="s">
        <v>5666</v>
      </c>
      <c r="C769" s="293" t="s">
        <v>6054</v>
      </c>
      <c r="D769" s="293" t="s">
        <v>5859</v>
      </c>
      <c r="E769" s="293" t="s">
        <v>5817</v>
      </c>
      <c r="F769" s="293" t="s">
        <v>6731</v>
      </c>
      <c r="G769" s="293" t="s">
        <v>5577</v>
      </c>
      <c r="H769" s="294">
        <v>41759</v>
      </c>
      <c r="I769" s="295">
        <v>-3633.17</v>
      </c>
    </row>
    <row r="770" spans="1:9" x14ac:dyDescent="0.2">
      <c r="A770" s="293" t="s">
        <v>6740</v>
      </c>
      <c r="B770" s="293" t="s">
        <v>5666</v>
      </c>
      <c r="C770" s="293" t="s">
        <v>6056</v>
      </c>
      <c r="D770" s="293" t="s">
        <v>5859</v>
      </c>
      <c r="E770" s="293" t="s">
        <v>6057</v>
      </c>
      <c r="F770" s="293" t="s">
        <v>6731</v>
      </c>
      <c r="G770" s="293" t="s">
        <v>5578</v>
      </c>
      <c r="H770" s="294">
        <v>41759</v>
      </c>
      <c r="I770" s="295">
        <v>-4399.9399999999996</v>
      </c>
    </row>
    <row r="771" spans="1:9" x14ac:dyDescent="0.2">
      <c r="A771" s="293" t="s">
        <v>6741</v>
      </c>
      <c r="B771" s="293" t="s">
        <v>5666</v>
      </c>
      <c r="C771" s="293" t="s">
        <v>6062</v>
      </c>
      <c r="D771" s="293" t="s">
        <v>5859</v>
      </c>
      <c r="E771" s="293" t="s">
        <v>6063</v>
      </c>
      <c r="F771" s="293" t="s">
        <v>6731</v>
      </c>
      <c r="G771" s="293" t="s">
        <v>5579</v>
      </c>
      <c r="H771" s="294">
        <v>41759</v>
      </c>
      <c r="I771" s="295">
        <v>-2351.71</v>
      </c>
    </row>
    <row r="772" spans="1:9" x14ac:dyDescent="0.2">
      <c r="A772" s="293" t="s">
        <v>6742</v>
      </c>
      <c r="B772" s="293" t="s">
        <v>5666</v>
      </c>
      <c r="C772" s="293" t="s">
        <v>6065</v>
      </c>
      <c r="D772" s="293" t="s">
        <v>5859</v>
      </c>
      <c r="E772" s="293" t="s">
        <v>6063</v>
      </c>
      <c r="F772" s="293" t="s">
        <v>6731</v>
      </c>
      <c r="G772" s="293" t="s">
        <v>5579</v>
      </c>
      <c r="H772" s="294">
        <v>41759</v>
      </c>
      <c r="I772" s="295">
        <v>-63.12</v>
      </c>
    </row>
    <row r="773" spans="1:9" x14ac:dyDescent="0.2">
      <c r="A773" s="293" t="s">
        <v>6743</v>
      </c>
      <c r="B773" s="293" t="s">
        <v>5666</v>
      </c>
      <c r="C773" s="293" t="s">
        <v>6067</v>
      </c>
      <c r="D773" s="293" t="s">
        <v>5859</v>
      </c>
      <c r="E773" s="293" t="s">
        <v>5817</v>
      </c>
      <c r="F773" s="293" t="s">
        <v>6731</v>
      </c>
      <c r="G773" s="293" t="s">
        <v>5591</v>
      </c>
      <c r="H773" s="294">
        <v>41759</v>
      </c>
      <c r="I773" s="295">
        <v>-6308.36</v>
      </c>
    </row>
    <row r="774" spans="1:9" x14ac:dyDescent="0.2">
      <c r="A774" s="293" t="s">
        <v>6744</v>
      </c>
      <c r="B774" s="293" t="s">
        <v>5666</v>
      </c>
      <c r="C774" s="293" t="s">
        <v>6069</v>
      </c>
      <c r="D774" s="293" t="s">
        <v>5859</v>
      </c>
      <c r="E774" s="293" t="s">
        <v>5817</v>
      </c>
      <c r="F774" s="293" t="s">
        <v>6731</v>
      </c>
      <c r="G774" s="293" t="s">
        <v>5591</v>
      </c>
      <c r="H774" s="294">
        <v>41759</v>
      </c>
      <c r="I774" s="295">
        <v>-7695.19</v>
      </c>
    </row>
    <row r="775" spans="1:9" x14ac:dyDescent="0.2">
      <c r="A775" s="293" t="s">
        <v>6745</v>
      </c>
      <c r="B775" s="293" t="s">
        <v>5666</v>
      </c>
      <c r="C775" s="293" t="s">
        <v>6471</v>
      </c>
      <c r="D775" s="293" t="s">
        <v>5859</v>
      </c>
      <c r="E775" s="293" t="s">
        <v>5744</v>
      </c>
      <c r="F775" s="293" t="s">
        <v>6731</v>
      </c>
      <c r="G775" s="293" t="s">
        <v>5589</v>
      </c>
      <c r="H775" s="294">
        <v>41759</v>
      </c>
      <c r="I775" s="295">
        <v>-7123.53</v>
      </c>
    </row>
    <row r="776" spans="1:9" x14ac:dyDescent="0.2">
      <c r="A776" s="293" t="s">
        <v>6746</v>
      </c>
      <c r="B776" s="293" t="s">
        <v>5666</v>
      </c>
      <c r="C776" s="293" t="s">
        <v>6473</v>
      </c>
      <c r="D776" s="293" t="s">
        <v>5859</v>
      </c>
      <c r="E776" s="293" t="s">
        <v>6474</v>
      </c>
      <c r="F776" s="293" t="s">
        <v>6731</v>
      </c>
      <c r="G776" s="293" t="s">
        <v>5593</v>
      </c>
      <c r="H776" s="294">
        <v>41759</v>
      </c>
      <c r="I776" s="295">
        <v>-14668.67</v>
      </c>
    </row>
    <row r="777" spans="1:9" x14ac:dyDescent="0.2">
      <c r="A777" s="293" t="s">
        <v>6747</v>
      </c>
      <c r="B777" s="293" t="s">
        <v>6010</v>
      </c>
      <c r="C777" s="293" t="s">
        <v>6748</v>
      </c>
      <c r="D777" s="293" t="s">
        <v>5859</v>
      </c>
      <c r="E777" s="293" t="s">
        <v>5088</v>
      </c>
      <c r="F777" s="293" t="s">
        <v>6749</v>
      </c>
      <c r="G777" s="293" t="s">
        <v>5754</v>
      </c>
      <c r="H777" s="294">
        <v>41771</v>
      </c>
      <c r="I777" s="295">
        <v>37352</v>
      </c>
    </row>
    <row r="778" spans="1:9" x14ac:dyDescent="0.2">
      <c r="A778" s="293" t="s">
        <v>6750</v>
      </c>
      <c r="B778" s="293" t="s">
        <v>6010</v>
      </c>
      <c r="C778" s="293" t="s">
        <v>6751</v>
      </c>
      <c r="D778" s="293" t="s">
        <v>5859</v>
      </c>
      <c r="E778" s="293" t="s">
        <v>5088</v>
      </c>
      <c r="F778" s="293" t="s">
        <v>6752</v>
      </c>
      <c r="G778" s="293" t="s">
        <v>5754</v>
      </c>
      <c r="H778" s="294">
        <v>41781</v>
      </c>
      <c r="I778" s="295">
        <v>108750</v>
      </c>
    </row>
    <row r="779" spans="1:9" x14ac:dyDescent="0.2">
      <c r="A779" s="293" t="s">
        <v>6753</v>
      </c>
      <c r="B779" s="293" t="s">
        <v>6010</v>
      </c>
      <c r="C779" s="293" t="s">
        <v>6754</v>
      </c>
      <c r="D779" s="293" t="s">
        <v>5859</v>
      </c>
      <c r="E779" s="293" t="s">
        <v>5088</v>
      </c>
      <c r="F779" s="293" t="s">
        <v>6752</v>
      </c>
      <c r="G779" s="293" t="s">
        <v>5754</v>
      </c>
      <c r="H779" s="294">
        <v>41792</v>
      </c>
      <c r="I779" s="295">
        <v>5790.09</v>
      </c>
    </row>
    <row r="780" spans="1:9" x14ac:dyDescent="0.2">
      <c r="A780" s="293" t="s">
        <v>6755</v>
      </c>
      <c r="B780" s="293" t="s">
        <v>6010</v>
      </c>
      <c r="C780" s="293" t="s">
        <v>6756</v>
      </c>
      <c r="D780" s="293" t="s">
        <v>5859</v>
      </c>
      <c r="E780" s="293" t="s">
        <v>5088</v>
      </c>
      <c r="F780" s="293" t="s">
        <v>6757</v>
      </c>
      <c r="G780" s="293" t="s">
        <v>5754</v>
      </c>
      <c r="H780" s="294">
        <v>41793</v>
      </c>
      <c r="I780" s="295">
        <v>62833.33</v>
      </c>
    </row>
    <row r="781" spans="1:9" x14ac:dyDescent="0.2">
      <c r="A781" s="293" t="s">
        <v>6758</v>
      </c>
      <c r="B781" s="293" t="s">
        <v>6010</v>
      </c>
      <c r="C781" s="293" t="s">
        <v>6759</v>
      </c>
      <c r="D781" s="293" t="s">
        <v>5859</v>
      </c>
      <c r="E781" s="293" t="s">
        <v>5088</v>
      </c>
      <c r="F781" s="293" t="s">
        <v>6760</v>
      </c>
      <c r="G781" s="293" t="s">
        <v>5754</v>
      </c>
      <c r="H781" s="294">
        <v>41781</v>
      </c>
      <c r="I781" s="295">
        <v>4867.17</v>
      </c>
    </row>
    <row r="782" spans="1:9" x14ac:dyDescent="0.2">
      <c r="A782" s="293" t="s">
        <v>6761</v>
      </c>
      <c r="B782" s="293" t="s">
        <v>6010</v>
      </c>
      <c r="C782" s="293" t="s">
        <v>6762</v>
      </c>
      <c r="D782" s="293" t="s">
        <v>5859</v>
      </c>
      <c r="E782" s="293" t="s">
        <v>5088</v>
      </c>
      <c r="F782" s="293" t="s">
        <v>6760</v>
      </c>
      <c r="G782" s="293" t="s">
        <v>5754</v>
      </c>
      <c r="H782" s="294">
        <v>41782</v>
      </c>
      <c r="I782" s="295">
        <v>2368.33</v>
      </c>
    </row>
    <row r="783" spans="1:9" x14ac:dyDescent="0.2">
      <c r="A783" s="293" t="s">
        <v>6763</v>
      </c>
      <c r="B783" s="293" t="s">
        <v>6010</v>
      </c>
      <c r="C783" s="293" t="s">
        <v>6764</v>
      </c>
      <c r="D783" s="293" t="s">
        <v>5859</v>
      </c>
      <c r="E783" s="293" t="s">
        <v>5088</v>
      </c>
      <c r="F783" s="293" t="s">
        <v>6765</v>
      </c>
      <c r="G783" s="293" t="s">
        <v>5754</v>
      </c>
      <c r="H783" s="294">
        <v>41834</v>
      </c>
      <c r="I783" s="295">
        <v>18970.830000000002</v>
      </c>
    </row>
    <row r="784" spans="1:9" x14ac:dyDescent="0.2">
      <c r="A784" s="293" t="s">
        <v>6766</v>
      </c>
      <c r="B784" s="293" t="s">
        <v>5666</v>
      </c>
      <c r="C784" s="293" t="s">
        <v>6027</v>
      </c>
      <c r="D784" s="293" t="s">
        <v>5859</v>
      </c>
      <c r="E784" s="293" t="s">
        <v>6028</v>
      </c>
      <c r="F784" s="293" t="s">
        <v>6767</v>
      </c>
      <c r="G784" s="293" t="s">
        <v>5573</v>
      </c>
      <c r="H784" s="294">
        <v>41790</v>
      </c>
      <c r="I784" s="295">
        <v>-6400.96</v>
      </c>
    </row>
    <row r="785" spans="1:9" x14ac:dyDescent="0.2">
      <c r="A785" s="293" t="s">
        <v>6768</v>
      </c>
      <c r="B785" s="293" t="s">
        <v>5666</v>
      </c>
      <c r="C785" s="293" t="s">
        <v>6030</v>
      </c>
      <c r="D785" s="293" t="s">
        <v>5859</v>
      </c>
      <c r="E785" s="293" t="s">
        <v>6028</v>
      </c>
      <c r="F785" s="293" t="s">
        <v>6767</v>
      </c>
      <c r="G785" s="293" t="s">
        <v>5573</v>
      </c>
      <c r="H785" s="294">
        <v>41790</v>
      </c>
      <c r="I785" s="295">
        <v>-130.22</v>
      </c>
    </row>
    <row r="786" spans="1:9" x14ac:dyDescent="0.2">
      <c r="A786" s="293" t="s">
        <v>6769</v>
      </c>
      <c r="B786" s="293" t="s">
        <v>5666</v>
      </c>
      <c r="C786" s="293" t="s">
        <v>6032</v>
      </c>
      <c r="D786" s="293" t="s">
        <v>5859</v>
      </c>
      <c r="E786" s="293" t="s">
        <v>6033</v>
      </c>
      <c r="F786" s="293" t="s">
        <v>6767</v>
      </c>
      <c r="G786" s="293" t="s">
        <v>5585</v>
      </c>
      <c r="H786" s="294">
        <v>41790</v>
      </c>
      <c r="I786" s="295">
        <v>-6872.38</v>
      </c>
    </row>
    <row r="787" spans="1:9" x14ac:dyDescent="0.2">
      <c r="A787" s="293" t="s">
        <v>6770</v>
      </c>
      <c r="B787" s="293" t="s">
        <v>5666</v>
      </c>
      <c r="C787" s="293" t="s">
        <v>6035</v>
      </c>
      <c r="D787" s="293" t="s">
        <v>5859</v>
      </c>
      <c r="E787" s="293" t="s">
        <v>6033</v>
      </c>
      <c r="F787" s="293" t="s">
        <v>6767</v>
      </c>
      <c r="G787" s="293" t="s">
        <v>5585</v>
      </c>
      <c r="H787" s="294">
        <v>41790</v>
      </c>
      <c r="I787" s="295">
        <v>-4630.24</v>
      </c>
    </row>
    <row r="788" spans="1:9" x14ac:dyDescent="0.2">
      <c r="A788" s="293" t="s">
        <v>6771</v>
      </c>
      <c r="B788" s="293" t="s">
        <v>5666</v>
      </c>
      <c r="C788" s="293" t="s">
        <v>6037</v>
      </c>
      <c r="D788" s="293" t="s">
        <v>5859</v>
      </c>
      <c r="E788" s="293" t="s">
        <v>6038</v>
      </c>
      <c r="F788" s="293" t="s">
        <v>6767</v>
      </c>
      <c r="G788" s="293" t="s">
        <v>5586</v>
      </c>
      <c r="H788" s="294">
        <v>41790</v>
      </c>
      <c r="I788" s="295">
        <v>-3059.89</v>
      </c>
    </row>
    <row r="789" spans="1:9" x14ac:dyDescent="0.2">
      <c r="A789" s="293" t="s">
        <v>6772</v>
      </c>
      <c r="B789" s="293" t="s">
        <v>5666</v>
      </c>
      <c r="C789" s="293" t="s">
        <v>6040</v>
      </c>
      <c r="D789" s="293" t="s">
        <v>5859</v>
      </c>
      <c r="E789" s="293" t="s">
        <v>6041</v>
      </c>
      <c r="F789" s="293" t="s">
        <v>6767</v>
      </c>
      <c r="G789" s="293" t="s">
        <v>5581</v>
      </c>
      <c r="H789" s="294">
        <v>41790</v>
      </c>
      <c r="I789" s="295">
        <v>-8058.13</v>
      </c>
    </row>
    <row r="790" spans="1:9" x14ac:dyDescent="0.2">
      <c r="A790" s="293" t="s">
        <v>6773</v>
      </c>
      <c r="B790" s="293" t="s">
        <v>5666</v>
      </c>
      <c r="C790" s="293" t="s">
        <v>6049</v>
      </c>
      <c r="D790" s="293" t="s">
        <v>5859</v>
      </c>
      <c r="E790" s="293" t="s">
        <v>6050</v>
      </c>
      <c r="F790" s="293" t="s">
        <v>6767</v>
      </c>
      <c r="G790" s="293" t="s">
        <v>5590</v>
      </c>
      <c r="H790" s="294">
        <v>41790</v>
      </c>
      <c r="I790" s="295">
        <v>-12467.89</v>
      </c>
    </row>
    <row r="791" spans="1:9" x14ac:dyDescent="0.2">
      <c r="A791" s="293" t="s">
        <v>6774</v>
      </c>
      <c r="B791" s="293" t="s">
        <v>5666</v>
      </c>
      <c r="C791" s="293" t="s">
        <v>6052</v>
      </c>
      <c r="D791" s="293" t="s">
        <v>5859</v>
      </c>
      <c r="E791" s="293" t="s">
        <v>5817</v>
      </c>
      <c r="F791" s="293" t="s">
        <v>6767</v>
      </c>
      <c r="G791" s="293" t="s">
        <v>5577</v>
      </c>
      <c r="H791" s="294">
        <v>41790</v>
      </c>
      <c r="I791" s="295">
        <v>-7696.08</v>
      </c>
    </row>
    <row r="792" spans="1:9" x14ac:dyDescent="0.2">
      <c r="A792" s="293" t="s">
        <v>6775</v>
      </c>
      <c r="B792" s="293" t="s">
        <v>5666</v>
      </c>
      <c r="C792" s="293" t="s">
        <v>6054</v>
      </c>
      <c r="D792" s="293" t="s">
        <v>5859</v>
      </c>
      <c r="E792" s="293" t="s">
        <v>5817</v>
      </c>
      <c r="F792" s="293" t="s">
        <v>6767</v>
      </c>
      <c r="G792" s="293" t="s">
        <v>5577</v>
      </c>
      <c r="H792" s="294">
        <v>41790</v>
      </c>
      <c r="I792" s="295">
        <v>-3633.17</v>
      </c>
    </row>
    <row r="793" spans="1:9" x14ac:dyDescent="0.2">
      <c r="A793" s="293" t="s">
        <v>6776</v>
      </c>
      <c r="B793" s="293" t="s">
        <v>5666</v>
      </c>
      <c r="C793" s="293" t="s">
        <v>6056</v>
      </c>
      <c r="D793" s="293" t="s">
        <v>5859</v>
      </c>
      <c r="E793" s="293" t="s">
        <v>6057</v>
      </c>
      <c r="F793" s="293" t="s">
        <v>6767</v>
      </c>
      <c r="G793" s="293" t="s">
        <v>5578</v>
      </c>
      <c r="H793" s="294">
        <v>41790</v>
      </c>
      <c r="I793" s="295">
        <v>-4399.9399999999996</v>
      </c>
    </row>
    <row r="794" spans="1:9" x14ac:dyDescent="0.2">
      <c r="A794" s="293" t="s">
        <v>6777</v>
      </c>
      <c r="B794" s="293" t="s">
        <v>5666</v>
      </c>
      <c r="C794" s="293" t="s">
        <v>6062</v>
      </c>
      <c r="D794" s="293" t="s">
        <v>5859</v>
      </c>
      <c r="E794" s="293" t="s">
        <v>6063</v>
      </c>
      <c r="F794" s="293" t="s">
        <v>6767</v>
      </c>
      <c r="G794" s="293" t="s">
        <v>5579</v>
      </c>
      <c r="H794" s="294">
        <v>41790</v>
      </c>
      <c r="I794" s="295">
        <v>-2351.71</v>
      </c>
    </row>
    <row r="795" spans="1:9" x14ac:dyDescent="0.2">
      <c r="A795" s="293" t="s">
        <v>6778</v>
      </c>
      <c r="B795" s="293" t="s">
        <v>5666</v>
      </c>
      <c r="C795" s="293" t="s">
        <v>6065</v>
      </c>
      <c r="D795" s="293" t="s">
        <v>5859</v>
      </c>
      <c r="E795" s="293" t="s">
        <v>6063</v>
      </c>
      <c r="F795" s="293" t="s">
        <v>6767</v>
      </c>
      <c r="G795" s="293" t="s">
        <v>5579</v>
      </c>
      <c r="H795" s="294">
        <v>41790</v>
      </c>
      <c r="I795" s="295">
        <v>-63.12</v>
      </c>
    </row>
    <row r="796" spans="1:9" x14ac:dyDescent="0.2">
      <c r="A796" s="293" t="s">
        <v>6779</v>
      </c>
      <c r="B796" s="293" t="s">
        <v>5666</v>
      </c>
      <c r="C796" s="293" t="s">
        <v>6067</v>
      </c>
      <c r="D796" s="293" t="s">
        <v>5859</v>
      </c>
      <c r="E796" s="293" t="s">
        <v>5817</v>
      </c>
      <c r="F796" s="293" t="s">
        <v>6767</v>
      </c>
      <c r="G796" s="293" t="s">
        <v>5591</v>
      </c>
      <c r="H796" s="294">
        <v>41790</v>
      </c>
      <c r="I796" s="295">
        <v>-6308.36</v>
      </c>
    </row>
    <row r="797" spans="1:9" x14ac:dyDescent="0.2">
      <c r="A797" s="293" t="s">
        <v>6780</v>
      </c>
      <c r="B797" s="293" t="s">
        <v>5666</v>
      </c>
      <c r="C797" s="293" t="s">
        <v>6069</v>
      </c>
      <c r="D797" s="293" t="s">
        <v>5859</v>
      </c>
      <c r="E797" s="293" t="s">
        <v>5817</v>
      </c>
      <c r="F797" s="293" t="s">
        <v>6767</v>
      </c>
      <c r="G797" s="293" t="s">
        <v>5591</v>
      </c>
      <c r="H797" s="294">
        <v>41790</v>
      </c>
      <c r="I797" s="295">
        <v>-7695.19</v>
      </c>
    </row>
    <row r="798" spans="1:9" x14ac:dyDescent="0.2">
      <c r="A798" s="293" t="s">
        <v>6781</v>
      </c>
      <c r="B798" s="293" t="s">
        <v>5666</v>
      </c>
      <c r="C798" s="293" t="s">
        <v>6471</v>
      </c>
      <c r="D798" s="293" t="s">
        <v>5859</v>
      </c>
      <c r="E798" s="293" t="s">
        <v>5744</v>
      </c>
      <c r="F798" s="293" t="s">
        <v>6767</v>
      </c>
      <c r="G798" s="293" t="s">
        <v>5589</v>
      </c>
      <c r="H798" s="294">
        <v>41790</v>
      </c>
      <c r="I798" s="295">
        <v>-7123.53</v>
      </c>
    </row>
    <row r="799" spans="1:9" x14ac:dyDescent="0.2">
      <c r="A799" s="293" t="s">
        <v>6782</v>
      </c>
      <c r="B799" s="293" t="s">
        <v>5666</v>
      </c>
      <c r="C799" s="293" t="s">
        <v>6473</v>
      </c>
      <c r="D799" s="293" t="s">
        <v>5859</v>
      </c>
      <c r="E799" s="293" t="s">
        <v>6474</v>
      </c>
      <c r="F799" s="293" t="s">
        <v>6767</v>
      </c>
      <c r="G799" s="293" t="s">
        <v>5593</v>
      </c>
      <c r="H799" s="294">
        <v>41790</v>
      </c>
      <c r="I799" s="295">
        <v>-14668.67</v>
      </c>
    </row>
    <row r="800" spans="1:9" x14ac:dyDescent="0.2">
      <c r="A800" s="293" t="s">
        <v>6783</v>
      </c>
      <c r="B800" s="293" t="s">
        <v>5666</v>
      </c>
      <c r="C800" s="293" t="s">
        <v>6784</v>
      </c>
      <c r="D800" s="293" t="s">
        <v>5859</v>
      </c>
      <c r="E800" s="293" t="s">
        <v>5088</v>
      </c>
      <c r="F800" s="293" t="s">
        <v>6785</v>
      </c>
      <c r="G800" s="293" t="s">
        <v>5754</v>
      </c>
      <c r="H800" s="294">
        <v>41790</v>
      </c>
      <c r="I800" s="295">
        <v>-7474.75</v>
      </c>
    </row>
    <row r="801" spans="1:9" x14ac:dyDescent="0.2">
      <c r="A801" s="293" t="s">
        <v>6786</v>
      </c>
      <c r="B801" s="293" t="s">
        <v>6010</v>
      </c>
      <c r="C801" s="293" t="s">
        <v>6787</v>
      </c>
      <c r="D801" s="293" t="s">
        <v>5859</v>
      </c>
      <c r="E801" s="293" t="s">
        <v>5088</v>
      </c>
      <c r="F801" s="293" t="s">
        <v>6788</v>
      </c>
      <c r="G801" s="293" t="s">
        <v>5754</v>
      </c>
      <c r="H801" s="294">
        <v>41838</v>
      </c>
      <c r="I801" s="295">
        <v>55235.55</v>
      </c>
    </row>
    <row r="802" spans="1:9" x14ac:dyDescent="0.2">
      <c r="A802" s="293" t="s">
        <v>6789</v>
      </c>
      <c r="B802" s="293" t="s">
        <v>5666</v>
      </c>
      <c r="C802" s="293" t="s">
        <v>6027</v>
      </c>
      <c r="D802" s="293" t="s">
        <v>5859</v>
      </c>
      <c r="E802" s="293" t="s">
        <v>6028</v>
      </c>
      <c r="F802" s="293" t="s">
        <v>6790</v>
      </c>
      <c r="G802" s="293" t="s">
        <v>5573</v>
      </c>
      <c r="H802" s="294">
        <v>41820</v>
      </c>
      <c r="I802" s="295">
        <v>-6400.96</v>
      </c>
    </row>
    <row r="803" spans="1:9" x14ac:dyDescent="0.2">
      <c r="A803" s="293" t="s">
        <v>6791</v>
      </c>
      <c r="B803" s="293" t="s">
        <v>5666</v>
      </c>
      <c r="C803" s="293" t="s">
        <v>6030</v>
      </c>
      <c r="D803" s="293" t="s">
        <v>5859</v>
      </c>
      <c r="E803" s="293" t="s">
        <v>6028</v>
      </c>
      <c r="F803" s="293" t="s">
        <v>6790</v>
      </c>
      <c r="G803" s="293" t="s">
        <v>5573</v>
      </c>
      <c r="H803" s="294">
        <v>41820</v>
      </c>
      <c r="I803" s="295">
        <v>-130.22</v>
      </c>
    </row>
    <row r="804" spans="1:9" x14ac:dyDescent="0.2">
      <c r="A804" s="293" t="s">
        <v>6792</v>
      </c>
      <c r="B804" s="293" t="s">
        <v>5666</v>
      </c>
      <c r="C804" s="293" t="s">
        <v>6032</v>
      </c>
      <c r="D804" s="293" t="s">
        <v>5859</v>
      </c>
      <c r="E804" s="293" t="s">
        <v>6033</v>
      </c>
      <c r="F804" s="293" t="s">
        <v>6790</v>
      </c>
      <c r="G804" s="293" t="s">
        <v>5585</v>
      </c>
      <c r="H804" s="294">
        <v>41820</v>
      </c>
      <c r="I804" s="295">
        <v>-6872.38</v>
      </c>
    </row>
    <row r="805" spans="1:9" x14ac:dyDescent="0.2">
      <c r="A805" s="293" t="s">
        <v>6793</v>
      </c>
      <c r="B805" s="293" t="s">
        <v>5666</v>
      </c>
      <c r="C805" s="293" t="s">
        <v>6035</v>
      </c>
      <c r="D805" s="293" t="s">
        <v>5859</v>
      </c>
      <c r="E805" s="293" t="s">
        <v>6033</v>
      </c>
      <c r="F805" s="293" t="s">
        <v>6790</v>
      </c>
      <c r="G805" s="293" t="s">
        <v>5585</v>
      </c>
      <c r="H805" s="294">
        <v>41820</v>
      </c>
      <c r="I805" s="295">
        <v>-4630.24</v>
      </c>
    </row>
    <row r="806" spans="1:9" x14ac:dyDescent="0.2">
      <c r="A806" s="293" t="s">
        <v>6794</v>
      </c>
      <c r="B806" s="293" t="s">
        <v>5666</v>
      </c>
      <c r="C806" s="293" t="s">
        <v>6037</v>
      </c>
      <c r="D806" s="293" t="s">
        <v>5859</v>
      </c>
      <c r="E806" s="293" t="s">
        <v>6038</v>
      </c>
      <c r="F806" s="293" t="s">
        <v>6790</v>
      </c>
      <c r="G806" s="293" t="s">
        <v>5586</v>
      </c>
      <c r="H806" s="294">
        <v>41820</v>
      </c>
      <c r="I806" s="295">
        <v>-3059.89</v>
      </c>
    </row>
    <row r="807" spans="1:9" x14ac:dyDescent="0.2">
      <c r="A807" s="293" t="s">
        <v>6795</v>
      </c>
      <c r="B807" s="293" t="s">
        <v>5666</v>
      </c>
      <c r="C807" s="293" t="s">
        <v>6040</v>
      </c>
      <c r="D807" s="293" t="s">
        <v>5859</v>
      </c>
      <c r="E807" s="293" t="s">
        <v>6041</v>
      </c>
      <c r="F807" s="293" t="s">
        <v>6790</v>
      </c>
      <c r="G807" s="293" t="s">
        <v>5581</v>
      </c>
      <c r="H807" s="294">
        <v>41820</v>
      </c>
      <c r="I807" s="295">
        <v>-8058.13</v>
      </c>
    </row>
    <row r="808" spans="1:9" x14ac:dyDescent="0.2">
      <c r="A808" s="293" t="s">
        <v>6796</v>
      </c>
      <c r="B808" s="293" t="s">
        <v>5666</v>
      </c>
      <c r="C808" s="293" t="s">
        <v>6049</v>
      </c>
      <c r="D808" s="293" t="s">
        <v>5859</v>
      </c>
      <c r="E808" s="293" t="s">
        <v>6050</v>
      </c>
      <c r="F808" s="293" t="s">
        <v>6790</v>
      </c>
      <c r="G808" s="293" t="s">
        <v>5590</v>
      </c>
      <c r="H808" s="294">
        <v>41820</v>
      </c>
      <c r="I808" s="295">
        <v>-12467.89</v>
      </c>
    </row>
    <row r="809" spans="1:9" x14ac:dyDescent="0.2">
      <c r="A809" s="293" t="s">
        <v>6797</v>
      </c>
      <c r="B809" s="293" t="s">
        <v>5666</v>
      </c>
      <c r="C809" s="293" t="s">
        <v>6052</v>
      </c>
      <c r="D809" s="293" t="s">
        <v>5859</v>
      </c>
      <c r="E809" s="293" t="s">
        <v>5817</v>
      </c>
      <c r="F809" s="293" t="s">
        <v>6790</v>
      </c>
      <c r="G809" s="293" t="s">
        <v>5577</v>
      </c>
      <c r="H809" s="294">
        <v>41820</v>
      </c>
      <c r="I809" s="295">
        <v>-7696.08</v>
      </c>
    </row>
    <row r="810" spans="1:9" x14ac:dyDescent="0.2">
      <c r="A810" s="293" t="s">
        <v>6798</v>
      </c>
      <c r="B810" s="293" t="s">
        <v>5666</v>
      </c>
      <c r="C810" s="293" t="s">
        <v>6054</v>
      </c>
      <c r="D810" s="293" t="s">
        <v>5859</v>
      </c>
      <c r="E810" s="293" t="s">
        <v>5817</v>
      </c>
      <c r="F810" s="293" t="s">
        <v>6790</v>
      </c>
      <c r="G810" s="293" t="s">
        <v>5577</v>
      </c>
      <c r="H810" s="294">
        <v>41820</v>
      </c>
      <c r="I810" s="295">
        <v>-3633.17</v>
      </c>
    </row>
    <row r="811" spans="1:9" x14ac:dyDescent="0.2">
      <c r="A811" s="293" t="s">
        <v>6799</v>
      </c>
      <c r="B811" s="293" t="s">
        <v>5666</v>
      </c>
      <c r="C811" s="293" t="s">
        <v>6056</v>
      </c>
      <c r="D811" s="293" t="s">
        <v>5859</v>
      </c>
      <c r="E811" s="293" t="s">
        <v>6057</v>
      </c>
      <c r="F811" s="293" t="s">
        <v>6790</v>
      </c>
      <c r="G811" s="293" t="s">
        <v>5578</v>
      </c>
      <c r="H811" s="294">
        <v>41820</v>
      </c>
      <c r="I811" s="295">
        <v>-4399.9399999999996</v>
      </c>
    </row>
    <row r="812" spans="1:9" x14ac:dyDescent="0.2">
      <c r="A812" s="293" t="s">
        <v>6800</v>
      </c>
      <c r="B812" s="293" t="s">
        <v>5666</v>
      </c>
      <c r="C812" s="293" t="s">
        <v>6062</v>
      </c>
      <c r="D812" s="293" t="s">
        <v>5859</v>
      </c>
      <c r="E812" s="293" t="s">
        <v>6063</v>
      </c>
      <c r="F812" s="293" t="s">
        <v>6790</v>
      </c>
      <c r="G812" s="293" t="s">
        <v>5579</v>
      </c>
      <c r="H812" s="294">
        <v>41820</v>
      </c>
      <c r="I812" s="295">
        <v>-2351.71</v>
      </c>
    </row>
    <row r="813" spans="1:9" x14ac:dyDescent="0.2">
      <c r="A813" s="293" t="s">
        <v>6801</v>
      </c>
      <c r="B813" s="293" t="s">
        <v>5666</v>
      </c>
      <c r="C813" s="293" t="s">
        <v>6065</v>
      </c>
      <c r="D813" s="293" t="s">
        <v>5859</v>
      </c>
      <c r="E813" s="293" t="s">
        <v>6063</v>
      </c>
      <c r="F813" s="293" t="s">
        <v>6790</v>
      </c>
      <c r="G813" s="293" t="s">
        <v>5579</v>
      </c>
      <c r="H813" s="294">
        <v>41820</v>
      </c>
      <c r="I813" s="295">
        <v>-63.12</v>
      </c>
    </row>
    <row r="814" spans="1:9" x14ac:dyDescent="0.2">
      <c r="A814" s="293" t="s">
        <v>6802</v>
      </c>
      <c r="B814" s="293" t="s">
        <v>5666</v>
      </c>
      <c r="C814" s="293" t="s">
        <v>6067</v>
      </c>
      <c r="D814" s="293" t="s">
        <v>5859</v>
      </c>
      <c r="E814" s="293" t="s">
        <v>5817</v>
      </c>
      <c r="F814" s="293" t="s">
        <v>6790</v>
      </c>
      <c r="G814" s="293" t="s">
        <v>5591</v>
      </c>
      <c r="H814" s="294">
        <v>41820</v>
      </c>
      <c r="I814" s="295">
        <v>-6308.36</v>
      </c>
    </row>
    <row r="815" spans="1:9" x14ac:dyDescent="0.2">
      <c r="A815" s="293" t="s">
        <v>6803</v>
      </c>
      <c r="B815" s="293" t="s">
        <v>5666</v>
      </c>
      <c r="C815" s="293" t="s">
        <v>6069</v>
      </c>
      <c r="D815" s="293" t="s">
        <v>5859</v>
      </c>
      <c r="E815" s="293" t="s">
        <v>5817</v>
      </c>
      <c r="F815" s="293" t="s">
        <v>6790</v>
      </c>
      <c r="G815" s="293" t="s">
        <v>5591</v>
      </c>
      <c r="H815" s="294">
        <v>41820</v>
      </c>
      <c r="I815" s="295">
        <v>-7695.19</v>
      </c>
    </row>
    <row r="816" spans="1:9" x14ac:dyDescent="0.2">
      <c r="A816" s="293" t="s">
        <v>6804</v>
      </c>
      <c r="B816" s="293" t="s">
        <v>5666</v>
      </c>
      <c r="C816" s="293" t="s">
        <v>6471</v>
      </c>
      <c r="D816" s="293" t="s">
        <v>5859</v>
      </c>
      <c r="E816" s="293" t="s">
        <v>5744</v>
      </c>
      <c r="F816" s="293" t="s">
        <v>6790</v>
      </c>
      <c r="G816" s="293" t="s">
        <v>5589</v>
      </c>
      <c r="H816" s="294">
        <v>41820</v>
      </c>
      <c r="I816" s="295">
        <v>-7123.53</v>
      </c>
    </row>
    <row r="817" spans="1:9" x14ac:dyDescent="0.2">
      <c r="A817" s="293" t="s">
        <v>6805</v>
      </c>
      <c r="B817" s="293" t="s">
        <v>5666</v>
      </c>
      <c r="C817" s="293" t="s">
        <v>6473</v>
      </c>
      <c r="D817" s="293" t="s">
        <v>5859</v>
      </c>
      <c r="E817" s="293" t="s">
        <v>6474</v>
      </c>
      <c r="F817" s="293" t="s">
        <v>6790</v>
      </c>
      <c r="G817" s="293" t="s">
        <v>5593</v>
      </c>
      <c r="H817" s="294">
        <v>41820</v>
      </c>
      <c r="I817" s="295">
        <v>-14668.67</v>
      </c>
    </row>
    <row r="818" spans="1:9" x14ac:dyDescent="0.2">
      <c r="A818" s="293" t="s">
        <v>6806</v>
      </c>
      <c r="B818" s="293" t="s">
        <v>5666</v>
      </c>
      <c r="C818" s="293" t="s">
        <v>5987</v>
      </c>
      <c r="D818" s="293" t="s">
        <v>5859</v>
      </c>
      <c r="E818" s="293" t="s">
        <v>5088</v>
      </c>
      <c r="F818" s="293" t="s">
        <v>6807</v>
      </c>
      <c r="G818" s="293" t="s">
        <v>5754</v>
      </c>
      <c r="H818" s="294">
        <v>41820</v>
      </c>
      <c r="I818" s="295">
        <v>-7855.79</v>
      </c>
    </row>
    <row r="819" spans="1:9" x14ac:dyDescent="0.2">
      <c r="A819" s="293" t="s">
        <v>6806</v>
      </c>
      <c r="B819" s="293" t="s">
        <v>5666</v>
      </c>
      <c r="C819" s="293" t="s">
        <v>5987</v>
      </c>
      <c r="D819" s="293" t="s">
        <v>5859</v>
      </c>
      <c r="E819" s="293" t="s">
        <v>5088</v>
      </c>
      <c r="F819" s="293" t="s">
        <v>6807</v>
      </c>
      <c r="G819" s="293" t="s">
        <v>5754</v>
      </c>
      <c r="H819" s="294">
        <v>41820</v>
      </c>
      <c r="I819" s="295">
        <v>0.2</v>
      </c>
    </row>
    <row r="820" spans="1:9" x14ac:dyDescent="0.2">
      <c r="A820" s="293" t="s">
        <v>6808</v>
      </c>
      <c r="B820" s="293" t="s">
        <v>5666</v>
      </c>
      <c r="C820" s="293" t="s">
        <v>5835</v>
      </c>
      <c r="D820" s="293" t="s">
        <v>5859</v>
      </c>
      <c r="E820" s="293" t="s">
        <v>5088</v>
      </c>
      <c r="F820" s="293" t="s">
        <v>6809</v>
      </c>
      <c r="G820" s="293" t="s">
        <v>5593</v>
      </c>
      <c r="H820" s="294">
        <v>41820</v>
      </c>
      <c r="I820" s="295">
        <v>0.01</v>
      </c>
    </row>
    <row r="821" spans="1:9" x14ac:dyDescent="0.2">
      <c r="A821" s="293" t="s">
        <v>6808</v>
      </c>
      <c r="B821" s="293" t="s">
        <v>5666</v>
      </c>
      <c r="C821" s="293" t="s">
        <v>5835</v>
      </c>
      <c r="D821" s="293" t="s">
        <v>5859</v>
      </c>
      <c r="E821" s="293" t="s">
        <v>5088</v>
      </c>
      <c r="F821" s="293" t="s">
        <v>6809</v>
      </c>
      <c r="G821" s="293" t="s">
        <v>5589</v>
      </c>
      <c r="H821" s="294">
        <v>41820</v>
      </c>
      <c r="I821" s="295">
        <v>0.01</v>
      </c>
    </row>
    <row r="822" spans="1:9" x14ac:dyDescent="0.2">
      <c r="A822" s="293" t="s">
        <v>6810</v>
      </c>
      <c r="B822" s="293" t="s">
        <v>6010</v>
      </c>
      <c r="C822" s="293" t="s">
        <v>6811</v>
      </c>
      <c r="D822" s="293" t="s">
        <v>5859</v>
      </c>
      <c r="E822" s="293" t="s">
        <v>5088</v>
      </c>
      <c r="F822" s="293" t="s">
        <v>6812</v>
      </c>
      <c r="G822" s="293" t="s">
        <v>5754</v>
      </c>
      <c r="H822" s="294">
        <v>41885</v>
      </c>
      <c r="I822" s="295">
        <v>143550</v>
      </c>
    </row>
    <row r="823" spans="1:9" x14ac:dyDescent="0.2">
      <c r="A823" s="293" t="s">
        <v>6813</v>
      </c>
      <c r="B823" s="293" t="s">
        <v>5666</v>
      </c>
      <c r="C823" s="293" t="s">
        <v>6027</v>
      </c>
      <c r="D823" s="293" t="s">
        <v>5859</v>
      </c>
      <c r="E823" s="293" t="s">
        <v>6028</v>
      </c>
      <c r="F823" s="293" t="s">
        <v>6814</v>
      </c>
      <c r="G823" s="293" t="s">
        <v>5573</v>
      </c>
      <c r="H823" s="294">
        <v>41851</v>
      </c>
      <c r="I823" s="295">
        <v>-6400.96</v>
      </c>
    </row>
    <row r="824" spans="1:9" x14ac:dyDescent="0.2">
      <c r="A824" s="293" t="s">
        <v>6815</v>
      </c>
      <c r="B824" s="293" t="s">
        <v>5666</v>
      </c>
      <c r="C824" s="293" t="s">
        <v>6030</v>
      </c>
      <c r="D824" s="293" t="s">
        <v>5859</v>
      </c>
      <c r="E824" s="293" t="s">
        <v>6028</v>
      </c>
      <c r="F824" s="293" t="s">
        <v>6814</v>
      </c>
      <c r="G824" s="293" t="s">
        <v>5573</v>
      </c>
      <c r="H824" s="294">
        <v>41851</v>
      </c>
      <c r="I824" s="295">
        <v>-130.22</v>
      </c>
    </row>
    <row r="825" spans="1:9" x14ac:dyDescent="0.2">
      <c r="A825" s="293" t="s">
        <v>6816</v>
      </c>
      <c r="B825" s="293" t="s">
        <v>5666</v>
      </c>
      <c r="C825" s="293" t="s">
        <v>6032</v>
      </c>
      <c r="D825" s="293" t="s">
        <v>5859</v>
      </c>
      <c r="E825" s="293" t="s">
        <v>6033</v>
      </c>
      <c r="F825" s="293" t="s">
        <v>6814</v>
      </c>
      <c r="G825" s="293" t="s">
        <v>5585</v>
      </c>
      <c r="H825" s="294">
        <v>41851</v>
      </c>
      <c r="I825" s="295">
        <v>-6872.38</v>
      </c>
    </row>
    <row r="826" spans="1:9" x14ac:dyDescent="0.2">
      <c r="A826" s="293" t="s">
        <v>6817</v>
      </c>
      <c r="B826" s="293" t="s">
        <v>5666</v>
      </c>
      <c r="C826" s="293" t="s">
        <v>6035</v>
      </c>
      <c r="D826" s="293" t="s">
        <v>5859</v>
      </c>
      <c r="E826" s="293" t="s">
        <v>6033</v>
      </c>
      <c r="F826" s="293" t="s">
        <v>6814</v>
      </c>
      <c r="G826" s="293" t="s">
        <v>5585</v>
      </c>
      <c r="H826" s="294">
        <v>41851</v>
      </c>
      <c r="I826" s="295">
        <v>-4630.24</v>
      </c>
    </row>
    <row r="827" spans="1:9" x14ac:dyDescent="0.2">
      <c r="A827" s="293" t="s">
        <v>6818</v>
      </c>
      <c r="B827" s="293" t="s">
        <v>5666</v>
      </c>
      <c r="C827" s="293" t="s">
        <v>6037</v>
      </c>
      <c r="D827" s="293" t="s">
        <v>5859</v>
      </c>
      <c r="E827" s="293" t="s">
        <v>6038</v>
      </c>
      <c r="F827" s="293" t="s">
        <v>6814</v>
      </c>
      <c r="G827" s="293" t="s">
        <v>5586</v>
      </c>
      <c r="H827" s="294">
        <v>41851</v>
      </c>
      <c r="I827" s="295">
        <v>-3059.89</v>
      </c>
    </row>
    <row r="828" spans="1:9" x14ac:dyDescent="0.2">
      <c r="A828" s="293" t="s">
        <v>6819</v>
      </c>
      <c r="B828" s="293" t="s">
        <v>5666</v>
      </c>
      <c r="C828" s="293" t="s">
        <v>6040</v>
      </c>
      <c r="D828" s="293" t="s">
        <v>5859</v>
      </c>
      <c r="E828" s="293" t="s">
        <v>6041</v>
      </c>
      <c r="F828" s="293" t="s">
        <v>6814</v>
      </c>
      <c r="G828" s="293" t="s">
        <v>5581</v>
      </c>
      <c r="H828" s="294">
        <v>41851</v>
      </c>
      <c r="I828" s="295">
        <v>-8058.13</v>
      </c>
    </row>
    <row r="829" spans="1:9" x14ac:dyDescent="0.2">
      <c r="A829" s="293" t="s">
        <v>6820</v>
      </c>
      <c r="B829" s="293" t="s">
        <v>5666</v>
      </c>
      <c r="C829" s="293" t="s">
        <v>6049</v>
      </c>
      <c r="D829" s="293" t="s">
        <v>5859</v>
      </c>
      <c r="E829" s="293" t="s">
        <v>6050</v>
      </c>
      <c r="F829" s="293" t="s">
        <v>6814</v>
      </c>
      <c r="G829" s="293" t="s">
        <v>5590</v>
      </c>
      <c r="H829" s="294">
        <v>41851</v>
      </c>
      <c r="I829" s="295">
        <v>-12467.89</v>
      </c>
    </row>
    <row r="830" spans="1:9" x14ac:dyDescent="0.2">
      <c r="A830" s="293" t="s">
        <v>6821</v>
      </c>
      <c r="B830" s="293" t="s">
        <v>5666</v>
      </c>
      <c r="C830" s="293" t="s">
        <v>6052</v>
      </c>
      <c r="D830" s="293" t="s">
        <v>5859</v>
      </c>
      <c r="E830" s="293" t="s">
        <v>5817</v>
      </c>
      <c r="F830" s="293" t="s">
        <v>6814</v>
      </c>
      <c r="G830" s="293" t="s">
        <v>5577</v>
      </c>
      <c r="H830" s="294">
        <v>41851</v>
      </c>
      <c r="I830" s="295">
        <v>-7696.08</v>
      </c>
    </row>
    <row r="831" spans="1:9" x14ac:dyDescent="0.2">
      <c r="A831" s="293" t="s">
        <v>6822</v>
      </c>
      <c r="B831" s="293" t="s">
        <v>5666</v>
      </c>
      <c r="C831" s="293" t="s">
        <v>6054</v>
      </c>
      <c r="D831" s="293" t="s">
        <v>5859</v>
      </c>
      <c r="E831" s="293" t="s">
        <v>5817</v>
      </c>
      <c r="F831" s="293" t="s">
        <v>6814</v>
      </c>
      <c r="G831" s="293" t="s">
        <v>5577</v>
      </c>
      <c r="H831" s="294">
        <v>41851</v>
      </c>
      <c r="I831" s="295">
        <v>-3633.17</v>
      </c>
    </row>
    <row r="832" spans="1:9" x14ac:dyDescent="0.2">
      <c r="A832" s="293" t="s">
        <v>6823</v>
      </c>
      <c r="B832" s="293" t="s">
        <v>5666</v>
      </c>
      <c r="C832" s="293" t="s">
        <v>6056</v>
      </c>
      <c r="D832" s="293" t="s">
        <v>5859</v>
      </c>
      <c r="E832" s="293" t="s">
        <v>6057</v>
      </c>
      <c r="F832" s="293" t="s">
        <v>6814</v>
      </c>
      <c r="G832" s="293" t="s">
        <v>5578</v>
      </c>
      <c r="H832" s="294">
        <v>41851</v>
      </c>
      <c r="I832" s="295">
        <v>-4399.9399999999996</v>
      </c>
    </row>
    <row r="833" spans="1:9" x14ac:dyDescent="0.2">
      <c r="A833" s="293" t="s">
        <v>6824</v>
      </c>
      <c r="B833" s="293" t="s">
        <v>5666</v>
      </c>
      <c r="C833" s="293" t="s">
        <v>6062</v>
      </c>
      <c r="D833" s="293" t="s">
        <v>5859</v>
      </c>
      <c r="E833" s="293" t="s">
        <v>6063</v>
      </c>
      <c r="F833" s="293" t="s">
        <v>6814</v>
      </c>
      <c r="G833" s="293" t="s">
        <v>5579</v>
      </c>
      <c r="H833" s="294">
        <v>41851</v>
      </c>
      <c r="I833" s="295">
        <v>-2351.71</v>
      </c>
    </row>
    <row r="834" spans="1:9" x14ac:dyDescent="0.2">
      <c r="A834" s="293" t="s">
        <v>6825</v>
      </c>
      <c r="B834" s="293" t="s">
        <v>5666</v>
      </c>
      <c r="C834" s="293" t="s">
        <v>6065</v>
      </c>
      <c r="D834" s="293" t="s">
        <v>5859</v>
      </c>
      <c r="E834" s="293" t="s">
        <v>6063</v>
      </c>
      <c r="F834" s="293" t="s">
        <v>6814</v>
      </c>
      <c r="G834" s="293" t="s">
        <v>5579</v>
      </c>
      <c r="H834" s="294">
        <v>41851</v>
      </c>
      <c r="I834" s="295">
        <v>-63.12</v>
      </c>
    </row>
    <row r="835" spans="1:9" x14ac:dyDescent="0.2">
      <c r="A835" s="293" t="s">
        <v>6826</v>
      </c>
      <c r="B835" s="293" t="s">
        <v>5666</v>
      </c>
      <c r="C835" s="293" t="s">
        <v>6067</v>
      </c>
      <c r="D835" s="293" t="s">
        <v>5859</v>
      </c>
      <c r="E835" s="293" t="s">
        <v>5817</v>
      </c>
      <c r="F835" s="293" t="s">
        <v>6814</v>
      </c>
      <c r="G835" s="293" t="s">
        <v>5591</v>
      </c>
      <c r="H835" s="294">
        <v>41851</v>
      </c>
      <c r="I835" s="295">
        <v>-6308.36</v>
      </c>
    </row>
    <row r="836" spans="1:9" x14ac:dyDescent="0.2">
      <c r="A836" s="293" t="s">
        <v>6827</v>
      </c>
      <c r="B836" s="293" t="s">
        <v>5666</v>
      </c>
      <c r="C836" s="293" t="s">
        <v>6069</v>
      </c>
      <c r="D836" s="293" t="s">
        <v>5859</v>
      </c>
      <c r="E836" s="293" t="s">
        <v>5817</v>
      </c>
      <c r="F836" s="293" t="s">
        <v>6814</v>
      </c>
      <c r="G836" s="293" t="s">
        <v>5591</v>
      </c>
      <c r="H836" s="294">
        <v>41851</v>
      </c>
      <c r="I836" s="295">
        <v>-7695.19</v>
      </c>
    </row>
    <row r="837" spans="1:9" x14ac:dyDescent="0.2">
      <c r="A837" s="293" t="s">
        <v>6828</v>
      </c>
      <c r="B837" s="293" t="s">
        <v>5666</v>
      </c>
      <c r="C837" s="293" t="s">
        <v>6471</v>
      </c>
      <c r="D837" s="293" t="s">
        <v>5859</v>
      </c>
      <c r="E837" s="293" t="s">
        <v>6829</v>
      </c>
      <c r="F837" s="293" t="s">
        <v>6814</v>
      </c>
      <c r="G837" s="293" t="s">
        <v>5589</v>
      </c>
      <c r="H837" s="294">
        <v>41851</v>
      </c>
      <c r="I837" s="295">
        <v>-7123.53</v>
      </c>
    </row>
    <row r="838" spans="1:9" x14ac:dyDescent="0.2">
      <c r="A838" s="293" t="s">
        <v>6830</v>
      </c>
      <c r="B838" s="293" t="s">
        <v>5666</v>
      </c>
      <c r="C838" s="293" t="s">
        <v>6473</v>
      </c>
      <c r="D838" s="293" t="s">
        <v>5859</v>
      </c>
      <c r="E838" s="293" t="s">
        <v>6474</v>
      </c>
      <c r="F838" s="293" t="s">
        <v>6814</v>
      </c>
      <c r="G838" s="293" t="s">
        <v>5593</v>
      </c>
      <c r="H838" s="294">
        <v>41851</v>
      </c>
      <c r="I838" s="295">
        <v>-14668.67</v>
      </c>
    </row>
    <row r="839" spans="1:9" x14ac:dyDescent="0.2">
      <c r="A839" s="293" t="s">
        <v>6831</v>
      </c>
      <c r="B839" s="293" t="s">
        <v>5666</v>
      </c>
      <c r="C839" s="293" t="s">
        <v>5987</v>
      </c>
      <c r="D839" s="293" t="s">
        <v>5859</v>
      </c>
      <c r="E839" s="293" t="s">
        <v>5088</v>
      </c>
      <c r="F839" s="293" t="s">
        <v>6814</v>
      </c>
      <c r="G839" s="293" t="s">
        <v>5754</v>
      </c>
      <c r="H839" s="294">
        <v>41851</v>
      </c>
      <c r="I839" s="295">
        <v>-8283.56</v>
      </c>
    </row>
    <row r="840" spans="1:9" x14ac:dyDescent="0.2">
      <c r="A840" s="293" t="s">
        <v>6832</v>
      </c>
      <c r="B840" s="293" t="s">
        <v>6010</v>
      </c>
      <c r="C840" s="293" t="s">
        <v>6833</v>
      </c>
      <c r="D840" s="293" t="s">
        <v>5859</v>
      </c>
      <c r="E840" s="293" t="s">
        <v>5088</v>
      </c>
      <c r="F840" s="293" t="s">
        <v>6834</v>
      </c>
      <c r="G840" s="293" t="s">
        <v>5754</v>
      </c>
      <c r="H840" s="294">
        <v>41879</v>
      </c>
      <c r="I840" s="295">
        <v>5800</v>
      </c>
    </row>
    <row r="841" spans="1:9" x14ac:dyDescent="0.2">
      <c r="A841" s="293" t="s">
        <v>6835</v>
      </c>
      <c r="B841" s="293" t="s">
        <v>5666</v>
      </c>
      <c r="C841" s="293" t="s">
        <v>6027</v>
      </c>
      <c r="D841" s="293" t="s">
        <v>5859</v>
      </c>
      <c r="E841" s="293" t="s">
        <v>6028</v>
      </c>
      <c r="F841" s="293" t="s">
        <v>6836</v>
      </c>
      <c r="G841" s="293" t="s">
        <v>5573</v>
      </c>
      <c r="H841" s="294">
        <v>41882</v>
      </c>
      <c r="I841" s="295">
        <v>-6400.96</v>
      </c>
    </row>
    <row r="842" spans="1:9" x14ac:dyDescent="0.2">
      <c r="A842" s="293" t="s">
        <v>6837</v>
      </c>
      <c r="B842" s="293" t="s">
        <v>5666</v>
      </c>
      <c r="C842" s="293" t="s">
        <v>6030</v>
      </c>
      <c r="D842" s="293" t="s">
        <v>5859</v>
      </c>
      <c r="E842" s="293" t="s">
        <v>6028</v>
      </c>
      <c r="F842" s="293" t="s">
        <v>6836</v>
      </c>
      <c r="G842" s="293" t="s">
        <v>5573</v>
      </c>
      <c r="H842" s="294">
        <v>41882</v>
      </c>
      <c r="I842" s="295">
        <v>-130.22</v>
      </c>
    </row>
    <row r="843" spans="1:9" x14ac:dyDescent="0.2">
      <c r="A843" s="293" t="s">
        <v>6838</v>
      </c>
      <c r="B843" s="293" t="s">
        <v>5666</v>
      </c>
      <c r="C843" s="293" t="s">
        <v>6032</v>
      </c>
      <c r="D843" s="293" t="s">
        <v>5859</v>
      </c>
      <c r="E843" s="293" t="s">
        <v>6033</v>
      </c>
      <c r="F843" s="293" t="s">
        <v>6836</v>
      </c>
      <c r="G843" s="293" t="s">
        <v>5585</v>
      </c>
      <c r="H843" s="294">
        <v>41882</v>
      </c>
      <c r="I843" s="295">
        <v>-6872.38</v>
      </c>
    </row>
    <row r="844" spans="1:9" x14ac:dyDescent="0.2">
      <c r="A844" s="293" t="s">
        <v>6839</v>
      </c>
      <c r="B844" s="293" t="s">
        <v>5666</v>
      </c>
      <c r="C844" s="293" t="s">
        <v>6035</v>
      </c>
      <c r="D844" s="293" t="s">
        <v>5859</v>
      </c>
      <c r="E844" s="293" t="s">
        <v>6033</v>
      </c>
      <c r="F844" s="293" t="s">
        <v>6836</v>
      </c>
      <c r="G844" s="293" t="s">
        <v>5585</v>
      </c>
      <c r="H844" s="294">
        <v>41882</v>
      </c>
      <c r="I844" s="295">
        <v>-4630.24</v>
      </c>
    </row>
    <row r="845" spans="1:9" x14ac:dyDescent="0.2">
      <c r="A845" s="293" t="s">
        <v>6840</v>
      </c>
      <c r="B845" s="293" t="s">
        <v>5666</v>
      </c>
      <c r="C845" s="293" t="s">
        <v>6037</v>
      </c>
      <c r="D845" s="293" t="s">
        <v>5859</v>
      </c>
      <c r="E845" s="293" t="s">
        <v>6038</v>
      </c>
      <c r="F845" s="293" t="s">
        <v>6836</v>
      </c>
      <c r="G845" s="293" t="s">
        <v>5586</v>
      </c>
      <c r="H845" s="294">
        <v>41882</v>
      </c>
      <c r="I845" s="295">
        <v>-3059.89</v>
      </c>
    </row>
    <row r="846" spans="1:9" x14ac:dyDescent="0.2">
      <c r="A846" s="293" t="s">
        <v>6841</v>
      </c>
      <c r="B846" s="293" t="s">
        <v>5666</v>
      </c>
      <c r="C846" s="293" t="s">
        <v>6040</v>
      </c>
      <c r="D846" s="293" t="s">
        <v>5859</v>
      </c>
      <c r="E846" s="293" t="s">
        <v>6041</v>
      </c>
      <c r="F846" s="293" t="s">
        <v>6836</v>
      </c>
      <c r="G846" s="293" t="s">
        <v>5581</v>
      </c>
      <c r="H846" s="294">
        <v>41882</v>
      </c>
      <c r="I846" s="295">
        <v>-8058.13</v>
      </c>
    </row>
    <row r="847" spans="1:9" x14ac:dyDescent="0.2">
      <c r="A847" s="293" t="s">
        <v>6842</v>
      </c>
      <c r="B847" s="293" t="s">
        <v>5666</v>
      </c>
      <c r="C847" s="293" t="s">
        <v>6049</v>
      </c>
      <c r="D847" s="293" t="s">
        <v>5859</v>
      </c>
      <c r="E847" s="293" t="s">
        <v>6050</v>
      </c>
      <c r="F847" s="293" t="s">
        <v>6836</v>
      </c>
      <c r="G847" s="293" t="s">
        <v>5590</v>
      </c>
      <c r="H847" s="294">
        <v>41882</v>
      </c>
      <c r="I847" s="295">
        <v>-12467.89</v>
      </c>
    </row>
    <row r="848" spans="1:9" x14ac:dyDescent="0.2">
      <c r="A848" s="293" t="s">
        <v>6843</v>
      </c>
      <c r="B848" s="293" t="s">
        <v>5666</v>
      </c>
      <c r="C848" s="293" t="s">
        <v>6052</v>
      </c>
      <c r="D848" s="293" t="s">
        <v>5859</v>
      </c>
      <c r="E848" s="293" t="s">
        <v>5817</v>
      </c>
      <c r="F848" s="293" t="s">
        <v>6836</v>
      </c>
      <c r="G848" s="293" t="s">
        <v>5577</v>
      </c>
      <c r="H848" s="294">
        <v>41882</v>
      </c>
      <c r="I848" s="295">
        <v>-7696.08</v>
      </c>
    </row>
    <row r="849" spans="1:9" x14ac:dyDescent="0.2">
      <c r="A849" s="293" t="s">
        <v>6844</v>
      </c>
      <c r="B849" s="293" t="s">
        <v>5666</v>
      </c>
      <c r="C849" s="293" t="s">
        <v>6054</v>
      </c>
      <c r="D849" s="293" t="s">
        <v>5859</v>
      </c>
      <c r="E849" s="293" t="s">
        <v>5817</v>
      </c>
      <c r="F849" s="293" t="s">
        <v>6836</v>
      </c>
      <c r="G849" s="293" t="s">
        <v>5577</v>
      </c>
      <c r="H849" s="294">
        <v>41882</v>
      </c>
      <c r="I849" s="295">
        <v>-3633.17</v>
      </c>
    </row>
    <row r="850" spans="1:9" x14ac:dyDescent="0.2">
      <c r="A850" s="293" t="s">
        <v>6845</v>
      </c>
      <c r="B850" s="293" t="s">
        <v>5666</v>
      </c>
      <c r="C850" s="293" t="s">
        <v>6056</v>
      </c>
      <c r="D850" s="293" t="s">
        <v>5859</v>
      </c>
      <c r="E850" s="293" t="s">
        <v>6057</v>
      </c>
      <c r="F850" s="293" t="s">
        <v>6836</v>
      </c>
      <c r="G850" s="293" t="s">
        <v>5578</v>
      </c>
      <c r="H850" s="294">
        <v>41882</v>
      </c>
      <c r="I850" s="295">
        <v>-4399.9399999999996</v>
      </c>
    </row>
    <row r="851" spans="1:9" x14ac:dyDescent="0.2">
      <c r="A851" s="293" t="s">
        <v>6846</v>
      </c>
      <c r="B851" s="293" t="s">
        <v>5666</v>
      </c>
      <c r="C851" s="293" t="s">
        <v>6062</v>
      </c>
      <c r="D851" s="293" t="s">
        <v>5859</v>
      </c>
      <c r="E851" s="293" t="s">
        <v>6063</v>
      </c>
      <c r="F851" s="293" t="s">
        <v>6836</v>
      </c>
      <c r="G851" s="293" t="s">
        <v>5579</v>
      </c>
      <c r="H851" s="294">
        <v>41882</v>
      </c>
      <c r="I851" s="295">
        <v>-2351.71</v>
      </c>
    </row>
    <row r="852" spans="1:9" x14ac:dyDescent="0.2">
      <c r="A852" s="293" t="s">
        <v>6847</v>
      </c>
      <c r="B852" s="293" t="s">
        <v>5666</v>
      </c>
      <c r="C852" s="293" t="s">
        <v>6065</v>
      </c>
      <c r="D852" s="293" t="s">
        <v>5859</v>
      </c>
      <c r="E852" s="293" t="s">
        <v>6063</v>
      </c>
      <c r="F852" s="293" t="s">
        <v>6836</v>
      </c>
      <c r="G852" s="293" t="s">
        <v>5579</v>
      </c>
      <c r="H852" s="294">
        <v>41882</v>
      </c>
      <c r="I852" s="295">
        <v>-63.12</v>
      </c>
    </row>
    <row r="853" spans="1:9" x14ac:dyDescent="0.2">
      <c r="A853" s="293" t="s">
        <v>6848</v>
      </c>
      <c r="B853" s="293" t="s">
        <v>5666</v>
      </c>
      <c r="C853" s="293" t="s">
        <v>6067</v>
      </c>
      <c r="D853" s="293" t="s">
        <v>5859</v>
      </c>
      <c r="E853" s="293" t="s">
        <v>5817</v>
      </c>
      <c r="F853" s="293" t="s">
        <v>6836</v>
      </c>
      <c r="G853" s="293" t="s">
        <v>5591</v>
      </c>
      <c r="H853" s="294">
        <v>41882</v>
      </c>
      <c r="I853" s="295">
        <v>-6308.36</v>
      </c>
    </row>
    <row r="854" spans="1:9" x14ac:dyDescent="0.2">
      <c r="A854" s="293" t="s">
        <v>6849</v>
      </c>
      <c r="B854" s="293" t="s">
        <v>5666</v>
      </c>
      <c r="C854" s="293" t="s">
        <v>6069</v>
      </c>
      <c r="D854" s="293" t="s">
        <v>5859</v>
      </c>
      <c r="E854" s="293" t="s">
        <v>5817</v>
      </c>
      <c r="F854" s="293" t="s">
        <v>6836</v>
      </c>
      <c r="G854" s="293" t="s">
        <v>5591</v>
      </c>
      <c r="H854" s="294">
        <v>41882</v>
      </c>
      <c r="I854" s="295">
        <v>-7695.19</v>
      </c>
    </row>
    <row r="855" spans="1:9" x14ac:dyDescent="0.2">
      <c r="A855" s="293" t="s">
        <v>6850</v>
      </c>
      <c r="B855" s="293" t="s">
        <v>5666</v>
      </c>
      <c r="C855" s="293" t="s">
        <v>6471</v>
      </c>
      <c r="D855" s="293" t="s">
        <v>5859</v>
      </c>
      <c r="E855" s="293" t="s">
        <v>6829</v>
      </c>
      <c r="F855" s="293" t="s">
        <v>6836</v>
      </c>
      <c r="G855" s="293" t="s">
        <v>5589</v>
      </c>
      <c r="H855" s="294">
        <v>41882</v>
      </c>
      <c r="I855" s="295">
        <v>-7123.53</v>
      </c>
    </row>
    <row r="856" spans="1:9" x14ac:dyDescent="0.2">
      <c r="A856" s="293" t="s">
        <v>6851</v>
      </c>
      <c r="B856" s="293" t="s">
        <v>5666</v>
      </c>
      <c r="C856" s="293" t="s">
        <v>6473</v>
      </c>
      <c r="D856" s="293" t="s">
        <v>5859</v>
      </c>
      <c r="E856" s="293" t="s">
        <v>6474</v>
      </c>
      <c r="F856" s="293" t="s">
        <v>6836</v>
      </c>
      <c r="G856" s="293" t="s">
        <v>5593</v>
      </c>
      <c r="H856" s="294">
        <v>41882</v>
      </c>
      <c r="I856" s="295">
        <v>-14668.67</v>
      </c>
    </row>
    <row r="857" spans="1:9" x14ac:dyDescent="0.2">
      <c r="A857" s="293" t="s">
        <v>6852</v>
      </c>
      <c r="B857" s="293" t="s">
        <v>6010</v>
      </c>
      <c r="C857" s="293" t="s">
        <v>6853</v>
      </c>
      <c r="D857" s="293" t="s">
        <v>5859</v>
      </c>
      <c r="E857" s="293" t="s">
        <v>5088</v>
      </c>
      <c r="F857" s="293" t="s">
        <v>6854</v>
      </c>
      <c r="G857" s="293" t="s">
        <v>5593</v>
      </c>
      <c r="H857" s="294">
        <v>41906</v>
      </c>
      <c r="I857" s="295">
        <v>3600</v>
      </c>
    </row>
    <row r="858" spans="1:9" x14ac:dyDescent="0.2">
      <c r="A858" s="293" t="s">
        <v>6855</v>
      </c>
      <c r="B858" s="293" t="s">
        <v>5666</v>
      </c>
      <c r="C858" s="293" t="s">
        <v>5987</v>
      </c>
      <c r="D858" s="293" t="s">
        <v>5859</v>
      </c>
      <c r="E858" s="293" t="s">
        <v>5088</v>
      </c>
      <c r="F858" s="293" t="s">
        <v>6856</v>
      </c>
      <c r="G858" s="293" t="s">
        <v>5754</v>
      </c>
      <c r="H858" s="294">
        <v>41882</v>
      </c>
      <c r="I858" s="295">
        <v>-7935.74</v>
      </c>
    </row>
    <row r="859" spans="1:9" x14ac:dyDescent="0.2">
      <c r="A859" s="293" t="s">
        <v>6857</v>
      </c>
      <c r="B859" s="293" t="s">
        <v>6010</v>
      </c>
      <c r="C859" s="293" t="s">
        <v>6858</v>
      </c>
      <c r="D859" s="293" t="s">
        <v>5859</v>
      </c>
      <c r="E859" s="293" t="s">
        <v>5088</v>
      </c>
      <c r="F859" s="293" t="s">
        <v>6856</v>
      </c>
      <c r="G859" s="293" t="s">
        <v>5754</v>
      </c>
      <c r="H859" s="294">
        <v>41905</v>
      </c>
      <c r="I859" s="295">
        <v>147900</v>
      </c>
    </row>
    <row r="860" spans="1:9" x14ac:dyDescent="0.2">
      <c r="A860" s="293" t="s">
        <v>6859</v>
      </c>
      <c r="B860" s="293" t="s">
        <v>5666</v>
      </c>
      <c r="C860" s="293" t="s">
        <v>6027</v>
      </c>
      <c r="D860" s="293" t="s">
        <v>5859</v>
      </c>
      <c r="E860" s="293" t="s">
        <v>6028</v>
      </c>
      <c r="F860" s="293" t="s">
        <v>6860</v>
      </c>
      <c r="G860" s="293" t="s">
        <v>5573</v>
      </c>
      <c r="H860" s="294">
        <v>41912</v>
      </c>
      <c r="I860" s="295">
        <v>-6400.96</v>
      </c>
    </row>
    <row r="861" spans="1:9" x14ac:dyDescent="0.2">
      <c r="A861" s="293" t="s">
        <v>6861</v>
      </c>
      <c r="B861" s="293" t="s">
        <v>5666</v>
      </c>
      <c r="C861" s="293" t="s">
        <v>6030</v>
      </c>
      <c r="D861" s="293" t="s">
        <v>5859</v>
      </c>
      <c r="E861" s="293" t="s">
        <v>6028</v>
      </c>
      <c r="F861" s="293" t="s">
        <v>6860</v>
      </c>
      <c r="G861" s="293" t="s">
        <v>5573</v>
      </c>
      <c r="H861" s="294">
        <v>41912</v>
      </c>
      <c r="I861" s="295">
        <v>-130.22</v>
      </c>
    </row>
    <row r="862" spans="1:9" x14ac:dyDescent="0.2">
      <c r="A862" s="293" t="s">
        <v>6862</v>
      </c>
      <c r="B862" s="293" t="s">
        <v>5666</v>
      </c>
      <c r="C862" s="293" t="s">
        <v>6032</v>
      </c>
      <c r="D862" s="293" t="s">
        <v>5859</v>
      </c>
      <c r="E862" s="293" t="s">
        <v>6033</v>
      </c>
      <c r="F862" s="293" t="s">
        <v>6860</v>
      </c>
      <c r="G862" s="293" t="s">
        <v>5585</v>
      </c>
      <c r="H862" s="294">
        <v>41912</v>
      </c>
      <c r="I862" s="295">
        <v>-6872.38</v>
      </c>
    </row>
    <row r="863" spans="1:9" x14ac:dyDescent="0.2">
      <c r="A863" s="293" t="s">
        <v>6863</v>
      </c>
      <c r="B863" s="293" t="s">
        <v>5666</v>
      </c>
      <c r="C863" s="293" t="s">
        <v>6035</v>
      </c>
      <c r="D863" s="293" t="s">
        <v>5859</v>
      </c>
      <c r="E863" s="293" t="s">
        <v>6033</v>
      </c>
      <c r="F863" s="293" t="s">
        <v>6860</v>
      </c>
      <c r="G863" s="293" t="s">
        <v>5585</v>
      </c>
      <c r="H863" s="294">
        <v>41912</v>
      </c>
      <c r="I863" s="295">
        <v>-4630.24</v>
      </c>
    </row>
    <row r="864" spans="1:9" x14ac:dyDescent="0.2">
      <c r="A864" s="293" t="s">
        <v>6864</v>
      </c>
      <c r="B864" s="293" t="s">
        <v>5666</v>
      </c>
      <c r="C864" s="293" t="s">
        <v>6037</v>
      </c>
      <c r="D864" s="293" t="s">
        <v>5859</v>
      </c>
      <c r="E864" s="293" t="s">
        <v>6038</v>
      </c>
      <c r="F864" s="293" t="s">
        <v>6860</v>
      </c>
      <c r="G864" s="293" t="s">
        <v>5586</v>
      </c>
      <c r="H864" s="294">
        <v>41912</v>
      </c>
      <c r="I864" s="295">
        <v>-3059.89</v>
      </c>
    </row>
    <row r="865" spans="1:9" x14ac:dyDescent="0.2">
      <c r="A865" s="293" t="s">
        <v>6865</v>
      </c>
      <c r="B865" s="293" t="s">
        <v>5666</v>
      </c>
      <c r="C865" s="293" t="s">
        <v>6040</v>
      </c>
      <c r="D865" s="293" t="s">
        <v>5859</v>
      </c>
      <c r="E865" s="293" t="s">
        <v>6041</v>
      </c>
      <c r="F865" s="293" t="s">
        <v>6860</v>
      </c>
      <c r="G865" s="293" t="s">
        <v>5581</v>
      </c>
      <c r="H865" s="294">
        <v>41912</v>
      </c>
      <c r="I865" s="295">
        <v>-8058.13</v>
      </c>
    </row>
    <row r="866" spans="1:9" x14ac:dyDescent="0.2">
      <c r="A866" s="293" t="s">
        <v>6866</v>
      </c>
      <c r="B866" s="293" t="s">
        <v>5666</v>
      </c>
      <c r="C866" s="293" t="s">
        <v>6049</v>
      </c>
      <c r="D866" s="293" t="s">
        <v>5859</v>
      </c>
      <c r="E866" s="293" t="s">
        <v>6050</v>
      </c>
      <c r="F866" s="293" t="s">
        <v>6860</v>
      </c>
      <c r="G866" s="293" t="s">
        <v>5590</v>
      </c>
      <c r="H866" s="294">
        <v>41912</v>
      </c>
      <c r="I866" s="295">
        <v>-12467.89</v>
      </c>
    </row>
    <row r="867" spans="1:9" x14ac:dyDescent="0.2">
      <c r="A867" s="293" t="s">
        <v>6867</v>
      </c>
      <c r="B867" s="293" t="s">
        <v>5666</v>
      </c>
      <c r="C867" s="293" t="s">
        <v>6052</v>
      </c>
      <c r="D867" s="293" t="s">
        <v>5859</v>
      </c>
      <c r="E867" s="293" t="s">
        <v>5817</v>
      </c>
      <c r="F867" s="293" t="s">
        <v>6860</v>
      </c>
      <c r="G867" s="293" t="s">
        <v>5577</v>
      </c>
      <c r="H867" s="294">
        <v>41912</v>
      </c>
      <c r="I867" s="295">
        <v>-7696.08</v>
      </c>
    </row>
    <row r="868" spans="1:9" x14ac:dyDescent="0.2">
      <c r="A868" s="293" t="s">
        <v>6868</v>
      </c>
      <c r="B868" s="293" t="s">
        <v>5666</v>
      </c>
      <c r="C868" s="293" t="s">
        <v>6054</v>
      </c>
      <c r="D868" s="293" t="s">
        <v>5859</v>
      </c>
      <c r="E868" s="293" t="s">
        <v>5817</v>
      </c>
      <c r="F868" s="293" t="s">
        <v>6860</v>
      </c>
      <c r="G868" s="293" t="s">
        <v>5577</v>
      </c>
      <c r="H868" s="294">
        <v>41912</v>
      </c>
      <c r="I868" s="295">
        <v>-3633.17</v>
      </c>
    </row>
    <row r="869" spans="1:9" x14ac:dyDescent="0.2">
      <c r="A869" s="293" t="s">
        <v>6869</v>
      </c>
      <c r="B869" s="293" t="s">
        <v>5666</v>
      </c>
      <c r="C869" s="293" t="s">
        <v>6056</v>
      </c>
      <c r="D869" s="293" t="s">
        <v>5859</v>
      </c>
      <c r="E869" s="293" t="s">
        <v>6057</v>
      </c>
      <c r="F869" s="293" t="s">
        <v>6860</v>
      </c>
      <c r="G869" s="293" t="s">
        <v>5578</v>
      </c>
      <c r="H869" s="294">
        <v>41912</v>
      </c>
      <c r="I869" s="295">
        <v>-4399.9399999999996</v>
      </c>
    </row>
    <row r="870" spans="1:9" x14ac:dyDescent="0.2">
      <c r="A870" s="293" t="s">
        <v>6870</v>
      </c>
      <c r="B870" s="293" t="s">
        <v>5666</v>
      </c>
      <c r="C870" s="293" t="s">
        <v>6062</v>
      </c>
      <c r="D870" s="293" t="s">
        <v>5859</v>
      </c>
      <c r="E870" s="293" t="s">
        <v>6063</v>
      </c>
      <c r="F870" s="293" t="s">
        <v>6860</v>
      </c>
      <c r="G870" s="293" t="s">
        <v>5579</v>
      </c>
      <c r="H870" s="294">
        <v>41912</v>
      </c>
      <c r="I870" s="295">
        <v>-2351.71</v>
      </c>
    </row>
    <row r="871" spans="1:9" x14ac:dyDescent="0.2">
      <c r="A871" s="293" t="s">
        <v>6871</v>
      </c>
      <c r="B871" s="293" t="s">
        <v>5666</v>
      </c>
      <c r="C871" s="293" t="s">
        <v>6065</v>
      </c>
      <c r="D871" s="293" t="s">
        <v>5859</v>
      </c>
      <c r="E871" s="293" t="s">
        <v>6063</v>
      </c>
      <c r="F871" s="293" t="s">
        <v>6860</v>
      </c>
      <c r="G871" s="293" t="s">
        <v>5579</v>
      </c>
      <c r="H871" s="294">
        <v>41912</v>
      </c>
      <c r="I871" s="295">
        <v>-63.12</v>
      </c>
    </row>
    <row r="872" spans="1:9" x14ac:dyDescent="0.2">
      <c r="A872" s="293" t="s">
        <v>6872</v>
      </c>
      <c r="B872" s="293" t="s">
        <v>5666</v>
      </c>
      <c r="C872" s="293" t="s">
        <v>6067</v>
      </c>
      <c r="D872" s="293" t="s">
        <v>5859</v>
      </c>
      <c r="E872" s="293" t="s">
        <v>5817</v>
      </c>
      <c r="F872" s="293" t="s">
        <v>6860</v>
      </c>
      <c r="G872" s="293" t="s">
        <v>5591</v>
      </c>
      <c r="H872" s="294">
        <v>41912</v>
      </c>
      <c r="I872" s="295">
        <v>-6308.36</v>
      </c>
    </row>
    <row r="873" spans="1:9" x14ac:dyDescent="0.2">
      <c r="A873" s="293" t="s">
        <v>6873</v>
      </c>
      <c r="B873" s="293" t="s">
        <v>5666</v>
      </c>
      <c r="C873" s="293" t="s">
        <v>6069</v>
      </c>
      <c r="D873" s="293" t="s">
        <v>5859</v>
      </c>
      <c r="E873" s="293" t="s">
        <v>5817</v>
      </c>
      <c r="F873" s="293" t="s">
        <v>6860</v>
      </c>
      <c r="G873" s="293" t="s">
        <v>5591</v>
      </c>
      <c r="H873" s="294">
        <v>41912</v>
      </c>
      <c r="I873" s="295">
        <v>-7695.19</v>
      </c>
    </row>
    <row r="874" spans="1:9" x14ac:dyDescent="0.2">
      <c r="A874" s="293" t="s">
        <v>6874</v>
      </c>
      <c r="B874" s="293" t="s">
        <v>5666</v>
      </c>
      <c r="C874" s="293" t="s">
        <v>6471</v>
      </c>
      <c r="D874" s="293" t="s">
        <v>5859</v>
      </c>
      <c r="E874" s="293" t="s">
        <v>6829</v>
      </c>
      <c r="F874" s="293" t="s">
        <v>6860</v>
      </c>
      <c r="G874" s="293" t="s">
        <v>5589</v>
      </c>
      <c r="H874" s="294">
        <v>41912</v>
      </c>
      <c r="I874" s="295">
        <v>-7123.53</v>
      </c>
    </row>
    <row r="875" spans="1:9" x14ac:dyDescent="0.2">
      <c r="A875" s="293" t="s">
        <v>6875</v>
      </c>
      <c r="B875" s="293" t="s">
        <v>5666</v>
      </c>
      <c r="C875" s="293" t="s">
        <v>6473</v>
      </c>
      <c r="D875" s="293" t="s">
        <v>5859</v>
      </c>
      <c r="E875" s="293" t="s">
        <v>6474</v>
      </c>
      <c r="F875" s="293" t="s">
        <v>6860</v>
      </c>
      <c r="G875" s="293" t="s">
        <v>5593</v>
      </c>
      <c r="H875" s="294">
        <v>41912</v>
      </c>
      <c r="I875" s="295">
        <v>-14668.67</v>
      </c>
    </row>
    <row r="876" spans="1:9" x14ac:dyDescent="0.2">
      <c r="A876" s="293" t="s">
        <v>6876</v>
      </c>
      <c r="B876" s="293" t="s">
        <v>5666</v>
      </c>
      <c r="C876" s="293" t="s">
        <v>5987</v>
      </c>
      <c r="D876" s="293" t="s">
        <v>5859</v>
      </c>
      <c r="E876" s="293" t="s">
        <v>5088</v>
      </c>
      <c r="F876" s="293" t="s">
        <v>6877</v>
      </c>
      <c r="G876" s="293" t="s">
        <v>5754</v>
      </c>
      <c r="H876" s="294">
        <v>41912</v>
      </c>
      <c r="I876" s="295">
        <v>-11935.31</v>
      </c>
    </row>
    <row r="877" spans="1:9" x14ac:dyDescent="0.2">
      <c r="A877" s="293" t="s">
        <v>6878</v>
      </c>
      <c r="B877" s="293" t="s">
        <v>5666</v>
      </c>
      <c r="C877" s="293" t="s">
        <v>6728</v>
      </c>
      <c r="D877" s="293" t="s">
        <v>5859</v>
      </c>
      <c r="E877" s="293" t="s">
        <v>6879</v>
      </c>
      <c r="F877" s="293" t="s">
        <v>6877</v>
      </c>
      <c r="G877" s="293" t="s">
        <v>5593</v>
      </c>
      <c r="H877" s="294">
        <v>41912</v>
      </c>
      <c r="I877" s="295">
        <v>-3600</v>
      </c>
    </row>
    <row r="878" spans="1:9" x14ac:dyDescent="0.2">
      <c r="A878" s="293" t="s">
        <v>6880</v>
      </c>
      <c r="B878" s="293" t="s">
        <v>6010</v>
      </c>
      <c r="C878" s="293" t="s">
        <v>6881</v>
      </c>
      <c r="D878" s="293" t="s">
        <v>5859</v>
      </c>
      <c r="E878" s="293" t="s">
        <v>5088</v>
      </c>
      <c r="F878" s="293" t="s">
        <v>6882</v>
      </c>
      <c r="G878" s="293" t="s">
        <v>5754</v>
      </c>
      <c r="H878" s="294">
        <v>41933</v>
      </c>
      <c r="I878" s="295">
        <v>4833.33</v>
      </c>
    </row>
    <row r="879" spans="1:9" x14ac:dyDescent="0.2">
      <c r="A879" s="293" t="s">
        <v>6883</v>
      </c>
      <c r="B879" s="293" t="s">
        <v>5666</v>
      </c>
      <c r="C879" s="293" t="s">
        <v>6027</v>
      </c>
      <c r="D879" s="293" t="s">
        <v>5859</v>
      </c>
      <c r="E879" s="293" t="s">
        <v>6028</v>
      </c>
      <c r="F879" s="293" t="s">
        <v>6884</v>
      </c>
      <c r="G879" s="293" t="s">
        <v>5573</v>
      </c>
      <c r="H879" s="294">
        <v>41943</v>
      </c>
      <c r="I879" s="295">
        <v>-6400.96</v>
      </c>
    </row>
    <row r="880" spans="1:9" x14ac:dyDescent="0.2">
      <c r="A880" s="293" t="s">
        <v>6885</v>
      </c>
      <c r="B880" s="293" t="s">
        <v>5666</v>
      </c>
      <c r="C880" s="293" t="s">
        <v>6030</v>
      </c>
      <c r="D880" s="293" t="s">
        <v>5859</v>
      </c>
      <c r="E880" s="293" t="s">
        <v>6028</v>
      </c>
      <c r="F880" s="293" t="s">
        <v>6884</v>
      </c>
      <c r="G880" s="293" t="s">
        <v>5573</v>
      </c>
      <c r="H880" s="294">
        <v>41943</v>
      </c>
      <c r="I880" s="295">
        <v>-130.22</v>
      </c>
    </row>
    <row r="881" spans="1:9" x14ac:dyDescent="0.2">
      <c r="A881" s="293" t="s">
        <v>6886</v>
      </c>
      <c r="B881" s="293" t="s">
        <v>5666</v>
      </c>
      <c r="C881" s="293" t="s">
        <v>6032</v>
      </c>
      <c r="D881" s="293" t="s">
        <v>5859</v>
      </c>
      <c r="E881" s="293" t="s">
        <v>6033</v>
      </c>
      <c r="F881" s="293" t="s">
        <v>6884</v>
      </c>
      <c r="G881" s="293" t="s">
        <v>5585</v>
      </c>
      <c r="H881" s="294">
        <v>41943</v>
      </c>
      <c r="I881" s="295">
        <v>-6872.38</v>
      </c>
    </row>
    <row r="882" spans="1:9" x14ac:dyDescent="0.2">
      <c r="A882" s="293" t="s">
        <v>6887</v>
      </c>
      <c r="B882" s="293" t="s">
        <v>5666</v>
      </c>
      <c r="C882" s="293" t="s">
        <v>6035</v>
      </c>
      <c r="D882" s="293" t="s">
        <v>5859</v>
      </c>
      <c r="E882" s="293" t="s">
        <v>6033</v>
      </c>
      <c r="F882" s="293" t="s">
        <v>6884</v>
      </c>
      <c r="G882" s="293" t="s">
        <v>5585</v>
      </c>
      <c r="H882" s="294">
        <v>41943</v>
      </c>
      <c r="I882" s="295">
        <v>-4630.24</v>
      </c>
    </row>
    <row r="883" spans="1:9" x14ac:dyDescent="0.2">
      <c r="A883" s="293" t="s">
        <v>6888</v>
      </c>
      <c r="B883" s="293" t="s">
        <v>5666</v>
      </c>
      <c r="C883" s="293" t="s">
        <v>6037</v>
      </c>
      <c r="D883" s="293" t="s">
        <v>5859</v>
      </c>
      <c r="E883" s="293" t="s">
        <v>6038</v>
      </c>
      <c r="F883" s="293" t="s">
        <v>6884</v>
      </c>
      <c r="G883" s="293" t="s">
        <v>5586</v>
      </c>
      <c r="H883" s="294">
        <v>41943</v>
      </c>
      <c r="I883" s="295">
        <v>-3059.89</v>
      </c>
    </row>
    <row r="884" spans="1:9" x14ac:dyDescent="0.2">
      <c r="A884" s="293" t="s">
        <v>6889</v>
      </c>
      <c r="B884" s="293" t="s">
        <v>5666</v>
      </c>
      <c r="C884" s="293" t="s">
        <v>6040</v>
      </c>
      <c r="D884" s="293" t="s">
        <v>5859</v>
      </c>
      <c r="E884" s="293" t="s">
        <v>6041</v>
      </c>
      <c r="F884" s="293" t="s">
        <v>6884</v>
      </c>
      <c r="G884" s="293" t="s">
        <v>5581</v>
      </c>
      <c r="H884" s="294">
        <v>41943</v>
      </c>
      <c r="I884" s="295">
        <v>-8058.13</v>
      </c>
    </row>
    <row r="885" spans="1:9" x14ac:dyDescent="0.2">
      <c r="A885" s="293" t="s">
        <v>6890</v>
      </c>
      <c r="B885" s="293" t="s">
        <v>5666</v>
      </c>
      <c r="C885" s="293" t="s">
        <v>6049</v>
      </c>
      <c r="D885" s="293" t="s">
        <v>5859</v>
      </c>
      <c r="E885" s="293" t="s">
        <v>6050</v>
      </c>
      <c r="F885" s="293" t="s">
        <v>6884</v>
      </c>
      <c r="G885" s="293" t="s">
        <v>5590</v>
      </c>
      <c r="H885" s="294">
        <v>41943</v>
      </c>
      <c r="I885" s="295">
        <v>-12467.89</v>
      </c>
    </row>
    <row r="886" spans="1:9" x14ac:dyDescent="0.2">
      <c r="A886" s="293" t="s">
        <v>6891</v>
      </c>
      <c r="B886" s="293" t="s">
        <v>5666</v>
      </c>
      <c r="C886" s="293" t="s">
        <v>6052</v>
      </c>
      <c r="D886" s="293" t="s">
        <v>5859</v>
      </c>
      <c r="E886" s="293" t="s">
        <v>5817</v>
      </c>
      <c r="F886" s="293" t="s">
        <v>6884</v>
      </c>
      <c r="G886" s="293" t="s">
        <v>5577</v>
      </c>
      <c r="H886" s="294">
        <v>41943</v>
      </c>
      <c r="I886" s="295">
        <v>-7696.08</v>
      </c>
    </row>
    <row r="887" spans="1:9" x14ac:dyDescent="0.2">
      <c r="A887" s="293" t="s">
        <v>6892</v>
      </c>
      <c r="B887" s="293" t="s">
        <v>5666</v>
      </c>
      <c r="C887" s="293" t="s">
        <v>6054</v>
      </c>
      <c r="D887" s="293" t="s">
        <v>5859</v>
      </c>
      <c r="E887" s="293" t="s">
        <v>5817</v>
      </c>
      <c r="F887" s="293" t="s">
        <v>6884</v>
      </c>
      <c r="G887" s="293" t="s">
        <v>5577</v>
      </c>
      <c r="H887" s="294">
        <v>41943</v>
      </c>
      <c r="I887" s="295">
        <v>-3633.17</v>
      </c>
    </row>
    <row r="888" spans="1:9" x14ac:dyDescent="0.2">
      <c r="A888" s="293" t="s">
        <v>6893</v>
      </c>
      <c r="B888" s="293" t="s">
        <v>5666</v>
      </c>
      <c r="C888" s="293" t="s">
        <v>6056</v>
      </c>
      <c r="D888" s="293" t="s">
        <v>5859</v>
      </c>
      <c r="E888" s="293" t="s">
        <v>6057</v>
      </c>
      <c r="F888" s="293" t="s">
        <v>6884</v>
      </c>
      <c r="G888" s="293" t="s">
        <v>5578</v>
      </c>
      <c r="H888" s="294">
        <v>41943</v>
      </c>
      <c r="I888" s="295">
        <v>-4399.9399999999996</v>
      </c>
    </row>
    <row r="889" spans="1:9" x14ac:dyDescent="0.2">
      <c r="A889" s="293" t="s">
        <v>6894</v>
      </c>
      <c r="B889" s="293" t="s">
        <v>5666</v>
      </c>
      <c r="C889" s="293" t="s">
        <v>6062</v>
      </c>
      <c r="D889" s="293" t="s">
        <v>5859</v>
      </c>
      <c r="E889" s="293" t="s">
        <v>6063</v>
      </c>
      <c r="F889" s="293" t="s">
        <v>6884</v>
      </c>
      <c r="G889" s="293" t="s">
        <v>5579</v>
      </c>
      <c r="H889" s="294">
        <v>41943</v>
      </c>
      <c r="I889" s="295">
        <v>-2351.71</v>
      </c>
    </row>
    <row r="890" spans="1:9" x14ac:dyDescent="0.2">
      <c r="A890" s="293" t="s">
        <v>6895</v>
      </c>
      <c r="B890" s="293" t="s">
        <v>5666</v>
      </c>
      <c r="C890" s="293" t="s">
        <v>6065</v>
      </c>
      <c r="D890" s="293" t="s">
        <v>5859</v>
      </c>
      <c r="E890" s="293" t="s">
        <v>6063</v>
      </c>
      <c r="F890" s="293" t="s">
        <v>6884</v>
      </c>
      <c r="G890" s="293" t="s">
        <v>5579</v>
      </c>
      <c r="H890" s="294">
        <v>41943</v>
      </c>
      <c r="I890" s="295">
        <v>-63.12</v>
      </c>
    </row>
    <row r="891" spans="1:9" x14ac:dyDescent="0.2">
      <c r="A891" s="293" t="s">
        <v>6896</v>
      </c>
      <c r="B891" s="293" t="s">
        <v>5666</v>
      </c>
      <c r="C891" s="293" t="s">
        <v>6067</v>
      </c>
      <c r="D891" s="293" t="s">
        <v>5859</v>
      </c>
      <c r="E891" s="293" t="s">
        <v>5817</v>
      </c>
      <c r="F891" s="293" t="s">
        <v>6884</v>
      </c>
      <c r="G891" s="293" t="s">
        <v>5591</v>
      </c>
      <c r="H891" s="294">
        <v>41943</v>
      </c>
      <c r="I891" s="295">
        <v>-6308.36</v>
      </c>
    </row>
    <row r="892" spans="1:9" x14ac:dyDescent="0.2">
      <c r="A892" s="293" t="s">
        <v>6897</v>
      </c>
      <c r="B892" s="293" t="s">
        <v>5666</v>
      </c>
      <c r="C892" s="293" t="s">
        <v>6069</v>
      </c>
      <c r="D892" s="293" t="s">
        <v>5859</v>
      </c>
      <c r="E892" s="293" t="s">
        <v>5817</v>
      </c>
      <c r="F892" s="293" t="s">
        <v>6884</v>
      </c>
      <c r="G892" s="293" t="s">
        <v>5591</v>
      </c>
      <c r="H892" s="294">
        <v>41943</v>
      </c>
      <c r="I892" s="295">
        <v>-7695.19</v>
      </c>
    </row>
    <row r="893" spans="1:9" x14ac:dyDescent="0.2">
      <c r="A893" s="293" t="s">
        <v>6898</v>
      </c>
      <c r="B893" s="293" t="s">
        <v>5666</v>
      </c>
      <c r="C893" s="293" t="s">
        <v>6471</v>
      </c>
      <c r="D893" s="293" t="s">
        <v>5859</v>
      </c>
      <c r="E893" s="293" t="s">
        <v>6829</v>
      </c>
      <c r="F893" s="293" t="s">
        <v>6884</v>
      </c>
      <c r="G893" s="293" t="s">
        <v>5589</v>
      </c>
      <c r="H893" s="294">
        <v>41943</v>
      </c>
      <c r="I893" s="295">
        <v>-7123.53</v>
      </c>
    </row>
    <row r="894" spans="1:9" x14ac:dyDescent="0.2">
      <c r="A894" s="293" t="s">
        <v>6899</v>
      </c>
      <c r="B894" s="293" t="s">
        <v>5666</v>
      </c>
      <c r="C894" s="293" t="s">
        <v>6473</v>
      </c>
      <c r="D894" s="293" t="s">
        <v>5859</v>
      </c>
      <c r="E894" s="293" t="s">
        <v>6474</v>
      </c>
      <c r="F894" s="293" t="s">
        <v>6884</v>
      </c>
      <c r="G894" s="293" t="s">
        <v>5593</v>
      </c>
      <c r="H894" s="294">
        <v>41943</v>
      </c>
      <c r="I894" s="295">
        <v>-14668.67</v>
      </c>
    </row>
    <row r="895" spans="1:9" x14ac:dyDescent="0.2">
      <c r="A895" s="293" t="s">
        <v>6900</v>
      </c>
      <c r="B895" s="293" t="s">
        <v>5666</v>
      </c>
      <c r="C895" s="293" t="s">
        <v>5987</v>
      </c>
      <c r="D895" s="293" t="s">
        <v>5859</v>
      </c>
      <c r="E895" s="293" t="s">
        <v>5088</v>
      </c>
      <c r="F895" s="293" t="s">
        <v>6901</v>
      </c>
      <c r="G895" s="293" t="s">
        <v>5754</v>
      </c>
      <c r="H895" s="294">
        <v>41943</v>
      </c>
      <c r="I895" s="295">
        <v>-8777.57</v>
      </c>
    </row>
    <row r="896" spans="1:9" x14ac:dyDescent="0.2">
      <c r="A896" s="293" t="s">
        <v>6902</v>
      </c>
      <c r="B896" s="293" t="s">
        <v>5666</v>
      </c>
      <c r="C896" s="293" t="s">
        <v>6027</v>
      </c>
      <c r="D896" s="293" t="s">
        <v>5859</v>
      </c>
      <c r="E896" s="293" t="s">
        <v>6028</v>
      </c>
      <c r="F896" s="293" t="s">
        <v>6903</v>
      </c>
      <c r="G896" s="293" t="s">
        <v>5573</v>
      </c>
      <c r="H896" s="294">
        <v>41973</v>
      </c>
      <c r="I896" s="295">
        <v>-6400.96</v>
      </c>
    </row>
    <row r="897" spans="1:9" x14ac:dyDescent="0.2">
      <c r="A897" s="293" t="s">
        <v>6904</v>
      </c>
      <c r="B897" s="293" t="s">
        <v>5666</v>
      </c>
      <c r="C897" s="293" t="s">
        <v>6030</v>
      </c>
      <c r="D897" s="293" t="s">
        <v>5859</v>
      </c>
      <c r="E897" s="293" t="s">
        <v>6028</v>
      </c>
      <c r="F897" s="293" t="s">
        <v>6903</v>
      </c>
      <c r="G897" s="293" t="s">
        <v>5573</v>
      </c>
      <c r="H897" s="294">
        <v>41973</v>
      </c>
      <c r="I897" s="295">
        <v>-130.22</v>
      </c>
    </row>
    <row r="898" spans="1:9" x14ac:dyDescent="0.2">
      <c r="A898" s="293" t="s">
        <v>6905</v>
      </c>
      <c r="B898" s="293" t="s">
        <v>5666</v>
      </c>
      <c r="C898" s="293" t="s">
        <v>6032</v>
      </c>
      <c r="D898" s="293" t="s">
        <v>5859</v>
      </c>
      <c r="E898" s="293" t="s">
        <v>6033</v>
      </c>
      <c r="F898" s="293" t="s">
        <v>6903</v>
      </c>
      <c r="G898" s="293" t="s">
        <v>5585</v>
      </c>
      <c r="H898" s="294">
        <v>41973</v>
      </c>
      <c r="I898" s="295">
        <v>-6872.38</v>
      </c>
    </row>
    <row r="899" spans="1:9" x14ac:dyDescent="0.2">
      <c r="A899" s="293" t="s">
        <v>6906</v>
      </c>
      <c r="B899" s="293" t="s">
        <v>5666</v>
      </c>
      <c r="C899" s="293" t="s">
        <v>6035</v>
      </c>
      <c r="D899" s="293" t="s">
        <v>5859</v>
      </c>
      <c r="E899" s="293" t="s">
        <v>6033</v>
      </c>
      <c r="F899" s="293" t="s">
        <v>6903</v>
      </c>
      <c r="G899" s="293" t="s">
        <v>5585</v>
      </c>
      <c r="H899" s="294">
        <v>41973</v>
      </c>
      <c r="I899" s="295">
        <v>-4630.24</v>
      </c>
    </row>
    <row r="900" spans="1:9" x14ac:dyDescent="0.2">
      <c r="A900" s="293" t="s">
        <v>6907</v>
      </c>
      <c r="B900" s="293" t="s">
        <v>5666</v>
      </c>
      <c r="C900" s="293" t="s">
        <v>6037</v>
      </c>
      <c r="D900" s="293" t="s">
        <v>5859</v>
      </c>
      <c r="E900" s="293" t="s">
        <v>6038</v>
      </c>
      <c r="F900" s="293" t="s">
        <v>6903</v>
      </c>
      <c r="G900" s="293" t="s">
        <v>5586</v>
      </c>
      <c r="H900" s="294">
        <v>41973</v>
      </c>
      <c r="I900" s="295">
        <v>-3059.89</v>
      </c>
    </row>
    <row r="901" spans="1:9" x14ac:dyDescent="0.2">
      <c r="A901" s="293" t="s">
        <v>6908</v>
      </c>
      <c r="B901" s="293" t="s">
        <v>5666</v>
      </c>
      <c r="C901" s="293" t="s">
        <v>6040</v>
      </c>
      <c r="D901" s="293" t="s">
        <v>5859</v>
      </c>
      <c r="E901" s="293" t="s">
        <v>6041</v>
      </c>
      <c r="F901" s="293" t="s">
        <v>6903</v>
      </c>
      <c r="G901" s="293" t="s">
        <v>5581</v>
      </c>
      <c r="H901" s="294">
        <v>41973</v>
      </c>
      <c r="I901" s="295">
        <v>-8058.13</v>
      </c>
    </row>
    <row r="902" spans="1:9" x14ac:dyDescent="0.2">
      <c r="A902" s="293" t="s">
        <v>6909</v>
      </c>
      <c r="B902" s="293" t="s">
        <v>5666</v>
      </c>
      <c r="C902" s="293" t="s">
        <v>6049</v>
      </c>
      <c r="D902" s="293" t="s">
        <v>5859</v>
      </c>
      <c r="E902" s="293" t="s">
        <v>6050</v>
      </c>
      <c r="F902" s="293" t="s">
        <v>6903</v>
      </c>
      <c r="G902" s="293" t="s">
        <v>5590</v>
      </c>
      <c r="H902" s="294">
        <v>41973</v>
      </c>
      <c r="I902" s="295">
        <v>-12467.89</v>
      </c>
    </row>
    <row r="903" spans="1:9" x14ac:dyDescent="0.2">
      <c r="A903" s="293" t="s">
        <v>6910</v>
      </c>
      <c r="B903" s="293" t="s">
        <v>5666</v>
      </c>
      <c r="C903" s="293" t="s">
        <v>6052</v>
      </c>
      <c r="D903" s="293" t="s">
        <v>5859</v>
      </c>
      <c r="E903" s="293" t="s">
        <v>5817</v>
      </c>
      <c r="F903" s="293" t="s">
        <v>6903</v>
      </c>
      <c r="G903" s="293" t="s">
        <v>5577</v>
      </c>
      <c r="H903" s="294">
        <v>41973</v>
      </c>
      <c r="I903" s="295">
        <v>-7696.08</v>
      </c>
    </row>
    <row r="904" spans="1:9" x14ac:dyDescent="0.2">
      <c r="A904" s="293" t="s">
        <v>6911</v>
      </c>
      <c r="B904" s="293" t="s">
        <v>5666</v>
      </c>
      <c r="C904" s="293" t="s">
        <v>6054</v>
      </c>
      <c r="D904" s="293" t="s">
        <v>5859</v>
      </c>
      <c r="E904" s="293" t="s">
        <v>5817</v>
      </c>
      <c r="F904" s="293" t="s">
        <v>6903</v>
      </c>
      <c r="G904" s="293" t="s">
        <v>5577</v>
      </c>
      <c r="H904" s="294">
        <v>41973</v>
      </c>
      <c r="I904" s="295">
        <v>-3633.17</v>
      </c>
    </row>
    <row r="905" spans="1:9" x14ac:dyDescent="0.2">
      <c r="A905" s="293" t="s">
        <v>6912</v>
      </c>
      <c r="B905" s="293" t="s">
        <v>5666</v>
      </c>
      <c r="C905" s="293" t="s">
        <v>6056</v>
      </c>
      <c r="D905" s="293" t="s">
        <v>5859</v>
      </c>
      <c r="E905" s="293" t="s">
        <v>6057</v>
      </c>
      <c r="F905" s="293" t="s">
        <v>6903</v>
      </c>
      <c r="G905" s="293" t="s">
        <v>5578</v>
      </c>
      <c r="H905" s="294">
        <v>41973</v>
      </c>
      <c r="I905" s="295">
        <v>-4399.9399999999996</v>
      </c>
    </row>
    <row r="906" spans="1:9" x14ac:dyDescent="0.2">
      <c r="A906" s="293" t="s">
        <v>6913</v>
      </c>
      <c r="B906" s="293" t="s">
        <v>5666</v>
      </c>
      <c r="C906" s="293" t="s">
        <v>6062</v>
      </c>
      <c r="D906" s="293" t="s">
        <v>5859</v>
      </c>
      <c r="E906" s="293" t="s">
        <v>6063</v>
      </c>
      <c r="F906" s="293" t="s">
        <v>6903</v>
      </c>
      <c r="G906" s="293" t="s">
        <v>5579</v>
      </c>
      <c r="H906" s="294">
        <v>41973</v>
      </c>
      <c r="I906" s="295">
        <v>-2351.71</v>
      </c>
    </row>
    <row r="907" spans="1:9" x14ac:dyDescent="0.2">
      <c r="A907" s="293" t="s">
        <v>6914</v>
      </c>
      <c r="B907" s="293" t="s">
        <v>5666</v>
      </c>
      <c r="C907" s="293" t="s">
        <v>6065</v>
      </c>
      <c r="D907" s="293" t="s">
        <v>5859</v>
      </c>
      <c r="E907" s="293" t="s">
        <v>6063</v>
      </c>
      <c r="F907" s="293" t="s">
        <v>6903</v>
      </c>
      <c r="G907" s="293" t="s">
        <v>5579</v>
      </c>
      <c r="H907" s="294">
        <v>41973</v>
      </c>
      <c r="I907" s="295">
        <v>-63.12</v>
      </c>
    </row>
    <row r="908" spans="1:9" x14ac:dyDescent="0.2">
      <c r="A908" s="293" t="s">
        <v>6915</v>
      </c>
      <c r="B908" s="293" t="s">
        <v>5666</v>
      </c>
      <c r="C908" s="293" t="s">
        <v>6067</v>
      </c>
      <c r="D908" s="293" t="s">
        <v>5859</v>
      </c>
      <c r="E908" s="293" t="s">
        <v>5817</v>
      </c>
      <c r="F908" s="293" t="s">
        <v>6903</v>
      </c>
      <c r="G908" s="293" t="s">
        <v>5591</v>
      </c>
      <c r="H908" s="294">
        <v>41973</v>
      </c>
      <c r="I908" s="295">
        <v>-6308.36</v>
      </c>
    </row>
    <row r="909" spans="1:9" x14ac:dyDescent="0.2">
      <c r="A909" s="293" t="s">
        <v>6916</v>
      </c>
      <c r="B909" s="293" t="s">
        <v>5666</v>
      </c>
      <c r="C909" s="293" t="s">
        <v>6069</v>
      </c>
      <c r="D909" s="293" t="s">
        <v>5859</v>
      </c>
      <c r="E909" s="293" t="s">
        <v>5817</v>
      </c>
      <c r="F909" s="293" t="s">
        <v>6903</v>
      </c>
      <c r="G909" s="293" t="s">
        <v>5591</v>
      </c>
      <c r="H909" s="294">
        <v>41973</v>
      </c>
      <c r="I909" s="295">
        <v>-7695.19</v>
      </c>
    </row>
    <row r="910" spans="1:9" x14ac:dyDescent="0.2">
      <c r="A910" s="293" t="s">
        <v>6917</v>
      </c>
      <c r="B910" s="293" t="s">
        <v>5666</v>
      </c>
      <c r="C910" s="293" t="s">
        <v>6471</v>
      </c>
      <c r="D910" s="293" t="s">
        <v>5859</v>
      </c>
      <c r="E910" s="293" t="s">
        <v>6829</v>
      </c>
      <c r="F910" s="293" t="s">
        <v>6903</v>
      </c>
      <c r="G910" s="293" t="s">
        <v>5589</v>
      </c>
      <c r="H910" s="294">
        <v>41973</v>
      </c>
      <c r="I910" s="295">
        <v>-7123.53</v>
      </c>
    </row>
    <row r="911" spans="1:9" x14ac:dyDescent="0.2">
      <c r="A911" s="293" t="s">
        <v>6918</v>
      </c>
      <c r="B911" s="293" t="s">
        <v>5666</v>
      </c>
      <c r="C911" s="293" t="s">
        <v>6473</v>
      </c>
      <c r="D911" s="293" t="s">
        <v>5859</v>
      </c>
      <c r="E911" s="293" t="s">
        <v>6474</v>
      </c>
      <c r="F911" s="293" t="s">
        <v>6903</v>
      </c>
      <c r="G911" s="293" t="s">
        <v>5593</v>
      </c>
      <c r="H911" s="294">
        <v>41973</v>
      </c>
      <c r="I911" s="295">
        <v>-14668.67</v>
      </c>
    </row>
    <row r="912" spans="1:9" x14ac:dyDescent="0.2">
      <c r="A912" s="293" t="s">
        <v>6919</v>
      </c>
      <c r="B912" s="293" t="s">
        <v>5666</v>
      </c>
      <c r="C912" s="293" t="s">
        <v>6920</v>
      </c>
      <c r="D912" s="293" t="s">
        <v>5859</v>
      </c>
      <c r="E912" s="293" t="s">
        <v>6921</v>
      </c>
      <c r="F912" s="293" t="s">
        <v>6903</v>
      </c>
      <c r="G912" s="293" t="s">
        <v>5754</v>
      </c>
      <c r="H912" s="294">
        <v>41973</v>
      </c>
      <c r="I912" s="295">
        <v>-8710.42</v>
      </c>
    </row>
    <row r="913" spans="1:9" x14ac:dyDescent="0.2">
      <c r="A913" s="293" t="s">
        <v>6922</v>
      </c>
      <c r="B913" s="293" t="s">
        <v>5666</v>
      </c>
      <c r="C913" s="293" t="s">
        <v>6027</v>
      </c>
      <c r="D913" s="293" t="s">
        <v>5859</v>
      </c>
      <c r="E913" s="293" t="s">
        <v>6028</v>
      </c>
      <c r="F913" s="293" t="s">
        <v>6923</v>
      </c>
      <c r="G913" s="293" t="s">
        <v>5573</v>
      </c>
      <c r="H913" s="294">
        <v>42004</v>
      </c>
      <c r="I913" s="295">
        <v>-6400.96</v>
      </c>
    </row>
    <row r="914" spans="1:9" x14ac:dyDescent="0.2">
      <c r="A914" s="293" t="s">
        <v>6924</v>
      </c>
      <c r="B914" s="293" t="s">
        <v>5666</v>
      </c>
      <c r="C914" s="293" t="s">
        <v>6030</v>
      </c>
      <c r="D914" s="293" t="s">
        <v>5859</v>
      </c>
      <c r="E914" s="293" t="s">
        <v>6028</v>
      </c>
      <c r="F914" s="293" t="s">
        <v>6923</v>
      </c>
      <c r="G914" s="293" t="s">
        <v>5573</v>
      </c>
      <c r="H914" s="294">
        <v>42004</v>
      </c>
      <c r="I914" s="295">
        <v>-130.22</v>
      </c>
    </row>
    <row r="915" spans="1:9" x14ac:dyDescent="0.2">
      <c r="A915" s="293" t="s">
        <v>6925</v>
      </c>
      <c r="B915" s="293" t="s">
        <v>5666</v>
      </c>
      <c r="C915" s="293" t="s">
        <v>6032</v>
      </c>
      <c r="D915" s="293" t="s">
        <v>5859</v>
      </c>
      <c r="E915" s="293" t="s">
        <v>6033</v>
      </c>
      <c r="F915" s="293" t="s">
        <v>6923</v>
      </c>
      <c r="G915" s="293" t="s">
        <v>5585</v>
      </c>
      <c r="H915" s="294">
        <v>42004</v>
      </c>
      <c r="I915" s="295">
        <v>-6872.38</v>
      </c>
    </row>
    <row r="916" spans="1:9" x14ac:dyDescent="0.2">
      <c r="A916" s="293" t="s">
        <v>6926</v>
      </c>
      <c r="B916" s="293" t="s">
        <v>5666</v>
      </c>
      <c r="C916" s="293" t="s">
        <v>6035</v>
      </c>
      <c r="D916" s="293" t="s">
        <v>5859</v>
      </c>
      <c r="E916" s="293" t="s">
        <v>6033</v>
      </c>
      <c r="F916" s="293" t="s">
        <v>6923</v>
      </c>
      <c r="G916" s="293" t="s">
        <v>5585</v>
      </c>
      <c r="H916" s="294">
        <v>42004</v>
      </c>
      <c r="I916" s="295">
        <v>-4630.24</v>
      </c>
    </row>
    <row r="917" spans="1:9" x14ac:dyDescent="0.2">
      <c r="A917" s="293" t="s">
        <v>6927</v>
      </c>
      <c r="B917" s="293" t="s">
        <v>5666</v>
      </c>
      <c r="C917" s="293" t="s">
        <v>6037</v>
      </c>
      <c r="D917" s="293" t="s">
        <v>5859</v>
      </c>
      <c r="E917" s="293" t="s">
        <v>6038</v>
      </c>
      <c r="F917" s="293" t="s">
        <v>6923</v>
      </c>
      <c r="G917" s="293" t="s">
        <v>5586</v>
      </c>
      <c r="H917" s="294">
        <v>42004</v>
      </c>
      <c r="I917" s="295">
        <v>-3059.89</v>
      </c>
    </row>
    <row r="918" spans="1:9" x14ac:dyDescent="0.2">
      <c r="A918" s="293" t="s">
        <v>6928</v>
      </c>
      <c r="B918" s="293" t="s">
        <v>5666</v>
      </c>
      <c r="C918" s="293" t="s">
        <v>6040</v>
      </c>
      <c r="D918" s="293" t="s">
        <v>5859</v>
      </c>
      <c r="E918" s="293" t="s">
        <v>6041</v>
      </c>
      <c r="F918" s="293" t="s">
        <v>6923</v>
      </c>
      <c r="G918" s="293" t="s">
        <v>5581</v>
      </c>
      <c r="H918" s="294">
        <v>42004</v>
      </c>
      <c r="I918" s="295">
        <v>-8058.13</v>
      </c>
    </row>
    <row r="919" spans="1:9" x14ac:dyDescent="0.2">
      <c r="A919" s="293" t="s">
        <v>6929</v>
      </c>
      <c r="B919" s="293" t="s">
        <v>5666</v>
      </c>
      <c r="C919" s="293" t="s">
        <v>6049</v>
      </c>
      <c r="D919" s="293" t="s">
        <v>5859</v>
      </c>
      <c r="E919" s="293" t="s">
        <v>6050</v>
      </c>
      <c r="F919" s="293" t="s">
        <v>6923</v>
      </c>
      <c r="G919" s="293" t="s">
        <v>5590</v>
      </c>
      <c r="H919" s="294">
        <v>42004</v>
      </c>
      <c r="I919" s="295">
        <v>-12467.89</v>
      </c>
    </row>
    <row r="920" spans="1:9" x14ac:dyDescent="0.2">
      <c r="A920" s="293" t="s">
        <v>6930</v>
      </c>
      <c r="B920" s="293" t="s">
        <v>5666</v>
      </c>
      <c r="C920" s="293" t="s">
        <v>6052</v>
      </c>
      <c r="D920" s="293" t="s">
        <v>5859</v>
      </c>
      <c r="E920" s="293" t="s">
        <v>5817</v>
      </c>
      <c r="F920" s="293" t="s">
        <v>6923</v>
      </c>
      <c r="G920" s="293" t="s">
        <v>5577</v>
      </c>
      <c r="H920" s="294">
        <v>42004</v>
      </c>
      <c r="I920" s="295">
        <v>-7696.08</v>
      </c>
    </row>
    <row r="921" spans="1:9" x14ac:dyDescent="0.2">
      <c r="A921" s="293" t="s">
        <v>6931</v>
      </c>
      <c r="B921" s="293" t="s">
        <v>5666</v>
      </c>
      <c r="C921" s="293" t="s">
        <v>6054</v>
      </c>
      <c r="D921" s="293" t="s">
        <v>5859</v>
      </c>
      <c r="E921" s="293" t="s">
        <v>5817</v>
      </c>
      <c r="F921" s="293" t="s">
        <v>6923</v>
      </c>
      <c r="G921" s="293" t="s">
        <v>5577</v>
      </c>
      <c r="H921" s="294">
        <v>42004</v>
      </c>
      <c r="I921" s="295">
        <v>-3633.17</v>
      </c>
    </row>
    <row r="922" spans="1:9" x14ac:dyDescent="0.2">
      <c r="A922" s="293" t="s">
        <v>6932</v>
      </c>
      <c r="B922" s="293" t="s">
        <v>5666</v>
      </c>
      <c r="C922" s="293" t="s">
        <v>6056</v>
      </c>
      <c r="D922" s="293" t="s">
        <v>5859</v>
      </c>
      <c r="E922" s="293" t="s">
        <v>6057</v>
      </c>
      <c r="F922" s="293" t="s">
        <v>6923</v>
      </c>
      <c r="G922" s="293" t="s">
        <v>5578</v>
      </c>
      <c r="H922" s="294">
        <v>42004</v>
      </c>
      <c r="I922" s="295">
        <v>-4399.9399999999996</v>
      </c>
    </row>
    <row r="923" spans="1:9" x14ac:dyDescent="0.2">
      <c r="A923" s="293" t="s">
        <v>6933</v>
      </c>
      <c r="B923" s="293" t="s">
        <v>5666</v>
      </c>
      <c r="C923" s="293" t="s">
        <v>6062</v>
      </c>
      <c r="D923" s="293" t="s">
        <v>5859</v>
      </c>
      <c r="E923" s="293" t="s">
        <v>6063</v>
      </c>
      <c r="F923" s="293" t="s">
        <v>6923</v>
      </c>
      <c r="G923" s="293" t="s">
        <v>5579</v>
      </c>
      <c r="H923" s="294">
        <v>42004</v>
      </c>
      <c r="I923" s="295">
        <v>-2351.71</v>
      </c>
    </row>
    <row r="924" spans="1:9" x14ac:dyDescent="0.2">
      <c r="A924" s="293" t="s">
        <v>6934</v>
      </c>
      <c r="B924" s="293" t="s">
        <v>5666</v>
      </c>
      <c r="C924" s="293" t="s">
        <v>6065</v>
      </c>
      <c r="D924" s="293" t="s">
        <v>5859</v>
      </c>
      <c r="E924" s="293" t="s">
        <v>6063</v>
      </c>
      <c r="F924" s="293" t="s">
        <v>6923</v>
      </c>
      <c r="G924" s="293" t="s">
        <v>5579</v>
      </c>
      <c r="H924" s="294">
        <v>42004</v>
      </c>
      <c r="I924" s="295">
        <v>-63.12</v>
      </c>
    </row>
    <row r="925" spans="1:9" x14ac:dyDescent="0.2">
      <c r="A925" s="293" t="s">
        <v>6935</v>
      </c>
      <c r="B925" s="293" t="s">
        <v>5666</v>
      </c>
      <c r="C925" s="293" t="s">
        <v>6067</v>
      </c>
      <c r="D925" s="293" t="s">
        <v>5859</v>
      </c>
      <c r="E925" s="293" t="s">
        <v>5817</v>
      </c>
      <c r="F925" s="293" t="s">
        <v>6923</v>
      </c>
      <c r="G925" s="293" t="s">
        <v>5591</v>
      </c>
      <c r="H925" s="294">
        <v>42004</v>
      </c>
      <c r="I925" s="295">
        <v>-6308.36</v>
      </c>
    </row>
    <row r="926" spans="1:9" x14ac:dyDescent="0.2">
      <c r="A926" s="293" t="s">
        <v>6936</v>
      </c>
      <c r="B926" s="293" t="s">
        <v>5666</v>
      </c>
      <c r="C926" s="293" t="s">
        <v>6069</v>
      </c>
      <c r="D926" s="293" t="s">
        <v>5859</v>
      </c>
      <c r="E926" s="293" t="s">
        <v>5817</v>
      </c>
      <c r="F926" s="293" t="s">
        <v>6923</v>
      </c>
      <c r="G926" s="293" t="s">
        <v>5591</v>
      </c>
      <c r="H926" s="294">
        <v>42004</v>
      </c>
      <c r="I926" s="295">
        <v>-7695.19</v>
      </c>
    </row>
    <row r="927" spans="1:9" x14ac:dyDescent="0.2">
      <c r="A927" s="293" t="s">
        <v>6937</v>
      </c>
      <c r="B927" s="293" t="s">
        <v>5666</v>
      </c>
      <c r="C927" s="293" t="s">
        <v>6471</v>
      </c>
      <c r="D927" s="293" t="s">
        <v>5859</v>
      </c>
      <c r="E927" s="293" t="s">
        <v>6829</v>
      </c>
      <c r="F927" s="293" t="s">
        <v>6923</v>
      </c>
      <c r="G927" s="293" t="s">
        <v>5589</v>
      </c>
      <c r="H927" s="294">
        <v>42004</v>
      </c>
      <c r="I927" s="295">
        <v>-7123.53</v>
      </c>
    </row>
    <row r="928" spans="1:9" x14ac:dyDescent="0.2">
      <c r="A928" s="293" t="s">
        <v>6938</v>
      </c>
      <c r="B928" s="293" t="s">
        <v>5666</v>
      </c>
      <c r="C928" s="293" t="s">
        <v>6473</v>
      </c>
      <c r="D928" s="293" t="s">
        <v>5859</v>
      </c>
      <c r="E928" s="293" t="s">
        <v>6474</v>
      </c>
      <c r="F928" s="293" t="s">
        <v>6923</v>
      </c>
      <c r="G928" s="293" t="s">
        <v>5593</v>
      </c>
      <c r="H928" s="294">
        <v>42004</v>
      </c>
      <c r="I928" s="295">
        <v>-14668.67</v>
      </c>
    </row>
    <row r="929" spans="1:9" x14ac:dyDescent="0.2">
      <c r="A929" s="293" t="s">
        <v>6939</v>
      </c>
      <c r="B929" s="293" t="s">
        <v>5666</v>
      </c>
      <c r="C929" s="293" t="s">
        <v>6920</v>
      </c>
      <c r="D929" s="293" t="s">
        <v>5859</v>
      </c>
      <c r="E929" s="293" t="s">
        <v>6921</v>
      </c>
      <c r="F929" s="293" t="s">
        <v>6923</v>
      </c>
      <c r="G929" s="293" t="s">
        <v>5754</v>
      </c>
      <c r="H929" s="294">
        <v>42004</v>
      </c>
      <c r="I929" s="295">
        <v>-8710.42</v>
      </c>
    </row>
    <row r="930" spans="1:9" x14ac:dyDescent="0.2">
      <c r="A930" s="293" t="s">
        <v>6940</v>
      </c>
      <c r="B930" s="293" t="s">
        <v>5666</v>
      </c>
      <c r="C930" s="293" t="s">
        <v>6027</v>
      </c>
      <c r="D930" s="293" t="s">
        <v>5859</v>
      </c>
      <c r="E930" s="293" t="s">
        <v>6028</v>
      </c>
      <c r="F930" s="293" t="s">
        <v>6941</v>
      </c>
      <c r="G930" s="293" t="s">
        <v>5573</v>
      </c>
      <c r="H930" s="294">
        <v>42035</v>
      </c>
      <c r="I930" s="295">
        <v>-6400.96</v>
      </c>
    </row>
    <row r="931" spans="1:9" x14ac:dyDescent="0.2">
      <c r="A931" s="293" t="s">
        <v>6942</v>
      </c>
      <c r="B931" s="293" t="s">
        <v>5666</v>
      </c>
      <c r="C931" s="293" t="s">
        <v>6030</v>
      </c>
      <c r="D931" s="293" t="s">
        <v>5859</v>
      </c>
      <c r="E931" s="293" t="s">
        <v>6028</v>
      </c>
      <c r="F931" s="293" t="s">
        <v>6941</v>
      </c>
      <c r="G931" s="293" t="s">
        <v>5573</v>
      </c>
      <c r="H931" s="294">
        <v>42035</v>
      </c>
      <c r="I931" s="295">
        <v>-130.22</v>
      </c>
    </row>
    <row r="932" spans="1:9" x14ac:dyDescent="0.2">
      <c r="A932" s="293" t="s">
        <v>6943</v>
      </c>
      <c r="B932" s="293" t="s">
        <v>5666</v>
      </c>
      <c r="C932" s="293" t="s">
        <v>6032</v>
      </c>
      <c r="D932" s="293" t="s">
        <v>5859</v>
      </c>
      <c r="E932" s="293" t="s">
        <v>6033</v>
      </c>
      <c r="F932" s="293" t="s">
        <v>6941</v>
      </c>
      <c r="G932" s="293" t="s">
        <v>5585</v>
      </c>
      <c r="H932" s="294">
        <v>42035</v>
      </c>
      <c r="I932" s="295">
        <v>-6872.38</v>
      </c>
    </row>
    <row r="933" spans="1:9" x14ac:dyDescent="0.2">
      <c r="A933" s="293" t="s">
        <v>6944</v>
      </c>
      <c r="B933" s="293" t="s">
        <v>5666</v>
      </c>
      <c r="C933" s="293" t="s">
        <v>6035</v>
      </c>
      <c r="D933" s="293" t="s">
        <v>5859</v>
      </c>
      <c r="E933" s="293" t="s">
        <v>6033</v>
      </c>
      <c r="F933" s="293" t="s">
        <v>6941</v>
      </c>
      <c r="G933" s="293" t="s">
        <v>5585</v>
      </c>
      <c r="H933" s="294">
        <v>42035</v>
      </c>
      <c r="I933" s="295">
        <v>-4630.24</v>
      </c>
    </row>
    <row r="934" spans="1:9" x14ac:dyDescent="0.2">
      <c r="A934" s="293" t="s">
        <v>6945</v>
      </c>
      <c r="B934" s="293" t="s">
        <v>5666</v>
      </c>
      <c r="C934" s="293" t="s">
        <v>6037</v>
      </c>
      <c r="D934" s="293" t="s">
        <v>5859</v>
      </c>
      <c r="E934" s="293" t="s">
        <v>6038</v>
      </c>
      <c r="F934" s="293" t="s">
        <v>6941</v>
      </c>
      <c r="G934" s="293" t="s">
        <v>5586</v>
      </c>
      <c r="H934" s="294">
        <v>42035</v>
      </c>
      <c r="I934" s="295">
        <v>-3059.89</v>
      </c>
    </row>
    <row r="935" spans="1:9" x14ac:dyDescent="0.2">
      <c r="A935" s="293" t="s">
        <v>6946</v>
      </c>
      <c r="B935" s="293" t="s">
        <v>5666</v>
      </c>
      <c r="C935" s="293" t="s">
        <v>6040</v>
      </c>
      <c r="D935" s="293" t="s">
        <v>5859</v>
      </c>
      <c r="E935" s="293" t="s">
        <v>6041</v>
      </c>
      <c r="F935" s="293" t="s">
        <v>6941</v>
      </c>
      <c r="G935" s="293" t="s">
        <v>5581</v>
      </c>
      <c r="H935" s="294">
        <v>42035</v>
      </c>
      <c r="I935" s="295">
        <v>-8058.13</v>
      </c>
    </row>
    <row r="936" spans="1:9" x14ac:dyDescent="0.2">
      <c r="A936" s="293" t="s">
        <v>6947</v>
      </c>
      <c r="B936" s="293" t="s">
        <v>5666</v>
      </c>
      <c r="C936" s="293" t="s">
        <v>6049</v>
      </c>
      <c r="D936" s="293" t="s">
        <v>5859</v>
      </c>
      <c r="E936" s="293" t="s">
        <v>6050</v>
      </c>
      <c r="F936" s="293" t="s">
        <v>6941</v>
      </c>
      <c r="G936" s="293" t="s">
        <v>5590</v>
      </c>
      <c r="H936" s="294">
        <v>42035</v>
      </c>
      <c r="I936" s="295">
        <v>-12467.89</v>
      </c>
    </row>
    <row r="937" spans="1:9" x14ac:dyDescent="0.2">
      <c r="A937" s="293" t="s">
        <v>6948</v>
      </c>
      <c r="B937" s="293" t="s">
        <v>5666</v>
      </c>
      <c r="C937" s="293" t="s">
        <v>6052</v>
      </c>
      <c r="D937" s="293" t="s">
        <v>5859</v>
      </c>
      <c r="E937" s="293" t="s">
        <v>5817</v>
      </c>
      <c r="F937" s="293" t="s">
        <v>6941</v>
      </c>
      <c r="G937" s="293" t="s">
        <v>5577</v>
      </c>
      <c r="H937" s="294">
        <v>42035</v>
      </c>
      <c r="I937" s="295">
        <v>-7696.08</v>
      </c>
    </row>
    <row r="938" spans="1:9" x14ac:dyDescent="0.2">
      <c r="A938" s="293" t="s">
        <v>6949</v>
      </c>
      <c r="B938" s="293" t="s">
        <v>5666</v>
      </c>
      <c r="C938" s="293" t="s">
        <v>6054</v>
      </c>
      <c r="D938" s="293" t="s">
        <v>5859</v>
      </c>
      <c r="E938" s="293" t="s">
        <v>5817</v>
      </c>
      <c r="F938" s="293" t="s">
        <v>6941</v>
      </c>
      <c r="G938" s="293" t="s">
        <v>5577</v>
      </c>
      <c r="H938" s="294">
        <v>42035</v>
      </c>
      <c r="I938" s="295">
        <v>-3633.17</v>
      </c>
    </row>
    <row r="939" spans="1:9" x14ac:dyDescent="0.2">
      <c r="A939" s="293" t="s">
        <v>6950</v>
      </c>
      <c r="B939" s="293" t="s">
        <v>5666</v>
      </c>
      <c r="C939" s="293" t="s">
        <v>6056</v>
      </c>
      <c r="D939" s="293" t="s">
        <v>5859</v>
      </c>
      <c r="E939" s="293" t="s">
        <v>6057</v>
      </c>
      <c r="F939" s="293" t="s">
        <v>6941</v>
      </c>
      <c r="G939" s="293" t="s">
        <v>5578</v>
      </c>
      <c r="H939" s="294">
        <v>42035</v>
      </c>
      <c r="I939" s="295">
        <v>-4399.9399999999996</v>
      </c>
    </row>
    <row r="940" spans="1:9" x14ac:dyDescent="0.2">
      <c r="A940" s="293" t="s">
        <v>6951</v>
      </c>
      <c r="B940" s="293" t="s">
        <v>5666</v>
      </c>
      <c r="C940" s="293" t="s">
        <v>6062</v>
      </c>
      <c r="D940" s="293" t="s">
        <v>5859</v>
      </c>
      <c r="E940" s="293" t="s">
        <v>6063</v>
      </c>
      <c r="F940" s="293" t="s">
        <v>6941</v>
      </c>
      <c r="G940" s="293" t="s">
        <v>5579</v>
      </c>
      <c r="H940" s="294">
        <v>42035</v>
      </c>
      <c r="I940" s="295">
        <v>-2351.71</v>
      </c>
    </row>
    <row r="941" spans="1:9" x14ac:dyDescent="0.2">
      <c r="A941" s="293" t="s">
        <v>6952</v>
      </c>
      <c r="B941" s="293" t="s">
        <v>5666</v>
      </c>
      <c r="C941" s="293" t="s">
        <v>6065</v>
      </c>
      <c r="D941" s="293" t="s">
        <v>5859</v>
      </c>
      <c r="E941" s="293" t="s">
        <v>6063</v>
      </c>
      <c r="F941" s="293" t="s">
        <v>6941</v>
      </c>
      <c r="G941" s="293" t="s">
        <v>5579</v>
      </c>
      <c r="H941" s="294">
        <v>42035</v>
      </c>
      <c r="I941" s="295">
        <v>-63.12</v>
      </c>
    </row>
    <row r="942" spans="1:9" x14ac:dyDescent="0.2">
      <c r="A942" s="293" t="s">
        <v>6953</v>
      </c>
      <c r="B942" s="293" t="s">
        <v>5666</v>
      </c>
      <c r="C942" s="293" t="s">
        <v>6067</v>
      </c>
      <c r="D942" s="293" t="s">
        <v>5859</v>
      </c>
      <c r="E942" s="293" t="s">
        <v>5817</v>
      </c>
      <c r="F942" s="293" t="s">
        <v>6941</v>
      </c>
      <c r="G942" s="293" t="s">
        <v>5591</v>
      </c>
      <c r="H942" s="294">
        <v>42035</v>
      </c>
      <c r="I942" s="295">
        <v>-6308.36</v>
      </c>
    </row>
    <row r="943" spans="1:9" x14ac:dyDescent="0.2">
      <c r="A943" s="293" t="s">
        <v>6954</v>
      </c>
      <c r="B943" s="293" t="s">
        <v>5666</v>
      </c>
      <c r="C943" s="293" t="s">
        <v>6069</v>
      </c>
      <c r="D943" s="293" t="s">
        <v>5859</v>
      </c>
      <c r="E943" s="293" t="s">
        <v>5817</v>
      </c>
      <c r="F943" s="293" t="s">
        <v>6941</v>
      </c>
      <c r="G943" s="293" t="s">
        <v>5591</v>
      </c>
      <c r="H943" s="294">
        <v>42035</v>
      </c>
      <c r="I943" s="295">
        <v>-7695.19</v>
      </c>
    </row>
    <row r="944" spans="1:9" x14ac:dyDescent="0.2">
      <c r="A944" s="293" t="s">
        <v>6955</v>
      </c>
      <c r="B944" s="293" t="s">
        <v>5666</v>
      </c>
      <c r="C944" s="293" t="s">
        <v>6471</v>
      </c>
      <c r="D944" s="293" t="s">
        <v>5859</v>
      </c>
      <c r="E944" s="293" t="s">
        <v>6829</v>
      </c>
      <c r="F944" s="293" t="s">
        <v>6941</v>
      </c>
      <c r="G944" s="293" t="s">
        <v>5589</v>
      </c>
      <c r="H944" s="294">
        <v>42035</v>
      </c>
      <c r="I944" s="295">
        <v>-7123.53</v>
      </c>
    </row>
    <row r="945" spans="1:9" x14ac:dyDescent="0.2">
      <c r="A945" s="293" t="s">
        <v>6956</v>
      </c>
      <c r="B945" s="293" t="s">
        <v>5666</v>
      </c>
      <c r="C945" s="293" t="s">
        <v>6473</v>
      </c>
      <c r="D945" s="293" t="s">
        <v>5859</v>
      </c>
      <c r="E945" s="293" t="s">
        <v>6474</v>
      </c>
      <c r="F945" s="293" t="s">
        <v>6941</v>
      </c>
      <c r="G945" s="293" t="s">
        <v>5593</v>
      </c>
      <c r="H945" s="294">
        <v>42035</v>
      </c>
      <c r="I945" s="295">
        <v>-14668.67</v>
      </c>
    </row>
    <row r="946" spans="1:9" x14ac:dyDescent="0.2">
      <c r="A946" s="293" t="s">
        <v>6957</v>
      </c>
      <c r="B946" s="293" t="s">
        <v>5666</v>
      </c>
      <c r="C946" s="293" t="s">
        <v>6920</v>
      </c>
      <c r="D946" s="293" t="s">
        <v>5859</v>
      </c>
      <c r="E946" s="293" t="s">
        <v>6921</v>
      </c>
      <c r="F946" s="293" t="s">
        <v>6941</v>
      </c>
      <c r="G946" s="293" t="s">
        <v>5754</v>
      </c>
      <c r="H946" s="294">
        <v>42035</v>
      </c>
      <c r="I946" s="295">
        <v>-8710.42</v>
      </c>
    </row>
    <row r="947" spans="1:9" x14ac:dyDescent="0.2">
      <c r="A947" s="293" t="s">
        <v>6958</v>
      </c>
      <c r="B947" s="293" t="s">
        <v>5666</v>
      </c>
      <c r="C947" s="293" t="s">
        <v>6027</v>
      </c>
      <c r="D947" s="293" t="s">
        <v>5859</v>
      </c>
      <c r="E947" s="293" t="s">
        <v>6028</v>
      </c>
      <c r="F947" s="293" t="s">
        <v>6959</v>
      </c>
      <c r="G947" s="293" t="s">
        <v>5573</v>
      </c>
      <c r="H947" s="294">
        <v>42063</v>
      </c>
      <c r="I947" s="295">
        <v>-6400.96</v>
      </c>
    </row>
    <row r="948" spans="1:9" x14ac:dyDescent="0.2">
      <c r="A948" s="293" t="s">
        <v>6960</v>
      </c>
      <c r="B948" s="293" t="s">
        <v>5666</v>
      </c>
      <c r="C948" s="293" t="s">
        <v>6030</v>
      </c>
      <c r="D948" s="293" t="s">
        <v>5859</v>
      </c>
      <c r="E948" s="293" t="s">
        <v>6028</v>
      </c>
      <c r="F948" s="293" t="s">
        <v>6959</v>
      </c>
      <c r="G948" s="293" t="s">
        <v>5573</v>
      </c>
      <c r="H948" s="294">
        <v>42063</v>
      </c>
      <c r="I948" s="295">
        <v>-130.22</v>
      </c>
    </row>
    <row r="949" spans="1:9" x14ac:dyDescent="0.2">
      <c r="A949" s="293" t="s">
        <v>6961</v>
      </c>
      <c r="B949" s="293" t="s">
        <v>5666</v>
      </c>
      <c r="C949" s="293" t="s">
        <v>6032</v>
      </c>
      <c r="D949" s="293" t="s">
        <v>5859</v>
      </c>
      <c r="E949" s="293" t="s">
        <v>6033</v>
      </c>
      <c r="F949" s="293" t="s">
        <v>6959</v>
      </c>
      <c r="G949" s="293" t="s">
        <v>5585</v>
      </c>
      <c r="H949" s="294">
        <v>42063</v>
      </c>
      <c r="I949" s="295">
        <v>-6872.38</v>
      </c>
    </row>
    <row r="950" spans="1:9" x14ac:dyDescent="0.2">
      <c r="A950" s="293" t="s">
        <v>6962</v>
      </c>
      <c r="B950" s="293" t="s">
        <v>5666</v>
      </c>
      <c r="C950" s="293" t="s">
        <v>6035</v>
      </c>
      <c r="D950" s="293" t="s">
        <v>5859</v>
      </c>
      <c r="E950" s="293" t="s">
        <v>6033</v>
      </c>
      <c r="F950" s="293" t="s">
        <v>6959</v>
      </c>
      <c r="G950" s="293" t="s">
        <v>5585</v>
      </c>
      <c r="H950" s="294">
        <v>42063</v>
      </c>
      <c r="I950" s="295">
        <v>-4630.24</v>
      </c>
    </row>
    <row r="951" spans="1:9" x14ac:dyDescent="0.2">
      <c r="A951" s="293" t="s">
        <v>6963</v>
      </c>
      <c r="B951" s="293" t="s">
        <v>5666</v>
      </c>
      <c r="C951" s="293" t="s">
        <v>6037</v>
      </c>
      <c r="D951" s="293" t="s">
        <v>5859</v>
      </c>
      <c r="E951" s="293" t="s">
        <v>6038</v>
      </c>
      <c r="F951" s="293" t="s">
        <v>6959</v>
      </c>
      <c r="G951" s="293" t="s">
        <v>5586</v>
      </c>
      <c r="H951" s="294">
        <v>42063</v>
      </c>
      <c r="I951" s="295">
        <v>-3059.89</v>
      </c>
    </row>
    <row r="952" spans="1:9" x14ac:dyDescent="0.2">
      <c r="A952" s="293" t="s">
        <v>6964</v>
      </c>
      <c r="B952" s="293" t="s">
        <v>5666</v>
      </c>
      <c r="C952" s="293" t="s">
        <v>6040</v>
      </c>
      <c r="D952" s="293" t="s">
        <v>5859</v>
      </c>
      <c r="E952" s="293" t="s">
        <v>6041</v>
      </c>
      <c r="F952" s="293" t="s">
        <v>6959</v>
      </c>
      <c r="G952" s="293" t="s">
        <v>5581</v>
      </c>
      <c r="H952" s="294">
        <v>42063</v>
      </c>
      <c r="I952" s="295">
        <v>-8058.13</v>
      </c>
    </row>
    <row r="953" spans="1:9" x14ac:dyDescent="0.2">
      <c r="A953" s="293" t="s">
        <v>6965</v>
      </c>
      <c r="B953" s="293" t="s">
        <v>5666</v>
      </c>
      <c r="C953" s="293" t="s">
        <v>6049</v>
      </c>
      <c r="D953" s="293" t="s">
        <v>5859</v>
      </c>
      <c r="E953" s="293" t="s">
        <v>6050</v>
      </c>
      <c r="F953" s="293" t="s">
        <v>6959</v>
      </c>
      <c r="G953" s="293" t="s">
        <v>5590</v>
      </c>
      <c r="H953" s="294">
        <v>42063</v>
      </c>
      <c r="I953" s="295">
        <v>-12467.89</v>
      </c>
    </row>
    <row r="954" spans="1:9" x14ac:dyDescent="0.2">
      <c r="A954" s="293" t="s">
        <v>6966</v>
      </c>
      <c r="B954" s="293" t="s">
        <v>5666</v>
      </c>
      <c r="C954" s="293" t="s">
        <v>6052</v>
      </c>
      <c r="D954" s="293" t="s">
        <v>5859</v>
      </c>
      <c r="E954" s="293" t="s">
        <v>5817</v>
      </c>
      <c r="F954" s="293" t="s">
        <v>6959</v>
      </c>
      <c r="G954" s="293" t="s">
        <v>5577</v>
      </c>
      <c r="H954" s="294">
        <v>42063</v>
      </c>
      <c r="I954" s="295">
        <v>-7696.08</v>
      </c>
    </row>
    <row r="955" spans="1:9" x14ac:dyDescent="0.2">
      <c r="A955" s="293" t="s">
        <v>6967</v>
      </c>
      <c r="B955" s="293" t="s">
        <v>5666</v>
      </c>
      <c r="C955" s="293" t="s">
        <v>6054</v>
      </c>
      <c r="D955" s="293" t="s">
        <v>5859</v>
      </c>
      <c r="E955" s="293" t="s">
        <v>5817</v>
      </c>
      <c r="F955" s="293" t="s">
        <v>6959</v>
      </c>
      <c r="G955" s="293" t="s">
        <v>5577</v>
      </c>
      <c r="H955" s="294">
        <v>42063</v>
      </c>
      <c r="I955" s="295">
        <v>-3633.17</v>
      </c>
    </row>
    <row r="956" spans="1:9" x14ac:dyDescent="0.2">
      <c r="A956" s="293" t="s">
        <v>6968</v>
      </c>
      <c r="B956" s="293" t="s">
        <v>5666</v>
      </c>
      <c r="C956" s="293" t="s">
        <v>6056</v>
      </c>
      <c r="D956" s="293" t="s">
        <v>5859</v>
      </c>
      <c r="E956" s="293" t="s">
        <v>6057</v>
      </c>
      <c r="F956" s="293" t="s">
        <v>6959</v>
      </c>
      <c r="G956" s="293" t="s">
        <v>5578</v>
      </c>
      <c r="H956" s="294">
        <v>42063</v>
      </c>
      <c r="I956" s="295">
        <v>-4399.9399999999996</v>
      </c>
    </row>
    <row r="957" spans="1:9" x14ac:dyDescent="0.2">
      <c r="A957" s="293" t="s">
        <v>6969</v>
      </c>
      <c r="B957" s="293" t="s">
        <v>5666</v>
      </c>
      <c r="C957" s="293" t="s">
        <v>6062</v>
      </c>
      <c r="D957" s="293" t="s">
        <v>5859</v>
      </c>
      <c r="E957" s="293" t="s">
        <v>6063</v>
      </c>
      <c r="F957" s="293" t="s">
        <v>6959</v>
      </c>
      <c r="G957" s="293" t="s">
        <v>5579</v>
      </c>
      <c r="H957" s="294">
        <v>42063</v>
      </c>
      <c r="I957" s="295">
        <v>-2351.71</v>
      </c>
    </row>
    <row r="958" spans="1:9" x14ac:dyDescent="0.2">
      <c r="A958" s="293" t="s">
        <v>6970</v>
      </c>
      <c r="B958" s="293" t="s">
        <v>5666</v>
      </c>
      <c r="C958" s="293" t="s">
        <v>6065</v>
      </c>
      <c r="D958" s="293" t="s">
        <v>5859</v>
      </c>
      <c r="E958" s="293" t="s">
        <v>6063</v>
      </c>
      <c r="F958" s="293" t="s">
        <v>6959</v>
      </c>
      <c r="G958" s="293" t="s">
        <v>5579</v>
      </c>
      <c r="H958" s="294">
        <v>42063</v>
      </c>
      <c r="I958" s="295">
        <v>-63.12</v>
      </c>
    </row>
    <row r="959" spans="1:9" x14ac:dyDescent="0.2">
      <c r="A959" s="293" t="s">
        <v>6971</v>
      </c>
      <c r="B959" s="293" t="s">
        <v>5666</v>
      </c>
      <c r="C959" s="293" t="s">
        <v>6067</v>
      </c>
      <c r="D959" s="293" t="s">
        <v>5859</v>
      </c>
      <c r="E959" s="293" t="s">
        <v>5817</v>
      </c>
      <c r="F959" s="293" t="s">
        <v>6959</v>
      </c>
      <c r="G959" s="293" t="s">
        <v>5591</v>
      </c>
      <c r="H959" s="294">
        <v>42063</v>
      </c>
      <c r="I959" s="295">
        <v>-6308.36</v>
      </c>
    </row>
    <row r="960" spans="1:9" x14ac:dyDescent="0.2">
      <c r="A960" s="293" t="s">
        <v>6972</v>
      </c>
      <c r="B960" s="293" t="s">
        <v>5666</v>
      </c>
      <c r="C960" s="293" t="s">
        <v>6069</v>
      </c>
      <c r="D960" s="293" t="s">
        <v>5859</v>
      </c>
      <c r="E960" s="293" t="s">
        <v>5817</v>
      </c>
      <c r="F960" s="293" t="s">
        <v>6959</v>
      </c>
      <c r="G960" s="293" t="s">
        <v>5591</v>
      </c>
      <c r="H960" s="294">
        <v>42063</v>
      </c>
      <c r="I960" s="295">
        <v>-7695.19</v>
      </c>
    </row>
    <row r="961" spans="1:9" x14ac:dyDescent="0.2">
      <c r="A961" s="293" t="s">
        <v>6973</v>
      </c>
      <c r="B961" s="293" t="s">
        <v>5666</v>
      </c>
      <c r="C961" s="293" t="s">
        <v>6471</v>
      </c>
      <c r="D961" s="293" t="s">
        <v>5859</v>
      </c>
      <c r="E961" s="293" t="s">
        <v>6829</v>
      </c>
      <c r="F961" s="293" t="s">
        <v>6959</v>
      </c>
      <c r="G961" s="293" t="s">
        <v>5589</v>
      </c>
      <c r="H961" s="294">
        <v>42063</v>
      </c>
      <c r="I961" s="295">
        <v>-7123.53</v>
      </c>
    </row>
    <row r="962" spans="1:9" x14ac:dyDescent="0.2">
      <c r="A962" s="293" t="s">
        <v>6974</v>
      </c>
      <c r="B962" s="293" t="s">
        <v>5666</v>
      </c>
      <c r="C962" s="293" t="s">
        <v>6473</v>
      </c>
      <c r="D962" s="293" t="s">
        <v>5859</v>
      </c>
      <c r="E962" s="293" t="s">
        <v>6474</v>
      </c>
      <c r="F962" s="293" t="s">
        <v>6959</v>
      </c>
      <c r="G962" s="293" t="s">
        <v>5593</v>
      </c>
      <c r="H962" s="294">
        <v>42063</v>
      </c>
      <c r="I962" s="295">
        <v>-14668.67</v>
      </c>
    </row>
    <row r="963" spans="1:9" x14ac:dyDescent="0.2">
      <c r="A963" s="293" t="s">
        <v>6975</v>
      </c>
      <c r="B963" s="293" t="s">
        <v>5666</v>
      </c>
      <c r="C963" s="293" t="s">
        <v>6920</v>
      </c>
      <c r="D963" s="293" t="s">
        <v>5859</v>
      </c>
      <c r="E963" s="293" t="s">
        <v>6921</v>
      </c>
      <c r="F963" s="293" t="s">
        <v>6959</v>
      </c>
      <c r="G963" s="293" t="s">
        <v>5754</v>
      </c>
      <c r="H963" s="294">
        <v>42063</v>
      </c>
      <c r="I963" s="295">
        <v>-8710.42</v>
      </c>
    </row>
    <row r="964" spans="1:9" x14ac:dyDescent="0.2">
      <c r="A964" s="293" t="s">
        <v>6976</v>
      </c>
      <c r="B964" s="293" t="s">
        <v>5666</v>
      </c>
      <c r="C964" s="293" t="s">
        <v>6027</v>
      </c>
      <c r="D964" s="293" t="s">
        <v>5859</v>
      </c>
      <c r="E964" s="293" t="s">
        <v>6028</v>
      </c>
      <c r="F964" s="293" t="s">
        <v>6977</v>
      </c>
      <c r="G964" s="293" t="s">
        <v>5573</v>
      </c>
      <c r="H964" s="294">
        <v>42094</v>
      </c>
      <c r="I964" s="295">
        <v>-6400.96</v>
      </c>
    </row>
    <row r="965" spans="1:9" x14ac:dyDescent="0.2">
      <c r="A965" s="293" t="s">
        <v>6978</v>
      </c>
      <c r="B965" s="293" t="s">
        <v>5666</v>
      </c>
      <c r="C965" s="293" t="s">
        <v>6030</v>
      </c>
      <c r="D965" s="293" t="s">
        <v>5859</v>
      </c>
      <c r="E965" s="293" t="s">
        <v>6028</v>
      </c>
      <c r="F965" s="293" t="s">
        <v>6977</v>
      </c>
      <c r="G965" s="293" t="s">
        <v>5573</v>
      </c>
      <c r="H965" s="294">
        <v>42094</v>
      </c>
      <c r="I965" s="295">
        <v>-130.22</v>
      </c>
    </row>
    <row r="966" spans="1:9" x14ac:dyDescent="0.2">
      <c r="A966" s="293" t="s">
        <v>6979</v>
      </c>
      <c r="B966" s="293" t="s">
        <v>5666</v>
      </c>
      <c r="C966" s="293" t="s">
        <v>6032</v>
      </c>
      <c r="D966" s="293" t="s">
        <v>5859</v>
      </c>
      <c r="E966" s="293" t="s">
        <v>6033</v>
      </c>
      <c r="F966" s="293" t="s">
        <v>6977</v>
      </c>
      <c r="G966" s="293" t="s">
        <v>5585</v>
      </c>
      <c r="H966" s="294">
        <v>42094</v>
      </c>
      <c r="I966" s="295">
        <v>-6872.38</v>
      </c>
    </row>
    <row r="967" spans="1:9" x14ac:dyDescent="0.2">
      <c r="A967" s="293" t="s">
        <v>6980</v>
      </c>
      <c r="B967" s="293" t="s">
        <v>5666</v>
      </c>
      <c r="C967" s="293" t="s">
        <v>6035</v>
      </c>
      <c r="D967" s="293" t="s">
        <v>5859</v>
      </c>
      <c r="E967" s="293" t="s">
        <v>6033</v>
      </c>
      <c r="F967" s="293" t="s">
        <v>6977</v>
      </c>
      <c r="G967" s="293" t="s">
        <v>5585</v>
      </c>
      <c r="H967" s="294">
        <v>42094</v>
      </c>
      <c r="I967" s="295">
        <v>-4630.24</v>
      </c>
    </row>
    <row r="968" spans="1:9" x14ac:dyDescent="0.2">
      <c r="A968" s="293" t="s">
        <v>6981</v>
      </c>
      <c r="B968" s="293" t="s">
        <v>5666</v>
      </c>
      <c r="C968" s="293" t="s">
        <v>6037</v>
      </c>
      <c r="D968" s="293" t="s">
        <v>5859</v>
      </c>
      <c r="E968" s="293" t="s">
        <v>6038</v>
      </c>
      <c r="F968" s="293" t="s">
        <v>6977</v>
      </c>
      <c r="G968" s="293" t="s">
        <v>5586</v>
      </c>
      <c r="H968" s="294">
        <v>42094</v>
      </c>
      <c r="I968" s="295">
        <v>-3059.89</v>
      </c>
    </row>
    <row r="969" spans="1:9" x14ac:dyDescent="0.2">
      <c r="A969" s="293" t="s">
        <v>6982</v>
      </c>
      <c r="B969" s="293" t="s">
        <v>5666</v>
      </c>
      <c r="C969" s="293" t="s">
        <v>6040</v>
      </c>
      <c r="D969" s="293" t="s">
        <v>5859</v>
      </c>
      <c r="E969" s="293" t="s">
        <v>6041</v>
      </c>
      <c r="F969" s="293" t="s">
        <v>6977</v>
      </c>
      <c r="G969" s="293" t="s">
        <v>5581</v>
      </c>
      <c r="H969" s="294">
        <v>42094</v>
      </c>
      <c r="I969" s="295">
        <v>-8058.13</v>
      </c>
    </row>
    <row r="970" spans="1:9" x14ac:dyDescent="0.2">
      <c r="A970" s="293" t="s">
        <v>6983</v>
      </c>
      <c r="B970" s="293" t="s">
        <v>5666</v>
      </c>
      <c r="C970" s="293" t="s">
        <v>6049</v>
      </c>
      <c r="D970" s="293" t="s">
        <v>5859</v>
      </c>
      <c r="E970" s="293" t="s">
        <v>6050</v>
      </c>
      <c r="F970" s="293" t="s">
        <v>6977</v>
      </c>
      <c r="G970" s="293" t="s">
        <v>5590</v>
      </c>
      <c r="H970" s="294">
        <v>42094</v>
      </c>
      <c r="I970" s="295">
        <v>-12467.89</v>
      </c>
    </row>
    <row r="971" spans="1:9" x14ac:dyDescent="0.2">
      <c r="A971" s="293" t="s">
        <v>6984</v>
      </c>
      <c r="B971" s="293" t="s">
        <v>5666</v>
      </c>
      <c r="C971" s="293" t="s">
        <v>6052</v>
      </c>
      <c r="D971" s="293" t="s">
        <v>5859</v>
      </c>
      <c r="E971" s="293" t="s">
        <v>5817</v>
      </c>
      <c r="F971" s="293" t="s">
        <v>6977</v>
      </c>
      <c r="G971" s="293" t="s">
        <v>5577</v>
      </c>
      <c r="H971" s="294">
        <v>42094</v>
      </c>
      <c r="I971" s="295">
        <v>-7696.08</v>
      </c>
    </row>
    <row r="972" spans="1:9" x14ac:dyDescent="0.2">
      <c r="A972" s="293" t="s">
        <v>6985</v>
      </c>
      <c r="B972" s="293" t="s">
        <v>5666</v>
      </c>
      <c r="C972" s="293" t="s">
        <v>6054</v>
      </c>
      <c r="D972" s="293" t="s">
        <v>5859</v>
      </c>
      <c r="E972" s="293" t="s">
        <v>5817</v>
      </c>
      <c r="F972" s="293" t="s">
        <v>6977</v>
      </c>
      <c r="G972" s="293" t="s">
        <v>5577</v>
      </c>
      <c r="H972" s="294">
        <v>42094</v>
      </c>
      <c r="I972" s="295">
        <v>-3633.17</v>
      </c>
    </row>
    <row r="973" spans="1:9" x14ac:dyDescent="0.2">
      <c r="A973" s="293" t="s">
        <v>6986</v>
      </c>
      <c r="B973" s="293" t="s">
        <v>5666</v>
      </c>
      <c r="C973" s="293" t="s">
        <v>6056</v>
      </c>
      <c r="D973" s="293" t="s">
        <v>5859</v>
      </c>
      <c r="E973" s="293" t="s">
        <v>6057</v>
      </c>
      <c r="F973" s="293" t="s">
        <v>6977</v>
      </c>
      <c r="G973" s="293" t="s">
        <v>5578</v>
      </c>
      <c r="H973" s="294">
        <v>42094</v>
      </c>
      <c r="I973" s="295">
        <v>-4399.9399999999996</v>
      </c>
    </row>
    <row r="974" spans="1:9" x14ac:dyDescent="0.2">
      <c r="A974" s="293" t="s">
        <v>6987</v>
      </c>
      <c r="B974" s="293" t="s">
        <v>5666</v>
      </c>
      <c r="C974" s="293" t="s">
        <v>6062</v>
      </c>
      <c r="D974" s="293" t="s">
        <v>5859</v>
      </c>
      <c r="E974" s="293" t="s">
        <v>6063</v>
      </c>
      <c r="F974" s="293" t="s">
        <v>6977</v>
      </c>
      <c r="G974" s="293" t="s">
        <v>5579</v>
      </c>
      <c r="H974" s="294">
        <v>42094</v>
      </c>
      <c r="I974" s="295">
        <v>-2351.71</v>
      </c>
    </row>
    <row r="975" spans="1:9" x14ac:dyDescent="0.2">
      <c r="A975" s="293" t="s">
        <v>6988</v>
      </c>
      <c r="B975" s="293" t="s">
        <v>5666</v>
      </c>
      <c r="C975" s="293" t="s">
        <v>6065</v>
      </c>
      <c r="D975" s="293" t="s">
        <v>5859</v>
      </c>
      <c r="E975" s="293" t="s">
        <v>6063</v>
      </c>
      <c r="F975" s="293" t="s">
        <v>6977</v>
      </c>
      <c r="G975" s="293" t="s">
        <v>5579</v>
      </c>
      <c r="H975" s="294">
        <v>42094</v>
      </c>
      <c r="I975" s="295">
        <v>-63.12</v>
      </c>
    </row>
    <row r="976" spans="1:9" x14ac:dyDescent="0.2">
      <c r="A976" s="293" t="s">
        <v>6989</v>
      </c>
      <c r="B976" s="293" t="s">
        <v>5666</v>
      </c>
      <c r="C976" s="293" t="s">
        <v>6067</v>
      </c>
      <c r="D976" s="293" t="s">
        <v>5859</v>
      </c>
      <c r="E976" s="293" t="s">
        <v>5817</v>
      </c>
      <c r="F976" s="293" t="s">
        <v>6977</v>
      </c>
      <c r="G976" s="293" t="s">
        <v>5591</v>
      </c>
      <c r="H976" s="294">
        <v>42094</v>
      </c>
      <c r="I976" s="295">
        <v>-6308.36</v>
      </c>
    </row>
    <row r="977" spans="1:9" x14ac:dyDescent="0.2">
      <c r="A977" s="293" t="s">
        <v>6990</v>
      </c>
      <c r="B977" s="293" t="s">
        <v>5666</v>
      </c>
      <c r="C977" s="293" t="s">
        <v>6069</v>
      </c>
      <c r="D977" s="293" t="s">
        <v>5859</v>
      </c>
      <c r="E977" s="293" t="s">
        <v>5817</v>
      </c>
      <c r="F977" s="293" t="s">
        <v>6977</v>
      </c>
      <c r="G977" s="293" t="s">
        <v>5591</v>
      </c>
      <c r="H977" s="294">
        <v>42094</v>
      </c>
      <c r="I977" s="295">
        <v>-7695.19</v>
      </c>
    </row>
    <row r="978" spans="1:9" x14ac:dyDescent="0.2">
      <c r="A978" s="293" t="s">
        <v>6991</v>
      </c>
      <c r="B978" s="293" t="s">
        <v>5666</v>
      </c>
      <c r="C978" s="293" t="s">
        <v>6471</v>
      </c>
      <c r="D978" s="293" t="s">
        <v>5859</v>
      </c>
      <c r="E978" s="293" t="s">
        <v>6829</v>
      </c>
      <c r="F978" s="293" t="s">
        <v>6977</v>
      </c>
      <c r="G978" s="293" t="s">
        <v>5589</v>
      </c>
      <c r="H978" s="294">
        <v>42094</v>
      </c>
      <c r="I978" s="295">
        <v>-7123.53</v>
      </c>
    </row>
    <row r="979" spans="1:9" x14ac:dyDescent="0.2">
      <c r="A979" s="293" t="s">
        <v>6992</v>
      </c>
      <c r="B979" s="293" t="s">
        <v>5666</v>
      </c>
      <c r="C979" s="293" t="s">
        <v>6473</v>
      </c>
      <c r="D979" s="293" t="s">
        <v>5859</v>
      </c>
      <c r="E979" s="293" t="s">
        <v>6474</v>
      </c>
      <c r="F979" s="293" t="s">
        <v>6977</v>
      </c>
      <c r="G979" s="293" t="s">
        <v>5593</v>
      </c>
      <c r="H979" s="294">
        <v>42094</v>
      </c>
      <c r="I979" s="295">
        <v>-14668.67</v>
      </c>
    </row>
    <row r="980" spans="1:9" x14ac:dyDescent="0.2">
      <c r="A980" s="293" t="s">
        <v>6993</v>
      </c>
      <c r="B980" s="293" t="s">
        <v>5666</v>
      </c>
      <c r="C980" s="293" t="s">
        <v>6920</v>
      </c>
      <c r="D980" s="293" t="s">
        <v>5859</v>
      </c>
      <c r="E980" s="293" t="s">
        <v>6921</v>
      </c>
      <c r="F980" s="293" t="s">
        <v>6977</v>
      </c>
      <c r="G980" s="293" t="s">
        <v>5754</v>
      </c>
      <c r="H980" s="294">
        <v>42094</v>
      </c>
      <c r="I980" s="295">
        <v>-8710.42</v>
      </c>
    </row>
    <row r="981" spans="1:9" x14ac:dyDescent="0.2">
      <c r="A981" s="293" t="s">
        <v>6994</v>
      </c>
      <c r="B981" s="293" t="s">
        <v>5666</v>
      </c>
      <c r="C981" s="293" t="s">
        <v>6027</v>
      </c>
      <c r="D981" s="293" t="s">
        <v>5859</v>
      </c>
      <c r="E981" s="293" t="s">
        <v>6028</v>
      </c>
      <c r="F981" s="293" t="s">
        <v>6995</v>
      </c>
      <c r="G981" s="293" t="s">
        <v>5573</v>
      </c>
      <c r="H981" s="294">
        <v>42124</v>
      </c>
      <c r="I981" s="295">
        <v>-6400.96</v>
      </c>
    </row>
    <row r="982" spans="1:9" x14ac:dyDescent="0.2">
      <c r="A982" s="293" t="s">
        <v>6996</v>
      </c>
      <c r="B982" s="293" t="s">
        <v>5666</v>
      </c>
      <c r="C982" s="293" t="s">
        <v>6030</v>
      </c>
      <c r="D982" s="293" t="s">
        <v>5859</v>
      </c>
      <c r="E982" s="293" t="s">
        <v>6028</v>
      </c>
      <c r="F982" s="293" t="s">
        <v>6995</v>
      </c>
      <c r="G982" s="293" t="s">
        <v>5573</v>
      </c>
      <c r="H982" s="294">
        <v>42124</v>
      </c>
      <c r="I982" s="295">
        <v>-130.22</v>
      </c>
    </row>
    <row r="983" spans="1:9" x14ac:dyDescent="0.2">
      <c r="A983" s="293" t="s">
        <v>6997</v>
      </c>
      <c r="B983" s="293" t="s">
        <v>5666</v>
      </c>
      <c r="C983" s="293" t="s">
        <v>6032</v>
      </c>
      <c r="D983" s="293" t="s">
        <v>5859</v>
      </c>
      <c r="E983" s="293" t="s">
        <v>6033</v>
      </c>
      <c r="F983" s="293" t="s">
        <v>6995</v>
      </c>
      <c r="G983" s="293" t="s">
        <v>5585</v>
      </c>
      <c r="H983" s="294">
        <v>42124</v>
      </c>
      <c r="I983" s="295">
        <v>-6872.38</v>
      </c>
    </row>
    <row r="984" spans="1:9" x14ac:dyDescent="0.2">
      <c r="A984" s="293" t="s">
        <v>6998</v>
      </c>
      <c r="B984" s="293" t="s">
        <v>5666</v>
      </c>
      <c r="C984" s="293" t="s">
        <v>6035</v>
      </c>
      <c r="D984" s="293" t="s">
        <v>5859</v>
      </c>
      <c r="E984" s="293" t="s">
        <v>6033</v>
      </c>
      <c r="F984" s="293" t="s">
        <v>6995</v>
      </c>
      <c r="G984" s="293" t="s">
        <v>5585</v>
      </c>
      <c r="H984" s="294">
        <v>42124</v>
      </c>
      <c r="I984" s="295">
        <v>-4630.24</v>
      </c>
    </row>
    <row r="985" spans="1:9" x14ac:dyDescent="0.2">
      <c r="A985" s="293" t="s">
        <v>6999</v>
      </c>
      <c r="B985" s="293" t="s">
        <v>5666</v>
      </c>
      <c r="C985" s="293" t="s">
        <v>6037</v>
      </c>
      <c r="D985" s="293" t="s">
        <v>5859</v>
      </c>
      <c r="E985" s="293" t="s">
        <v>6038</v>
      </c>
      <c r="F985" s="293" t="s">
        <v>6995</v>
      </c>
      <c r="G985" s="293" t="s">
        <v>5586</v>
      </c>
      <c r="H985" s="294">
        <v>42124</v>
      </c>
      <c r="I985" s="295">
        <v>-3059.89</v>
      </c>
    </row>
    <row r="986" spans="1:9" x14ac:dyDescent="0.2">
      <c r="A986" s="293" t="s">
        <v>7000</v>
      </c>
      <c r="B986" s="293" t="s">
        <v>5666</v>
      </c>
      <c r="C986" s="293" t="s">
        <v>6040</v>
      </c>
      <c r="D986" s="293" t="s">
        <v>5859</v>
      </c>
      <c r="E986" s="293" t="s">
        <v>6041</v>
      </c>
      <c r="F986" s="293" t="s">
        <v>6995</v>
      </c>
      <c r="G986" s="293" t="s">
        <v>5581</v>
      </c>
      <c r="H986" s="294">
        <v>42124</v>
      </c>
      <c r="I986" s="295">
        <v>-8058.13</v>
      </c>
    </row>
    <row r="987" spans="1:9" x14ac:dyDescent="0.2">
      <c r="A987" s="293" t="s">
        <v>7001</v>
      </c>
      <c r="B987" s="293" t="s">
        <v>5666</v>
      </c>
      <c r="C987" s="293" t="s">
        <v>6049</v>
      </c>
      <c r="D987" s="293" t="s">
        <v>5859</v>
      </c>
      <c r="E987" s="293" t="s">
        <v>6050</v>
      </c>
      <c r="F987" s="293" t="s">
        <v>6995</v>
      </c>
      <c r="G987" s="293" t="s">
        <v>5590</v>
      </c>
      <c r="H987" s="294">
        <v>42124</v>
      </c>
      <c r="I987" s="295">
        <v>-12467.89</v>
      </c>
    </row>
    <row r="988" spans="1:9" x14ac:dyDescent="0.2">
      <c r="A988" s="293" t="s">
        <v>7002</v>
      </c>
      <c r="B988" s="293" t="s">
        <v>5666</v>
      </c>
      <c r="C988" s="293" t="s">
        <v>6052</v>
      </c>
      <c r="D988" s="293" t="s">
        <v>5859</v>
      </c>
      <c r="E988" s="293" t="s">
        <v>5817</v>
      </c>
      <c r="F988" s="293" t="s">
        <v>6995</v>
      </c>
      <c r="G988" s="293" t="s">
        <v>5577</v>
      </c>
      <c r="H988" s="294">
        <v>42124</v>
      </c>
      <c r="I988" s="295">
        <v>-7696.08</v>
      </c>
    </row>
    <row r="989" spans="1:9" x14ac:dyDescent="0.2">
      <c r="A989" s="293" t="s">
        <v>7003</v>
      </c>
      <c r="B989" s="293" t="s">
        <v>5666</v>
      </c>
      <c r="C989" s="293" t="s">
        <v>6054</v>
      </c>
      <c r="D989" s="293" t="s">
        <v>5859</v>
      </c>
      <c r="E989" s="293" t="s">
        <v>5817</v>
      </c>
      <c r="F989" s="293" t="s">
        <v>6995</v>
      </c>
      <c r="G989" s="293" t="s">
        <v>5577</v>
      </c>
      <c r="H989" s="294">
        <v>42124</v>
      </c>
      <c r="I989" s="295">
        <v>-3633.17</v>
      </c>
    </row>
    <row r="990" spans="1:9" x14ac:dyDescent="0.2">
      <c r="A990" s="293" t="s">
        <v>7004</v>
      </c>
      <c r="B990" s="293" t="s">
        <v>5666</v>
      </c>
      <c r="C990" s="293" t="s">
        <v>6056</v>
      </c>
      <c r="D990" s="293" t="s">
        <v>5859</v>
      </c>
      <c r="E990" s="293" t="s">
        <v>6057</v>
      </c>
      <c r="F990" s="293" t="s">
        <v>6995</v>
      </c>
      <c r="G990" s="293" t="s">
        <v>5578</v>
      </c>
      <c r="H990" s="294">
        <v>42124</v>
      </c>
      <c r="I990" s="295">
        <v>-4399.9399999999996</v>
      </c>
    </row>
    <row r="991" spans="1:9" x14ac:dyDescent="0.2">
      <c r="A991" s="293" t="s">
        <v>7005</v>
      </c>
      <c r="B991" s="293" t="s">
        <v>5666</v>
      </c>
      <c r="C991" s="293" t="s">
        <v>6062</v>
      </c>
      <c r="D991" s="293" t="s">
        <v>5859</v>
      </c>
      <c r="E991" s="293" t="s">
        <v>6063</v>
      </c>
      <c r="F991" s="293" t="s">
        <v>6995</v>
      </c>
      <c r="G991" s="293" t="s">
        <v>5579</v>
      </c>
      <c r="H991" s="294">
        <v>42124</v>
      </c>
      <c r="I991" s="295">
        <v>-2351.71</v>
      </c>
    </row>
    <row r="992" spans="1:9" x14ac:dyDescent="0.2">
      <c r="A992" s="293" t="s">
        <v>7006</v>
      </c>
      <c r="B992" s="293" t="s">
        <v>5666</v>
      </c>
      <c r="C992" s="293" t="s">
        <v>6065</v>
      </c>
      <c r="D992" s="293" t="s">
        <v>5859</v>
      </c>
      <c r="E992" s="293" t="s">
        <v>6063</v>
      </c>
      <c r="F992" s="293" t="s">
        <v>6995</v>
      </c>
      <c r="G992" s="293" t="s">
        <v>5579</v>
      </c>
      <c r="H992" s="294">
        <v>42124</v>
      </c>
      <c r="I992" s="295">
        <v>-63.12</v>
      </c>
    </row>
    <row r="993" spans="1:9" x14ac:dyDescent="0.2">
      <c r="A993" s="293" t="s">
        <v>7007</v>
      </c>
      <c r="B993" s="293" t="s">
        <v>5666</v>
      </c>
      <c r="C993" s="293" t="s">
        <v>6067</v>
      </c>
      <c r="D993" s="293" t="s">
        <v>5859</v>
      </c>
      <c r="E993" s="293" t="s">
        <v>5817</v>
      </c>
      <c r="F993" s="293" t="s">
        <v>6995</v>
      </c>
      <c r="G993" s="293" t="s">
        <v>5591</v>
      </c>
      <c r="H993" s="294">
        <v>42124</v>
      </c>
      <c r="I993" s="295">
        <v>-6308.36</v>
      </c>
    </row>
    <row r="994" spans="1:9" x14ac:dyDescent="0.2">
      <c r="A994" s="293" t="s">
        <v>7008</v>
      </c>
      <c r="B994" s="293" t="s">
        <v>5666</v>
      </c>
      <c r="C994" s="293" t="s">
        <v>6069</v>
      </c>
      <c r="D994" s="293" t="s">
        <v>5859</v>
      </c>
      <c r="E994" s="293" t="s">
        <v>5817</v>
      </c>
      <c r="F994" s="293" t="s">
        <v>6995</v>
      </c>
      <c r="G994" s="293" t="s">
        <v>5591</v>
      </c>
      <c r="H994" s="294">
        <v>42124</v>
      </c>
      <c r="I994" s="295">
        <v>-7695.19</v>
      </c>
    </row>
    <row r="995" spans="1:9" x14ac:dyDescent="0.2">
      <c r="A995" s="293" t="s">
        <v>7009</v>
      </c>
      <c r="B995" s="293" t="s">
        <v>5666</v>
      </c>
      <c r="C995" s="293" t="s">
        <v>6471</v>
      </c>
      <c r="D995" s="293" t="s">
        <v>5859</v>
      </c>
      <c r="E995" s="293" t="s">
        <v>6829</v>
      </c>
      <c r="F995" s="293" t="s">
        <v>6995</v>
      </c>
      <c r="G995" s="293" t="s">
        <v>5589</v>
      </c>
      <c r="H995" s="294">
        <v>42124</v>
      </c>
      <c r="I995" s="295">
        <v>-7123.53</v>
      </c>
    </row>
    <row r="996" spans="1:9" x14ac:dyDescent="0.2">
      <c r="A996" s="293" t="s">
        <v>7010</v>
      </c>
      <c r="B996" s="293" t="s">
        <v>5666</v>
      </c>
      <c r="C996" s="293" t="s">
        <v>6473</v>
      </c>
      <c r="D996" s="293" t="s">
        <v>5859</v>
      </c>
      <c r="E996" s="293" t="s">
        <v>6474</v>
      </c>
      <c r="F996" s="293" t="s">
        <v>6995</v>
      </c>
      <c r="G996" s="293" t="s">
        <v>5593</v>
      </c>
      <c r="H996" s="294">
        <v>42124</v>
      </c>
      <c r="I996" s="295">
        <v>-14668.67</v>
      </c>
    </row>
    <row r="997" spans="1:9" x14ac:dyDescent="0.2">
      <c r="A997" s="293" t="s">
        <v>7011</v>
      </c>
      <c r="B997" s="293" t="s">
        <v>5666</v>
      </c>
      <c r="C997" s="293" t="s">
        <v>6920</v>
      </c>
      <c r="D997" s="293" t="s">
        <v>5859</v>
      </c>
      <c r="E997" s="293" t="s">
        <v>6921</v>
      </c>
      <c r="F997" s="293" t="s">
        <v>6995</v>
      </c>
      <c r="G997" s="293" t="s">
        <v>5754</v>
      </c>
      <c r="H997" s="294">
        <v>42124</v>
      </c>
      <c r="I997" s="295">
        <v>-8710.42</v>
      </c>
    </row>
    <row r="998" spans="1:9" x14ac:dyDescent="0.2">
      <c r="A998" s="293" t="s">
        <v>7012</v>
      </c>
      <c r="B998" s="293" t="s">
        <v>6010</v>
      </c>
      <c r="C998" s="293" t="s">
        <v>7013</v>
      </c>
      <c r="D998" s="293" t="s">
        <v>5859</v>
      </c>
      <c r="E998" s="293" t="s">
        <v>5088</v>
      </c>
      <c r="F998" s="293" t="s">
        <v>7014</v>
      </c>
      <c r="G998" s="293" t="s">
        <v>5755</v>
      </c>
      <c r="H998" s="294">
        <v>42142</v>
      </c>
      <c r="I998" s="295">
        <v>26676.29</v>
      </c>
    </row>
    <row r="999" spans="1:9" x14ac:dyDescent="0.2">
      <c r="A999" s="293" t="s">
        <v>7015</v>
      </c>
      <c r="B999" s="293" t="s">
        <v>6010</v>
      </c>
      <c r="C999" s="293" t="s">
        <v>7016</v>
      </c>
      <c r="D999" s="293" t="s">
        <v>5859</v>
      </c>
      <c r="E999" s="293" t="s">
        <v>5088</v>
      </c>
      <c r="F999" s="293" t="s">
        <v>7017</v>
      </c>
      <c r="G999" s="293" t="s">
        <v>5755</v>
      </c>
      <c r="H999" s="294">
        <v>42153</v>
      </c>
      <c r="I999" s="295">
        <v>5060</v>
      </c>
    </row>
    <row r="1000" spans="1:9" x14ac:dyDescent="0.2">
      <c r="A1000" s="293" t="s">
        <v>7018</v>
      </c>
      <c r="B1000" s="293" t="s">
        <v>6010</v>
      </c>
      <c r="C1000" s="293" t="s">
        <v>7019</v>
      </c>
      <c r="D1000" s="293" t="s">
        <v>5859</v>
      </c>
      <c r="E1000" s="293" t="s">
        <v>5088</v>
      </c>
      <c r="F1000" s="293" t="s">
        <v>7017</v>
      </c>
      <c r="G1000" s="293" t="s">
        <v>5755</v>
      </c>
      <c r="H1000" s="294">
        <v>42157</v>
      </c>
      <c r="I1000" s="295">
        <v>68429.600000000006</v>
      </c>
    </row>
    <row r="1001" spans="1:9" x14ac:dyDescent="0.2">
      <c r="A1001" s="293" t="s">
        <v>7020</v>
      </c>
      <c r="B1001" s="293" t="s">
        <v>6010</v>
      </c>
      <c r="C1001" s="293" t="s">
        <v>7021</v>
      </c>
      <c r="D1001" s="293" t="s">
        <v>5859</v>
      </c>
      <c r="E1001" s="293" t="s">
        <v>5088</v>
      </c>
      <c r="F1001" s="293" t="s">
        <v>7017</v>
      </c>
      <c r="G1001" s="293" t="s">
        <v>5755</v>
      </c>
      <c r="H1001" s="294">
        <v>42195</v>
      </c>
      <c r="I1001" s="295">
        <v>839.96</v>
      </c>
    </row>
    <row r="1002" spans="1:9" x14ac:dyDescent="0.2">
      <c r="A1002" s="293" t="s">
        <v>7022</v>
      </c>
      <c r="B1002" s="293" t="s">
        <v>6010</v>
      </c>
      <c r="C1002" s="293" t="s">
        <v>7023</v>
      </c>
      <c r="D1002" s="293" t="s">
        <v>5859</v>
      </c>
      <c r="E1002" s="293" t="s">
        <v>5088</v>
      </c>
      <c r="F1002" s="293" t="s">
        <v>7024</v>
      </c>
      <c r="G1002" s="293" t="s">
        <v>5755</v>
      </c>
      <c r="H1002" s="294">
        <v>42153</v>
      </c>
      <c r="I1002" s="295">
        <v>127305</v>
      </c>
    </row>
    <row r="1003" spans="1:9" x14ac:dyDescent="0.2">
      <c r="A1003" s="293" t="s">
        <v>7025</v>
      </c>
      <c r="B1003" s="293" t="s">
        <v>6010</v>
      </c>
      <c r="C1003" s="293" t="s">
        <v>7026</v>
      </c>
      <c r="D1003" s="293" t="s">
        <v>5859</v>
      </c>
      <c r="E1003" s="293" t="s">
        <v>5088</v>
      </c>
      <c r="F1003" s="293" t="s">
        <v>7024</v>
      </c>
      <c r="G1003" s="293" t="s">
        <v>5755</v>
      </c>
      <c r="H1003" s="294">
        <v>42159</v>
      </c>
      <c r="I1003" s="295">
        <v>86250</v>
      </c>
    </row>
    <row r="1004" spans="1:9" x14ac:dyDescent="0.2">
      <c r="A1004" s="293" t="s">
        <v>7027</v>
      </c>
      <c r="B1004" s="293" t="s">
        <v>6010</v>
      </c>
      <c r="C1004" s="293" t="s">
        <v>7028</v>
      </c>
      <c r="D1004" s="293" t="s">
        <v>5859</v>
      </c>
      <c r="E1004" s="293" t="s">
        <v>5088</v>
      </c>
      <c r="F1004" s="293" t="s">
        <v>7029</v>
      </c>
      <c r="G1004" s="293" t="s">
        <v>5755</v>
      </c>
      <c r="H1004" s="294">
        <v>42153</v>
      </c>
      <c r="I1004" s="295">
        <v>2254</v>
      </c>
    </row>
    <row r="1005" spans="1:9" x14ac:dyDescent="0.2">
      <c r="A1005" s="293" t="s">
        <v>7030</v>
      </c>
      <c r="B1005" s="293" t="s">
        <v>6010</v>
      </c>
      <c r="C1005" s="293" t="s">
        <v>7031</v>
      </c>
      <c r="D1005" s="293" t="s">
        <v>5859</v>
      </c>
      <c r="E1005" s="293" t="s">
        <v>5088</v>
      </c>
      <c r="F1005" s="293" t="s">
        <v>7032</v>
      </c>
      <c r="G1005" s="293" t="s">
        <v>5755</v>
      </c>
      <c r="H1005" s="294">
        <v>42195</v>
      </c>
      <c r="I1005" s="295">
        <v>11812.8</v>
      </c>
    </row>
    <row r="1006" spans="1:9" x14ac:dyDescent="0.2">
      <c r="A1006" s="293" t="s">
        <v>7033</v>
      </c>
      <c r="B1006" s="293" t="s">
        <v>5666</v>
      </c>
      <c r="C1006" s="293" t="s">
        <v>6027</v>
      </c>
      <c r="D1006" s="293" t="s">
        <v>5859</v>
      </c>
      <c r="E1006" s="293" t="s">
        <v>6028</v>
      </c>
      <c r="F1006" s="293" t="s">
        <v>7034</v>
      </c>
      <c r="G1006" s="293" t="s">
        <v>5573</v>
      </c>
      <c r="H1006" s="294">
        <v>42155</v>
      </c>
      <c r="I1006" s="295">
        <v>-6400.96</v>
      </c>
    </row>
    <row r="1007" spans="1:9" x14ac:dyDescent="0.2">
      <c r="A1007" s="293" t="s">
        <v>7035</v>
      </c>
      <c r="B1007" s="293" t="s">
        <v>5666</v>
      </c>
      <c r="C1007" s="293" t="s">
        <v>6030</v>
      </c>
      <c r="D1007" s="293" t="s">
        <v>5859</v>
      </c>
      <c r="E1007" s="293" t="s">
        <v>6028</v>
      </c>
      <c r="F1007" s="293" t="s">
        <v>7034</v>
      </c>
      <c r="G1007" s="293" t="s">
        <v>5573</v>
      </c>
      <c r="H1007" s="294">
        <v>42155</v>
      </c>
      <c r="I1007" s="295">
        <v>-130.22</v>
      </c>
    </row>
    <row r="1008" spans="1:9" x14ac:dyDescent="0.2">
      <c r="A1008" s="293" t="s">
        <v>7036</v>
      </c>
      <c r="B1008" s="293" t="s">
        <v>5666</v>
      </c>
      <c r="C1008" s="293" t="s">
        <v>6032</v>
      </c>
      <c r="D1008" s="293" t="s">
        <v>5859</v>
      </c>
      <c r="E1008" s="293" t="s">
        <v>6033</v>
      </c>
      <c r="F1008" s="293" t="s">
        <v>7034</v>
      </c>
      <c r="G1008" s="293" t="s">
        <v>5585</v>
      </c>
      <c r="H1008" s="294">
        <v>42155</v>
      </c>
      <c r="I1008" s="295">
        <v>-6872.38</v>
      </c>
    </row>
    <row r="1009" spans="1:9" x14ac:dyDescent="0.2">
      <c r="A1009" s="293" t="s">
        <v>7037</v>
      </c>
      <c r="B1009" s="293" t="s">
        <v>5666</v>
      </c>
      <c r="C1009" s="293" t="s">
        <v>6035</v>
      </c>
      <c r="D1009" s="293" t="s">
        <v>5859</v>
      </c>
      <c r="E1009" s="293" t="s">
        <v>6033</v>
      </c>
      <c r="F1009" s="293" t="s">
        <v>7034</v>
      </c>
      <c r="G1009" s="293" t="s">
        <v>5585</v>
      </c>
      <c r="H1009" s="294">
        <v>42155</v>
      </c>
      <c r="I1009" s="295">
        <v>-4630.24</v>
      </c>
    </row>
    <row r="1010" spans="1:9" x14ac:dyDescent="0.2">
      <c r="A1010" s="293" t="s">
        <v>7038</v>
      </c>
      <c r="B1010" s="293" t="s">
        <v>5666</v>
      </c>
      <c r="C1010" s="293" t="s">
        <v>6037</v>
      </c>
      <c r="D1010" s="293" t="s">
        <v>5859</v>
      </c>
      <c r="E1010" s="293" t="s">
        <v>6038</v>
      </c>
      <c r="F1010" s="293" t="s">
        <v>7034</v>
      </c>
      <c r="G1010" s="293" t="s">
        <v>5586</v>
      </c>
      <c r="H1010" s="294">
        <v>42155</v>
      </c>
      <c r="I1010" s="295">
        <v>-3059.89</v>
      </c>
    </row>
    <row r="1011" spans="1:9" x14ac:dyDescent="0.2">
      <c r="A1011" s="293" t="s">
        <v>7039</v>
      </c>
      <c r="B1011" s="293" t="s">
        <v>5666</v>
      </c>
      <c r="C1011" s="293" t="s">
        <v>6040</v>
      </c>
      <c r="D1011" s="293" t="s">
        <v>5859</v>
      </c>
      <c r="E1011" s="293" t="s">
        <v>6041</v>
      </c>
      <c r="F1011" s="293" t="s">
        <v>7034</v>
      </c>
      <c r="G1011" s="293" t="s">
        <v>5581</v>
      </c>
      <c r="H1011" s="294">
        <v>42155</v>
      </c>
      <c r="I1011" s="295">
        <v>-8058.13</v>
      </c>
    </row>
    <row r="1012" spans="1:9" x14ac:dyDescent="0.2">
      <c r="A1012" s="293" t="s">
        <v>7040</v>
      </c>
      <c r="B1012" s="293" t="s">
        <v>5666</v>
      </c>
      <c r="C1012" s="293" t="s">
        <v>6049</v>
      </c>
      <c r="D1012" s="293" t="s">
        <v>5859</v>
      </c>
      <c r="E1012" s="293" t="s">
        <v>6050</v>
      </c>
      <c r="F1012" s="293" t="s">
        <v>7034</v>
      </c>
      <c r="G1012" s="293" t="s">
        <v>5590</v>
      </c>
      <c r="H1012" s="294">
        <v>42155</v>
      </c>
      <c r="I1012" s="295">
        <v>-12467.89</v>
      </c>
    </row>
    <row r="1013" spans="1:9" x14ac:dyDescent="0.2">
      <c r="A1013" s="293" t="s">
        <v>7041</v>
      </c>
      <c r="B1013" s="293" t="s">
        <v>5666</v>
      </c>
      <c r="C1013" s="293" t="s">
        <v>6052</v>
      </c>
      <c r="D1013" s="293" t="s">
        <v>5859</v>
      </c>
      <c r="E1013" s="293" t="s">
        <v>5817</v>
      </c>
      <c r="F1013" s="293" t="s">
        <v>7034</v>
      </c>
      <c r="G1013" s="293" t="s">
        <v>5577</v>
      </c>
      <c r="H1013" s="294">
        <v>42155</v>
      </c>
      <c r="I1013" s="295">
        <v>-7696.08</v>
      </c>
    </row>
    <row r="1014" spans="1:9" x14ac:dyDescent="0.2">
      <c r="A1014" s="293" t="s">
        <v>7042</v>
      </c>
      <c r="B1014" s="293" t="s">
        <v>5666</v>
      </c>
      <c r="C1014" s="293" t="s">
        <v>6054</v>
      </c>
      <c r="D1014" s="293" t="s">
        <v>5859</v>
      </c>
      <c r="E1014" s="293" t="s">
        <v>5817</v>
      </c>
      <c r="F1014" s="293" t="s">
        <v>7034</v>
      </c>
      <c r="G1014" s="293" t="s">
        <v>5577</v>
      </c>
      <c r="H1014" s="294">
        <v>42155</v>
      </c>
      <c r="I1014" s="295">
        <v>-3633.17</v>
      </c>
    </row>
    <row r="1015" spans="1:9" x14ac:dyDescent="0.2">
      <c r="A1015" s="293" t="s">
        <v>7043</v>
      </c>
      <c r="B1015" s="293" t="s">
        <v>5666</v>
      </c>
      <c r="C1015" s="293" t="s">
        <v>6056</v>
      </c>
      <c r="D1015" s="293" t="s">
        <v>5859</v>
      </c>
      <c r="E1015" s="293" t="s">
        <v>6057</v>
      </c>
      <c r="F1015" s="293" t="s">
        <v>7034</v>
      </c>
      <c r="G1015" s="293" t="s">
        <v>5578</v>
      </c>
      <c r="H1015" s="294">
        <v>42155</v>
      </c>
      <c r="I1015" s="295">
        <v>-4399.9399999999996</v>
      </c>
    </row>
    <row r="1016" spans="1:9" x14ac:dyDescent="0.2">
      <c r="A1016" s="293" t="s">
        <v>7044</v>
      </c>
      <c r="B1016" s="293" t="s">
        <v>5666</v>
      </c>
      <c r="C1016" s="293" t="s">
        <v>6062</v>
      </c>
      <c r="D1016" s="293" t="s">
        <v>5859</v>
      </c>
      <c r="E1016" s="293" t="s">
        <v>6063</v>
      </c>
      <c r="F1016" s="293" t="s">
        <v>7034</v>
      </c>
      <c r="G1016" s="293" t="s">
        <v>5579</v>
      </c>
      <c r="H1016" s="294">
        <v>42155</v>
      </c>
      <c r="I1016" s="295">
        <v>-2351.71</v>
      </c>
    </row>
    <row r="1017" spans="1:9" x14ac:dyDescent="0.2">
      <c r="A1017" s="293" t="s">
        <v>7045</v>
      </c>
      <c r="B1017" s="293" t="s">
        <v>5666</v>
      </c>
      <c r="C1017" s="293" t="s">
        <v>6065</v>
      </c>
      <c r="D1017" s="293" t="s">
        <v>5859</v>
      </c>
      <c r="E1017" s="293" t="s">
        <v>6063</v>
      </c>
      <c r="F1017" s="293" t="s">
        <v>7034</v>
      </c>
      <c r="G1017" s="293" t="s">
        <v>5579</v>
      </c>
      <c r="H1017" s="294">
        <v>42155</v>
      </c>
      <c r="I1017" s="295">
        <v>-63.12</v>
      </c>
    </row>
    <row r="1018" spans="1:9" x14ac:dyDescent="0.2">
      <c r="A1018" s="293" t="s">
        <v>7046</v>
      </c>
      <c r="B1018" s="293" t="s">
        <v>5666</v>
      </c>
      <c r="C1018" s="293" t="s">
        <v>6067</v>
      </c>
      <c r="D1018" s="293" t="s">
        <v>5859</v>
      </c>
      <c r="E1018" s="293" t="s">
        <v>5817</v>
      </c>
      <c r="F1018" s="293" t="s">
        <v>7034</v>
      </c>
      <c r="G1018" s="293" t="s">
        <v>5591</v>
      </c>
      <c r="H1018" s="294">
        <v>42155</v>
      </c>
      <c r="I1018" s="295">
        <v>-6308.36</v>
      </c>
    </row>
    <row r="1019" spans="1:9" x14ac:dyDescent="0.2">
      <c r="A1019" s="293" t="s">
        <v>7047</v>
      </c>
      <c r="B1019" s="293" t="s">
        <v>5666</v>
      </c>
      <c r="C1019" s="293" t="s">
        <v>6069</v>
      </c>
      <c r="D1019" s="293" t="s">
        <v>5859</v>
      </c>
      <c r="E1019" s="293" t="s">
        <v>5817</v>
      </c>
      <c r="F1019" s="293" t="s">
        <v>7034</v>
      </c>
      <c r="G1019" s="293" t="s">
        <v>5591</v>
      </c>
      <c r="H1019" s="294">
        <v>42155</v>
      </c>
      <c r="I1019" s="295">
        <v>-7695.19</v>
      </c>
    </row>
    <row r="1020" spans="1:9" x14ac:dyDescent="0.2">
      <c r="A1020" s="293" t="s">
        <v>7048</v>
      </c>
      <c r="B1020" s="293" t="s">
        <v>5666</v>
      </c>
      <c r="C1020" s="293" t="s">
        <v>6471</v>
      </c>
      <c r="D1020" s="293" t="s">
        <v>5859</v>
      </c>
      <c r="E1020" s="293" t="s">
        <v>6829</v>
      </c>
      <c r="F1020" s="293" t="s">
        <v>7034</v>
      </c>
      <c r="G1020" s="293" t="s">
        <v>5589</v>
      </c>
      <c r="H1020" s="294">
        <v>42155</v>
      </c>
      <c r="I1020" s="295">
        <v>-7123.53</v>
      </c>
    </row>
    <row r="1021" spans="1:9" x14ac:dyDescent="0.2">
      <c r="A1021" s="293" t="s">
        <v>7049</v>
      </c>
      <c r="B1021" s="293" t="s">
        <v>5666</v>
      </c>
      <c r="C1021" s="293" t="s">
        <v>6473</v>
      </c>
      <c r="D1021" s="293" t="s">
        <v>5859</v>
      </c>
      <c r="E1021" s="293" t="s">
        <v>6474</v>
      </c>
      <c r="F1021" s="293" t="s">
        <v>7034</v>
      </c>
      <c r="G1021" s="293" t="s">
        <v>5593</v>
      </c>
      <c r="H1021" s="294">
        <v>42155</v>
      </c>
      <c r="I1021" s="295">
        <v>-14668.67</v>
      </c>
    </row>
    <row r="1022" spans="1:9" x14ac:dyDescent="0.2">
      <c r="A1022" s="293" t="s">
        <v>7050</v>
      </c>
      <c r="B1022" s="293" t="s">
        <v>5666</v>
      </c>
      <c r="C1022" s="293" t="s">
        <v>6920</v>
      </c>
      <c r="D1022" s="293" t="s">
        <v>5859</v>
      </c>
      <c r="E1022" s="293" t="s">
        <v>6921</v>
      </c>
      <c r="F1022" s="293" t="s">
        <v>7034</v>
      </c>
      <c r="G1022" s="293" t="s">
        <v>5754</v>
      </c>
      <c r="H1022" s="294">
        <v>42155</v>
      </c>
      <c r="I1022" s="295">
        <v>-8710.42</v>
      </c>
    </row>
    <row r="1023" spans="1:9" x14ac:dyDescent="0.2">
      <c r="A1023" s="293" t="s">
        <v>7051</v>
      </c>
      <c r="B1023" s="293" t="s">
        <v>6010</v>
      </c>
      <c r="C1023" s="293" t="s">
        <v>7052</v>
      </c>
      <c r="D1023" s="293" t="s">
        <v>5859</v>
      </c>
      <c r="E1023" s="293" t="s">
        <v>5088</v>
      </c>
      <c r="F1023" s="293" t="s">
        <v>7053</v>
      </c>
      <c r="G1023" s="293" t="s">
        <v>5755</v>
      </c>
      <c r="H1023" s="294">
        <v>42155</v>
      </c>
      <c r="I1023" s="295">
        <v>2012500</v>
      </c>
    </row>
    <row r="1024" spans="1:9" x14ac:dyDescent="0.2">
      <c r="A1024" s="293" t="s">
        <v>7054</v>
      </c>
      <c r="B1024" s="293" t="s">
        <v>6010</v>
      </c>
      <c r="C1024" s="293" t="s">
        <v>7055</v>
      </c>
      <c r="D1024" s="293" t="s">
        <v>5859</v>
      </c>
      <c r="E1024" s="293" t="s">
        <v>5088</v>
      </c>
      <c r="F1024" s="293" t="s">
        <v>7056</v>
      </c>
      <c r="G1024" s="293" t="s">
        <v>5755</v>
      </c>
      <c r="H1024" s="294">
        <v>42184</v>
      </c>
      <c r="I1024" s="295">
        <v>67439.149999999994</v>
      </c>
    </row>
    <row r="1025" spans="1:9" x14ac:dyDescent="0.2">
      <c r="A1025" s="293" t="s">
        <v>7057</v>
      </c>
      <c r="B1025" s="293" t="s">
        <v>6010</v>
      </c>
      <c r="C1025" s="293" t="s">
        <v>7058</v>
      </c>
      <c r="D1025" s="293" t="s">
        <v>5859</v>
      </c>
      <c r="E1025" s="293" t="s">
        <v>5088</v>
      </c>
      <c r="F1025" s="293" t="s">
        <v>7059</v>
      </c>
      <c r="G1025" s="293" t="s">
        <v>5755</v>
      </c>
      <c r="H1025" s="294">
        <v>42173</v>
      </c>
      <c r="I1025" s="295">
        <v>5520</v>
      </c>
    </row>
    <row r="1026" spans="1:9" x14ac:dyDescent="0.2">
      <c r="A1026" s="293" t="s">
        <v>7060</v>
      </c>
      <c r="B1026" s="293" t="s">
        <v>5666</v>
      </c>
      <c r="C1026" s="293" t="s">
        <v>6027</v>
      </c>
      <c r="D1026" s="293" t="s">
        <v>5859</v>
      </c>
      <c r="E1026" s="293" t="s">
        <v>6028</v>
      </c>
      <c r="F1026" s="293" t="s">
        <v>7061</v>
      </c>
      <c r="G1026" s="293" t="s">
        <v>5573</v>
      </c>
      <c r="H1026" s="294">
        <v>42185</v>
      </c>
      <c r="I1026" s="295">
        <v>-6400.96</v>
      </c>
    </row>
    <row r="1027" spans="1:9" x14ac:dyDescent="0.2">
      <c r="A1027" s="293" t="s">
        <v>7062</v>
      </c>
      <c r="B1027" s="293" t="s">
        <v>5666</v>
      </c>
      <c r="C1027" s="293" t="s">
        <v>6030</v>
      </c>
      <c r="D1027" s="293" t="s">
        <v>5859</v>
      </c>
      <c r="E1027" s="293" t="s">
        <v>6028</v>
      </c>
      <c r="F1027" s="293" t="s">
        <v>7061</v>
      </c>
      <c r="G1027" s="293" t="s">
        <v>5573</v>
      </c>
      <c r="H1027" s="294">
        <v>42185</v>
      </c>
      <c r="I1027" s="295">
        <v>-130.22</v>
      </c>
    </row>
    <row r="1028" spans="1:9" x14ac:dyDescent="0.2">
      <c r="A1028" s="293" t="s">
        <v>7063</v>
      </c>
      <c r="B1028" s="293" t="s">
        <v>5666</v>
      </c>
      <c r="C1028" s="293" t="s">
        <v>6032</v>
      </c>
      <c r="D1028" s="293" t="s">
        <v>5859</v>
      </c>
      <c r="E1028" s="293" t="s">
        <v>6033</v>
      </c>
      <c r="F1028" s="293" t="s">
        <v>7061</v>
      </c>
      <c r="G1028" s="293" t="s">
        <v>5585</v>
      </c>
      <c r="H1028" s="294">
        <v>42185</v>
      </c>
      <c r="I1028" s="295">
        <v>-6872.38</v>
      </c>
    </row>
    <row r="1029" spans="1:9" x14ac:dyDescent="0.2">
      <c r="A1029" s="293" t="s">
        <v>7064</v>
      </c>
      <c r="B1029" s="293" t="s">
        <v>5666</v>
      </c>
      <c r="C1029" s="293" t="s">
        <v>6035</v>
      </c>
      <c r="D1029" s="293" t="s">
        <v>5859</v>
      </c>
      <c r="E1029" s="293" t="s">
        <v>6033</v>
      </c>
      <c r="F1029" s="293" t="s">
        <v>7061</v>
      </c>
      <c r="G1029" s="293" t="s">
        <v>5585</v>
      </c>
      <c r="H1029" s="294">
        <v>42185</v>
      </c>
      <c r="I1029" s="295">
        <v>-4630.24</v>
      </c>
    </row>
    <row r="1030" spans="1:9" x14ac:dyDescent="0.2">
      <c r="A1030" s="293" t="s">
        <v>7065</v>
      </c>
      <c r="B1030" s="293" t="s">
        <v>5666</v>
      </c>
      <c r="C1030" s="293" t="s">
        <v>6037</v>
      </c>
      <c r="D1030" s="293" t="s">
        <v>5859</v>
      </c>
      <c r="E1030" s="293" t="s">
        <v>6038</v>
      </c>
      <c r="F1030" s="293" t="s">
        <v>7061</v>
      </c>
      <c r="G1030" s="293" t="s">
        <v>5586</v>
      </c>
      <c r="H1030" s="294">
        <v>42185</v>
      </c>
      <c r="I1030" s="295">
        <v>-3059.89</v>
      </c>
    </row>
    <row r="1031" spans="1:9" x14ac:dyDescent="0.2">
      <c r="A1031" s="293" t="s">
        <v>7066</v>
      </c>
      <c r="B1031" s="293" t="s">
        <v>5666</v>
      </c>
      <c r="C1031" s="293" t="s">
        <v>6040</v>
      </c>
      <c r="D1031" s="293" t="s">
        <v>5859</v>
      </c>
      <c r="E1031" s="293" t="s">
        <v>6041</v>
      </c>
      <c r="F1031" s="293" t="s">
        <v>7061</v>
      </c>
      <c r="G1031" s="293" t="s">
        <v>5581</v>
      </c>
      <c r="H1031" s="294">
        <v>42185</v>
      </c>
      <c r="I1031" s="295">
        <v>-8058.13</v>
      </c>
    </row>
    <row r="1032" spans="1:9" x14ac:dyDescent="0.2">
      <c r="A1032" s="293" t="s">
        <v>7067</v>
      </c>
      <c r="B1032" s="293" t="s">
        <v>5666</v>
      </c>
      <c r="C1032" s="293" t="s">
        <v>6049</v>
      </c>
      <c r="D1032" s="293" t="s">
        <v>5859</v>
      </c>
      <c r="E1032" s="293" t="s">
        <v>6050</v>
      </c>
      <c r="F1032" s="293" t="s">
        <v>7061</v>
      </c>
      <c r="G1032" s="293" t="s">
        <v>5590</v>
      </c>
      <c r="H1032" s="294">
        <v>42185</v>
      </c>
      <c r="I1032" s="295">
        <v>-12467.89</v>
      </c>
    </row>
    <row r="1033" spans="1:9" x14ac:dyDescent="0.2">
      <c r="A1033" s="293" t="s">
        <v>7068</v>
      </c>
      <c r="B1033" s="293" t="s">
        <v>5666</v>
      </c>
      <c r="C1033" s="293" t="s">
        <v>6052</v>
      </c>
      <c r="D1033" s="293" t="s">
        <v>5859</v>
      </c>
      <c r="E1033" s="293" t="s">
        <v>5817</v>
      </c>
      <c r="F1033" s="293" t="s">
        <v>7061</v>
      </c>
      <c r="G1033" s="293" t="s">
        <v>5577</v>
      </c>
      <c r="H1033" s="294">
        <v>42185</v>
      </c>
      <c r="I1033" s="295">
        <v>-7696.08</v>
      </c>
    </row>
    <row r="1034" spans="1:9" x14ac:dyDescent="0.2">
      <c r="A1034" s="293" t="s">
        <v>7069</v>
      </c>
      <c r="B1034" s="293" t="s">
        <v>5666</v>
      </c>
      <c r="C1034" s="293" t="s">
        <v>6054</v>
      </c>
      <c r="D1034" s="293" t="s">
        <v>5859</v>
      </c>
      <c r="E1034" s="293" t="s">
        <v>5817</v>
      </c>
      <c r="F1034" s="293" t="s">
        <v>7061</v>
      </c>
      <c r="G1034" s="293" t="s">
        <v>5577</v>
      </c>
      <c r="H1034" s="294">
        <v>42185</v>
      </c>
      <c r="I1034" s="295">
        <v>-3633.17</v>
      </c>
    </row>
    <row r="1035" spans="1:9" x14ac:dyDescent="0.2">
      <c r="A1035" s="293" t="s">
        <v>7070</v>
      </c>
      <c r="B1035" s="293" t="s">
        <v>5666</v>
      </c>
      <c r="C1035" s="293" t="s">
        <v>6056</v>
      </c>
      <c r="D1035" s="293" t="s">
        <v>5859</v>
      </c>
      <c r="E1035" s="293" t="s">
        <v>6057</v>
      </c>
      <c r="F1035" s="293" t="s">
        <v>7061</v>
      </c>
      <c r="G1035" s="293" t="s">
        <v>5578</v>
      </c>
      <c r="H1035" s="294">
        <v>42185</v>
      </c>
      <c r="I1035" s="295">
        <v>-4399.9399999999996</v>
      </c>
    </row>
    <row r="1036" spans="1:9" x14ac:dyDescent="0.2">
      <c r="A1036" s="293" t="s">
        <v>7071</v>
      </c>
      <c r="B1036" s="293" t="s">
        <v>5666</v>
      </c>
      <c r="C1036" s="293" t="s">
        <v>6062</v>
      </c>
      <c r="D1036" s="293" t="s">
        <v>5859</v>
      </c>
      <c r="E1036" s="293" t="s">
        <v>6063</v>
      </c>
      <c r="F1036" s="293" t="s">
        <v>7061</v>
      </c>
      <c r="G1036" s="293" t="s">
        <v>5579</v>
      </c>
      <c r="H1036" s="294">
        <v>42185</v>
      </c>
      <c r="I1036" s="295">
        <v>-2351.71</v>
      </c>
    </row>
    <row r="1037" spans="1:9" x14ac:dyDescent="0.2">
      <c r="A1037" s="293" t="s">
        <v>7072</v>
      </c>
      <c r="B1037" s="293" t="s">
        <v>5666</v>
      </c>
      <c r="C1037" s="293" t="s">
        <v>6065</v>
      </c>
      <c r="D1037" s="293" t="s">
        <v>5859</v>
      </c>
      <c r="E1037" s="293" t="s">
        <v>6063</v>
      </c>
      <c r="F1037" s="293" t="s">
        <v>7061</v>
      </c>
      <c r="G1037" s="293" t="s">
        <v>5579</v>
      </c>
      <c r="H1037" s="294">
        <v>42185</v>
      </c>
      <c r="I1037" s="295">
        <v>-63.12</v>
      </c>
    </row>
    <row r="1038" spans="1:9" x14ac:dyDescent="0.2">
      <c r="A1038" s="293" t="s">
        <v>7073</v>
      </c>
      <c r="B1038" s="293" t="s">
        <v>5666</v>
      </c>
      <c r="C1038" s="293" t="s">
        <v>6067</v>
      </c>
      <c r="D1038" s="293" t="s">
        <v>5859</v>
      </c>
      <c r="E1038" s="293" t="s">
        <v>5817</v>
      </c>
      <c r="F1038" s="293" t="s">
        <v>7061</v>
      </c>
      <c r="G1038" s="293" t="s">
        <v>5591</v>
      </c>
      <c r="H1038" s="294">
        <v>42185</v>
      </c>
      <c r="I1038" s="295">
        <v>-6308.36</v>
      </c>
    </row>
    <row r="1039" spans="1:9" x14ac:dyDescent="0.2">
      <c r="A1039" s="293" t="s">
        <v>7074</v>
      </c>
      <c r="B1039" s="293" t="s">
        <v>5666</v>
      </c>
      <c r="C1039" s="293" t="s">
        <v>6069</v>
      </c>
      <c r="D1039" s="293" t="s">
        <v>5859</v>
      </c>
      <c r="E1039" s="293" t="s">
        <v>5817</v>
      </c>
      <c r="F1039" s="293" t="s">
        <v>7061</v>
      </c>
      <c r="G1039" s="293" t="s">
        <v>5591</v>
      </c>
      <c r="H1039" s="294">
        <v>42185</v>
      </c>
      <c r="I1039" s="295">
        <v>-7695.19</v>
      </c>
    </row>
    <row r="1040" spans="1:9" x14ac:dyDescent="0.2">
      <c r="A1040" s="293" t="s">
        <v>7075</v>
      </c>
      <c r="B1040" s="293" t="s">
        <v>5666</v>
      </c>
      <c r="C1040" s="293" t="s">
        <v>6471</v>
      </c>
      <c r="D1040" s="293" t="s">
        <v>5859</v>
      </c>
      <c r="E1040" s="293" t="s">
        <v>6829</v>
      </c>
      <c r="F1040" s="293" t="s">
        <v>7061</v>
      </c>
      <c r="G1040" s="293" t="s">
        <v>5589</v>
      </c>
      <c r="H1040" s="294">
        <v>42185</v>
      </c>
      <c r="I1040" s="295">
        <v>-7123.53</v>
      </c>
    </row>
    <row r="1041" spans="1:9" x14ac:dyDescent="0.2">
      <c r="A1041" s="293" t="s">
        <v>7076</v>
      </c>
      <c r="B1041" s="293" t="s">
        <v>5666</v>
      </c>
      <c r="C1041" s="293" t="s">
        <v>6473</v>
      </c>
      <c r="D1041" s="293" t="s">
        <v>5859</v>
      </c>
      <c r="E1041" s="293" t="s">
        <v>6474</v>
      </c>
      <c r="F1041" s="293" t="s">
        <v>7061</v>
      </c>
      <c r="G1041" s="293" t="s">
        <v>5593</v>
      </c>
      <c r="H1041" s="294">
        <v>42185</v>
      </c>
      <c r="I1041" s="295">
        <v>-14668.67</v>
      </c>
    </row>
    <row r="1042" spans="1:9" x14ac:dyDescent="0.2">
      <c r="A1042" s="293" t="s">
        <v>7077</v>
      </c>
      <c r="B1042" s="293" t="s">
        <v>5666</v>
      </c>
      <c r="C1042" s="293" t="s">
        <v>6920</v>
      </c>
      <c r="D1042" s="293" t="s">
        <v>5859</v>
      </c>
      <c r="E1042" s="293" t="s">
        <v>6921</v>
      </c>
      <c r="F1042" s="293" t="s">
        <v>7061</v>
      </c>
      <c r="G1042" s="293" t="s">
        <v>5754</v>
      </c>
      <c r="H1042" s="294">
        <v>42185</v>
      </c>
      <c r="I1042" s="295">
        <v>-8710.42</v>
      </c>
    </row>
    <row r="1043" spans="1:9" x14ac:dyDescent="0.2">
      <c r="A1043" s="293" t="s">
        <v>7078</v>
      </c>
      <c r="B1043" s="293" t="s">
        <v>6010</v>
      </c>
      <c r="C1043" s="293" t="s">
        <v>7079</v>
      </c>
      <c r="D1043" s="293" t="s">
        <v>5859</v>
      </c>
      <c r="E1043" s="293" t="s">
        <v>7080</v>
      </c>
      <c r="F1043" s="293" t="s">
        <v>7081</v>
      </c>
      <c r="G1043" s="293" t="s">
        <v>5755</v>
      </c>
      <c r="H1043" s="294">
        <v>42185</v>
      </c>
      <c r="I1043" s="295">
        <v>-6670.65</v>
      </c>
    </row>
    <row r="1044" spans="1:9" x14ac:dyDescent="0.2">
      <c r="A1044" s="293" t="s">
        <v>7082</v>
      </c>
      <c r="B1044" s="293" t="s">
        <v>6010</v>
      </c>
      <c r="C1044" s="293" t="s">
        <v>7083</v>
      </c>
      <c r="D1044" s="293" t="s">
        <v>5859</v>
      </c>
      <c r="E1044" s="293" t="s">
        <v>5088</v>
      </c>
      <c r="F1044" s="293" t="s">
        <v>7084</v>
      </c>
      <c r="G1044" s="293" t="s">
        <v>5755</v>
      </c>
      <c r="H1044" s="294">
        <v>42214</v>
      </c>
      <c r="I1044" s="295">
        <v>1024.6500000000001</v>
      </c>
    </row>
    <row r="1045" spans="1:9" x14ac:dyDescent="0.2">
      <c r="A1045" s="293" t="s">
        <v>7085</v>
      </c>
      <c r="B1045" s="293" t="s">
        <v>6010</v>
      </c>
      <c r="C1045" s="293" t="s">
        <v>7086</v>
      </c>
      <c r="D1045" s="293" t="s">
        <v>5859</v>
      </c>
      <c r="E1045" s="293" t="s">
        <v>5088</v>
      </c>
      <c r="F1045" s="293" t="s">
        <v>7087</v>
      </c>
      <c r="G1045" s="293" t="s">
        <v>5755</v>
      </c>
      <c r="H1045" s="294">
        <v>42251</v>
      </c>
      <c r="I1045" s="295">
        <v>115000</v>
      </c>
    </row>
    <row r="1046" spans="1:9" x14ac:dyDescent="0.2">
      <c r="A1046" s="293" t="s">
        <v>7088</v>
      </c>
      <c r="B1046" s="293" t="s">
        <v>5666</v>
      </c>
      <c r="C1046" s="293" t="s">
        <v>6027</v>
      </c>
      <c r="D1046" s="293" t="s">
        <v>5859</v>
      </c>
      <c r="E1046" s="293" t="s">
        <v>6028</v>
      </c>
      <c r="F1046" s="293" t="s">
        <v>7089</v>
      </c>
      <c r="G1046" s="293" t="s">
        <v>5573</v>
      </c>
      <c r="H1046" s="294">
        <v>42216</v>
      </c>
      <c r="I1046" s="295">
        <v>-6400.96</v>
      </c>
    </row>
    <row r="1047" spans="1:9" x14ac:dyDescent="0.2">
      <c r="A1047" s="293" t="s">
        <v>7090</v>
      </c>
      <c r="B1047" s="293" t="s">
        <v>5666</v>
      </c>
      <c r="C1047" s="293" t="s">
        <v>6030</v>
      </c>
      <c r="D1047" s="293" t="s">
        <v>5859</v>
      </c>
      <c r="E1047" s="293" t="s">
        <v>6028</v>
      </c>
      <c r="F1047" s="293" t="s">
        <v>7089</v>
      </c>
      <c r="G1047" s="293" t="s">
        <v>5573</v>
      </c>
      <c r="H1047" s="294">
        <v>42216</v>
      </c>
      <c r="I1047" s="295">
        <v>-130.22</v>
      </c>
    </row>
    <row r="1048" spans="1:9" x14ac:dyDescent="0.2">
      <c r="A1048" s="293" t="s">
        <v>7091</v>
      </c>
      <c r="B1048" s="293" t="s">
        <v>5666</v>
      </c>
      <c r="C1048" s="293" t="s">
        <v>6032</v>
      </c>
      <c r="D1048" s="293" t="s">
        <v>5859</v>
      </c>
      <c r="E1048" s="293" t="s">
        <v>6033</v>
      </c>
      <c r="F1048" s="293" t="s">
        <v>7089</v>
      </c>
      <c r="G1048" s="293" t="s">
        <v>5585</v>
      </c>
      <c r="H1048" s="294">
        <v>42216</v>
      </c>
      <c r="I1048" s="295">
        <v>-6872.38</v>
      </c>
    </row>
    <row r="1049" spans="1:9" x14ac:dyDescent="0.2">
      <c r="A1049" s="293" t="s">
        <v>7092</v>
      </c>
      <c r="B1049" s="293" t="s">
        <v>5666</v>
      </c>
      <c r="C1049" s="293" t="s">
        <v>6035</v>
      </c>
      <c r="D1049" s="293" t="s">
        <v>5859</v>
      </c>
      <c r="E1049" s="293" t="s">
        <v>6033</v>
      </c>
      <c r="F1049" s="293" t="s">
        <v>7089</v>
      </c>
      <c r="G1049" s="293" t="s">
        <v>5585</v>
      </c>
      <c r="H1049" s="294">
        <v>42216</v>
      </c>
      <c r="I1049" s="295">
        <v>-4630.24</v>
      </c>
    </row>
    <row r="1050" spans="1:9" x14ac:dyDescent="0.2">
      <c r="A1050" s="293" t="s">
        <v>7093</v>
      </c>
      <c r="B1050" s="293" t="s">
        <v>5666</v>
      </c>
      <c r="C1050" s="293" t="s">
        <v>6037</v>
      </c>
      <c r="D1050" s="293" t="s">
        <v>5859</v>
      </c>
      <c r="E1050" s="293" t="s">
        <v>6038</v>
      </c>
      <c r="F1050" s="293" t="s">
        <v>7089</v>
      </c>
      <c r="G1050" s="293" t="s">
        <v>5586</v>
      </c>
      <c r="H1050" s="294">
        <v>42216</v>
      </c>
      <c r="I1050" s="295">
        <v>-3059.89</v>
      </c>
    </row>
    <row r="1051" spans="1:9" x14ac:dyDescent="0.2">
      <c r="A1051" s="293" t="s">
        <v>7094</v>
      </c>
      <c r="B1051" s="293" t="s">
        <v>5666</v>
      </c>
      <c r="C1051" s="293" t="s">
        <v>6040</v>
      </c>
      <c r="D1051" s="293" t="s">
        <v>5859</v>
      </c>
      <c r="E1051" s="293" t="s">
        <v>6041</v>
      </c>
      <c r="F1051" s="293" t="s">
        <v>7089</v>
      </c>
      <c r="G1051" s="293" t="s">
        <v>5581</v>
      </c>
      <c r="H1051" s="294">
        <v>42216</v>
      </c>
      <c r="I1051" s="295">
        <v>-8058.13</v>
      </c>
    </row>
    <row r="1052" spans="1:9" x14ac:dyDescent="0.2">
      <c r="A1052" s="293" t="s">
        <v>7095</v>
      </c>
      <c r="B1052" s="293" t="s">
        <v>5666</v>
      </c>
      <c r="C1052" s="293" t="s">
        <v>6049</v>
      </c>
      <c r="D1052" s="293" t="s">
        <v>5859</v>
      </c>
      <c r="E1052" s="293" t="s">
        <v>6050</v>
      </c>
      <c r="F1052" s="293" t="s">
        <v>7089</v>
      </c>
      <c r="G1052" s="293" t="s">
        <v>5590</v>
      </c>
      <c r="H1052" s="294">
        <v>42216</v>
      </c>
      <c r="I1052" s="295">
        <v>-12467.89</v>
      </c>
    </row>
    <row r="1053" spans="1:9" x14ac:dyDescent="0.2">
      <c r="A1053" s="293" t="s">
        <v>7096</v>
      </c>
      <c r="B1053" s="293" t="s">
        <v>5666</v>
      </c>
      <c r="C1053" s="293" t="s">
        <v>6052</v>
      </c>
      <c r="D1053" s="293" t="s">
        <v>5859</v>
      </c>
      <c r="E1053" s="293" t="s">
        <v>5817</v>
      </c>
      <c r="F1053" s="293" t="s">
        <v>7089</v>
      </c>
      <c r="G1053" s="293" t="s">
        <v>5577</v>
      </c>
      <c r="H1053" s="294">
        <v>42216</v>
      </c>
      <c r="I1053" s="295">
        <v>-7696.08</v>
      </c>
    </row>
    <row r="1054" spans="1:9" x14ac:dyDescent="0.2">
      <c r="A1054" s="293" t="s">
        <v>7097</v>
      </c>
      <c r="B1054" s="293" t="s">
        <v>5666</v>
      </c>
      <c r="C1054" s="293" t="s">
        <v>6054</v>
      </c>
      <c r="D1054" s="293" t="s">
        <v>5859</v>
      </c>
      <c r="E1054" s="293" t="s">
        <v>5817</v>
      </c>
      <c r="F1054" s="293" t="s">
        <v>7089</v>
      </c>
      <c r="G1054" s="293" t="s">
        <v>5577</v>
      </c>
      <c r="H1054" s="294">
        <v>42216</v>
      </c>
      <c r="I1054" s="295">
        <v>-3633.17</v>
      </c>
    </row>
    <row r="1055" spans="1:9" x14ac:dyDescent="0.2">
      <c r="A1055" s="293" t="s">
        <v>7098</v>
      </c>
      <c r="B1055" s="293" t="s">
        <v>5666</v>
      </c>
      <c r="C1055" s="293" t="s">
        <v>6056</v>
      </c>
      <c r="D1055" s="293" t="s">
        <v>5859</v>
      </c>
      <c r="E1055" s="293" t="s">
        <v>6057</v>
      </c>
      <c r="F1055" s="293" t="s">
        <v>7089</v>
      </c>
      <c r="G1055" s="293" t="s">
        <v>5578</v>
      </c>
      <c r="H1055" s="294">
        <v>42216</v>
      </c>
      <c r="I1055" s="295">
        <v>-4399.9399999999996</v>
      </c>
    </row>
    <row r="1056" spans="1:9" x14ac:dyDescent="0.2">
      <c r="A1056" s="293" t="s">
        <v>7099</v>
      </c>
      <c r="B1056" s="293" t="s">
        <v>5666</v>
      </c>
      <c r="C1056" s="293" t="s">
        <v>6062</v>
      </c>
      <c r="D1056" s="293" t="s">
        <v>5859</v>
      </c>
      <c r="E1056" s="293" t="s">
        <v>6063</v>
      </c>
      <c r="F1056" s="293" t="s">
        <v>7089</v>
      </c>
      <c r="G1056" s="293" t="s">
        <v>5579</v>
      </c>
      <c r="H1056" s="294">
        <v>42216</v>
      </c>
      <c r="I1056" s="295">
        <v>-2351.71</v>
      </c>
    </row>
    <row r="1057" spans="1:9" x14ac:dyDescent="0.2">
      <c r="A1057" s="293" t="s">
        <v>7100</v>
      </c>
      <c r="B1057" s="293" t="s">
        <v>5666</v>
      </c>
      <c r="C1057" s="293" t="s">
        <v>6065</v>
      </c>
      <c r="D1057" s="293" t="s">
        <v>5859</v>
      </c>
      <c r="E1057" s="293" t="s">
        <v>6063</v>
      </c>
      <c r="F1057" s="293" t="s">
        <v>7089</v>
      </c>
      <c r="G1057" s="293" t="s">
        <v>5579</v>
      </c>
      <c r="H1057" s="294">
        <v>42216</v>
      </c>
      <c r="I1057" s="295">
        <v>-63.12</v>
      </c>
    </row>
    <row r="1058" spans="1:9" x14ac:dyDescent="0.2">
      <c r="A1058" s="293" t="s">
        <v>7101</v>
      </c>
      <c r="B1058" s="293" t="s">
        <v>5666</v>
      </c>
      <c r="C1058" s="293" t="s">
        <v>6067</v>
      </c>
      <c r="D1058" s="293" t="s">
        <v>5859</v>
      </c>
      <c r="E1058" s="293" t="s">
        <v>5817</v>
      </c>
      <c r="F1058" s="293" t="s">
        <v>7089</v>
      </c>
      <c r="G1058" s="293" t="s">
        <v>5591</v>
      </c>
      <c r="H1058" s="294">
        <v>42216</v>
      </c>
      <c r="I1058" s="295">
        <v>-6308.36</v>
      </c>
    </row>
    <row r="1059" spans="1:9" x14ac:dyDescent="0.2">
      <c r="A1059" s="293" t="s">
        <v>7102</v>
      </c>
      <c r="B1059" s="293" t="s">
        <v>5666</v>
      </c>
      <c r="C1059" s="293" t="s">
        <v>6069</v>
      </c>
      <c r="D1059" s="293" t="s">
        <v>5859</v>
      </c>
      <c r="E1059" s="293" t="s">
        <v>5817</v>
      </c>
      <c r="F1059" s="293" t="s">
        <v>7089</v>
      </c>
      <c r="G1059" s="293" t="s">
        <v>5591</v>
      </c>
      <c r="H1059" s="294">
        <v>42216</v>
      </c>
      <c r="I1059" s="295">
        <v>-7695.19</v>
      </c>
    </row>
    <row r="1060" spans="1:9" x14ac:dyDescent="0.2">
      <c r="A1060" s="293" t="s">
        <v>7103</v>
      </c>
      <c r="B1060" s="293" t="s">
        <v>5666</v>
      </c>
      <c r="C1060" s="293" t="s">
        <v>6471</v>
      </c>
      <c r="D1060" s="293" t="s">
        <v>5859</v>
      </c>
      <c r="E1060" s="293" t="s">
        <v>6829</v>
      </c>
      <c r="F1060" s="293" t="s">
        <v>7089</v>
      </c>
      <c r="G1060" s="293" t="s">
        <v>5589</v>
      </c>
      <c r="H1060" s="294">
        <v>42216</v>
      </c>
      <c r="I1060" s="295">
        <v>-7123.53</v>
      </c>
    </row>
    <row r="1061" spans="1:9" x14ac:dyDescent="0.2">
      <c r="A1061" s="293" t="s">
        <v>7104</v>
      </c>
      <c r="B1061" s="293" t="s">
        <v>5666</v>
      </c>
      <c r="C1061" s="293" t="s">
        <v>6473</v>
      </c>
      <c r="D1061" s="293" t="s">
        <v>5859</v>
      </c>
      <c r="E1061" s="293" t="s">
        <v>6474</v>
      </c>
      <c r="F1061" s="293" t="s">
        <v>7089</v>
      </c>
      <c r="G1061" s="293" t="s">
        <v>5593</v>
      </c>
      <c r="H1061" s="294">
        <v>42216</v>
      </c>
      <c r="I1061" s="295">
        <v>-14668.67</v>
      </c>
    </row>
    <row r="1062" spans="1:9" x14ac:dyDescent="0.2">
      <c r="A1062" s="293" t="s">
        <v>7105</v>
      </c>
      <c r="B1062" s="293" t="s">
        <v>5666</v>
      </c>
      <c r="C1062" s="293" t="s">
        <v>6920</v>
      </c>
      <c r="D1062" s="293" t="s">
        <v>5859</v>
      </c>
      <c r="E1062" s="293" t="s">
        <v>6921</v>
      </c>
      <c r="F1062" s="293" t="s">
        <v>7089</v>
      </c>
      <c r="G1062" s="293" t="s">
        <v>5754</v>
      </c>
      <c r="H1062" s="294">
        <v>42216</v>
      </c>
      <c r="I1062" s="295">
        <v>-8710.42</v>
      </c>
    </row>
    <row r="1063" spans="1:9" x14ac:dyDescent="0.2">
      <c r="A1063" s="293" t="s">
        <v>7106</v>
      </c>
      <c r="B1063" s="293" t="s">
        <v>6010</v>
      </c>
      <c r="C1063" s="293" t="s">
        <v>7107</v>
      </c>
      <c r="D1063" s="293" t="s">
        <v>5859</v>
      </c>
      <c r="E1063" s="293" t="s">
        <v>7080</v>
      </c>
      <c r="F1063" s="293" t="s">
        <v>7108</v>
      </c>
      <c r="G1063" s="293" t="s">
        <v>5755</v>
      </c>
      <c r="H1063" s="294">
        <v>42216</v>
      </c>
      <c r="I1063" s="295">
        <v>-6746.63</v>
      </c>
    </row>
    <row r="1064" spans="1:9" x14ac:dyDescent="0.2">
      <c r="A1064" s="293" t="s">
        <v>7109</v>
      </c>
      <c r="B1064" s="293" t="s">
        <v>5666</v>
      </c>
      <c r="C1064" s="293" t="s">
        <v>6027</v>
      </c>
      <c r="D1064" s="293" t="s">
        <v>5859</v>
      </c>
      <c r="E1064" s="293" t="s">
        <v>6028</v>
      </c>
      <c r="F1064" s="293" t="s">
        <v>7110</v>
      </c>
      <c r="G1064" s="293" t="s">
        <v>5573</v>
      </c>
      <c r="H1064" s="294">
        <v>42247</v>
      </c>
      <c r="I1064" s="295">
        <v>-6400.96</v>
      </c>
    </row>
    <row r="1065" spans="1:9" x14ac:dyDescent="0.2">
      <c r="A1065" s="293" t="s">
        <v>7111</v>
      </c>
      <c r="B1065" s="293" t="s">
        <v>5666</v>
      </c>
      <c r="C1065" s="293" t="s">
        <v>6030</v>
      </c>
      <c r="D1065" s="293" t="s">
        <v>5859</v>
      </c>
      <c r="E1065" s="293" t="s">
        <v>6028</v>
      </c>
      <c r="F1065" s="293" t="s">
        <v>7110</v>
      </c>
      <c r="G1065" s="293" t="s">
        <v>5573</v>
      </c>
      <c r="H1065" s="294">
        <v>42247</v>
      </c>
      <c r="I1065" s="295">
        <v>-130.22</v>
      </c>
    </row>
    <row r="1066" spans="1:9" x14ac:dyDescent="0.2">
      <c r="A1066" s="293" t="s">
        <v>7112</v>
      </c>
      <c r="B1066" s="293" t="s">
        <v>5666</v>
      </c>
      <c r="C1066" s="293" t="s">
        <v>6032</v>
      </c>
      <c r="D1066" s="293" t="s">
        <v>5859</v>
      </c>
      <c r="E1066" s="293" t="s">
        <v>6033</v>
      </c>
      <c r="F1066" s="293" t="s">
        <v>7110</v>
      </c>
      <c r="G1066" s="293" t="s">
        <v>5585</v>
      </c>
      <c r="H1066" s="294">
        <v>42247</v>
      </c>
      <c r="I1066" s="295">
        <v>-6872.38</v>
      </c>
    </row>
    <row r="1067" spans="1:9" x14ac:dyDescent="0.2">
      <c r="A1067" s="293" t="s">
        <v>7113</v>
      </c>
      <c r="B1067" s="293" t="s">
        <v>5666</v>
      </c>
      <c r="C1067" s="293" t="s">
        <v>6035</v>
      </c>
      <c r="D1067" s="293" t="s">
        <v>5859</v>
      </c>
      <c r="E1067" s="293" t="s">
        <v>6033</v>
      </c>
      <c r="F1067" s="293" t="s">
        <v>7110</v>
      </c>
      <c r="G1067" s="293" t="s">
        <v>5585</v>
      </c>
      <c r="H1067" s="294">
        <v>42247</v>
      </c>
      <c r="I1067" s="295">
        <v>-4630.24</v>
      </c>
    </row>
    <row r="1068" spans="1:9" x14ac:dyDescent="0.2">
      <c r="A1068" s="293" t="s">
        <v>7114</v>
      </c>
      <c r="B1068" s="293" t="s">
        <v>5666</v>
      </c>
      <c r="C1068" s="293" t="s">
        <v>6037</v>
      </c>
      <c r="D1068" s="293" t="s">
        <v>5859</v>
      </c>
      <c r="E1068" s="293" t="s">
        <v>6038</v>
      </c>
      <c r="F1068" s="293" t="s">
        <v>7110</v>
      </c>
      <c r="G1068" s="293" t="s">
        <v>5586</v>
      </c>
      <c r="H1068" s="294">
        <v>42247</v>
      </c>
      <c r="I1068" s="295">
        <v>-3059.89</v>
      </c>
    </row>
    <row r="1069" spans="1:9" x14ac:dyDescent="0.2">
      <c r="A1069" s="293" t="s">
        <v>7115</v>
      </c>
      <c r="B1069" s="293" t="s">
        <v>5666</v>
      </c>
      <c r="C1069" s="293" t="s">
        <v>6040</v>
      </c>
      <c r="D1069" s="293" t="s">
        <v>5859</v>
      </c>
      <c r="E1069" s="293" t="s">
        <v>6041</v>
      </c>
      <c r="F1069" s="293" t="s">
        <v>7110</v>
      </c>
      <c r="G1069" s="293" t="s">
        <v>5581</v>
      </c>
      <c r="H1069" s="294">
        <v>42247</v>
      </c>
      <c r="I1069" s="295">
        <v>-8058.13</v>
      </c>
    </row>
    <row r="1070" spans="1:9" x14ac:dyDescent="0.2">
      <c r="A1070" s="293" t="s">
        <v>7116</v>
      </c>
      <c r="B1070" s="293" t="s">
        <v>5666</v>
      </c>
      <c r="C1070" s="293" t="s">
        <v>6049</v>
      </c>
      <c r="D1070" s="293" t="s">
        <v>5859</v>
      </c>
      <c r="E1070" s="293" t="s">
        <v>6050</v>
      </c>
      <c r="F1070" s="293" t="s">
        <v>7110</v>
      </c>
      <c r="G1070" s="293" t="s">
        <v>5590</v>
      </c>
      <c r="H1070" s="294">
        <v>42247</v>
      </c>
      <c r="I1070" s="295">
        <v>-12467.89</v>
      </c>
    </row>
    <row r="1071" spans="1:9" x14ac:dyDescent="0.2">
      <c r="A1071" s="293" t="s">
        <v>7117</v>
      </c>
      <c r="B1071" s="293" t="s">
        <v>5666</v>
      </c>
      <c r="C1071" s="293" t="s">
        <v>6052</v>
      </c>
      <c r="D1071" s="293" t="s">
        <v>5859</v>
      </c>
      <c r="E1071" s="293" t="s">
        <v>5817</v>
      </c>
      <c r="F1071" s="293" t="s">
        <v>7110</v>
      </c>
      <c r="G1071" s="293" t="s">
        <v>5577</v>
      </c>
      <c r="H1071" s="294">
        <v>42247</v>
      </c>
      <c r="I1071" s="295">
        <v>-7696.08</v>
      </c>
    </row>
    <row r="1072" spans="1:9" x14ac:dyDescent="0.2">
      <c r="A1072" s="293" t="s">
        <v>7118</v>
      </c>
      <c r="B1072" s="293" t="s">
        <v>5666</v>
      </c>
      <c r="C1072" s="293" t="s">
        <v>6054</v>
      </c>
      <c r="D1072" s="293" t="s">
        <v>5859</v>
      </c>
      <c r="E1072" s="293" t="s">
        <v>5817</v>
      </c>
      <c r="F1072" s="293" t="s">
        <v>7110</v>
      </c>
      <c r="G1072" s="293" t="s">
        <v>5577</v>
      </c>
      <c r="H1072" s="294">
        <v>42247</v>
      </c>
      <c r="I1072" s="295">
        <v>-3633.17</v>
      </c>
    </row>
    <row r="1073" spans="1:9" x14ac:dyDescent="0.2">
      <c r="A1073" s="293" t="s">
        <v>7119</v>
      </c>
      <c r="B1073" s="293" t="s">
        <v>5666</v>
      </c>
      <c r="C1073" s="293" t="s">
        <v>6056</v>
      </c>
      <c r="D1073" s="293" t="s">
        <v>5859</v>
      </c>
      <c r="E1073" s="293" t="s">
        <v>6057</v>
      </c>
      <c r="F1073" s="293" t="s">
        <v>7110</v>
      </c>
      <c r="G1073" s="293" t="s">
        <v>5578</v>
      </c>
      <c r="H1073" s="294">
        <v>42247</v>
      </c>
      <c r="I1073" s="295">
        <v>-4399.9399999999996</v>
      </c>
    </row>
    <row r="1074" spans="1:9" x14ac:dyDescent="0.2">
      <c r="A1074" s="293" t="s">
        <v>7120</v>
      </c>
      <c r="B1074" s="293" t="s">
        <v>5666</v>
      </c>
      <c r="C1074" s="293" t="s">
        <v>6062</v>
      </c>
      <c r="D1074" s="293" t="s">
        <v>5859</v>
      </c>
      <c r="E1074" s="293" t="s">
        <v>6063</v>
      </c>
      <c r="F1074" s="293" t="s">
        <v>7110</v>
      </c>
      <c r="G1074" s="293" t="s">
        <v>5579</v>
      </c>
      <c r="H1074" s="294">
        <v>42247</v>
      </c>
      <c r="I1074" s="295">
        <v>-2351.71</v>
      </c>
    </row>
    <row r="1075" spans="1:9" x14ac:dyDescent="0.2">
      <c r="A1075" s="293" t="s">
        <v>7121</v>
      </c>
      <c r="B1075" s="293" t="s">
        <v>5666</v>
      </c>
      <c r="C1075" s="293" t="s">
        <v>6065</v>
      </c>
      <c r="D1075" s="293" t="s">
        <v>5859</v>
      </c>
      <c r="E1075" s="293" t="s">
        <v>6063</v>
      </c>
      <c r="F1075" s="293" t="s">
        <v>7110</v>
      </c>
      <c r="G1075" s="293" t="s">
        <v>5579</v>
      </c>
      <c r="H1075" s="294">
        <v>42247</v>
      </c>
      <c r="I1075" s="295">
        <v>-63.12</v>
      </c>
    </row>
    <row r="1076" spans="1:9" x14ac:dyDescent="0.2">
      <c r="A1076" s="293" t="s">
        <v>7122</v>
      </c>
      <c r="B1076" s="293" t="s">
        <v>5666</v>
      </c>
      <c r="C1076" s="293" t="s">
        <v>6067</v>
      </c>
      <c r="D1076" s="293" t="s">
        <v>5859</v>
      </c>
      <c r="E1076" s="293" t="s">
        <v>5817</v>
      </c>
      <c r="F1076" s="293" t="s">
        <v>7110</v>
      </c>
      <c r="G1076" s="293" t="s">
        <v>5591</v>
      </c>
      <c r="H1076" s="294">
        <v>42247</v>
      </c>
      <c r="I1076" s="295">
        <v>-6308.36</v>
      </c>
    </row>
    <row r="1077" spans="1:9" x14ac:dyDescent="0.2">
      <c r="A1077" s="293" t="s">
        <v>7123</v>
      </c>
      <c r="B1077" s="293" t="s">
        <v>5666</v>
      </c>
      <c r="C1077" s="293" t="s">
        <v>6069</v>
      </c>
      <c r="D1077" s="293" t="s">
        <v>5859</v>
      </c>
      <c r="E1077" s="293" t="s">
        <v>5817</v>
      </c>
      <c r="F1077" s="293" t="s">
        <v>7110</v>
      </c>
      <c r="G1077" s="293" t="s">
        <v>5591</v>
      </c>
      <c r="H1077" s="294">
        <v>42247</v>
      </c>
      <c r="I1077" s="295">
        <v>-7695.19</v>
      </c>
    </row>
    <row r="1078" spans="1:9" x14ac:dyDescent="0.2">
      <c r="A1078" s="293" t="s">
        <v>7124</v>
      </c>
      <c r="B1078" s="293" t="s">
        <v>5666</v>
      </c>
      <c r="C1078" s="293" t="s">
        <v>6471</v>
      </c>
      <c r="D1078" s="293" t="s">
        <v>5859</v>
      </c>
      <c r="E1078" s="293" t="s">
        <v>6829</v>
      </c>
      <c r="F1078" s="293" t="s">
        <v>7110</v>
      </c>
      <c r="G1078" s="293" t="s">
        <v>5589</v>
      </c>
      <c r="H1078" s="294">
        <v>42247</v>
      </c>
      <c r="I1078" s="295">
        <v>-7123.53</v>
      </c>
    </row>
    <row r="1079" spans="1:9" x14ac:dyDescent="0.2">
      <c r="A1079" s="293" t="s">
        <v>7125</v>
      </c>
      <c r="B1079" s="293" t="s">
        <v>5666</v>
      </c>
      <c r="C1079" s="293" t="s">
        <v>6473</v>
      </c>
      <c r="D1079" s="293" t="s">
        <v>5859</v>
      </c>
      <c r="E1079" s="293" t="s">
        <v>6474</v>
      </c>
      <c r="F1079" s="293" t="s">
        <v>7110</v>
      </c>
      <c r="G1079" s="293" t="s">
        <v>5593</v>
      </c>
      <c r="H1079" s="294">
        <v>42247</v>
      </c>
      <c r="I1079" s="295">
        <v>-14668.67</v>
      </c>
    </row>
    <row r="1080" spans="1:9" x14ac:dyDescent="0.2">
      <c r="A1080" s="293" t="s">
        <v>7126</v>
      </c>
      <c r="B1080" s="293" t="s">
        <v>5666</v>
      </c>
      <c r="C1080" s="293" t="s">
        <v>6920</v>
      </c>
      <c r="D1080" s="293" t="s">
        <v>5859</v>
      </c>
      <c r="E1080" s="293" t="s">
        <v>6921</v>
      </c>
      <c r="F1080" s="293" t="s">
        <v>7110</v>
      </c>
      <c r="G1080" s="293" t="s">
        <v>5754</v>
      </c>
      <c r="H1080" s="294">
        <v>42247</v>
      </c>
      <c r="I1080" s="295">
        <v>-8710.42</v>
      </c>
    </row>
    <row r="1081" spans="1:9" x14ac:dyDescent="0.2">
      <c r="A1081" s="293" t="s">
        <v>7127</v>
      </c>
      <c r="B1081" s="293" t="s">
        <v>6010</v>
      </c>
      <c r="C1081" s="293" t="s">
        <v>7128</v>
      </c>
      <c r="D1081" s="293" t="s">
        <v>5859</v>
      </c>
      <c r="E1081" s="293" t="s">
        <v>7080</v>
      </c>
      <c r="F1081" s="293" t="s">
        <v>7129</v>
      </c>
      <c r="G1081" s="293" t="s">
        <v>5755</v>
      </c>
      <c r="H1081" s="294">
        <v>42247</v>
      </c>
      <c r="I1081" s="295">
        <v>-6708.64</v>
      </c>
    </row>
    <row r="1082" spans="1:9" x14ac:dyDescent="0.2">
      <c r="A1082" s="293" t="s">
        <v>7130</v>
      </c>
      <c r="B1082" s="293" t="s">
        <v>6010</v>
      </c>
      <c r="C1082" s="293" t="s">
        <v>7131</v>
      </c>
      <c r="D1082" s="293" t="s">
        <v>5859</v>
      </c>
      <c r="E1082" s="293" t="s">
        <v>5088</v>
      </c>
      <c r="F1082" s="293" t="s">
        <v>7129</v>
      </c>
      <c r="G1082" s="293" t="s">
        <v>5593</v>
      </c>
      <c r="H1082" s="294">
        <v>42257</v>
      </c>
      <c r="I1082" s="295">
        <v>3780</v>
      </c>
    </row>
    <row r="1083" spans="1:9" x14ac:dyDescent="0.2">
      <c r="A1083" s="293" t="s">
        <v>7132</v>
      </c>
      <c r="B1083" s="293" t="s">
        <v>5666</v>
      </c>
      <c r="C1083" s="293" t="s">
        <v>6027</v>
      </c>
      <c r="D1083" s="293" t="s">
        <v>5859</v>
      </c>
      <c r="E1083" s="293" t="s">
        <v>6028</v>
      </c>
      <c r="F1083" s="293" t="s">
        <v>7133</v>
      </c>
      <c r="G1083" s="293" t="s">
        <v>5573</v>
      </c>
      <c r="H1083" s="294">
        <v>42277</v>
      </c>
      <c r="I1083" s="295">
        <v>-6400.96</v>
      </c>
    </row>
    <row r="1084" spans="1:9" x14ac:dyDescent="0.2">
      <c r="A1084" s="293" t="s">
        <v>7134</v>
      </c>
      <c r="B1084" s="293" t="s">
        <v>5666</v>
      </c>
      <c r="C1084" s="293" t="s">
        <v>6030</v>
      </c>
      <c r="D1084" s="293" t="s">
        <v>5859</v>
      </c>
      <c r="E1084" s="293" t="s">
        <v>6028</v>
      </c>
      <c r="F1084" s="293" t="s">
        <v>7133</v>
      </c>
      <c r="G1084" s="293" t="s">
        <v>5573</v>
      </c>
      <c r="H1084" s="294">
        <v>42277</v>
      </c>
      <c r="I1084" s="295">
        <v>-130.22</v>
      </c>
    </row>
    <row r="1085" spans="1:9" x14ac:dyDescent="0.2">
      <c r="A1085" s="293" t="s">
        <v>7135</v>
      </c>
      <c r="B1085" s="293" t="s">
        <v>5666</v>
      </c>
      <c r="C1085" s="293" t="s">
        <v>6032</v>
      </c>
      <c r="D1085" s="293" t="s">
        <v>5859</v>
      </c>
      <c r="E1085" s="293" t="s">
        <v>6033</v>
      </c>
      <c r="F1085" s="293" t="s">
        <v>7133</v>
      </c>
      <c r="G1085" s="293" t="s">
        <v>5585</v>
      </c>
      <c r="H1085" s="294">
        <v>42277</v>
      </c>
      <c r="I1085" s="295">
        <v>-6872.38</v>
      </c>
    </row>
    <row r="1086" spans="1:9" x14ac:dyDescent="0.2">
      <c r="A1086" s="293" t="s">
        <v>7136</v>
      </c>
      <c r="B1086" s="293" t="s">
        <v>5666</v>
      </c>
      <c r="C1086" s="293" t="s">
        <v>6035</v>
      </c>
      <c r="D1086" s="293" t="s">
        <v>5859</v>
      </c>
      <c r="E1086" s="293" t="s">
        <v>6033</v>
      </c>
      <c r="F1086" s="293" t="s">
        <v>7133</v>
      </c>
      <c r="G1086" s="293" t="s">
        <v>5585</v>
      </c>
      <c r="H1086" s="294">
        <v>42277</v>
      </c>
      <c r="I1086" s="295">
        <v>-4630.24</v>
      </c>
    </row>
    <row r="1087" spans="1:9" x14ac:dyDescent="0.2">
      <c r="A1087" s="293" t="s">
        <v>7137</v>
      </c>
      <c r="B1087" s="293" t="s">
        <v>5666</v>
      </c>
      <c r="C1087" s="293" t="s">
        <v>6037</v>
      </c>
      <c r="D1087" s="293" t="s">
        <v>5859</v>
      </c>
      <c r="E1087" s="293" t="s">
        <v>6038</v>
      </c>
      <c r="F1087" s="293" t="s">
        <v>7133</v>
      </c>
      <c r="G1087" s="293" t="s">
        <v>5586</v>
      </c>
      <c r="H1087" s="294">
        <v>42277</v>
      </c>
      <c r="I1087" s="295">
        <v>-3059.89</v>
      </c>
    </row>
    <row r="1088" spans="1:9" x14ac:dyDescent="0.2">
      <c r="A1088" s="293" t="s">
        <v>7138</v>
      </c>
      <c r="B1088" s="293" t="s">
        <v>5666</v>
      </c>
      <c r="C1088" s="293" t="s">
        <v>6040</v>
      </c>
      <c r="D1088" s="293" t="s">
        <v>5859</v>
      </c>
      <c r="E1088" s="293" t="s">
        <v>6041</v>
      </c>
      <c r="F1088" s="293" t="s">
        <v>7133</v>
      </c>
      <c r="G1088" s="293" t="s">
        <v>5581</v>
      </c>
      <c r="H1088" s="294">
        <v>42277</v>
      </c>
      <c r="I1088" s="295">
        <v>-8058.13</v>
      </c>
    </row>
    <row r="1089" spans="1:9" x14ac:dyDescent="0.2">
      <c r="A1089" s="293" t="s">
        <v>7139</v>
      </c>
      <c r="B1089" s="293" t="s">
        <v>5666</v>
      </c>
      <c r="C1089" s="293" t="s">
        <v>6049</v>
      </c>
      <c r="D1089" s="293" t="s">
        <v>5859</v>
      </c>
      <c r="E1089" s="293" t="s">
        <v>6050</v>
      </c>
      <c r="F1089" s="293" t="s">
        <v>7133</v>
      </c>
      <c r="G1089" s="293" t="s">
        <v>5590</v>
      </c>
      <c r="H1089" s="294">
        <v>42277</v>
      </c>
      <c r="I1089" s="295">
        <v>-12467.89</v>
      </c>
    </row>
    <row r="1090" spans="1:9" x14ac:dyDescent="0.2">
      <c r="A1090" s="293" t="s">
        <v>7140</v>
      </c>
      <c r="B1090" s="293" t="s">
        <v>5666</v>
      </c>
      <c r="C1090" s="293" t="s">
        <v>6052</v>
      </c>
      <c r="D1090" s="293" t="s">
        <v>5859</v>
      </c>
      <c r="E1090" s="293" t="s">
        <v>5817</v>
      </c>
      <c r="F1090" s="293" t="s">
        <v>7133</v>
      </c>
      <c r="G1090" s="293" t="s">
        <v>5577</v>
      </c>
      <c r="H1090" s="294">
        <v>42277</v>
      </c>
      <c r="I1090" s="295">
        <v>-7696.08</v>
      </c>
    </row>
    <row r="1091" spans="1:9" x14ac:dyDescent="0.2">
      <c r="A1091" s="293" t="s">
        <v>7141</v>
      </c>
      <c r="B1091" s="293" t="s">
        <v>5666</v>
      </c>
      <c r="C1091" s="293" t="s">
        <v>6054</v>
      </c>
      <c r="D1091" s="293" t="s">
        <v>5859</v>
      </c>
      <c r="E1091" s="293" t="s">
        <v>5817</v>
      </c>
      <c r="F1091" s="293" t="s">
        <v>7133</v>
      </c>
      <c r="G1091" s="293" t="s">
        <v>5577</v>
      </c>
      <c r="H1091" s="294">
        <v>42277</v>
      </c>
      <c r="I1091" s="295">
        <v>-3633.17</v>
      </c>
    </row>
    <row r="1092" spans="1:9" x14ac:dyDescent="0.2">
      <c r="A1092" s="293" t="s">
        <v>7142</v>
      </c>
      <c r="B1092" s="293" t="s">
        <v>5666</v>
      </c>
      <c r="C1092" s="293" t="s">
        <v>6056</v>
      </c>
      <c r="D1092" s="293" t="s">
        <v>5859</v>
      </c>
      <c r="E1092" s="293" t="s">
        <v>6057</v>
      </c>
      <c r="F1092" s="293" t="s">
        <v>7133</v>
      </c>
      <c r="G1092" s="293" t="s">
        <v>5578</v>
      </c>
      <c r="H1092" s="294">
        <v>42277</v>
      </c>
      <c r="I1092" s="295">
        <v>-4399.9399999999996</v>
      </c>
    </row>
    <row r="1093" spans="1:9" x14ac:dyDescent="0.2">
      <c r="A1093" s="293" t="s">
        <v>7143</v>
      </c>
      <c r="B1093" s="293" t="s">
        <v>5666</v>
      </c>
      <c r="C1093" s="293" t="s">
        <v>6062</v>
      </c>
      <c r="D1093" s="293" t="s">
        <v>5859</v>
      </c>
      <c r="E1093" s="293" t="s">
        <v>6063</v>
      </c>
      <c r="F1093" s="293" t="s">
        <v>7133</v>
      </c>
      <c r="G1093" s="293" t="s">
        <v>5579</v>
      </c>
      <c r="H1093" s="294">
        <v>42277</v>
      </c>
      <c r="I1093" s="295">
        <v>-2351.71</v>
      </c>
    </row>
    <row r="1094" spans="1:9" x14ac:dyDescent="0.2">
      <c r="A1094" s="293" t="s">
        <v>7144</v>
      </c>
      <c r="B1094" s="293" t="s">
        <v>5666</v>
      </c>
      <c r="C1094" s="293" t="s">
        <v>6065</v>
      </c>
      <c r="D1094" s="293" t="s">
        <v>5859</v>
      </c>
      <c r="E1094" s="293" t="s">
        <v>6063</v>
      </c>
      <c r="F1094" s="293" t="s">
        <v>7133</v>
      </c>
      <c r="G1094" s="293" t="s">
        <v>5579</v>
      </c>
      <c r="H1094" s="294">
        <v>42277</v>
      </c>
      <c r="I1094" s="295">
        <v>-63.12</v>
      </c>
    </row>
    <row r="1095" spans="1:9" x14ac:dyDescent="0.2">
      <c r="A1095" s="293" t="s">
        <v>7145</v>
      </c>
      <c r="B1095" s="293" t="s">
        <v>5666</v>
      </c>
      <c r="C1095" s="293" t="s">
        <v>6067</v>
      </c>
      <c r="D1095" s="293" t="s">
        <v>5859</v>
      </c>
      <c r="E1095" s="293" t="s">
        <v>5817</v>
      </c>
      <c r="F1095" s="293" t="s">
        <v>7133</v>
      </c>
      <c r="G1095" s="293" t="s">
        <v>5591</v>
      </c>
      <c r="H1095" s="294">
        <v>42277</v>
      </c>
      <c r="I1095" s="295">
        <v>-6308.36</v>
      </c>
    </row>
    <row r="1096" spans="1:9" x14ac:dyDescent="0.2">
      <c r="A1096" s="293" t="s">
        <v>7146</v>
      </c>
      <c r="B1096" s="293" t="s">
        <v>5666</v>
      </c>
      <c r="C1096" s="293" t="s">
        <v>6069</v>
      </c>
      <c r="D1096" s="293" t="s">
        <v>5859</v>
      </c>
      <c r="E1096" s="293" t="s">
        <v>5817</v>
      </c>
      <c r="F1096" s="293" t="s">
        <v>7133</v>
      </c>
      <c r="G1096" s="293" t="s">
        <v>5591</v>
      </c>
      <c r="H1096" s="294">
        <v>42277</v>
      </c>
      <c r="I1096" s="295">
        <v>-7695.19</v>
      </c>
    </row>
    <row r="1097" spans="1:9" x14ac:dyDescent="0.2">
      <c r="A1097" s="293" t="s">
        <v>7147</v>
      </c>
      <c r="B1097" s="293" t="s">
        <v>5666</v>
      </c>
      <c r="C1097" s="293" t="s">
        <v>6471</v>
      </c>
      <c r="D1097" s="293" t="s">
        <v>5859</v>
      </c>
      <c r="E1097" s="293" t="s">
        <v>6829</v>
      </c>
      <c r="F1097" s="293" t="s">
        <v>7133</v>
      </c>
      <c r="G1097" s="293" t="s">
        <v>5589</v>
      </c>
      <c r="H1097" s="294">
        <v>42277</v>
      </c>
      <c r="I1097" s="295">
        <v>-7123.53</v>
      </c>
    </row>
    <row r="1098" spans="1:9" x14ac:dyDescent="0.2">
      <c r="A1098" s="293" t="s">
        <v>7148</v>
      </c>
      <c r="B1098" s="293" t="s">
        <v>5666</v>
      </c>
      <c r="C1098" s="293" t="s">
        <v>6473</v>
      </c>
      <c r="D1098" s="293" t="s">
        <v>5859</v>
      </c>
      <c r="E1098" s="293" t="s">
        <v>6474</v>
      </c>
      <c r="F1098" s="293" t="s">
        <v>7133</v>
      </c>
      <c r="G1098" s="293" t="s">
        <v>5593</v>
      </c>
      <c r="H1098" s="294">
        <v>42277</v>
      </c>
      <c r="I1098" s="295">
        <v>-14668.67</v>
      </c>
    </row>
    <row r="1099" spans="1:9" x14ac:dyDescent="0.2">
      <c r="A1099" s="293" t="s">
        <v>7149</v>
      </c>
      <c r="B1099" s="293" t="s">
        <v>5666</v>
      </c>
      <c r="C1099" s="293" t="s">
        <v>6920</v>
      </c>
      <c r="D1099" s="293" t="s">
        <v>5859</v>
      </c>
      <c r="E1099" s="293" t="s">
        <v>6921</v>
      </c>
      <c r="F1099" s="293" t="s">
        <v>7133</v>
      </c>
      <c r="G1099" s="293" t="s">
        <v>5754</v>
      </c>
      <c r="H1099" s="294">
        <v>42277</v>
      </c>
      <c r="I1099" s="295">
        <v>-8710.42</v>
      </c>
    </row>
    <row r="1100" spans="1:9" x14ac:dyDescent="0.2">
      <c r="A1100" s="293" t="s">
        <v>7150</v>
      </c>
      <c r="B1100" s="293" t="s">
        <v>6010</v>
      </c>
      <c r="C1100" s="293" t="s">
        <v>7151</v>
      </c>
      <c r="D1100" s="293" t="s">
        <v>5859</v>
      </c>
      <c r="E1100" s="293" t="s">
        <v>7080</v>
      </c>
      <c r="F1100" s="293" t="s">
        <v>7152</v>
      </c>
      <c r="G1100" s="293" t="s">
        <v>5755</v>
      </c>
      <c r="H1100" s="294">
        <v>42277</v>
      </c>
      <c r="I1100" s="295">
        <v>-7986.44</v>
      </c>
    </row>
    <row r="1101" spans="1:9" x14ac:dyDescent="0.2">
      <c r="A1101" s="293" t="s">
        <v>7153</v>
      </c>
      <c r="B1101" s="293" t="s">
        <v>6010</v>
      </c>
      <c r="C1101" s="293" t="s">
        <v>7154</v>
      </c>
      <c r="D1101" s="293" t="s">
        <v>5859</v>
      </c>
      <c r="E1101" s="293" t="s">
        <v>7155</v>
      </c>
      <c r="F1101" s="293" t="s">
        <v>7152</v>
      </c>
      <c r="G1101" s="293" t="s">
        <v>5593</v>
      </c>
      <c r="H1101" s="294">
        <v>42277</v>
      </c>
      <c r="I1101" s="295">
        <v>-3780</v>
      </c>
    </row>
    <row r="1102" spans="1:9" x14ac:dyDescent="0.2">
      <c r="A1102" s="293" t="s">
        <v>7156</v>
      </c>
      <c r="B1102" s="293" t="s">
        <v>5666</v>
      </c>
      <c r="C1102" s="293" t="s">
        <v>6027</v>
      </c>
      <c r="D1102" s="293" t="s">
        <v>5859</v>
      </c>
      <c r="E1102" s="293" t="s">
        <v>6028</v>
      </c>
      <c r="F1102" s="293" t="s">
        <v>7157</v>
      </c>
      <c r="G1102" s="293" t="s">
        <v>5573</v>
      </c>
      <c r="H1102" s="294">
        <v>42308</v>
      </c>
      <c r="I1102" s="295">
        <v>-6400.96</v>
      </c>
    </row>
    <row r="1103" spans="1:9" x14ac:dyDescent="0.2">
      <c r="A1103" s="293" t="s">
        <v>7158</v>
      </c>
      <c r="B1103" s="293" t="s">
        <v>5666</v>
      </c>
      <c r="C1103" s="293" t="s">
        <v>6030</v>
      </c>
      <c r="D1103" s="293" t="s">
        <v>5859</v>
      </c>
      <c r="E1103" s="293" t="s">
        <v>6028</v>
      </c>
      <c r="F1103" s="293" t="s">
        <v>7157</v>
      </c>
      <c r="G1103" s="293" t="s">
        <v>5573</v>
      </c>
      <c r="H1103" s="294">
        <v>42308</v>
      </c>
      <c r="I1103" s="295">
        <v>-130.22</v>
      </c>
    </row>
    <row r="1104" spans="1:9" x14ac:dyDescent="0.2">
      <c r="A1104" s="293" t="s">
        <v>7159</v>
      </c>
      <c r="B1104" s="293" t="s">
        <v>5666</v>
      </c>
      <c r="C1104" s="293" t="s">
        <v>6032</v>
      </c>
      <c r="D1104" s="293" t="s">
        <v>5859</v>
      </c>
      <c r="E1104" s="293" t="s">
        <v>6033</v>
      </c>
      <c r="F1104" s="293" t="s">
        <v>7157</v>
      </c>
      <c r="G1104" s="293" t="s">
        <v>5585</v>
      </c>
      <c r="H1104" s="294">
        <v>42308</v>
      </c>
      <c r="I1104" s="295">
        <v>-6872.38</v>
      </c>
    </row>
    <row r="1105" spans="1:9" x14ac:dyDescent="0.2">
      <c r="A1105" s="293" t="s">
        <v>7160</v>
      </c>
      <c r="B1105" s="293" t="s">
        <v>5666</v>
      </c>
      <c r="C1105" s="293" t="s">
        <v>6035</v>
      </c>
      <c r="D1105" s="293" t="s">
        <v>5859</v>
      </c>
      <c r="E1105" s="293" t="s">
        <v>6033</v>
      </c>
      <c r="F1105" s="293" t="s">
        <v>7157</v>
      </c>
      <c r="G1105" s="293" t="s">
        <v>5585</v>
      </c>
      <c r="H1105" s="294">
        <v>42308</v>
      </c>
      <c r="I1105" s="295">
        <v>-4630.24</v>
      </c>
    </row>
    <row r="1106" spans="1:9" x14ac:dyDescent="0.2">
      <c r="A1106" s="293" t="s">
        <v>7161</v>
      </c>
      <c r="B1106" s="293" t="s">
        <v>5666</v>
      </c>
      <c r="C1106" s="293" t="s">
        <v>6037</v>
      </c>
      <c r="D1106" s="293" t="s">
        <v>5859</v>
      </c>
      <c r="E1106" s="293" t="s">
        <v>6038</v>
      </c>
      <c r="F1106" s="293" t="s">
        <v>7157</v>
      </c>
      <c r="G1106" s="293" t="s">
        <v>5586</v>
      </c>
      <c r="H1106" s="294">
        <v>42308</v>
      </c>
      <c r="I1106" s="295">
        <v>-3059.89</v>
      </c>
    </row>
    <row r="1107" spans="1:9" x14ac:dyDescent="0.2">
      <c r="A1107" s="293" t="s">
        <v>7162</v>
      </c>
      <c r="B1107" s="293" t="s">
        <v>5666</v>
      </c>
      <c r="C1107" s="293" t="s">
        <v>6040</v>
      </c>
      <c r="D1107" s="293" t="s">
        <v>5859</v>
      </c>
      <c r="E1107" s="293" t="s">
        <v>6041</v>
      </c>
      <c r="F1107" s="293" t="s">
        <v>7157</v>
      </c>
      <c r="G1107" s="293" t="s">
        <v>5581</v>
      </c>
      <c r="H1107" s="294">
        <v>42308</v>
      </c>
      <c r="I1107" s="295">
        <v>-8058.13</v>
      </c>
    </row>
    <row r="1108" spans="1:9" x14ac:dyDescent="0.2">
      <c r="A1108" s="293" t="s">
        <v>7163</v>
      </c>
      <c r="B1108" s="293" t="s">
        <v>5666</v>
      </c>
      <c r="C1108" s="293" t="s">
        <v>6049</v>
      </c>
      <c r="D1108" s="293" t="s">
        <v>5859</v>
      </c>
      <c r="E1108" s="293" t="s">
        <v>6050</v>
      </c>
      <c r="F1108" s="293" t="s">
        <v>7157</v>
      </c>
      <c r="G1108" s="293" t="s">
        <v>5590</v>
      </c>
      <c r="H1108" s="294">
        <v>42308</v>
      </c>
      <c r="I1108" s="295">
        <v>-12467.89</v>
      </c>
    </row>
    <row r="1109" spans="1:9" x14ac:dyDescent="0.2">
      <c r="A1109" s="293" t="s">
        <v>7164</v>
      </c>
      <c r="B1109" s="293" t="s">
        <v>5666</v>
      </c>
      <c r="C1109" s="293" t="s">
        <v>6052</v>
      </c>
      <c r="D1109" s="293" t="s">
        <v>5859</v>
      </c>
      <c r="E1109" s="293" t="s">
        <v>5817</v>
      </c>
      <c r="F1109" s="293" t="s">
        <v>7157</v>
      </c>
      <c r="G1109" s="293" t="s">
        <v>5577</v>
      </c>
      <c r="H1109" s="294">
        <v>42308</v>
      </c>
      <c r="I1109" s="295">
        <v>-7696.08</v>
      </c>
    </row>
    <row r="1110" spans="1:9" x14ac:dyDescent="0.2">
      <c r="A1110" s="293" t="s">
        <v>7165</v>
      </c>
      <c r="B1110" s="293" t="s">
        <v>5666</v>
      </c>
      <c r="C1110" s="293" t="s">
        <v>6054</v>
      </c>
      <c r="D1110" s="293" t="s">
        <v>5859</v>
      </c>
      <c r="E1110" s="293" t="s">
        <v>5817</v>
      </c>
      <c r="F1110" s="293" t="s">
        <v>7157</v>
      </c>
      <c r="G1110" s="293" t="s">
        <v>5577</v>
      </c>
      <c r="H1110" s="294">
        <v>42308</v>
      </c>
      <c r="I1110" s="295">
        <v>-3633.17</v>
      </c>
    </row>
    <row r="1111" spans="1:9" x14ac:dyDescent="0.2">
      <c r="A1111" s="293" t="s">
        <v>7166</v>
      </c>
      <c r="B1111" s="293" t="s">
        <v>5666</v>
      </c>
      <c r="C1111" s="293" t="s">
        <v>6056</v>
      </c>
      <c r="D1111" s="293" t="s">
        <v>5859</v>
      </c>
      <c r="E1111" s="293" t="s">
        <v>6057</v>
      </c>
      <c r="F1111" s="293" t="s">
        <v>7157</v>
      </c>
      <c r="G1111" s="293" t="s">
        <v>5578</v>
      </c>
      <c r="H1111" s="294">
        <v>42308</v>
      </c>
      <c r="I1111" s="295">
        <v>-4399.9399999999996</v>
      </c>
    </row>
    <row r="1112" spans="1:9" x14ac:dyDescent="0.2">
      <c r="A1112" s="293" t="s">
        <v>7167</v>
      </c>
      <c r="B1112" s="293" t="s">
        <v>5666</v>
      </c>
      <c r="C1112" s="293" t="s">
        <v>6062</v>
      </c>
      <c r="D1112" s="293" t="s">
        <v>5859</v>
      </c>
      <c r="E1112" s="293" t="s">
        <v>6063</v>
      </c>
      <c r="F1112" s="293" t="s">
        <v>7157</v>
      </c>
      <c r="G1112" s="293" t="s">
        <v>5579</v>
      </c>
      <c r="H1112" s="294">
        <v>42308</v>
      </c>
      <c r="I1112" s="295">
        <v>-2351.71</v>
      </c>
    </row>
    <row r="1113" spans="1:9" x14ac:dyDescent="0.2">
      <c r="A1113" s="293" t="s">
        <v>7168</v>
      </c>
      <c r="B1113" s="293" t="s">
        <v>5666</v>
      </c>
      <c r="C1113" s="293" t="s">
        <v>6065</v>
      </c>
      <c r="D1113" s="293" t="s">
        <v>5859</v>
      </c>
      <c r="E1113" s="293" t="s">
        <v>6063</v>
      </c>
      <c r="F1113" s="293" t="s">
        <v>7157</v>
      </c>
      <c r="G1113" s="293" t="s">
        <v>5579</v>
      </c>
      <c r="H1113" s="294">
        <v>42308</v>
      </c>
      <c r="I1113" s="295">
        <v>-63.12</v>
      </c>
    </row>
    <row r="1114" spans="1:9" x14ac:dyDescent="0.2">
      <c r="A1114" s="293" t="s">
        <v>7169</v>
      </c>
      <c r="B1114" s="293" t="s">
        <v>5666</v>
      </c>
      <c r="C1114" s="293" t="s">
        <v>6067</v>
      </c>
      <c r="D1114" s="293" t="s">
        <v>5859</v>
      </c>
      <c r="E1114" s="293" t="s">
        <v>5817</v>
      </c>
      <c r="F1114" s="293" t="s">
        <v>7157</v>
      </c>
      <c r="G1114" s="293" t="s">
        <v>5591</v>
      </c>
      <c r="H1114" s="294">
        <v>42308</v>
      </c>
      <c r="I1114" s="295">
        <v>-6308.36</v>
      </c>
    </row>
    <row r="1115" spans="1:9" x14ac:dyDescent="0.2">
      <c r="A1115" s="293" t="s">
        <v>7170</v>
      </c>
      <c r="B1115" s="293" t="s">
        <v>5666</v>
      </c>
      <c r="C1115" s="293" t="s">
        <v>6069</v>
      </c>
      <c r="D1115" s="293" t="s">
        <v>5859</v>
      </c>
      <c r="E1115" s="293" t="s">
        <v>5817</v>
      </c>
      <c r="F1115" s="293" t="s">
        <v>7157</v>
      </c>
      <c r="G1115" s="293" t="s">
        <v>5591</v>
      </c>
      <c r="H1115" s="294">
        <v>42308</v>
      </c>
      <c r="I1115" s="295">
        <v>-7695.19</v>
      </c>
    </row>
    <row r="1116" spans="1:9" x14ac:dyDescent="0.2">
      <c r="A1116" s="293" t="s">
        <v>7171</v>
      </c>
      <c r="B1116" s="293" t="s">
        <v>5666</v>
      </c>
      <c r="C1116" s="293" t="s">
        <v>6471</v>
      </c>
      <c r="D1116" s="293" t="s">
        <v>5859</v>
      </c>
      <c r="E1116" s="293" t="s">
        <v>6829</v>
      </c>
      <c r="F1116" s="293" t="s">
        <v>7157</v>
      </c>
      <c r="G1116" s="293" t="s">
        <v>5589</v>
      </c>
      <c r="H1116" s="294">
        <v>42308</v>
      </c>
      <c r="I1116" s="295">
        <v>-7123.53</v>
      </c>
    </row>
    <row r="1117" spans="1:9" x14ac:dyDescent="0.2">
      <c r="A1117" s="293" t="s">
        <v>7172</v>
      </c>
      <c r="B1117" s="293" t="s">
        <v>5666</v>
      </c>
      <c r="C1117" s="293" t="s">
        <v>6473</v>
      </c>
      <c r="D1117" s="293" t="s">
        <v>5859</v>
      </c>
      <c r="E1117" s="293" t="s">
        <v>6474</v>
      </c>
      <c r="F1117" s="293" t="s">
        <v>7157</v>
      </c>
      <c r="G1117" s="293" t="s">
        <v>5593</v>
      </c>
      <c r="H1117" s="294">
        <v>42308</v>
      </c>
      <c r="I1117" s="295">
        <v>-14668.67</v>
      </c>
    </row>
    <row r="1118" spans="1:9" x14ac:dyDescent="0.2">
      <c r="A1118" s="293" t="s">
        <v>7173</v>
      </c>
      <c r="B1118" s="293" t="s">
        <v>5666</v>
      </c>
      <c r="C1118" s="293" t="s">
        <v>6920</v>
      </c>
      <c r="D1118" s="293" t="s">
        <v>5859</v>
      </c>
      <c r="E1118" s="293" t="s">
        <v>6921</v>
      </c>
      <c r="F1118" s="293" t="s">
        <v>7157</v>
      </c>
      <c r="G1118" s="293" t="s">
        <v>5754</v>
      </c>
      <c r="H1118" s="294">
        <v>42308</v>
      </c>
      <c r="I1118" s="295">
        <v>-8710.42</v>
      </c>
    </row>
    <row r="1119" spans="1:9" x14ac:dyDescent="0.2">
      <c r="A1119" s="293" t="s">
        <v>7174</v>
      </c>
      <c r="B1119" s="293" t="s">
        <v>6010</v>
      </c>
      <c r="C1119" s="293" t="s">
        <v>7154</v>
      </c>
      <c r="D1119" s="293" t="s">
        <v>5859</v>
      </c>
      <c r="E1119" s="293" t="s">
        <v>7080</v>
      </c>
      <c r="F1119" s="293" t="s">
        <v>7175</v>
      </c>
      <c r="G1119" s="293" t="s">
        <v>5755</v>
      </c>
      <c r="H1119" s="294">
        <v>42308</v>
      </c>
      <c r="I1119" s="295">
        <v>-7028.09</v>
      </c>
    </row>
    <row r="1120" spans="1:9" x14ac:dyDescent="0.2">
      <c r="A1120" s="293" t="s">
        <v>7176</v>
      </c>
      <c r="B1120" s="293" t="s">
        <v>6010</v>
      </c>
      <c r="C1120" s="293" t="s">
        <v>7177</v>
      </c>
      <c r="D1120" s="293" t="s">
        <v>5859</v>
      </c>
      <c r="E1120" s="293" t="s">
        <v>5088</v>
      </c>
      <c r="F1120" s="293" t="s">
        <v>7178</v>
      </c>
      <c r="G1120" s="293" t="s">
        <v>5755</v>
      </c>
      <c r="H1120" s="294">
        <v>42347</v>
      </c>
      <c r="I1120" s="295">
        <v>208.43</v>
      </c>
    </row>
    <row r="1121" spans="1:9" x14ac:dyDescent="0.2">
      <c r="A1121" s="293" t="s">
        <v>7179</v>
      </c>
      <c r="B1121" s="293" t="s">
        <v>5666</v>
      </c>
      <c r="C1121" s="293" t="s">
        <v>6027</v>
      </c>
      <c r="D1121" s="293" t="s">
        <v>5859</v>
      </c>
      <c r="E1121" s="293" t="s">
        <v>6028</v>
      </c>
      <c r="F1121" s="293" t="s">
        <v>7180</v>
      </c>
      <c r="G1121" s="293" t="s">
        <v>5573</v>
      </c>
      <c r="H1121" s="294">
        <v>42338</v>
      </c>
      <c r="I1121" s="295">
        <v>-6400.96</v>
      </c>
    </row>
    <row r="1122" spans="1:9" x14ac:dyDescent="0.2">
      <c r="A1122" s="293" t="s">
        <v>7181</v>
      </c>
      <c r="B1122" s="293" t="s">
        <v>5666</v>
      </c>
      <c r="C1122" s="293" t="s">
        <v>6030</v>
      </c>
      <c r="D1122" s="293" t="s">
        <v>5859</v>
      </c>
      <c r="E1122" s="293" t="s">
        <v>6028</v>
      </c>
      <c r="F1122" s="293" t="s">
        <v>7180</v>
      </c>
      <c r="G1122" s="293" t="s">
        <v>5573</v>
      </c>
      <c r="H1122" s="294">
        <v>42338</v>
      </c>
      <c r="I1122" s="295">
        <v>-130.22</v>
      </c>
    </row>
    <row r="1123" spans="1:9" x14ac:dyDescent="0.2">
      <c r="A1123" s="293" t="s">
        <v>7182</v>
      </c>
      <c r="B1123" s="293" t="s">
        <v>5666</v>
      </c>
      <c r="C1123" s="293" t="s">
        <v>6032</v>
      </c>
      <c r="D1123" s="293" t="s">
        <v>5859</v>
      </c>
      <c r="E1123" s="293" t="s">
        <v>6033</v>
      </c>
      <c r="F1123" s="293" t="s">
        <v>7180</v>
      </c>
      <c r="G1123" s="293" t="s">
        <v>5585</v>
      </c>
      <c r="H1123" s="294">
        <v>42338</v>
      </c>
      <c r="I1123" s="295">
        <v>-6872.38</v>
      </c>
    </row>
    <row r="1124" spans="1:9" x14ac:dyDescent="0.2">
      <c r="A1124" s="293" t="s">
        <v>7183</v>
      </c>
      <c r="B1124" s="293" t="s">
        <v>5666</v>
      </c>
      <c r="C1124" s="293" t="s">
        <v>6035</v>
      </c>
      <c r="D1124" s="293" t="s">
        <v>5859</v>
      </c>
      <c r="E1124" s="293" t="s">
        <v>6033</v>
      </c>
      <c r="F1124" s="293" t="s">
        <v>7180</v>
      </c>
      <c r="G1124" s="293" t="s">
        <v>5585</v>
      </c>
      <c r="H1124" s="294">
        <v>42338</v>
      </c>
      <c r="I1124" s="295">
        <v>-4630.24</v>
      </c>
    </row>
    <row r="1125" spans="1:9" x14ac:dyDescent="0.2">
      <c r="A1125" s="293" t="s">
        <v>7184</v>
      </c>
      <c r="B1125" s="293" t="s">
        <v>5666</v>
      </c>
      <c r="C1125" s="293" t="s">
        <v>6037</v>
      </c>
      <c r="D1125" s="293" t="s">
        <v>5859</v>
      </c>
      <c r="E1125" s="293" t="s">
        <v>6038</v>
      </c>
      <c r="F1125" s="293" t="s">
        <v>7180</v>
      </c>
      <c r="G1125" s="293" t="s">
        <v>5586</v>
      </c>
      <c r="H1125" s="294">
        <v>42338</v>
      </c>
      <c r="I1125" s="295">
        <v>-3059.89</v>
      </c>
    </row>
    <row r="1126" spans="1:9" x14ac:dyDescent="0.2">
      <c r="A1126" s="293" t="s">
        <v>7185</v>
      </c>
      <c r="B1126" s="293" t="s">
        <v>5666</v>
      </c>
      <c r="C1126" s="293" t="s">
        <v>6040</v>
      </c>
      <c r="D1126" s="293" t="s">
        <v>5859</v>
      </c>
      <c r="E1126" s="293" t="s">
        <v>6041</v>
      </c>
      <c r="F1126" s="293" t="s">
        <v>7180</v>
      </c>
      <c r="G1126" s="293" t="s">
        <v>5581</v>
      </c>
      <c r="H1126" s="294">
        <v>42338</v>
      </c>
      <c r="I1126" s="295">
        <v>-8058.13</v>
      </c>
    </row>
    <row r="1127" spans="1:9" x14ac:dyDescent="0.2">
      <c r="A1127" s="293" t="s">
        <v>7186</v>
      </c>
      <c r="B1127" s="293" t="s">
        <v>5666</v>
      </c>
      <c r="C1127" s="293" t="s">
        <v>6049</v>
      </c>
      <c r="D1127" s="293" t="s">
        <v>5859</v>
      </c>
      <c r="E1127" s="293" t="s">
        <v>6050</v>
      </c>
      <c r="F1127" s="293" t="s">
        <v>7180</v>
      </c>
      <c r="G1127" s="293" t="s">
        <v>5590</v>
      </c>
      <c r="H1127" s="294">
        <v>42338</v>
      </c>
      <c r="I1127" s="295">
        <v>-12467.89</v>
      </c>
    </row>
    <row r="1128" spans="1:9" x14ac:dyDescent="0.2">
      <c r="A1128" s="293" t="s">
        <v>7187</v>
      </c>
      <c r="B1128" s="293" t="s">
        <v>5666</v>
      </c>
      <c r="C1128" s="293" t="s">
        <v>6052</v>
      </c>
      <c r="D1128" s="293" t="s">
        <v>5859</v>
      </c>
      <c r="E1128" s="293" t="s">
        <v>5817</v>
      </c>
      <c r="F1128" s="293" t="s">
        <v>7180</v>
      </c>
      <c r="G1128" s="293" t="s">
        <v>5577</v>
      </c>
      <c r="H1128" s="294">
        <v>42338</v>
      </c>
      <c r="I1128" s="295">
        <v>-7696.08</v>
      </c>
    </row>
    <row r="1129" spans="1:9" x14ac:dyDescent="0.2">
      <c r="A1129" s="293" t="s">
        <v>7188</v>
      </c>
      <c r="B1129" s="293" t="s">
        <v>5666</v>
      </c>
      <c r="C1129" s="293" t="s">
        <v>6054</v>
      </c>
      <c r="D1129" s="293" t="s">
        <v>5859</v>
      </c>
      <c r="E1129" s="293" t="s">
        <v>5817</v>
      </c>
      <c r="F1129" s="293" t="s">
        <v>7180</v>
      </c>
      <c r="G1129" s="293" t="s">
        <v>5577</v>
      </c>
      <c r="H1129" s="294">
        <v>42338</v>
      </c>
      <c r="I1129" s="295">
        <v>-3633.17</v>
      </c>
    </row>
    <row r="1130" spans="1:9" x14ac:dyDescent="0.2">
      <c r="A1130" s="293" t="s">
        <v>7189</v>
      </c>
      <c r="B1130" s="293" t="s">
        <v>5666</v>
      </c>
      <c r="C1130" s="293" t="s">
        <v>6056</v>
      </c>
      <c r="D1130" s="293" t="s">
        <v>5859</v>
      </c>
      <c r="E1130" s="293" t="s">
        <v>6057</v>
      </c>
      <c r="F1130" s="293" t="s">
        <v>7180</v>
      </c>
      <c r="G1130" s="293" t="s">
        <v>5578</v>
      </c>
      <c r="H1130" s="294">
        <v>42338</v>
      </c>
      <c r="I1130" s="295">
        <v>-4399.9399999999996</v>
      </c>
    </row>
    <row r="1131" spans="1:9" x14ac:dyDescent="0.2">
      <c r="A1131" s="293" t="s">
        <v>7190</v>
      </c>
      <c r="B1131" s="293" t="s">
        <v>5666</v>
      </c>
      <c r="C1131" s="293" t="s">
        <v>6062</v>
      </c>
      <c r="D1131" s="293" t="s">
        <v>5859</v>
      </c>
      <c r="E1131" s="293" t="s">
        <v>6063</v>
      </c>
      <c r="F1131" s="293" t="s">
        <v>7180</v>
      </c>
      <c r="G1131" s="293" t="s">
        <v>5579</v>
      </c>
      <c r="H1131" s="294">
        <v>42338</v>
      </c>
      <c r="I1131" s="295">
        <v>-2351.71</v>
      </c>
    </row>
    <row r="1132" spans="1:9" x14ac:dyDescent="0.2">
      <c r="A1132" s="293" t="s">
        <v>7191</v>
      </c>
      <c r="B1132" s="293" t="s">
        <v>5666</v>
      </c>
      <c r="C1132" s="293" t="s">
        <v>6065</v>
      </c>
      <c r="D1132" s="293" t="s">
        <v>5859</v>
      </c>
      <c r="E1132" s="293" t="s">
        <v>6063</v>
      </c>
      <c r="F1132" s="293" t="s">
        <v>7180</v>
      </c>
      <c r="G1132" s="293" t="s">
        <v>5579</v>
      </c>
      <c r="H1132" s="294">
        <v>42338</v>
      </c>
      <c r="I1132" s="295">
        <v>-63.12</v>
      </c>
    </row>
    <row r="1133" spans="1:9" x14ac:dyDescent="0.2">
      <c r="A1133" s="293" t="s">
        <v>7192</v>
      </c>
      <c r="B1133" s="293" t="s">
        <v>5666</v>
      </c>
      <c r="C1133" s="293" t="s">
        <v>6067</v>
      </c>
      <c r="D1133" s="293" t="s">
        <v>5859</v>
      </c>
      <c r="E1133" s="293" t="s">
        <v>5817</v>
      </c>
      <c r="F1133" s="293" t="s">
        <v>7180</v>
      </c>
      <c r="G1133" s="293" t="s">
        <v>5591</v>
      </c>
      <c r="H1133" s="294">
        <v>42338</v>
      </c>
      <c r="I1133" s="295">
        <v>-6308.36</v>
      </c>
    </row>
    <row r="1134" spans="1:9" x14ac:dyDescent="0.2">
      <c r="A1134" s="293" t="s">
        <v>7193</v>
      </c>
      <c r="B1134" s="293" t="s">
        <v>5666</v>
      </c>
      <c r="C1134" s="293" t="s">
        <v>6069</v>
      </c>
      <c r="D1134" s="293" t="s">
        <v>5859</v>
      </c>
      <c r="E1134" s="293" t="s">
        <v>5817</v>
      </c>
      <c r="F1134" s="293" t="s">
        <v>7180</v>
      </c>
      <c r="G1134" s="293" t="s">
        <v>5591</v>
      </c>
      <c r="H1134" s="294">
        <v>42338</v>
      </c>
      <c r="I1134" s="295">
        <v>-7695.19</v>
      </c>
    </row>
    <row r="1135" spans="1:9" x14ac:dyDescent="0.2">
      <c r="A1135" s="293" t="s">
        <v>7194</v>
      </c>
      <c r="B1135" s="293" t="s">
        <v>5666</v>
      </c>
      <c r="C1135" s="293" t="s">
        <v>6471</v>
      </c>
      <c r="D1135" s="293" t="s">
        <v>5859</v>
      </c>
      <c r="E1135" s="293" t="s">
        <v>6829</v>
      </c>
      <c r="F1135" s="293" t="s">
        <v>7180</v>
      </c>
      <c r="G1135" s="293" t="s">
        <v>5589</v>
      </c>
      <c r="H1135" s="294">
        <v>42338</v>
      </c>
      <c r="I1135" s="295">
        <v>-7123.53</v>
      </c>
    </row>
    <row r="1136" spans="1:9" x14ac:dyDescent="0.2">
      <c r="A1136" s="293" t="s">
        <v>7195</v>
      </c>
      <c r="B1136" s="293" t="s">
        <v>5666</v>
      </c>
      <c r="C1136" s="293" t="s">
        <v>6473</v>
      </c>
      <c r="D1136" s="293" t="s">
        <v>5859</v>
      </c>
      <c r="E1136" s="293" t="s">
        <v>6474</v>
      </c>
      <c r="F1136" s="293" t="s">
        <v>7180</v>
      </c>
      <c r="G1136" s="293" t="s">
        <v>5593</v>
      </c>
      <c r="H1136" s="294">
        <v>42338</v>
      </c>
      <c r="I1136" s="295">
        <v>-14668.67</v>
      </c>
    </row>
    <row r="1137" spans="1:9" x14ac:dyDescent="0.2">
      <c r="A1137" s="293" t="s">
        <v>7196</v>
      </c>
      <c r="B1137" s="293" t="s">
        <v>5666</v>
      </c>
      <c r="C1137" s="293" t="s">
        <v>6920</v>
      </c>
      <c r="D1137" s="293" t="s">
        <v>5859</v>
      </c>
      <c r="E1137" s="293" t="s">
        <v>6921</v>
      </c>
      <c r="F1137" s="293" t="s">
        <v>7180</v>
      </c>
      <c r="G1137" s="293" t="s">
        <v>5754</v>
      </c>
      <c r="H1137" s="294">
        <v>42338</v>
      </c>
      <c r="I1137" s="295">
        <v>-8710.42</v>
      </c>
    </row>
    <row r="1138" spans="1:9" x14ac:dyDescent="0.2">
      <c r="A1138" s="293" t="s">
        <v>7197</v>
      </c>
      <c r="B1138" s="293" t="s">
        <v>6010</v>
      </c>
      <c r="C1138" s="293" t="s">
        <v>7198</v>
      </c>
      <c r="D1138" s="293" t="s">
        <v>5859</v>
      </c>
      <c r="E1138" s="293" t="s">
        <v>7080</v>
      </c>
      <c r="F1138" s="293" t="s">
        <v>7199</v>
      </c>
      <c r="G1138" s="293" t="s">
        <v>5755</v>
      </c>
      <c r="H1138" s="294">
        <v>42338</v>
      </c>
      <c r="I1138" s="295">
        <v>-7027.14</v>
      </c>
    </row>
    <row r="1139" spans="1:9" x14ac:dyDescent="0.2">
      <c r="A1139" s="293" t="s">
        <v>7200</v>
      </c>
      <c r="B1139" s="293" t="s">
        <v>5666</v>
      </c>
      <c r="C1139" s="293" t="s">
        <v>6027</v>
      </c>
      <c r="D1139" s="293" t="s">
        <v>5859</v>
      </c>
      <c r="E1139" s="293" t="s">
        <v>6028</v>
      </c>
      <c r="F1139" s="293" t="s">
        <v>7201</v>
      </c>
      <c r="G1139" s="293" t="s">
        <v>5573</v>
      </c>
      <c r="H1139" s="294">
        <v>42369</v>
      </c>
      <c r="I1139" s="295">
        <v>-6400.96</v>
      </c>
    </row>
    <row r="1140" spans="1:9" x14ac:dyDescent="0.2">
      <c r="A1140" s="293" t="s">
        <v>7202</v>
      </c>
      <c r="B1140" s="293" t="s">
        <v>5666</v>
      </c>
      <c r="C1140" s="293" t="s">
        <v>6030</v>
      </c>
      <c r="D1140" s="293" t="s">
        <v>5859</v>
      </c>
      <c r="E1140" s="293" t="s">
        <v>6028</v>
      </c>
      <c r="F1140" s="293" t="s">
        <v>7201</v>
      </c>
      <c r="G1140" s="293" t="s">
        <v>5573</v>
      </c>
      <c r="H1140" s="294">
        <v>42369</v>
      </c>
      <c r="I1140" s="295">
        <v>-130.22</v>
      </c>
    </row>
    <row r="1141" spans="1:9" x14ac:dyDescent="0.2">
      <c r="A1141" s="293" t="s">
        <v>7203</v>
      </c>
      <c r="B1141" s="293" t="s">
        <v>5666</v>
      </c>
      <c r="C1141" s="293" t="s">
        <v>6032</v>
      </c>
      <c r="D1141" s="293" t="s">
        <v>5859</v>
      </c>
      <c r="E1141" s="293" t="s">
        <v>6033</v>
      </c>
      <c r="F1141" s="293" t="s">
        <v>7201</v>
      </c>
      <c r="G1141" s="293" t="s">
        <v>5585</v>
      </c>
      <c r="H1141" s="294">
        <v>42369</v>
      </c>
      <c r="I1141" s="295">
        <v>-6872.38</v>
      </c>
    </row>
    <row r="1142" spans="1:9" x14ac:dyDescent="0.2">
      <c r="A1142" s="293" t="s">
        <v>7204</v>
      </c>
      <c r="B1142" s="293" t="s">
        <v>5666</v>
      </c>
      <c r="C1142" s="293" t="s">
        <v>6035</v>
      </c>
      <c r="D1142" s="293" t="s">
        <v>5859</v>
      </c>
      <c r="E1142" s="293" t="s">
        <v>6033</v>
      </c>
      <c r="F1142" s="293" t="s">
        <v>7201</v>
      </c>
      <c r="G1142" s="293" t="s">
        <v>5585</v>
      </c>
      <c r="H1142" s="294">
        <v>42369</v>
      </c>
      <c r="I1142" s="295">
        <v>-4630.24</v>
      </c>
    </row>
    <row r="1143" spans="1:9" x14ac:dyDescent="0.2">
      <c r="A1143" s="293" t="s">
        <v>7205</v>
      </c>
      <c r="B1143" s="293" t="s">
        <v>5666</v>
      </c>
      <c r="C1143" s="293" t="s">
        <v>6037</v>
      </c>
      <c r="D1143" s="293" t="s">
        <v>5859</v>
      </c>
      <c r="E1143" s="293" t="s">
        <v>6038</v>
      </c>
      <c r="F1143" s="293" t="s">
        <v>7201</v>
      </c>
      <c r="G1143" s="293" t="s">
        <v>5586</v>
      </c>
      <c r="H1143" s="294">
        <v>42369</v>
      </c>
      <c r="I1143" s="295">
        <v>-3059.89</v>
      </c>
    </row>
    <row r="1144" spans="1:9" x14ac:dyDescent="0.2">
      <c r="A1144" s="293" t="s">
        <v>7206</v>
      </c>
      <c r="B1144" s="293" t="s">
        <v>5666</v>
      </c>
      <c r="C1144" s="293" t="s">
        <v>6040</v>
      </c>
      <c r="D1144" s="293" t="s">
        <v>5859</v>
      </c>
      <c r="E1144" s="293" t="s">
        <v>6041</v>
      </c>
      <c r="F1144" s="293" t="s">
        <v>7201</v>
      </c>
      <c r="G1144" s="293" t="s">
        <v>5581</v>
      </c>
      <c r="H1144" s="294">
        <v>42369</v>
      </c>
      <c r="I1144" s="295">
        <v>-8058.13</v>
      </c>
    </row>
    <row r="1145" spans="1:9" x14ac:dyDescent="0.2">
      <c r="A1145" s="293" t="s">
        <v>7207</v>
      </c>
      <c r="B1145" s="293" t="s">
        <v>5666</v>
      </c>
      <c r="C1145" s="293" t="s">
        <v>6049</v>
      </c>
      <c r="D1145" s="293" t="s">
        <v>5859</v>
      </c>
      <c r="E1145" s="293" t="s">
        <v>6050</v>
      </c>
      <c r="F1145" s="293" t="s">
        <v>7201</v>
      </c>
      <c r="G1145" s="293" t="s">
        <v>5590</v>
      </c>
      <c r="H1145" s="294">
        <v>42369</v>
      </c>
      <c r="I1145" s="295">
        <v>-12467.89</v>
      </c>
    </row>
    <row r="1146" spans="1:9" x14ac:dyDescent="0.2">
      <c r="A1146" s="293" t="s">
        <v>7208</v>
      </c>
      <c r="B1146" s="293" t="s">
        <v>5666</v>
      </c>
      <c r="C1146" s="293" t="s">
        <v>6052</v>
      </c>
      <c r="D1146" s="293" t="s">
        <v>5859</v>
      </c>
      <c r="E1146" s="293" t="s">
        <v>5817</v>
      </c>
      <c r="F1146" s="293" t="s">
        <v>7201</v>
      </c>
      <c r="G1146" s="293" t="s">
        <v>5577</v>
      </c>
      <c r="H1146" s="294">
        <v>42369</v>
      </c>
      <c r="I1146" s="295">
        <v>-7696.08</v>
      </c>
    </row>
    <row r="1147" spans="1:9" x14ac:dyDescent="0.2">
      <c r="A1147" s="293" t="s">
        <v>7209</v>
      </c>
      <c r="B1147" s="293" t="s">
        <v>5666</v>
      </c>
      <c r="C1147" s="293" t="s">
        <v>6054</v>
      </c>
      <c r="D1147" s="293" t="s">
        <v>5859</v>
      </c>
      <c r="E1147" s="293" t="s">
        <v>5817</v>
      </c>
      <c r="F1147" s="293" t="s">
        <v>7201</v>
      </c>
      <c r="G1147" s="293" t="s">
        <v>5577</v>
      </c>
      <c r="H1147" s="294">
        <v>42369</v>
      </c>
      <c r="I1147" s="295">
        <v>-3633.17</v>
      </c>
    </row>
    <row r="1148" spans="1:9" x14ac:dyDescent="0.2">
      <c r="A1148" s="293" t="s">
        <v>7210</v>
      </c>
      <c r="B1148" s="293" t="s">
        <v>5666</v>
      </c>
      <c r="C1148" s="293" t="s">
        <v>6056</v>
      </c>
      <c r="D1148" s="293" t="s">
        <v>5859</v>
      </c>
      <c r="E1148" s="293" t="s">
        <v>6057</v>
      </c>
      <c r="F1148" s="293" t="s">
        <v>7201</v>
      </c>
      <c r="G1148" s="293" t="s">
        <v>5578</v>
      </c>
      <c r="H1148" s="294">
        <v>42369</v>
      </c>
      <c r="I1148" s="295">
        <v>-4399.9399999999996</v>
      </c>
    </row>
    <row r="1149" spans="1:9" x14ac:dyDescent="0.2">
      <c r="A1149" s="293" t="s">
        <v>7211</v>
      </c>
      <c r="B1149" s="293" t="s">
        <v>5666</v>
      </c>
      <c r="C1149" s="293" t="s">
        <v>6062</v>
      </c>
      <c r="D1149" s="293" t="s">
        <v>5859</v>
      </c>
      <c r="E1149" s="293" t="s">
        <v>6063</v>
      </c>
      <c r="F1149" s="293" t="s">
        <v>7201</v>
      </c>
      <c r="G1149" s="293" t="s">
        <v>5579</v>
      </c>
      <c r="H1149" s="294">
        <v>42369</v>
      </c>
      <c r="I1149" s="295">
        <v>-2351.71</v>
      </c>
    </row>
    <row r="1150" spans="1:9" x14ac:dyDescent="0.2">
      <c r="A1150" s="293" t="s">
        <v>7212</v>
      </c>
      <c r="B1150" s="293" t="s">
        <v>5666</v>
      </c>
      <c r="C1150" s="293" t="s">
        <v>6065</v>
      </c>
      <c r="D1150" s="293" t="s">
        <v>5859</v>
      </c>
      <c r="E1150" s="293" t="s">
        <v>6063</v>
      </c>
      <c r="F1150" s="293" t="s">
        <v>7201</v>
      </c>
      <c r="G1150" s="293" t="s">
        <v>5579</v>
      </c>
      <c r="H1150" s="294">
        <v>42369</v>
      </c>
      <c r="I1150" s="295">
        <v>-63.12</v>
      </c>
    </row>
    <row r="1151" spans="1:9" x14ac:dyDescent="0.2">
      <c r="A1151" s="293" t="s">
        <v>7213</v>
      </c>
      <c r="B1151" s="293" t="s">
        <v>5666</v>
      </c>
      <c r="C1151" s="293" t="s">
        <v>6067</v>
      </c>
      <c r="D1151" s="293" t="s">
        <v>5859</v>
      </c>
      <c r="E1151" s="293" t="s">
        <v>5817</v>
      </c>
      <c r="F1151" s="293" t="s">
        <v>7201</v>
      </c>
      <c r="G1151" s="293" t="s">
        <v>5591</v>
      </c>
      <c r="H1151" s="294">
        <v>42369</v>
      </c>
      <c r="I1151" s="295">
        <v>-6308.36</v>
      </c>
    </row>
    <row r="1152" spans="1:9" x14ac:dyDescent="0.2">
      <c r="A1152" s="293" t="s">
        <v>7214</v>
      </c>
      <c r="B1152" s="293" t="s">
        <v>5666</v>
      </c>
      <c r="C1152" s="293" t="s">
        <v>6069</v>
      </c>
      <c r="D1152" s="293" t="s">
        <v>5859</v>
      </c>
      <c r="E1152" s="293" t="s">
        <v>5817</v>
      </c>
      <c r="F1152" s="293" t="s">
        <v>7201</v>
      </c>
      <c r="G1152" s="293" t="s">
        <v>5591</v>
      </c>
      <c r="H1152" s="294">
        <v>42369</v>
      </c>
      <c r="I1152" s="295">
        <v>-7695.19</v>
      </c>
    </row>
    <row r="1153" spans="1:9" x14ac:dyDescent="0.2">
      <c r="A1153" s="293" t="s">
        <v>7215</v>
      </c>
      <c r="B1153" s="293" t="s">
        <v>5666</v>
      </c>
      <c r="C1153" s="293" t="s">
        <v>6471</v>
      </c>
      <c r="D1153" s="293" t="s">
        <v>5859</v>
      </c>
      <c r="E1153" s="293" t="s">
        <v>6829</v>
      </c>
      <c r="F1153" s="293" t="s">
        <v>7201</v>
      </c>
      <c r="G1153" s="293" t="s">
        <v>5589</v>
      </c>
      <c r="H1153" s="294">
        <v>42369</v>
      </c>
      <c r="I1153" s="295">
        <v>-7123.53</v>
      </c>
    </row>
    <row r="1154" spans="1:9" x14ac:dyDescent="0.2">
      <c r="A1154" s="293" t="s">
        <v>7216</v>
      </c>
      <c r="B1154" s="293" t="s">
        <v>5666</v>
      </c>
      <c r="C1154" s="293" t="s">
        <v>6473</v>
      </c>
      <c r="D1154" s="293" t="s">
        <v>5859</v>
      </c>
      <c r="E1154" s="293" t="s">
        <v>6474</v>
      </c>
      <c r="F1154" s="293" t="s">
        <v>7201</v>
      </c>
      <c r="G1154" s="293" t="s">
        <v>5593</v>
      </c>
      <c r="H1154" s="294">
        <v>42369</v>
      </c>
      <c r="I1154" s="295">
        <v>-14668.67</v>
      </c>
    </row>
    <row r="1155" spans="1:9" x14ac:dyDescent="0.2">
      <c r="A1155" s="293" t="s">
        <v>7217</v>
      </c>
      <c r="B1155" s="293" t="s">
        <v>5666</v>
      </c>
      <c r="C1155" s="293" t="s">
        <v>6920</v>
      </c>
      <c r="D1155" s="293" t="s">
        <v>5859</v>
      </c>
      <c r="E1155" s="293" t="s">
        <v>6921</v>
      </c>
      <c r="F1155" s="293" t="s">
        <v>7201</v>
      </c>
      <c r="G1155" s="293" t="s">
        <v>5754</v>
      </c>
      <c r="H1155" s="294">
        <v>42369</v>
      </c>
      <c r="I1155" s="295">
        <v>-8710.42</v>
      </c>
    </row>
    <row r="1156" spans="1:9" x14ac:dyDescent="0.2">
      <c r="A1156" s="293" t="s">
        <v>7218</v>
      </c>
      <c r="B1156" s="293" t="s">
        <v>5666</v>
      </c>
      <c r="C1156" s="293" t="s">
        <v>7219</v>
      </c>
      <c r="D1156" s="293" t="s">
        <v>5859</v>
      </c>
      <c r="E1156" s="293" t="s">
        <v>7080</v>
      </c>
      <c r="F1156" s="293" t="s">
        <v>7201</v>
      </c>
      <c r="G1156" s="293" t="s">
        <v>5755</v>
      </c>
      <c r="H1156" s="294">
        <v>42369</v>
      </c>
      <c r="I1156" s="295">
        <v>-7028.09</v>
      </c>
    </row>
    <row r="1157" spans="1:9" x14ac:dyDescent="0.2">
      <c r="A1157" s="293" t="s">
        <v>7220</v>
      </c>
      <c r="B1157" s="293" t="s">
        <v>6010</v>
      </c>
      <c r="C1157" s="293" t="s">
        <v>7079</v>
      </c>
      <c r="D1157" s="293" t="s">
        <v>5859</v>
      </c>
      <c r="E1157" s="293" t="s">
        <v>7221</v>
      </c>
      <c r="F1157" s="293" t="s">
        <v>7222</v>
      </c>
      <c r="G1157" s="293" t="s">
        <v>5755</v>
      </c>
      <c r="H1157" s="294">
        <v>42369</v>
      </c>
      <c r="I1157" s="295">
        <v>-208.43</v>
      </c>
    </row>
    <row r="1158" spans="1:9" x14ac:dyDescent="0.2">
      <c r="A1158" s="293" t="s">
        <v>7223</v>
      </c>
      <c r="B1158" s="293" t="s">
        <v>5666</v>
      </c>
      <c r="C1158" s="293" t="s">
        <v>6027</v>
      </c>
      <c r="D1158" s="293" t="s">
        <v>5859</v>
      </c>
      <c r="E1158" s="293" t="s">
        <v>6028</v>
      </c>
      <c r="F1158" s="293" t="s">
        <v>7224</v>
      </c>
      <c r="G1158" s="293" t="s">
        <v>5573</v>
      </c>
      <c r="H1158" s="294">
        <v>42400</v>
      </c>
      <c r="I1158" s="295">
        <v>-6400.96</v>
      </c>
    </row>
    <row r="1159" spans="1:9" x14ac:dyDescent="0.2">
      <c r="A1159" s="293" t="s">
        <v>7225</v>
      </c>
      <c r="B1159" s="293" t="s">
        <v>5666</v>
      </c>
      <c r="C1159" s="293" t="s">
        <v>6030</v>
      </c>
      <c r="D1159" s="293" t="s">
        <v>5859</v>
      </c>
      <c r="E1159" s="293" t="s">
        <v>6028</v>
      </c>
      <c r="F1159" s="293" t="s">
        <v>7224</v>
      </c>
      <c r="G1159" s="293" t="s">
        <v>5573</v>
      </c>
      <c r="H1159" s="294">
        <v>42400</v>
      </c>
      <c r="I1159" s="295">
        <v>-130.22</v>
      </c>
    </row>
    <row r="1160" spans="1:9" x14ac:dyDescent="0.2">
      <c r="A1160" s="293" t="s">
        <v>7226</v>
      </c>
      <c r="B1160" s="293" t="s">
        <v>5666</v>
      </c>
      <c r="C1160" s="293" t="s">
        <v>6032</v>
      </c>
      <c r="D1160" s="293" t="s">
        <v>5859</v>
      </c>
      <c r="E1160" s="293" t="s">
        <v>6033</v>
      </c>
      <c r="F1160" s="293" t="s">
        <v>7224</v>
      </c>
      <c r="G1160" s="293" t="s">
        <v>5585</v>
      </c>
      <c r="H1160" s="294">
        <v>42400</v>
      </c>
      <c r="I1160" s="295">
        <v>-6872.38</v>
      </c>
    </row>
    <row r="1161" spans="1:9" x14ac:dyDescent="0.2">
      <c r="A1161" s="293" t="s">
        <v>7227</v>
      </c>
      <c r="B1161" s="293" t="s">
        <v>5666</v>
      </c>
      <c r="C1161" s="293" t="s">
        <v>6035</v>
      </c>
      <c r="D1161" s="293" t="s">
        <v>5859</v>
      </c>
      <c r="E1161" s="293" t="s">
        <v>6033</v>
      </c>
      <c r="F1161" s="293" t="s">
        <v>7224</v>
      </c>
      <c r="G1161" s="293" t="s">
        <v>5585</v>
      </c>
      <c r="H1161" s="294">
        <v>42400</v>
      </c>
      <c r="I1161" s="295">
        <v>-4630.24</v>
      </c>
    </row>
    <row r="1162" spans="1:9" x14ac:dyDescent="0.2">
      <c r="A1162" s="293" t="s">
        <v>7228</v>
      </c>
      <c r="B1162" s="293" t="s">
        <v>5666</v>
      </c>
      <c r="C1162" s="293" t="s">
        <v>6037</v>
      </c>
      <c r="D1162" s="293" t="s">
        <v>5859</v>
      </c>
      <c r="E1162" s="293" t="s">
        <v>6038</v>
      </c>
      <c r="F1162" s="293" t="s">
        <v>7224</v>
      </c>
      <c r="G1162" s="293" t="s">
        <v>5586</v>
      </c>
      <c r="H1162" s="294">
        <v>42400</v>
      </c>
      <c r="I1162" s="295">
        <v>-3059.89</v>
      </c>
    </row>
    <row r="1163" spans="1:9" x14ac:dyDescent="0.2">
      <c r="A1163" s="293" t="s">
        <v>7229</v>
      </c>
      <c r="B1163" s="293" t="s">
        <v>5666</v>
      </c>
      <c r="C1163" s="293" t="s">
        <v>6040</v>
      </c>
      <c r="D1163" s="293" t="s">
        <v>5859</v>
      </c>
      <c r="E1163" s="293" t="s">
        <v>6041</v>
      </c>
      <c r="F1163" s="293" t="s">
        <v>7224</v>
      </c>
      <c r="G1163" s="293" t="s">
        <v>5581</v>
      </c>
      <c r="H1163" s="294">
        <v>42400</v>
      </c>
      <c r="I1163" s="295">
        <v>-8058.13</v>
      </c>
    </row>
    <row r="1164" spans="1:9" x14ac:dyDescent="0.2">
      <c r="A1164" s="293" t="s">
        <v>7230</v>
      </c>
      <c r="B1164" s="293" t="s">
        <v>5666</v>
      </c>
      <c r="C1164" s="293" t="s">
        <v>6049</v>
      </c>
      <c r="D1164" s="293" t="s">
        <v>5859</v>
      </c>
      <c r="E1164" s="293" t="s">
        <v>6050</v>
      </c>
      <c r="F1164" s="293" t="s">
        <v>7224</v>
      </c>
      <c r="G1164" s="293" t="s">
        <v>5590</v>
      </c>
      <c r="H1164" s="294">
        <v>42400</v>
      </c>
      <c r="I1164" s="295">
        <v>-12467.89</v>
      </c>
    </row>
    <row r="1165" spans="1:9" x14ac:dyDescent="0.2">
      <c r="A1165" s="293" t="s">
        <v>7231</v>
      </c>
      <c r="B1165" s="293" t="s">
        <v>5666</v>
      </c>
      <c r="C1165" s="293" t="s">
        <v>6052</v>
      </c>
      <c r="D1165" s="293" t="s">
        <v>5859</v>
      </c>
      <c r="E1165" s="293" t="s">
        <v>5817</v>
      </c>
      <c r="F1165" s="293" t="s">
        <v>7224</v>
      </c>
      <c r="G1165" s="293" t="s">
        <v>5577</v>
      </c>
      <c r="H1165" s="294">
        <v>42400</v>
      </c>
      <c r="I1165" s="295">
        <v>-7696.08</v>
      </c>
    </row>
    <row r="1166" spans="1:9" x14ac:dyDescent="0.2">
      <c r="A1166" s="293" t="s">
        <v>7232</v>
      </c>
      <c r="B1166" s="293" t="s">
        <v>5666</v>
      </c>
      <c r="C1166" s="293" t="s">
        <v>6054</v>
      </c>
      <c r="D1166" s="293" t="s">
        <v>5859</v>
      </c>
      <c r="E1166" s="293" t="s">
        <v>5817</v>
      </c>
      <c r="F1166" s="293" t="s">
        <v>7224</v>
      </c>
      <c r="G1166" s="293" t="s">
        <v>5577</v>
      </c>
      <c r="H1166" s="294">
        <v>42400</v>
      </c>
      <c r="I1166" s="295">
        <v>-3633.17</v>
      </c>
    </row>
    <row r="1167" spans="1:9" x14ac:dyDescent="0.2">
      <c r="A1167" s="293" t="s">
        <v>7233</v>
      </c>
      <c r="B1167" s="293" t="s">
        <v>5666</v>
      </c>
      <c r="C1167" s="293" t="s">
        <v>6056</v>
      </c>
      <c r="D1167" s="293" t="s">
        <v>5859</v>
      </c>
      <c r="E1167" s="293" t="s">
        <v>6057</v>
      </c>
      <c r="F1167" s="293" t="s">
        <v>7224</v>
      </c>
      <c r="G1167" s="293" t="s">
        <v>5578</v>
      </c>
      <c r="H1167" s="294">
        <v>42400</v>
      </c>
      <c r="I1167" s="295">
        <v>-4399.9399999999996</v>
      </c>
    </row>
    <row r="1168" spans="1:9" x14ac:dyDescent="0.2">
      <c r="A1168" s="293" t="s">
        <v>7234</v>
      </c>
      <c r="B1168" s="293" t="s">
        <v>5666</v>
      </c>
      <c r="C1168" s="293" t="s">
        <v>6062</v>
      </c>
      <c r="D1168" s="293" t="s">
        <v>5859</v>
      </c>
      <c r="E1168" s="293" t="s">
        <v>6063</v>
      </c>
      <c r="F1168" s="293" t="s">
        <v>7224</v>
      </c>
      <c r="G1168" s="293" t="s">
        <v>5579</v>
      </c>
      <c r="H1168" s="294">
        <v>42400</v>
      </c>
      <c r="I1168" s="295">
        <v>-2351.71</v>
      </c>
    </row>
    <row r="1169" spans="1:9" x14ac:dyDescent="0.2">
      <c r="A1169" s="293" t="s">
        <v>7235</v>
      </c>
      <c r="B1169" s="293" t="s">
        <v>5666</v>
      </c>
      <c r="C1169" s="293" t="s">
        <v>6065</v>
      </c>
      <c r="D1169" s="293" t="s">
        <v>5859</v>
      </c>
      <c r="E1169" s="293" t="s">
        <v>6063</v>
      </c>
      <c r="F1169" s="293" t="s">
        <v>7224</v>
      </c>
      <c r="G1169" s="293" t="s">
        <v>5579</v>
      </c>
      <c r="H1169" s="294">
        <v>42400</v>
      </c>
      <c r="I1169" s="295">
        <v>-63.12</v>
      </c>
    </row>
    <row r="1170" spans="1:9" x14ac:dyDescent="0.2">
      <c r="A1170" s="293" t="s">
        <v>7236</v>
      </c>
      <c r="B1170" s="293" t="s">
        <v>5666</v>
      </c>
      <c r="C1170" s="293" t="s">
        <v>6067</v>
      </c>
      <c r="D1170" s="293" t="s">
        <v>5859</v>
      </c>
      <c r="E1170" s="293" t="s">
        <v>5817</v>
      </c>
      <c r="F1170" s="293" t="s">
        <v>7224</v>
      </c>
      <c r="G1170" s="293" t="s">
        <v>5591</v>
      </c>
      <c r="H1170" s="294">
        <v>42400</v>
      </c>
      <c r="I1170" s="295">
        <v>-6308.36</v>
      </c>
    </row>
    <row r="1171" spans="1:9" x14ac:dyDescent="0.2">
      <c r="A1171" s="293" t="s">
        <v>7237</v>
      </c>
      <c r="B1171" s="293" t="s">
        <v>5666</v>
      </c>
      <c r="C1171" s="293" t="s">
        <v>6069</v>
      </c>
      <c r="D1171" s="293" t="s">
        <v>5859</v>
      </c>
      <c r="E1171" s="293" t="s">
        <v>5817</v>
      </c>
      <c r="F1171" s="293" t="s">
        <v>7224</v>
      </c>
      <c r="G1171" s="293" t="s">
        <v>5591</v>
      </c>
      <c r="H1171" s="294">
        <v>42400</v>
      </c>
      <c r="I1171" s="295">
        <v>-7695.19</v>
      </c>
    </row>
    <row r="1172" spans="1:9" x14ac:dyDescent="0.2">
      <c r="A1172" s="293" t="s">
        <v>7238</v>
      </c>
      <c r="B1172" s="293" t="s">
        <v>5666</v>
      </c>
      <c r="C1172" s="293" t="s">
        <v>6471</v>
      </c>
      <c r="D1172" s="293" t="s">
        <v>5859</v>
      </c>
      <c r="E1172" s="293" t="s">
        <v>6829</v>
      </c>
      <c r="F1172" s="293" t="s">
        <v>7224</v>
      </c>
      <c r="G1172" s="293" t="s">
        <v>5589</v>
      </c>
      <c r="H1172" s="294">
        <v>42400</v>
      </c>
      <c r="I1172" s="295">
        <v>-7123.53</v>
      </c>
    </row>
    <row r="1173" spans="1:9" x14ac:dyDescent="0.2">
      <c r="A1173" s="293" t="s">
        <v>7239</v>
      </c>
      <c r="B1173" s="293" t="s">
        <v>5666</v>
      </c>
      <c r="C1173" s="293" t="s">
        <v>6473</v>
      </c>
      <c r="D1173" s="293" t="s">
        <v>5859</v>
      </c>
      <c r="E1173" s="293" t="s">
        <v>6474</v>
      </c>
      <c r="F1173" s="293" t="s">
        <v>7224</v>
      </c>
      <c r="G1173" s="293" t="s">
        <v>5593</v>
      </c>
      <c r="H1173" s="294">
        <v>42400</v>
      </c>
      <c r="I1173" s="295">
        <v>-14668.67</v>
      </c>
    </row>
    <row r="1174" spans="1:9" x14ac:dyDescent="0.2">
      <c r="A1174" s="293" t="s">
        <v>7240</v>
      </c>
      <c r="B1174" s="293" t="s">
        <v>5666</v>
      </c>
      <c r="C1174" s="293" t="s">
        <v>6920</v>
      </c>
      <c r="D1174" s="293" t="s">
        <v>5859</v>
      </c>
      <c r="E1174" s="293" t="s">
        <v>6921</v>
      </c>
      <c r="F1174" s="293" t="s">
        <v>7224</v>
      </c>
      <c r="G1174" s="293" t="s">
        <v>5754</v>
      </c>
      <c r="H1174" s="294">
        <v>42400</v>
      </c>
      <c r="I1174" s="295">
        <v>-8710.42</v>
      </c>
    </row>
    <row r="1175" spans="1:9" x14ac:dyDescent="0.2">
      <c r="A1175" s="293" t="s">
        <v>7241</v>
      </c>
      <c r="B1175" s="293" t="s">
        <v>5666</v>
      </c>
      <c r="C1175" s="293" t="s">
        <v>7219</v>
      </c>
      <c r="D1175" s="293" t="s">
        <v>5859</v>
      </c>
      <c r="E1175" s="293" t="s">
        <v>7080</v>
      </c>
      <c r="F1175" s="293" t="s">
        <v>7224</v>
      </c>
      <c r="G1175" s="293" t="s">
        <v>5755</v>
      </c>
      <c r="H1175" s="294">
        <v>42400</v>
      </c>
      <c r="I1175" s="295">
        <v>-7028.09</v>
      </c>
    </row>
    <row r="1176" spans="1:9" x14ac:dyDescent="0.2">
      <c r="A1176" s="293" t="s">
        <v>7242</v>
      </c>
      <c r="B1176" s="293" t="s">
        <v>5983</v>
      </c>
      <c r="C1176" s="293" t="s">
        <v>7243</v>
      </c>
      <c r="D1176" s="293" t="s">
        <v>5859</v>
      </c>
      <c r="E1176" s="293" t="s">
        <v>5088</v>
      </c>
      <c r="F1176" s="293" t="s">
        <v>7244</v>
      </c>
      <c r="G1176" s="293" t="s">
        <v>7245</v>
      </c>
      <c r="H1176" s="294">
        <v>42465</v>
      </c>
      <c r="I1176" s="295">
        <v>702</v>
      </c>
    </row>
    <row r="1177" spans="1:9" x14ac:dyDescent="0.2">
      <c r="A1177" s="293" t="s">
        <v>7246</v>
      </c>
      <c r="B1177" s="293" t="s">
        <v>5666</v>
      </c>
      <c r="C1177" s="293" t="s">
        <v>6027</v>
      </c>
      <c r="D1177" s="293" t="s">
        <v>5859</v>
      </c>
      <c r="E1177" s="293" t="s">
        <v>6028</v>
      </c>
      <c r="F1177" s="293" t="s">
        <v>7247</v>
      </c>
      <c r="G1177" s="293" t="s">
        <v>5573</v>
      </c>
      <c r="H1177" s="294">
        <v>42429</v>
      </c>
      <c r="I1177" s="295">
        <v>-6400.96</v>
      </c>
    </row>
    <row r="1178" spans="1:9" x14ac:dyDescent="0.2">
      <c r="A1178" s="293" t="s">
        <v>7248</v>
      </c>
      <c r="B1178" s="293" t="s">
        <v>5666</v>
      </c>
      <c r="C1178" s="293" t="s">
        <v>6030</v>
      </c>
      <c r="D1178" s="293" t="s">
        <v>5859</v>
      </c>
      <c r="E1178" s="293" t="s">
        <v>6028</v>
      </c>
      <c r="F1178" s="293" t="s">
        <v>7247</v>
      </c>
      <c r="G1178" s="293" t="s">
        <v>5573</v>
      </c>
      <c r="H1178" s="294">
        <v>42429</v>
      </c>
      <c r="I1178" s="295">
        <v>-130.22</v>
      </c>
    </row>
    <row r="1179" spans="1:9" x14ac:dyDescent="0.2">
      <c r="A1179" s="293" t="s">
        <v>7249</v>
      </c>
      <c r="B1179" s="293" t="s">
        <v>5666</v>
      </c>
      <c r="C1179" s="293" t="s">
        <v>6032</v>
      </c>
      <c r="D1179" s="293" t="s">
        <v>5859</v>
      </c>
      <c r="E1179" s="293" t="s">
        <v>6033</v>
      </c>
      <c r="F1179" s="293" t="s">
        <v>7247</v>
      </c>
      <c r="G1179" s="293" t="s">
        <v>5585</v>
      </c>
      <c r="H1179" s="294">
        <v>42429</v>
      </c>
      <c r="I1179" s="295">
        <v>-6872.38</v>
      </c>
    </row>
    <row r="1180" spans="1:9" x14ac:dyDescent="0.2">
      <c r="A1180" s="293" t="s">
        <v>7250</v>
      </c>
      <c r="B1180" s="293" t="s">
        <v>5666</v>
      </c>
      <c r="C1180" s="293" t="s">
        <v>6035</v>
      </c>
      <c r="D1180" s="293" t="s">
        <v>5859</v>
      </c>
      <c r="E1180" s="293" t="s">
        <v>6033</v>
      </c>
      <c r="F1180" s="293" t="s">
        <v>7247</v>
      </c>
      <c r="G1180" s="293" t="s">
        <v>5585</v>
      </c>
      <c r="H1180" s="294">
        <v>42429</v>
      </c>
      <c r="I1180" s="295">
        <v>-4630.24</v>
      </c>
    </row>
    <row r="1181" spans="1:9" x14ac:dyDescent="0.2">
      <c r="A1181" s="293" t="s">
        <v>7251</v>
      </c>
      <c r="B1181" s="293" t="s">
        <v>5666</v>
      </c>
      <c r="C1181" s="293" t="s">
        <v>6037</v>
      </c>
      <c r="D1181" s="293" t="s">
        <v>5859</v>
      </c>
      <c r="E1181" s="293" t="s">
        <v>6038</v>
      </c>
      <c r="F1181" s="293" t="s">
        <v>7247</v>
      </c>
      <c r="G1181" s="293" t="s">
        <v>5586</v>
      </c>
      <c r="H1181" s="294">
        <v>42429</v>
      </c>
      <c r="I1181" s="295">
        <v>-3059.89</v>
      </c>
    </row>
    <row r="1182" spans="1:9" x14ac:dyDescent="0.2">
      <c r="A1182" s="293" t="s">
        <v>7252</v>
      </c>
      <c r="B1182" s="293" t="s">
        <v>5666</v>
      </c>
      <c r="C1182" s="293" t="s">
        <v>6040</v>
      </c>
      <c r="D1182" s="293" t="s">
        <v>5859</v>
      </c>
      <c r="E1182" s="293" t="s">
        <v>6041</v>
      </c>
      <c r="F1182" s="293" t="s">
        <v>7247</v>
      </c>
      <c r="G1182" s="293" t="s">
        <v>5581</v>
      </c>
      <c r="H1182" s="294">
        <v>42429</v>
      </c>
      <c r="I1182" s="295">
        <v>-8058.13</v>
      </c>
    </row>
    <row r="1183" spans="1:9" x14ac:dyDescent="0.2">
      <c r="A1183" s="293" t="s">
        <v>7253</v>
      </c>
      <c r="B1183" s="293" t="s">
        <v>5666</v>
      </c>
      <c r="C1183" s="293" t="s">
        <v>6049</v>
      </c>
      <c r="D1183" s="293" t="s">
        <v>5859</v>
      </c>
      <c r="E1183" s="293" t="s">
        <v>6050</v>
      </c>
      <c r="F1183" s="293" t="s">
        <v>7247</v>
      </c>
      <c r="G1183" s="293" t="s">
        <v>5590</v>
      </c>
      <c r="H1183" s="294">
        <v>42429</v>
      </c>
      <c r="I1183" s="295">
        <v>-12467.89</v>
      </c>
    </row>
    <row r="1184" spans="1:9" x14ac:dyDescent="0.2">
      <c r="A1184" s="293" t="s">
        <v>7254</v>
      </c>
      <c r="B1184" s="293" t="s">
        <v>5666</v>
      </c>
      <c r="C1184" s="293" t="s">
        <v>6052</v>
      </c>
      <c r="D1184" s="293" t="s">
        <v>5859</v>
      </c>
      <c r="E1184" s="293" t="s">
        <v>5817</v>
      </c>
      <c r="F1184" s="293" t="s">
        <v>7247</v>
      </c>
      <c r="G1184" s="293" t="s">
        <v>5577</v>
      </c>
      <c r="H1184" s="294">
        <v>42429</v>
      </c>
      <c r="I1184" s="295">
        <v>-7696.08</v>
      </c>
    </row>
    <row r="1185" spans="1:9" x14ac:dyDescent="0.2">
      <c r="A1185" s="293" t="s">
        <v>7255</v>
      </c>
      <c r="B1185" s="293" t="s">
        <v>5666</v>
      </c>
      <c r="C1185" s="293" t="s">
        <v>6054</v>
      </c>
      <c r="D1185" s="293" t="s">
        <v>5859</v>
      </c>
      <c r="E1185" s="293" t="s">
        <v>5817</v>
      </c>
      <c r="F1185" s="293" t="s">
        <v>7247</v>
      </c>
      <c r="G1185" s="293" t="s">
        <v>5577</v>
      </c>
      <c r="H1185" s="294">
        <v>42429</v>
      </c>
      <c r="I1185" s="295">
        <v>-3633.17</v>
      </c>
    </row>
    <row r="1186" spans="1:9" x14ac:dyDescent="0.2">
      <c r="A1186" s="293" t="s">
        <v>7256</v>
      </c>
      <c r="B1186" s="293" t="s">
        <v>5666</v>
      </c>
      <c r="C1186" s="293" t="s">
        <v>6056</v>
      </c>
      <c r="D1186" s="293" t="s">
        <v>5859</v>
      </c>
      <c r="E1186" s="293" t="s">
        <v>6057</v>
      </c>
      <c r="F1186" s="293" t="s">
        <v>7247</v>
      </c>
      <c r="G1186" s="293" t="s">
        <v>5578</v>
      </c>
      <c r="H1186" s="294">
        <v>42429</v>
      </c>
      <c r="I1186" s="295">
        <v>-4399.9399999999996</v>
      </c>
    </row>
    <row r="1187" spans="1:9" x14ac:dyDescent="0.2">
      <c r="A1187" s="293" t="s">
        <v>7257</v>
      </c>
      <c r="B1187" s="293" t="s">
        <v>5666</v>
      </c>
      <c r="C1187" s="293" t="s">
        <v>6062</v>
      </c>
      <c r="D1187" s="293" t="s">
        <v>5859</v>
      </c>
      <c r="E1187" s="293" t="s">
        <v>6063</v>
      </c>
      <c r="F1187" s="293" t="s">
        <v>7247</v>
      </c>
      <c r="G1187" s="293" t="s">
        <v>5579</v>
      </c>
      <c r="H1187" s="294">
        <v>42429</v>
      </c>
      <c r="I1187" s="295">
        <v>-2351.71</v>
      </c>
    </row>
    <row r="1188" spans="1:9" x14ac:dyDescent="0.2">
      <c r="A1188" s="293" t="s">
        <v>7258</v>
      </c>
      <c r="B1188" s="293" t="s">
        <v>5666</v>
      </c>
      <c r="C1188" s="293" t="s">
        <v>6065</v>
      </c>
      <c r="D1188" s="293" t="s">
        <v>5859</v>
      </c>
      <c r="E1188" s="293" t="s">
        <v>6063</v>
      </c>
      <c r="F1188" s="293" t="s">
        <v>7247</v>
      </c>
      <c r="G1188" s="293" t="s">
        <v>5579</v>
      </c>
      <c r="H1188" s="294">
        <v>42429</v>
      </c>
      <c r="I1188" s="295">
        <v>-63.12</v>
      </c>
    </row>
    <row r="1189" spans="1:9" x14ac:dyDescent="0.2">
      <c r="A1189" s="293" t="s">
        <v>7259</v>
      </c>
      <c r="B1189" s="293" t="s">
        <v>5666</v>
      </c>
      <c r="C1189" s="293" t="s">
        <v>6067</v>
      </c>
      <c r="D1189" s="293" t="s">
        <v>5859</v>
      </c>
      <c r="E1189" s="293" t="s">
        <v>5817</v>
      </c>
      <c r="F1189" s="293" t="s">
        <v>7247</v>
      </c>
      <c r="G1189" s="293" t="s">
        <v>5591</v>
      </c>
      <c r="H1189" s="294">
        <v>42429</v>
      </c>
      <c r="I1189" s="295">
        <v>-6308.36</v>
      </c>
    </row>
    <row r="1190" spans="1:9" x14ac:dyDescent="0.2">
      <c r="A1190" s="293" t="s">
        <v>7260</v>
      </c>
      <c r="B1190" s="293" t="s">
        <v>5666</v>
      </c>
      <c r="C1190" s="293" t="s">
        <v>6069</v>
      </c>
      <c r="D1190" s="293" t="s">
        <v>5859</v>
      </c>
      <c r="E1190" s="293" t="s">
        <v>5817</v>
      </c>
      <c r="F1190" s="293" t="s">
        <v>7247</v>
      </c>
      <c r="G1190" s="293" t="s">
        <v>5591</v>
      </c>
      <c r="H1190" s="294">
        <v>42429</v>
      </c>
      <c r="I1190" s="295">
        <v>-7695.19</v>
      </c>
    </row>
    <row r="1191" spans="1:9" x14ac:dyDescent="0.2">
      <c r="A1191" s="293" t="s">
        <v>7261</v>
      </c>
      <c r="B1191" s="293" t="s">
        <v>5666</v>
      </c>
      <c r="C1191" s="293" t="s">
        <v>6471</v>
      </c>
      <c r="D1191" s="293" t="s">
        <v>5859</v>
      </c>
      <c r="E1191" s="293" t="s">
        <v>6829</v>
      </c>
      <c r="F1191" s="293" t="s">
        <v>7247</v>
      </c>
      <c r="G1191" s="293" t="s">
        <v>5589</v>
      </c>
      <c r="H1191" s="294">
        <v>42429</v>
      </c>
      <c r="I1191" s="295">
        <v>-7123.53</v>
      </c>
    </row>
    <row r="1192" spans="1:9" x14ac:dyDescent="0.2">
      <c r="A1192" s="293" t="s">
        <v>7262</v>
      </c>
      <c r="B1192" s="293" t="s">
        <v>5666</v>
      </c>
      <c r="C1192" s="293" t="s">
        <v>6473</v>
      </c>
      <c r="D1192" s="293" t="s">
        <v>5859</v>
      </c>
      <c r="E1192" s="293" t="s">
        <v>6474</v>
      </c>
      <c r="F1192" s="293" t="s">
        <v>7247</v>
      </c>
      <c r="G1192" s="293" t="s">
        <v>5593</v>
      </c>
      <c r="H1192" s="294">
        <v>42429</v>
      </c>
      <c r="I1192" s="295">
        <v>-14668.67</v>
      </c>
    </row>
    <row r="1193" spans="1:9" x14ac:dyDescent="0.2">
      <c r="A1193" s="293" t="s">
        <v>7263</v>
      </c>
      <c r="B1193" s="293" t="s">
        <v>5666</v>
      </c>
      <c r="C1193" s="293" t="s">
        <v>6920</v>
      </c>
      <c r="D1193" s="293" t="s">
        <v>5859</v>
      </c>
      <c r="E1193" s="293" t="s">
        <v>6921</v>
      </c>
      <c r="F1193" s="293" t="s">
        <v>7247</v>
      </c>
      <c r="G1193" s="293" t="s">
        <v>5754</v>
      </c>
      <c r="H1193" s="294">
        <v>42429</v>
      </c>
      <c r="I1193" s="295">
        <v>-8710.42</v>
      </c>
    </row>
    <row r="1194" spans="1:9" x14ac:dyDescent="0.2">
      <c r="A1194" s="293" t="s">
        <v>7264</v>
      </c>
      <c r="B1194" s="293" t="s">
        <v>5666</v>
      </c>
      <c r="C1194" s="293" t="s">
        <v>7219</v>
      </c>
      <c r="D1194" s="293" t="s">
        <v>5859</v>
      </c>
      <c r="E1194" s="293" t="s">
        <v>7080</v>
      </c>
      <c r="F1194" s="293" t="s">
        <v>7247</v>
      </c>
      <c r="G1194" s="293" t="s">
        <v>5755</v>
      </c>
      <c r="H1194" s="294">
        <v>42429</v>
      </c>
      <c r="I1194" s="295">
        <v>-7028.09</v>
      </c>
    </row>
    <row r="1195" spans="1:9" x14ac:dyDescent="0.2">
      <c r="A1195" s="293" t="s">
        <v>7265</v>
      </c>
      <c r="B1195" s="293" t="s">
        <v>5666</v>
      </c>
      <c r="C1195" s="293" t="s">
        <v>6049</v>
      </c>
      <c r="D1195" s="293" t="s">
        <v>5859</v>
      </c>
      <c r="E1195" s="293" t="s">
        <v>6050</v>
      </c>
      <c r="F1195" s="293" t="s">
        <v>7266</v>
      </c>
      <c r="G1195" s="293" t="s">
        <v>5590</v>
      </c>
      <c r="H1195" s="294">
        <v>42430</v>
      </c>
      <c r="I1195" s="295">
        <v>-12467.89</v>
      </c>
    </row>
    <row r="1196" spans="1:9" x14ac:dyDescent="0.2">
      <c r="A1196" s="293" t="s">
        <v>7267</v>
      </c>
      <c r="B1196" s="293" t="s">
        <v>5666</v>
      </c>
      <c r="C1196" s="293" t="s">
        <v>6049</v>
      </c>
      <c r="D1196" s="293" t="s">
        <v>5859</v>
      </c>
      <c r="E1196" s="293" t="s">
        <v>6050</v>
      </c>
      <c r="F1196" s="293" t="s">
        <v>7266</v>
      </c>
      <c r="G1196" s="293" t="s">
        <v>5590</v>
      </c>
      <c r="H1196" s="294">
        <v>42430</v>
      </c>
      <c r="I1196" s="295">
        <v>-12467.89</v>
      </c>
    </row>
    <row r="1197" spans="1:9" x14ac:dyDescent="0.2">
      <c r="A1197" s="293" t="s">
        <v>7268</v>
      </c>
      <c r="B1197" s="293" t="s">
        <v>5825</v>
      </c>
      <c r="C1197" s="293" t="s">
        <v>6049</v>
      </c>
      <c r="D1197" s="293" t="s">
        <v>5859</v>
      </c>
      <c r="E1197" s="293" t="s">
        <v>6050</v>
      </c>
      <c r="F1197" s="293" t="s">
        <v>7266</v>
      </c>
      <c r="G1197" s="293" t="s">
        <v>5590</v>
      </c>
      <c r="H1197" s="294">
        <v>42430</v>
      </c>
      <c r="I1197" s="295">
        <v>12467.89</v>
      </c>
    </row>
    <row r="1198" spans="1:9" x14ac:dyDescent="0.2">
      <c r="A1198" s="293" t="s">
        <v>7269</v>
      </c>
      <c r="B1198" s="293" t="s">
        <v>5666</v>
      </c>
      <c r="C1198" s="293" t="s">
        <v>6027</v>
      </c>
      <c r="D1198" s="293" t="s">
        <v>5859</v>
      </c>
      <c r="E1198" s="293" t="s">
        <v>6028</v>
      </c>
      <c r="F1198" s="293" t="s">
        <v>7270</v>
      </c>
      <c r="G1198" s="293" t="s">
        <v>5573</v>
      </c>
      <c r="H1198" s="294">
        <v>42460</v>
      </c>
      <c r="I1198" s="295">
        <v>-6400.96</v>
      </c>
    </row>
    <row r="1199" spans="1:9" x14ac:dyDescent="0.2">
      <c r="A1199" s="293" t="s">
        <v>7271</v>
      </c>
      <c r="B1199" s="293" t="s">
        <v>5666</v>
      </c>
      <c r="C1199" s="293" t="s">
        <v>6030</v>
      </c>
      <c r="D1199" s="293" t="s">
        <v>5859</v>
      </c>
      <c r="E1199" s="293" t="s">
        <v>6028</v>
      </c>
      <c r="F1199" s="293" t="s">
        <v>7270</v>
      </c>
      <c r="G1199" s="293" t="s">
        <v>5573</v>
      </c>
      <c r="H1199" s="294">
        <v>42460</v>
      </c>
      <c r="I1199" s="295">
        <v>-130.22</v>
      </c>
    </row>
    <row r="1200" spans="1:9" x14ac:dyDescent="0.2">
      <c r="A1200" s="293" t="s">
        <v>7272</v>
      </c>
      <c r="B1200" s="293" t="s">
        <v>5666</v>
      </c>
      <c r="C1200" s="293" t="s">
        <v>6032</v>
      </c>
      <c r="D1200" s="293" t="s">
        <v>5859</v>
      </c>
      <c r="E1200" s="293" t="s">
        <v>6033</v>
      </c>
      <c r="F1200" s="293" t="s">
        <v>7270</v>
      </c>
      <c r="G1200" s="293" t="s">
        <v>5585</v>
      </c>
      <c r="H1200" s="294">
        <v>42460</v>
      </c>
      <c r="I1200" s="295">
        <v>-6872.38</v>
      </c>
    </row>
    <row r="1201" spans="1:9" x14ac:dyDescent="0.2">
      <c r="A1201" s="293" t="s">
        <v>7273</v>
      </c>
      <c r="B1201" s="293" t="s">
        <v>5666</v>
      </c>
      <c r="C1201" s="293" t="s">
        <v>6035</v>
      </c>
      <c r="D1201" s="293" t="s">
        <v>5859</v>
      </c>
      <c r="E1201" s="293" t="s">
        <v>6033</v>
      </c>
      <c r="F1201" s="293" t="s">
        <v>7270</v>
      </c>
      <c r="G1201" s="293" t="s">
        <v>5585</v>
      </c>
      <c r="H1201" s="294">
        <v>42460</v>
      </c>
      <c r="I1201" s="295">
        <v>-4630.24</v>
      </c>
    </row>
    <row r="1202" spans="1:9" x14ac:dyDescent="0.2">
      <c r="A1202" s="293" t="s">
        <v>7274</v>
      </c>
      <c r="B1202" s="293" t="s">
        <v>5666</v>
      </c>
      <c r="C1202" s="293" t="s">
        <v>6037</v>
      </c>
      <c r="D1202" s="293" t="s">
        <v>5859</v>
      </c>
      <c r="E1202" s="293" t="s">
        <v>6038</v>
      </c>
      <c r="F1202" s="293" t="s">
        <v>7270</v>
      </c>
      <c r="G1202" s="293" t="s">
        <v>5586</v>
      </c>
      <c r="H1202" s="294">
        <v>42460</v>
      </c>
      <c r="I1202" s="295">
        <v>-3059.89</v>
      </c>
    </row>
    <row r="1203" spans="1:9" x14ac:dyDescent="0.2">
      <c r="A1203" s="293" t="s">
        <v>7275</v>
      </c>
      <c r="B1203" s="293" t="s">
        <v>5666</v>
      </c>
      <c r="C1203" s="293" t="s">
        <v>6040</v>
      </c>
      <c r="D1203" s="293" t="s">
        <v>5859</v>
      </c>
      <c r="E1203" s="293" t="s">
        <v>6041</v>
      </c>
      <c r="F1203" s="293" t="s">
        <v>7270</v>
      </c>
      <c r="G1203" s="293" t="s">
        <v>5581</v>
      </c>
      <c r="H1203" s="294">
        <v>42460</v>
      </c>
      <c r="I1203" s="295">
        <v>-8058.13</v>
      </c>
    </row>
    <row r="1204" spans="1:9" x14ac:dyDescent="0.2">
      <c r="A1204" s="293" t="s">
        <v>7276</v>
      </c>
      <c r="B1204" s="293" t="s">
        <v>5666</v>
      </c>
      <c r="C1204" s="293" t="s">
        <v>6052</v>
      </c>
      <c r="D1204" s="293" t="s">
        <v>5859</v>
      </c>
      <c r="E1204" s="293" t="s">
        <v>5817</v>
      </c>
      <c r="F1204" s="293" t="s">
        <v>7270</v>
      </c>
      <c r="G1204" s="293" t="s">
        <v>5577</v>
      </c>
      <c r="H1204" s="294">
        <v>42460</v>
      </c>
      <c r="I1204" s="295">
        <v>-7696.08</v>
      </c>
    </row>
    <row r="1205" spans="1:9" x14ac:dyDescent="0.2">
      <c r="A1205" s="293" t="s">
        <v>7277</v>
      </c>
      <c r="B1205" s="293" t="s">
        <v>5666</v>
      </c>
      <c r="C1205" s="293" t="s">
        <v>6054</v>
      </c>
      <c r="D1205" s="293" t="s">
        <v>5859</v>
      </c>
      <c r="E1205" s="293" t="s">
        <v>5817</v>
      </c>
      <c r="F1205" s="293" t="s">
        <v>7270</v>
      </c>
      <c r="G1205" s="293" t="s">
        <v>5577</v>
      </c>
      <c r="H1205" s="294">
        <v>42460</v>
      </c>
      <c r="I1205" s="295">
        <v>-3633.17</v>
      </c>
    </row>
    <row r="1206" spans="1:9" x14ac:dyDescent="0.2">
      <c r="A1206" s="293" t="s">
        <v>7278</v>
      </c>
      <c r="B1206" s="293" t="s">
        <v>5666</v>
      </c>
      <c r="C1206" s="293" t="s">
        <v>6056</v>
      </c>
      <c r="D1206" s="293" t="s">
        <v>5859</v>
      </c>
      <c r="E1206" s="293" t="s">
        <v>6057</v>
      </c>
      <c r="F1206" s="293" t="s">
        <v>7270</v>
      </c>
      <c r="G1206" s="293" t="s">
        <v>5578</v>
      </c>
      <c r="H1206" s="294">
        <v>42460</v>
      </c>
      <c r="I1206" s="295">
        <v>-4399.9399999999996</v>
      </c>
    </row>
    <row r="1207" spans="1:9" x14ac:dyDescent="0.2">
      <c r="A1207" s="293" t="s">
        <v>7279</v>
      </c>
      <c r="B1207" s="293" t="s">
        <v>5666</v>
      </c>
      <c r="C1207" s="293" t="s">
        <v>6062</v>
      </c>
      <c r="D1207" s="293" t="s">
        <v>5859</v>
      </c>
      <c r="E1207" s="293" t="s">
        <v>6063</v>
      </c>
      <c r="F1207" s="293" t="s">
        <v>7270</v>
      </c>
      <c r="G1207" s="293" t="s">
        <v>5579</v>
      </c>
      <c r="H1207" s="294">
        <v>42460</v>
      </c>
      <c r="I1207" s="295">
        <v>-2351.71</v>
      </c>
    </row>
    <row r="1208" spans="1:9" x14ac:dyDescent="0.2">
      <c r="A1208" s="293" t="s">
        <v>7280</v>
      </c>
      <c r="B1208" s="293" t="s">
        <v>5666</v>
      </c>
      <c r="C1208" s="293" t="s">
        <v>6065</v>
      </c>
      <c r="D1208" s="293" t="s">
        <v>5859</v>
      </c>
      <c r="E1208" s="293" t="s">
        <v>6063</v>
      </c>
      <c r="F1208" s="293" t="s">
        <v>7270</v>
      </c>
      <c r="G1208" s="293" t="s">
        <v>5579</v>
      </c>
      <c r="H1208" s="294">
        <v>42460</v>
      </c>
      <c r="I1208" s="295">
        <v>-63.12</v>
      </c>
    </row>
    <row r="1209" spans="1:9" x14ac:dyDescent="0.2">
      <c r="A1209" s="293" t="s">
        <v>7281</v>
      </c>
      <c r="B1209" s="293" t="s">
        <v>5666</v>
      </c>
      <c r="C1209" s="293" t="s">
        <v>6067</v>
      </c>
      <c r="D1209" s="293" t="s">
        <v>5859</v>
      </c>
      <c r="E1209" s="293" t="s">
        <v>5817</v>
      </c>
      <c r="F1209" s="293" t="s">
        <v>7270</v>
      </c>
      <c r="G1209" s="293" t="s">
        <v>5591</v>
      </c>
      <c r="H1209" s="294">
        <v>42460</v>
      </c>
      <c r="I1209" s="295">
        <v>-6308.36</v>
      </c>
    </row>
    <row r="1210" spans="1:9" x14ac:dyDescent="0.2">
      <c r="A1210" s="293" t="s">
        <v>7282</v>
      </c>
      <c r="B1210" s="293" t="s">
        <v>5666</v>
      </c>
      <c r="C1210" s="293" t="s">
        <v>6069</v>
      </c>
      <c r="D1210" s="293" t="s">
        <v>5859</v>
      </c>
      <c r="E1210" s="293" t="s">
        <v>5817</v>
      </c>
      <c r="F1210" s="293" t="s">
        <v>7270</v>
      </c>
      <c r="G1210" s="293" t="s">
        <v>5591</v>
      </c>
      <c r="H1210" s="294">
        <v>42460</v>
      </c>
      <c r="I1210" s="295">
        <v>-7695.19</v>
      </c>
    </row>
    <row r="1211" spans="1:9" x14ac:dyDescent="0.2">
      <c r="A1211" s="293" t="s">
        <v>7283</v>
      </c>
      <c r="B1211" s="293" t="s">
        <v>5666</v>
      </c>
      <c r="C1211" s="293" t="s">
        <v>6471</v>
      </c>
      <c r="D1211" s="293" t="s">
        <v>5859</v>
      </c>
      <c r="E1211" s="293" t="s">
        <v>6829</v>
      </c>
      <c r="F1211" s="293" t="s">
        <v>7270</v>
      </c>
      <c r="G1211" s="293" t="s">
        <v>5589</v>
      </c>
      <c r="H1211" s="294">
        <v>42460</v>
      </c>
      <c r="I1211" s="295">
        <v>-7123.53</v>
      </c>
    </row>
    <row r="1212" spans="1:9" x14ac:dyDescent="0.2">
      <c r="A1212" s="293" t="s">
        <v>7284</v>
      </c>
      <c r="B1212" s="293" t="s">
        <v>5666</v>
      </c>
      <c r="C1212" s="293" t="s">
        <v>6473</v>
      </c>
      <c r="D1212" s="293" t="s">
        <v>5859</v>
      </c>
      <c r="E1212" s="293" t="s">
        <v>6474</v>
      </c>
      <c r="F1212" s="293" t="s">
        <v>7270</v>
      </c>
      <c r="G1212" s="293" t="s">
        <v>5593</v>
      </c>
      <c r="H1212" s="294">
        <v>42460</v>
      </c>
      <c r="I1212" s="295">
        <v>-14668.67</v>
      </c>
    </row>
    <row r="1213" spans="1:9" x14ac:dyDescent="0.2">
      <c r="A1213" s="293" t="s">
        <v>7285</v>
      </c>
      <c r="B1213" s="293" t="s">
        <v>5666</v>
      </c>
      <c r="C1213" s="293" t="s">
        <v>6920</v>
      </c>
      <c r="D1213" s="293" t="s">
        <v>5859</v>
      </c>
      <c r="E1213" s="293" t="s">
        <v>6921</v>
      </c>
      <c r="F1213" s="293" t="s">
        <v>7270</v>
      </c>
      <c r="G1213" s="293" t="s">
        <v>5754</v>
      </c>
      <c r="H1213" s="294">
        <v>42460</v>
      </c>
      <c r="I1213" s="295">
        <v>-8710.42</v>
      </c>
    </row>
    <row r="1214" spans="1:9" x14ac:dyDescent="0.2">
      <c r="A1214" s="293" t="s">
        <v>7286</v>
      </c>
      <c r="B1214" s="293" t="s">
        <v>5666</v>
      </c>
      <c r="C1214" s="293" t="s">
        <v>7219</v>
      </c>
      <c r="D1214" s="293" t="s">
        <v>5859</v>
      </c>
      <c r="E1214" s="293" t="s">
        <v>7080</v>
      </c>
      <c r="F1214" s="293" t="s">
        <v>7270</v>
      </c>
      <c r="G1214" s="293" t="s">
        <v>5755</v>
      </c>
      <c r="H1214" s="294">
        <v>42460</v>
      </c>
      <c r="I1214" s="295">
        <v>-7028.09</v>
      </c>
    </row>
    <row r="1215" spans="1:9" x14ac:dyDescent="0.2">
      <c r="A1215" s="293" t="s">
        <v>7287</v>
      </c>
      <c r="B1215" s="293" t="s">
        <v>5666</v>
      </c>
      <c r="C1215" s="293" t="s">
        <v>6027</v>
      </c>
      <c r="D1215" s="293" t="s">
        <v>5859</v>
      </c>
      <c r="E1215" s="293" t="s">
        <v>6028</v>
      </c>
      <c r="F1215" s="293" t="s">
        <v>7288</v>
      </c>
      <c r="G1215" s="293" t="s">
        <v>5573</v>
      </c>
      <c r="H1215" s="294">
        <v>42490</v>
      </c>
      <c r="I1215" s="295">
        <v>-6400.96</v>
      </c>
    </row>
    <row r="1216" spans="1:9" x14ac:dyDescent="0.2">
      <c r="A1216" s="293" t="s">
        <v>7289</v>
      </c>
      <c r="B1216" s="293" t="s">
        <v>5666</v>
      </c>
      <c r="C1216" s="293" t="s">
        <v>6030</v>
      </c>
      <c r="D1216" s="293" t="s">
        <v>5859</v>
      </c>
      <c r="E1216" s="293" t="s">
        <v>6028</v>
      </c>
      <c r="F1216" s="293" t="s">
        <v>7288</v>
      </c>
      <c r="G1216" s="293" t="s">
        <v>5573</v>
      </c>
      <c r="H1216" s="294">
        <v>42490</v>
      </c>
      <c r="I1216" s="295">
        <v>-130.22</v>
      </c>
    </row>
    <row r="1217" spans="1:9" x14ac:dyDescent="0.2">
      <c r="A1217" s="293" t="s">
        <v>7290</v>
      </c>
      <c r="B1217" s="293" t="s">
        <v>5666</v>
      </c>
      <c r="C1217" s="293" t="s">
        <v>6032</v>
      </c>
      <c r="D1217" s="293" t="s">
        <v>5859</v>
      </c>
      <c r="E1217" s="293" t="s">
        <v>6033</v>
      </c>
      <c r="F1217" s="293" t="s">
        <v>7288</v>
      </c>
      <c r="G1217" s="293" t="s">
        <v>5585</v>
      </c>
      <c r="H1217" s="294">
        <v>42490</v>
      </c>
      <c r="I1217" s="295">
        <v>-6872.38</v>
      </c>
    </row>
    <row r="1218" spans="1:9" x14ac:dyDescent="0.2">
      <c r="A1218" s="293" t="s">
        <v>7291</v>
      </c>
      <c r="B1218" s="293" t="s">
        <v>5666</v>
      </c>
      <c r="C1218" s="293" t="s">
        <v>6035</v>
      </c>
      <c r="D1218" s="293" t="s">
        <v>5859</v>
      </c>
      <c r="E1218" s="293" t="s">
        <v>6033</v>
      </c>
      <c r="F1218" s="293" t="s">
        <v>7288</v>
      </c>
      <c r="G1218" s="293" t="s">
        <v>5585</v>
      </c>
      <c r="H1218" s="294">
        <v>42490</v>
      </c>
      <c r="I1218" s="295">
        <v>-4630.24</v>
      </c>
    </row>
    <row r="1219" spans="1:9" x14ac:dyDescent="0.2">
      <c r="A1219" s="293" t="s">
        <v>7292</v>
      </c>
      <c r="B1219" s="293" t="s">
        <v>5666</v>
      </c>
      <c r="C1219" s="293" t="s">
        <v>6037</v>
      </c>
      <c r="D1219" s="293" t="s">
        <v>5859</v>
      </c>
      <c r="E1219" s="293" t="s">
        <v>6038</v>
      </c>
      <c r="F1219" s="293" t="s">
        <v>7288</v>
      </c>
      <c r="G1219" s="293" t="s">
        <v>5586</v>
      </c>
      <c r="H1219" s="294">
        <v>42490</v>
      </c>
      <c r="I1219" s="295">
        <v>-3059.89</v>
      </c>
    </row>
    <row r="1220" spans="1:9" x14ac:dyDescent="0.2">
      <c r="A1220" s="293" t="s">
        <v>7293</v>
      </c>
      <c r="B1220" s="293" t="s">
        <v>5666</v>
      </c>
      <c r="C1220" s="293" t="s">
        <v>6040</v>
      </c>
      <c r="D1220" s="293" t="s">
        <v>5859</v>
      </c>
      <c r="E1220" s="293" t="s">
        <v>6041</v>
      </c>
      <c r="F1220" s="293" t="s">
        <v>7288</v>
      </c>
      <c r="G1220" s="293" t="s">
        <v>5581</v>
      </c>
      <c r="H1220" s="294">
        <v>42490</v>
      </c>
      <c r="I1220" s="295">
        <v>-8058.13</v>
      </c>
    </row>
    <row r="1221" spans="1:9" x14ac:dyDescent="0.2">
      <c r="A1221" s="293" t="s">
        <v>7294</v>
      </c>
      <c r="B1221" s="293" t="s">
        <v>5666</v>
      </c>
      <c r="C1221" s="293" t="s">
        <v>6052</v>
      </c>
      <c r="D1221" s="293" t="s">
        <v>5859</v>
      </c>
      <c r="E1221" s="293" t="s">
        <v>5817</v>
      </c>
      <c r="F1221" s="293" t="s">
        <v>7288</v>
      </c>
      <c r="G1221" s="293" t="s">
        <v>5577</v>
      </c>
      <c r="H1221" s="294">
        <v>42490</v>
      </c>
      <c r="I1221" s="295">
        <v>-7696.08</v>
      </c>
    </row>
    <row r="1222" spans="1:9" x14ac:dyDescent="0.2">
      <c r="A1222" s="293" t="s">
        <v>7295</v>
      </c>
      <c r="B1222" s="293" t="s">
        <v>5666</v>
      </c>
      <c r="C1222" s="293" t="s">
        <v>6054</v>
      </c>
      <c r="D1222" s="293" t="s">
        <v>5859</v>
      </c>
      <c r="E1222" s="293" t="s">
        <v>5817</v>
      </c>
      <c r="F1222" s="293" t="s">
        <v>7288</v>
      </c>
      <c r="G1222" s="293" t="s">
        <v>5577</v>
      </c>
      <c r="H1222" s="294">
        <v>42490</v>
      </c>
      <c r="I1222" s="295">
        <v>-3633.17</v>
      </c>
    </row>
    <row r="1223" spans="1:9" x14ac:dyDescent="0.2">
      <c r="A1223" s="293" t="s">
        <v>7296</v>
      </c>
      <c r="B1223" s="293" t="s">
        <v>5666</v>
      </c>
      <c r="C1223" s="293" t="s">
        <v>6056</v>
      </c>
      <c r="D1223" s="293" t="s">
        <v>5859</v>
      </c>
      <c r="E1223" s="293" t="s">
        <v>6057</v>
      </c>
      <c r="F1223" s="293" t="s">
        <v>7288</v>
      </c>
      <c r="G1223" s="293" t="s">
        <v>5578</v>
      </c>
      <c r="H1223" s="294">
        <v>42490</v>
      </c>
      <c r="I1223" s="295">
        <v>-4399.9399999999996</v>
      </c>
    </row>
    <row r="1224" spans="1:9" x14ac:dyDescent="0.2">
      <c r="A1224" s="293" t="s">
        <v>7297</v>
      </c>
      <c r="B1224" s="293" t="s">
        <v>5666</v>
      </c>
      <c r="C1224" s="293" t="s">
        <v>6062</v>
      </c>
      <c r="D1224" s="293" t="s">
        <v>5859</v>
      </c>
      <c r="E1224" s="293" t="s">
        <v>6063</v>
      </c>
      <c r="F1224" s="293" t="s">
        <v>7288</v>
      </c>
      <c r="G1224" s="293" t="s">
        <v>5579</v>
      </c>
      <c r="H1224" s="294">
        <v>42490</v>
      </c>
      <c r="I1224" s="295">
        <v>-2351.71</v>
      </c>
    </row>
    <row r="1225" spans="1:9" x14ac:dyDescent="0.2">
      <c r="A1225" s="293" t="s">
        <v>7298</v>
      </c>
      <c r="B1225" s="293" t="s">
        <v>5666</v>
      </c>
      <c r="C1225" s="293" t="s">
        <v>6065</v>
      </c>
      <c r="D1225" s="293" t="s">
        <v>5859</v>
      </c>
      <c r="E1225" s="293" t="s">
        <v>6063</v>
      </c>
      <c r="F1225" s="293" t="s">
        <v>7288</v>
      </c>
      <c r="G1225" s="293" t="s">
        <v>5579</v>
      </c>
      <c r="H1225" s="294">
        <v>42490</v>
      </c>
      <c r="I1225" s="295">
        <v>-63.12</v>
      </c>
    </row>
    <row r="1226" spans="1:9" x14ac:dyDescent="0.2">
      <c r="A1226" s="293" t="s">
        <v>7299</v>
      </c>
      <c r="B1226" s="293" t="s">
        <v>5666</v>
      </c>
      <c r="C1226" s="293" t="s">
        <v>6067</v>
      </c>
      <c r="D1226" s="293" t="s">
        <v>5859</v>
      </c>
      <c r="E1226" s="293" t="s">
        <v>5817</v>
      </c>
      <c r="F1226" s="293" t="s">
        <v>7288</v>
      </c>
      <c r="G1226" s="293" t="s">
        <v>5591</v>
      </c>
      <c r="H1226" s="294">
        <v>42490</v>
      </c>
      <c r="I1226" s="295">
        <v>-6308.36</v>
      </c>
    </row>
    <row r="1227" spans="1:9" x14ac:dyDescent="0.2">
      <c r="A1227" s="293" t="s">
        <v>7300</v>
      </c>
      <c r="B1227" s="293" t="s">
        <v>5666</v>
      </c>
      <c r="C1227" s="293" t="s">
        <v>6069</v>
      </c>
      <c r="D1227" s="293" t="s">
        <v>5859</v>
      </c>
      <c r="E1227" s="293" t="s">
        <v>5817</v>
      </c>
      <c r="F1227" s="293" t="s">
        <v>7288</v>
      </c>
      <c r="G1227" s="293" t="s">
        <v>5591</v>
      </c>
      <c r="H1227" s="294">
        <v>42490</v>
      </c>
      <c r="I1227" s="295">
        <v>-7695.19</v>
      </c>
    </row>
    <row r="1228" spans="1:9" x14ac:dyDescent="0.2">
      <c r="A1228" s="293" t="s">
        <v>7301</v>
      </c>
      <c r="B1228" s="293" t="s">
        <v>5666</v>
      </c>
      <c r="C1228" s="293" t="s">
        <v>6049</v>
      </c>
      <c r="D1228" s="293" t="s">
        <v>5859</v>
      </c>
      <c r="E1228" s="293" t="s">
        <v>6594</v>
      </c>
      <c r="F1228" s="293" t="s">
        <v>7288</v>
      </c>
      <c r="G1228" s="293" t="s">
        <v>5590</v>
      </c>
      <c r="H1228" s="294">
        <v>42490</v>
      </c>
      <c r="I1228" s="295">
        <v>-4156.26</v>
      </c>
    </row>
    <row r="1229" spans="1:9" x14ac:dyDescent="0.2">
      <c r="A1229" s="293" t="s">
        <v>7302</v>
      </c>
      <c r="B1229" s="293" t="s">
        <v>5666</v>
      </c>
      <c r="C1229" s="293" t="s">
        <v>6471</v>
      </c>
      <c r="D1229" s="293" t="s">
        <v>5859</v>
      </c>
      <c r="E1229" s="293" t="s">
        <v>6829</v>
      </c>
      <c r="F1229" s="293" t="s">
        <v>7288</v>
      </c>
      <c r="G1229" s="293" t="s">
        <v>5589</v>
      </c>
      <c r="H1229" s="294">
        <v>42490</v>
      </c>
      <c r="I1229" s="295">
        <v>-7123.53</v>
      </c>
    </row>
    <row r="1230" spans="1:9" x14ac:dyDescent="0.2">
      <c r="A1230" s="293" t="s">
        <v>7303</v>
      </c>
      <c r="B1230" s="293" t="s">
        <v>5666</v>
      </c>
      <c r="C1230" s="293" t="s">
        <v>6473</v>
      </c>
      <c r="D1230" s="293" t="s">
        <v>5859</v>
      </c>
      <c r="E1230" s="293" t="s">
        <v>6474</v>
      </c>
      <c r="F1230" s="293" t="s">
        <v>7288</v>
      </c>
      <c r="G1230" s="293" t="s">
        <v>5593</v>
      </c>
      <c r="H1230" s="294">
        <v>42490</v>
      </c>
      <c r="I1230" s="295">
        <v>-14668.67</v>
      </c>
    </row>
    <row r="1231" spans="1:9" x14ac:dyDescent="0.2">
      <c r="A1231" s="293" t="s">
        <v>7304</v>
      </c>
      <c r="B1231" s="293" t="s">
        <v>5666</v>
      </c>
      <c r="C1231" s="293" t="s">
        <v>6920</v>
      </c>
      <c r="D1231" s="293" t="s">
        <v>5859</v>
      </c>
      <c r="E1231" s="293" t="s">
        <v>6921</v>
      </c>
      <c r="F1231" s="293" t="s">
        <v>7288</v>
      </c>
      <c r="G1231" s="293" t="s">
        <v>5754</v>
      </c>
      <c r="H1231" s="294">
        <v>42490</v>
      </c>
      <c r="I1231" s="295">
        <v>-8710.42</v>
      </c>
    </row>
    <row r="1232" spans="1:9" x14ac:dyDescent="0.2">
      <c r="A1232" s="293" t="s">
        <v>7305</v>
      </c>
      <c r="B1232" s="293" t="s">
        <v>5666</v>
      </c>
      <c r="C1232" s="293" t="s">
        <v>7219</v>
      </c>
      <c r="D1232" s="293" t="s">
        <v>5859</v>
      </c>
      <c r="E1232" s="293" t="s">
        <v>7080</v>
      </c>
      <c r="F1232" s="293" t="s">
        <v>7288</v>
      </c>
      <c r="G1232" s="293" t="s">
        <v>5755</v>
      </c>
      <c r="H1232" s="294">
        <v>42490</v>
      </c>
      <c r="I1232" s="295">
        <v>-7028.09</v>
      </c>
    </row>
    <row r="1233" spans="1:9" x14ac:dyDescent="0.2">
      <c r="A1233" s="293" t="s">
        <v>7306</v>
      </c>
      <c r="B1233" s="293" t="s">
        <v>5666</v>
      </c>
      <c r="C1233" s="293" t="s">
        <v>7307</v>
      </c>
      <c r="D1233" s="293" t="s">
        <v>5859</v>
      </c>
      <c r="E1233" s="293" t="s">
        <v>7308</v>
      </c>
      <c r="F1233" s="293" t="s">
        <v>7309</v>
      </c>
      <c r="G1233" s="293" t="s">
        <v>7245</v>
      </c>
      <c r="H1233" s="294">
        <v>42490</v>
      </c>
      <c r="I1233" s="295">
        <v>-702</v>
      </c>
    </row>
    <row r="1234" spans="1:9" x14ac:dyDescent="0.2">
      <c r="A1234" s="293" t="s">
        <v>7310</v>
      </c>
      <c r="B1234" s="293" t="s">
        <v>5666</v>
      </c>
      <c r="C1234" s="293" t="s">
        <v>6027</v>
      </c>
      <c r="D1234" s="293" t="s">
        <v>5859</v>
      </c>
      <c r="E1234" s="293" t="s">
        <v>6028</v>
      </c>
      <c r="F1234" s="293" t="s">
        <v>7311</v>
      </c>
      <c r="G1234" s="293" t="s">
        <v>5573</v>
      </c>
      <c r="H1234" s="294">
        <v>42521</v>
      </c>
      <c r="I1234" s="295">
        <v>-6400.96</v>
      </c>
    </row>
    <row r="1235" spans="1:9" x14ac:dyDescent="0.2">
      <c r="A1235" s="293" t="s">
        <v>7312</v>
      </c>
      <c r="B1235" s="293" t="s">
        <v>5666</v>
      </c>
      <c r="C1235" s="293" t="s">
        <v>6030</v>
      </c>
      <c r="D1235" s="293" t="s">
        <v>5859</v>
      </c>
      <c r="E1235" s="293" t="s">
        <v>6028</v>
      </c>
      <c r="F1235" s="293" t="s">
        <v>7311</v>
      </c>
      <c r="G1235" s="293" t="s">
        <v>5573</v>
      </c>
      <c r="H1235" s="294">
        <v>42521</v>
      </c>
      <c r="I1235" s="295">
        <v>-130.22</v>
      </c>
    </row>
    <row r="1236" spans="1:9" x14ac:dyDescent="0.2">
      <c r="A1236" s="293" t="s">
        <v>7313</v>
      </c>
      <c r="B1236" s="293" t="s">
        <v>5666</v>
      </c>
      <c r="C1236" s="293" t="s">
        <v>6032</v>
      </c>
      <c r="D1236" s="293" t="s">
        <v>5859</v>
      </c>
      <c r="E1236" s="293" t="s">
        <v>6033</v>
      </c>
      <c r="F1236" s="293" t="s">
        <v>7311</v>
      </c>
      <c r="G1236" s="293" t="s">
        <v>5585</v>
      </c>
      <c r="H1236" s="294">
        <v>42521</v>
      </c>
      <c r="I1236" s="295">
        <v>-6872.38</v>
      </c>
    </row>
    <row r="1237" spans="1:9" x14ac:dyDescent="0.2">
      <c r="A1237" s="293" t="s">
        <v>7314</v>
      </c>
      <c r="B1237" s="293" t="s">
        <v>5666</v>
      </c>
      <c r="C1237" s="293" t="s">
        <v>6035</v>
      </c>
      <c r="D1237" s="293" t="s">
        <v>5859</v>
      </c>
      <c r="E1237" s="293" t="s">
        <v>6033</v>
      </c>
      <c r="F1237" s="293" t="s">
        <v>7311</v>
      </c>
      <c r="G1237" s="293" t="s">
        <v>5585</v>
      </c>
      <c r="H1237" s="294">
        <v>42521</v>
      </c>
      <c r="I1237" s="295">
        <v>-4630.24</v>
      </c>
    </row>
    <row r="1238" spans="1:9" x14ac:dyDescent="0.2">
      <c r="A1238" s="293" t="s">
        <v>7315</v>
      </c>
      <c r="B1238" s="293" t="s">
        <v>5666</v>
      </c>
      <c r="C1238" s="293" t="s">
        <v>6037</v>
      </c>
      <c r="D1238" s="293" t="s">
        <v>5859</v>
      </c>
      <c r="E1238" s="293" t="s">
        <v>6038</v>
      </c>
      <c r="F1238" s="293" t="s">
        <v>7311</v>
      </c>
      <c r="G1238" s="293" t="s">
        <v>5586</v>
      </c>
      <c r="H1238" s="294">
        <v>42521</v>
      </c>
      <c r="I1238" s="295">
        <v>-3059.89</v>
      </c>
    </row>
    <row r="1239" spans="1:9" x14ac:dyDescent="0.2">
      <c r="A1239" s="293" t="s">
        <v>7316</v>
      </c>
      <c r="B1239" s="293" t="s">
        <v>5666</v>
      </c>
      <c r="C1239" s="293" t="s">
        <v>6040</v>
      </c>
      <c r="D1239" s="293" t="s">
        <v>5859</v>
      </c>
      <c r="E1239" s="293" t="s">
        <v>6041</v>
      </c>
      <c r="F1239" s="293" t="s">
        <v>7311</v>
      </c>
      <c r="G1239" s="293" t="s">
        <v>5581</v>
      </c>
      <c r="H1239" s="294">
        <v>42521</v>
      </c>
      <c r="I1239" s="295">
        <v>-8058.13</v>
      </c>
    </row>
    <row r="1240" spans="1:9" x14ac:dyDescent="0.2">
      <c r="A1240" s="293" t="s">
        <v>7317</v>
      </c>
      <c r="B1240" s="293" t="s">
        <v>5666</v>
      </c>
      <c r="C1240" s="293" t="s">
        <v>6052</v>
      </c>
      <c r="D1240" s="293" t="s">
        <v>5859</v>
      </c>
      <c r="E1240" s="293" t="s">
        <v>5817</v>
      </c>
      <c r="F1240" s="293" t="s">
        <v>7311</v>
      </c>
      <c r="G1240" s="293" t="s">
        <v>5577</v>
      </c>
      <c r="H1240" s="294">
        <v>42521</v>
      </c>
      <c r="I1240" s="295">
        <v>-7696.08</v>
      </c>
    </row>
    <row r="1241" spans="1:9" x14ac:dyDescent="0.2">
      <c r="A1241" s="293" t="s">
        <v>7318</v>
      </c>
      <c r="B1241" s="293" t="s">
        <v>5666</v>
      </c>
      <c r="C1241" s="293" t="s">
        <v>6054</v>
      </c>
      <c r="D1241" s="293" t="s">
        <v>5859</v>
      </c>
      <c r="E1241" s="293" t="s">
        <v>5817</v>
      </c>
      <c r="F1241" s="293" t="s">
        <v>7311</v>
      </c>
      <c r="G1241" s="293" t="s">
        <v>5577</v>
      </c>
      <c r="H1241" s="294">
        <v>42521</v>
      </c>
      <c r="I1241" s="295">
        <v>-3633.17</v>
      </c>
    </row>
    <row r="1242" spans="1:9" x14ac:dyDescent="0.2">
      <c r="A1242" s="293" t="s">
        <v>7319</v>
      </c>
      <c r="B1242" s="293" t="s">
        <v>5666</v>
      </c>
      <c r="C1242" s="293" t="s">
        <v>6056</v>
      </c>
      <c r="D1242" s="293" t="s">
        <v>5859</v>
      </c>
      <c r="E1242" s="293" t="s">
        <v>6057</v>
      </c>
      <c r="F1242" s="293" t="s">
        <v>7311</v>
      </c>
      <c r="G1242" s="293" t="s">
        <v>5578</v>
      </c>
      <c r="H1242" s="294">
        <v>42521</v>
      </c>
      <c r="I1242" s="295">
        <v>-4399.9399999999996</v>
      </c>
    </row>
    <row r="1243" spans="1:9" x14ac:dyDescent="0.2">
      <c r="A1243" s="293" t="s">
        <v>7320</v>
      </c>
      <c r="B1243" s="293" t="s">
        <v>5666</v>
      </c>
      <c r="C1243" s="293" t="s">
        <v>6062</v>
      </c>
      <c r="D1243" s="293" t="s">
        <v>5859</v>
      </c>
      <c r="E1243" s="293" t="s">
        <v>6063</v>
      </c>
      <c r="F1243" s="293" t="s">
        <v>7311</v>
      </c>
      <c r="G1243" s="293" t="s">
        <v>5579</v>
      </c>
      <c r="H1243" s="294">
        <v>42521</v>
      </c>
      <c r="I1243" s="295">
        <v>-2351.71</v>
      </c>
    </row>
    <row r="1244" spans="1:9" x14ac:dyDescent="0.2">
      <c r="A1244" s="293" t="s">
        <v>7321</v>
      </c>
      <c r="B1244" s="293" t="s">
        <v>5666</v>
      </c>
      <c r="C1244" s="293" t="s">
        <v>6065</v>
      </c>
      <c r="D1244" s="293" t="s">
        <v>5859</v>
      </c>
      <c r="E1244" s="293" t="s">
        <v>6063</v>
      </c>
      <c r="F1244" s="293" t="s">
        <v>7311</v>
      </c>
      <c r="G1244" s="293" t="s">
        <v>5579</v>
      </c>
      <c r="H1244" s="294">
        <v>42521</v>
      </c>
      <c r="I1244" s="295">
        <v>-63.12</v>
      </c>
    </row>
    <row r="1245" spans="1:9" x14ac:dyDescent="0.2">
      <c r="A1245" s="293" t="s">
        <v>7322</v>
      </c>
      <c r="B1245" s="293" t="s">
        <v>5666</v>
      </c>
      <c r="C1245" s="293" t="s">
        <v>6067</v>
      </c>
      <c r="D1245" s="293" t="s">
        <v>5859</v>
      </c>
      <c r="E1245" s="293" t="s">
        <v>5817</v>
      </c>
      <c r="F1245" s="293" t="s">
        <v>7311</v>
      </c>
      <c r="G1245" s="293" t="s">
        <v>5591</v>
      </c>
      <c r="H1245" s="294">
        <v>42521</v>
      </c>
      <c r="I1245" s="295">
        <v>-6308.36</v>
      </c>
    </row>
    <row r="1246" spans="1:9" x14ac:dyDescent="0.2">
      <c r="A1246" s="293" t="s">
        <v>7323</v>
      </c>
      <c r="B1246" s="293" t="s">
        <v>5666</v>
      </c>
      <c r="C1246" s="293" t="s">
        <v>6069</v>
      </c>
      <c r="D1246" s="293" t="s">
        <v>5859</v>
      </c>
      <c r="E1246" s="293" t="s">
        <v>5817</v>
      </c>
      <c r="F1246" s="293" t="s">
        <v>7311</v>
      </c>
      <c r="G1246" s="293" t="s">
        <v>5591</v>
      </c>
      <c r="H1246" s="294">
        <v>42521</v>
      </c>
      <c r="I1246" s="295">
        <v>-7695.19</v>
      </c>
    </row>
    <row r="1247" spans="1:9" x14ac:dyDescent="0.2">
      <c r="A1247" s="293" t="s">
        <v>7324</v>
      </c>
      <c r="B1247" s="293" t="s">
        <v>5666</v>
      </c>
      <c r="C1247" s="293" t="s">
        <v>6471</v>
      </c>
      <c r="D1247" s="293" t="s">
        <v>5859</v>
      </c>
      <c r="E1247" s="293" t="s">
        <v>6829</v>
      </c>
      <c r="F1247" s="293" t="s">
        <v>7311</v>
      </c>
      <c r="G1247" s="293" t="s">
        <v>5589</v>
      </c>
      <c r="H1247" s="294">
        <v>42521</v>
      </c>
      <c r="I1247" s="295">
        <v>-7123.53</v>
      </c>
    </row>
    <row r="1248" spans="1:9" x14ac:dyDescent="0.2">
      <c r="A1248" s="293" t="s">
        <v>7325</v>
      </c>
      <c r="B1248" s="293" t="s">
        <v>5666</v>
      </c>
      <c r="C1248" s="293" t="s">
        <v>6473</v>
      </c>
      <c r="D1248" s="293" t="s">
        <v>5859</v>
      </c>
      <c r="E1248" s="293" t="s">
        <v>6474</v>
      </c>
      <c r="F1248" s="293" t="s">
        <v>7311</v>
      </c>
      <c r="G1248" s="293" t="s">
        <v>5593</v>
      </c>
      <c r="H1248" s="294">
        <v>42521</v>
      </c>
      <c r="I1248" s="295">
        <v>-14668.67</v>
      </c>
    </row>
    <row r="1249" spans="1:9" x14ac:dyDescent="0.2">
      <c r="A1249" s="293" t="s">
        <v>7326</v>
      </c>
      <c r="B1249" s="293" t="s">
        <v>5666</v>
      </c>
      <c r="C1249" s="293" t="s">
        <v>6920</v>
      </c>
      <c r="D1249" s="293" t="s">
        <v>5859</v>
      </c>
      <c r="E1249" s="293" t="s">
        <v>6921</v>
      </c>
      <c r="F1249" s="293" t="s">
        <v>7311</v>
      </c>
      <c r="G1249" s="293" t="s">
        <v>5754</v>
      </c>
      <c r="H1249" s="294">
        <v>42521</v>
      </c>
      <c r="I1249" s="295">
        <v>-8710.42</v>
      </c>
    </row>
    <row r="1250" spans="1:9" x14ac:dyDescent="0.2">
      <c r="A1250" s="293" t="s">
        <v>7327</v>
      </c>
      <c r="B1250" s="293" t="s">
        <v>5666</v>
      </c>
      <c r="C1250" s="293" t="s">
        <v>7219</v>
      </c>
      <c r="D1250" s="293" t="s">
        <v>5859</v>
      </c>
      <c r="E1250" s="293" t="s">
        <v>7080</v>
      </c>
      <c r="F1250" s="293" t="s">
        <v>7311</v>
      </c>
      <c r="G1250" s="293" t="s">
        <v>5755</v>
      </c>
      <c r="H1250" s="294">
        <v>42521</v>
      </c>
      <c r="I1250" s="295">
        <v>-7028.09</v>
      </c>
    </row>
    <row r="1251" spans="1:9" x14ac:dyDescent="0.2">
      <c r="A1251" s="293" t="s">
        <v>7328</v>
      </c>
      <c r="B1251" s="293" t="s">
        <v>5666</v>
      </c>
      <c r="C1251" s="293" t="s">
        <v>6027</v>
      </c>
      <c r="D1251" s="293" t="s">
        <v>5859</v>
      </c>
      <c r="E1251" s="293" t="s">
        <v>6028</v>
      </c>
      <c r="F1251" s="293" t="s">
        <v>7329</v>
      </c>
      <c r="G1251" s="293" t="s">
        <v>5573</v>
      </c>
      <c r="H1251" s="294">
        <v>42551</v>
      </c>
      <c r="I1251" s="295">
        <v>-6400.96</v>
      </c>
    </row>
    <row r="1252" spans="1:9" x14ac:dyDescent="0.2">
      <c r="A1252" s="293" t="s">
        <v>7330</v>
      </c>
      <c r="B1252" s="293" t="s">
        <v>5666</v>
      </c>
      <c r="C1252" s="293" t="s">
        <v>6030</v>
      </c>
      <c r="D1252" s="293" t="s">
        <v>5859</v>
      </c>
      <c r="E1252" s="293" t="s">
        <v>6028</v>
      </c>
      <c r="F1252" s="293" t="s">
        <v>7329</v>
      </c>
      <c r="G1252" s="293" t="s">
        <v>5573</v>
      </c>
      <c r="H1252" s="294">
        <v>42551</v>
      </c>
      <c r="I1252" s="295">
        <v>-130.22</v>
      </c>
    </row>
    <row r="1253" spans="1:9" x14ac:dyDescent="0.2">
      <c r="A1253" s="293" t="s">
        <v>7331</v>
      </c>
      <c r="B1253" s="293" t="s">
        <v>5666</v>
      </c>
      <c r="C1253" s="293" t="s">
        <v>6032</v>
      </c>
      <c r="D1253" s="293" t="s">
        <v>5859</v>
      </c>
      <c r="E1253" s="293" t="s">
        <v>6033</v>
      </c>
      <c r="F1253" s="293" t="s">
        <v>7329</v>
      </c>
      <c r="G1253" s="293" t="s">
        <v>5585</v>
      </c>
      <c r="H1253" s="294">
        <v>42551</v>
      </c>
      <c r="I1253" s="295">
        <v>-6872.38</v>
      </c>
    </row>
    <row r="1254" spans="1:9" x14ac:dyDescent="0.2">
      <c r="A1254" s="293" t="s">
        <v>7332</v>
      </c>
      <c r="B1254" s="293" t="s">
        <v>5666</v>
      </c>
      <c r="C1254" s="293" t="s">
        <v>6035</v>
      </c>
      <c r="D1254" s="293" t="s">
        <v>5859</v>
      </c>
      <c r="E1254" s="293" t="s">
        <v>6033</v>
      </c>
      <c r="F1254" s="293" t="s">
        <v>7329</v>
      </c>
      <c r="G1254" s="293" t="s">
        <v>5585</v>
      </c>
      <c r="H1254" s="294">
        <v>42551</v>
      </c>
      <c r="I1254" s="295">
        <v>-4630.24</v>
      </c>
    </row>
    <row r="1255" spans="1:9" x14ac:dyDescent="0.2">
      <c r="A1255" s="293" t="s">
        <v>7333</v>
      </c>
      <c r="B1255" s="293" t="s">
        <v>5666</v>
      </c>
      <c r="C1255" s="293" t="s">
        <v>6037</v>
      </c>
      <c r="D1255" s="293" t="s">
        <v>5859</v>
      </c>
      <c r="E1255" s="293" t="s">
        <v>6038</v>
      </c>
      <c r="F1255" s="293" t="s">
        <v>7329</v>
      </c>
      <c r="G1255" s="293" t="s">
        <v>5586</v>
      </c>
      <c r="H1255" s="294">
        <v>42551</v>
      </c>
      <c r="I1255" s="295">
        <v>-3059.89</v>
      </c>
    </row>
    <row r="1256" spans="1:9" x14ac:dyDescent="0.2">
      <c r="A1256" s="293" t="s">
        <v>7334</v>
      </c>
      <c r="B1256" s="293" t="s">
        <v>5666</v>
      </c>
      <c r="C1256" s="293" t="s">
        <v>6040</v>
      </c>
      <c r="D1256" s="293" t="s">
        <v>5859</v>
      </c>
      <c r="E1256" s="293" t="s">
        <v>6041</v>
      </c>
      <c r="F1256" s="293" t="s">
        <v>7329</v>
      </c>
      <c r="G1256" s="293" t="s">
        <v>5581</v>
      </c>
      <c r="H1256" s="294">
        <v>42551</v>
      </c>
      <c r="I1256" s="295">
        <v>-8058.13</v>
      </c>
    </row>
    <row r="1257" spans="1:9" x14ac:dyDescent="0.2">
      <c r="A1257" s="293" t="s">
        <v>7335</v>
      </c>
      <c r="B1257" s="293" t="s">
        <v>5666</v>
      </c>
      <c r="C1257" s="293" t="s">
        <v>6052</v>
      </c>
      <c r="D1257" s="293" t="s">
        <v>5859</v>
      </c>
      <c r="E1257" s="293" t="s">
        <v>5817</v>
      </c>
      <c r="F1257" s="293" t="s">
        <v>7329</v>
      </c>
      <c r="G1257" s="293" t="s">
        <v>5577</v>
      </c>
      <c r="H1257" s="294">
        <v>42551</v>
      </c>
      <c r="I1257" s="295">
        <v>-7696.08</v>
      </c>
    </row>
    <row r="1258" spans="1:9" x14ac:dyDescent="0.2">
      <c r="A1258" s="293" t="s">
        <v>7336</v>
      </c>
      <c r="B1258" s="293" t="s">
        <v>5666</v>
      </c>
      <c r="C1258" s="293" t="s">
        <v>6054</v>
      </c>
      <c r="D1258" s="293" t="s">
        <v>5859</v>
      </c>
      <c r="E1258" s="293" t="s">
        <v>5817</v>
      </c>
      <c r="F1258" s="293" t="s">
        <v>7329</v>
      </c>
      <c r="G1258" s="293" t="s">
        <v>5577</v>
      </c>
      <c r="H1258" s="294">
        <v>42551</v>
      </c>
      <c r="I1258" s="295">
        <v>-3633.17</v>
      </c>
    </row>
    <row r="1259" spans="1:9" x14ac:dyDescent="0.2">
      <c r="A1259" s="293" t="s">
        <v>7337</v>
      </c>
      <c r="B1259" s="293" t="s">
        <v>5666</v>
      </c>
      <c r="C1259" s="293" t="s">
        <v>6056</v>
      </c>
      <c r="D1259" s="293" t="s">
        <v>5859</v>
      </c>
      <c r="E1259" s="293" t="s">
        <v>6057</v>
      </c>
      <c r="F1259" s="293" t="s">
        <v>7329</v>
      </c>
      <c r="G1259" s="293" t="s">
        <v>5578</v>
      </c>
      <c r="H1259" s="294">
        <v>42551</v>
      </c>
      <c r="I1259" s="295">
        <v>-4399.9399999999996</v>
      </c>
    </row>
    <row r="1260" spans="1:9" x14ac:dyDescent="0.2">
      <c r="A1260" s="293" t="s">
        <v>7338</v>
      </c>
      <c r="B1260" s="293" t="s">
        <v>5666</v>
      </c>
      <c r="C1260" s="293" t="s">
        <v>6062</v>
      </c>
      <c r="D1260" s="293" t="s">
        <v>5859</v>
      </c>
      <c r="E1260" s="293" t="s">
        <v>6063</v>
      </c>
      <c r="F1260" s="293" t="s">
        <v>7329</v>
      </c>
      <c r="G1260" s="293" t="s">
        <v>5579</v>
      </c>
      <c r="H1260" s="294">
        <v>42551</v>
      </c>
      <c r="I1260" s="295">
        <v>-2351.71</v>
      </c>
    </row>
    <row r="1261" spans="1:9" x14ac:dyDescent="0.2">
      <c r="A1261" s="293" t="s">
        <v>7339</v>
      </c>
      <c r="B1261" s="293" t="s">
        <v>5666</v>
      </c>
      <c r="C1261" s="293" t="s">
        <v>6065</v>
      </c>
      <c r="D1261" s="293" t="s">
        <v>5859</v>
      </c>
      <c r="E1261" s="293" t="s">
        <v>6063</v>
      </c>
      <c r="F1261" s="293" t="s">
        <v>7329</v>
      </c>
      <c r="G1261" s="293" t="s">
        <v>5579</v>
      </c>
      <c r="H1261" s="294">
        <v>42551</v>
      </c>
      <c r="I1261" s="295">
        <v>-63.12</v>
      </c>
    </row>
    <row r="1262" spans="1:9" x14ac:dyDescent="0.2">
      <c r="A1262" s="293" t="s">
        <v>7340</v>
      </c>
      <c r="B1262" s="293" t="s">
        <v>5666</v>
      </c>
      <c r="C1262" s="293" t="s">
        <v>6067</v>
      </c>
      <c r="D1262" s="293" t="s">
        <v>5859</v>
      </c>
      <c r="E1262" s="293" t="s">
        <v>5817</v>
      </c>
      <c r="F1262" s="293" t="s">
        <v>7329</v>
      </c>
      <c r="G1262" s="293" t="s">
        <v>5591</v>
      </c>
      <c r="H1262" s="294">
        <v>42551</v>
      </c>
      <c r="I1262" s="295">
        <v>-6308.36</v>
      </c>
    </row>
    <row r="1263" spans="1:9" x14ac:dyDescent="0.2">
      <c r="A1263" s="293" t="s">
        <v>7341</v>
      </c>
      <c r="B1263" s="293" t="s">
        <v>5666</v>
      </c>
      <c r="C1263" s="293" t="s">
        <v>6069</v>
      </c>
      <c r="D1263" s="293" t="s">
        <v>5859</v>
      </c>
      <c r="E1263" s="293" t="s">
        <v>5817</v>
      </c>
      <c r="F1263" s="293" t="s">
        <v>7329</v>
      </c>
      <c r="G1263" s="293" t="s">
        <v>5591</v>
      </c>
      <c r="H1263" s="294">
        <v>42551</v>
      </c>
      <c r="I1263" s="295">
        <v>-7695.19</v>
      </c>
    </row>
    <row r="1264" spans="1:9" x14ac:dyDescent="0.2">
      <c r="A1264" s="293" t="s">
        <v>7342</v>
      </c>
      <c r="B1264" s="293" t="s">
        <v>5666</v>
      </c>
      <c r="C1264" s="293" t="s">
        <v>6471</v>
      </c>
      <c r="D1264" s="293" t="s">
        <v>5859</v>
      </c>
      <c r="E1264" s="293" t="s">
        <v>6829</v>
      </c>
      <c r="F1264" s="293" t="s">
        <v>7329</v>
      </c>
      <c r="G1264" s="293" t="s">
        <v>5589</v>
      </c>
      <c r="H1264" s="294">
        <v>42551</v>
      </c>
      <c r="I1264" s="295">
        <v>-7123.53</v>
      </c>
    </row>
    <row r="1265" spans="1:9" x14ac:dyDescent="0.2">
      <c r="A1265" s="293" t="s">
        <v>7343</v>
      </c>
      <c r="B1265" s="293" t="s">
        <v>5666</v>
      </c>
      <c r="C1265" s="293" t="s">
        <v>6473</v>
      </c>
      <c r="D1265" s="293" t="s">
        <v>5859</v>
      </c>
      <c r="E1265" s="293" t="s">
        <v>6474</v>
      </c>
      <c r="F1265" s="293" t="s">
        <v>7329</v>
      </c>
      <c r="G1265" s="293" t="s">
        <v>5593</v>
      </c>
      <c r="H1265" s="294">
        <v>42551</v>
      </c>
      <c r="I1265" s="295">
        <v>-14668.67</v>
      </c>
    </row>
    <row r="1266" spans="1:9" x14ac:dyDescent="0.2">
      <c r="A1266" s="293" t="s">
        <v>7344</v>
      </c>
      <c r="B1266" s="293" t="s">
        <v>5666</v>
      </c>
      <c r="C1266" s="293" t="s">
        <v>6920</v>
      </c>
      <c r="D1266" s="293" t="s">
        <v>5859</v>
      </c>
      <c r="E1266" s="293" t="s">
        <v>6921</v>
      </c>
      <c r="F1266" s="293" t="s">
        <v>7329</v>
      </c>
      <c r="G1266" s="293" t="s">
        <v>5754</v>
      </c>
      <c r="H1266" s="294">
        <v>42551</v>
      </c>
      <c r="I1266" s="295">
        <v>-8710.42</v>
      </c>
    </row>
    <row r="1267" spans="1:9" x14ac:dyDescent="0.2">
      <c r="A1267" s="293" t="s">
        <v>7345</v>
      </c>
      <c r="B1267" s="293" t="s">
        <v>5666</v>
      </c>
      <c r="C1267" s="293" t="s">
        <v>7219</v>
      </c>
      <c r="D1267" s="293" t="s">
        <v>5859</v>
      </c>
      <c r="E1267" s="293" t="s">
        <v>7080</v>
      </c>
      <c r="F1267" s="293" t="s">
        <v>7329</v>
      </c>
      <c r="G1267" s="293" t="s">
        <v>5755</v>
      </c>
      <c r="H1267" s="294">
        <v>42551</v>
      </c>
      <c r="I1267" s="295">
        <v>-7028.09</v>
      </c>
    </row>
    <row r="1268" spans="1:9" x14ac:dyDescent="0.2">
      <c r="A1268" s="293" t="s">
        <v>7346</v>
      </c>
      <c r="B1268" s="293" t="s">
        <v>6010</v>
      </c>
      <c r="C1268" s="293" t="s">
        <v>7079</v>
      </c>
      <c r="D1268" s="293" t="s">
        <v>5859</v>
      </c>
      <c r="E1268" s="293" t="s">
        <v>7155</v>
      </c>
      <c r="F1268" s="293" t="s">
        <v>7329</v>
      </c>
      <c r="G1268" s="293" t="s">
        <v>5593</v>
      </c>
      <c r="H1268" s="294">
        <v>42643</v>
      </c>
      <c r="I1268" s="295">
        <v>-3780</v>
      </c>
    </row>
    <row r="1269" spans="1:9" x14ac:dyDescent="0.2">
      <c r="A1269" s="293" t="s">
        <v>7347</v>
      </c>
      <c r="B1269" s="293" t="s">
        <v>5666</v>
      </c>
      <c r="C1269" s="293" t="s">
        <v>6027</v>
      </c>
      <c r="D1269" s="293" t="s">
        <v>5859</v>
      </c>
      <c r="E1269" s="293" t="s">
        <v>6028</v>
      </c>
      <c r="F1269" s="293" t="s">
        <v>7348</v>
      </c>
      <c r="G1269" s="293" t="s">
        <v>5573</v>
      </c>
      <c r="H1269" s="294">
        <v>42582</v>
      </c>
      <c r="I1269" s="295">
        <v>-6400.96</v>
      </c>
    </row>
    <row r="1270" spans="1:9" x14ac:dyDescent="0.2">
      <c r="A1270" s="293" t="s">
        <v>7349</v>
      </c>
      <c r="B1270" s="293" t="s">
        <v>5666</v>
      </c>
      <c r="C1270" s="293" t="s">
        <v>6030</v>
      </c>
      <c r="D1270" s="293" t="s">
        <v>5859</v>
      </c>
      <c r="E1270" s="293" t="s">
        <v>6028</v>
      </c>
      <c r="F1270" s="293" t="s">
        <v>7348</v>
      </c>
      <c r="G1270" s="293" t="s">
        <v>5573</v>
      </c>
      <c r="H1270" s="294">
        <v>42582</v>
      </c>
      <c r="I1270" s="295">
        <v>-130.22</v>
      </c>
    </row>
    <row r="1271" spans="1:9" x14ac:dyDescent="0.2">
      <c r="A1271" s="293" t="s">
        <v>7350</v>
      </c>
      <c r="B1271" s="293" t="s">
        <v>5666</v>
      </c>
      <c r="C1271" s="293" t="s">
        <v>6032</v>
      </c>
      <c r="D1271" s="293" t="s">
        <v>5859</v>
      </c>
      <c r="E1271" s="293" t="s">
        <v>6033</v>
      </c>
      <c r="F1271" s="293" t="s">
        <v>7348</v>
      </c>
      <c r="G1271" s="293" t="s">
        <v>5585</v>
      </c>
      <c r="H1271" s="294">
        <v>42582</v>
      </c>
      <c r="I1271" s="295">
        <v>-6872.38</v>
      </c>
    </row>
    <row r="1272" spans="1:9" x14ac:dyDescent="0.2">
      <c r="A1272" s="293" t="s">
        <v>7351</v>
      </c>
      <c r="B1272" s="293" t="s">
        <v>5666</v>
      </c>
      <c r="C1272" s="293" t="s">
        <v>6035</v>
      </c>
      <c r="D1272" s="293" t="s">
        <v>5859</v>
      </c>
      <c r="E1272" s="293" t="s">
        <v>6033</v>
      </c>
      <c r="F1272" s="293" t="s">
        <v>7348</v>
      </c>
      <c r="G1272" s="293" t="s">
        <v>5585</v>
      </c>
      <c r="H1272" s="294">
        <v>42582</v>
      </c>
      <c r="I1272" s="295">
        <v>-4630.24</v>
      </c>
    </row>
    <row r="1273" spans="1:9" x14ac:dyDescent="0.2">
      <c r="A1273" s="293" t="s">
        <v>7352</v>
      </c>
      <c r="B1273" s="293" t="s">
        <v>5666</v>
      </c>
      <c r="C1273" s="293" t="s">
        <v>6037</v>
      </c>
      <c r="D1273" s="293" t="s">
        <v>5859</v>
      </c>
      <c r="E1273" s="293" t="s">
        <v>6038</v>
      </c>
      <c r="F1273" s="293" t="s">
        <v>7348</v>
      </c>
      <c r="G1273" s="293" t="s">
        <v>5586</v>
      </c>
      <c r="H1273" s="294">
        <v>42582</v>
      </c>
      <c r="I1273" s="295">
        <v>-3059.89</v>
      </c>
    </row>
    <row r="1274" spans="1:9" x14ac:dyDescent="0.2">
      <c r="A1274" s="293" t="s">
        <v>7353</v>
      </c>
      <c r="B1274" s="293" t="s">
        <v>5666</v>
      </c>
      <c r="C1274" s="293" t="s">
        <v>6040</v>
      </c>
      <c r="D1274" s="293" t="s">
        <v>5859</v>
      </c>
      <c r="E1274" s="293" t="s">
        <v>6041</v>
      </c>
      <c r="F1274" s="293" t="s">
        <v>7348</v>
      </c>
      <c r="G1274" s="293" t="s">
        <v>5581</v>
      </c>
      <c r="H1274" s="294">
        <v>42582</v>
      </c>
      <c r="I1274" s="295">
        <v>-8058.13</v>
      </c>
    </row>
    <row r="1275" spans="1:9" x14ac:dyDescent="0.2">
      <c r="A1275" s="293" t="s">
        <v>7354</v>
      </c>
      <c r="B1275" s="293" t="s">
        <v>5666</v>
      </c>
      <c r="C1275" s="293" t="s">
        <v>6052</v>
      </c>
      <c r="D1275" s="293" t="s">
        <v>5859</v>
      </c>
      <c r="E1275" s="293" t="s">
        <v>5817</v>
      </c>
      <c r="F1275" s="293" t="s">
        <v>7348</v>
      </c>
      <c r="G1275" s="293" t="s">
        <v>5577</v>
      </c>
      <c r="H1275" s="294">
        <v>42582</v>
      </c>
      <c r="I1275" s="295">
        <v>-7696.08</v>
      </c>
    </row>
    <row r="1276" spans="1:9" x14ac:dyDescent="0.2">
      <c r="A1276" s="293" t="s">
        <v>7355</v>
      </c>
      <c r="B1276" s="293" t="s">
        <v>5666</v>
      </c>
      <c r="C1276" s="293" t="s">
        <v>6054</v>
      </c>
      <c r="D1276" s="293" t="s">
        <v>5859</v>
      </c>
      <c r="E1276" s="293" t="s">
        <v>5817</v>
      </c>
      <c r="F1276" s="293" t="s">
        <v>7348</v>
      </c>
      <c r="G1276" s="293" t="s">
        <v>5577</v>
      </c>
      <c r="H1276" s="294">
        <v>42582</v>
      </c>
      <c r="I1276" s="295">
        <v>-3633.17</v>
      </c>
    </row>
    <row r="1277" spans="1:9" x14ac:dyDescent="0.2">
      <c r="A1277" s="293" t="s">
        <v>7356</v>
      </c>
      <c r="B1277" s="293" t="s">
        <v>5666</v>
      </c>
      <c r="C1277" s="293" t="s">
        <v>6056</v>
      </c>
      <c r="D1277" s="293" t="s">
        <v>5859</v>
      </c>
      <c r="E1277" s="293" t="s">
        <v>6057</v>
      </c>
      <c r="F1277" s="293" t="s">
        <v>7348</v>
      </c>
      <c r="G1277" s="293" t="s">
        <v>5578</v>
      </c>
      <c r="H1277" s="294">
        <v>42582</v>
      </c>
      <c r="I1277" s="295">
        <v>-4399.9399999999996</v>
      </c>
    </row>
    <row r="1278" spans="1:9" x14ac:dyDescent="0.2">
      <c r="A1278" s="293" t="s">
        <v>7357</v>
      </c>
      <c r="B1278" s="293" t="s">
        <v>5666</v>
      </c>
      <c r="C1278" s="293" t="s">
        <v>6062</v>
      </c>
      <c r="D1278" s="293" t="s">
        <v>5859</v>
      </c>
      <c r="E1278" s="293" t="s">
        <v>6063</v>
      </c>
      <c r="F1278" s="293" t="s">
        <v>7348</v>
      </c>
      <c r="G1278" s="293" t="s">
        <v>5579</v>
      </c>
      <c r="H1278" s="294">
        <v>42582</v>
      </c>
      <c r="I1278" s="295">
        <v>-2351.71</v>
      </c>
    </row>
    <row r="1279" spans="1:9" x14ac:dyDescent="0.2">
      <c r="A1279" s="293" t="s">
        <v>7358</v>
      </c>
      <c r="B1279" s="293" t="s">
        <v>5666</v>
      </c>
      <c r="C1279" s="293" t="s">
        <v>6065</v>
      </c>
      <c r="D1279" s="293" t="s">
        <v>5859</v>
      </c>
      <c r="E1279" s="293" t="s">
        <v>6063</v>
      </c>
      <c r="F1279" s="293" t="s">
        <v>7348</v>
      </c>
      <c r="G1279" s="293" t="s">
        <v>5579</v>
      </c>
      <c r="H1279" s="294">
        <v>42582</v>
      </c>
      <c r="I1279" s="295">
        <v>-63.12</v>
      </c>
    </row>
    <row r="1280" spans="1:9" x14ac:dyDescent="0.2">
      <c r="A1280" s="293" t="s">
        <v>7359</v>
      </c>
      <c r="B1280" s="293" t="s">
        <v>5666</v>
      </c>
      <c r="C1280" s="293" t="s">
        <v>6067</v>
      </c>
      <c r="D1280" s="293" t="s">
        <v>5859</v>
      </c>
      <c r="E1280" s="293" t="s">
        <v>5817</v>
      </c>
      <c r="F1280" s="293" t="s">
        <v>7348</v>
      </c>
      <c r="G1280" s="293" t="s">
        <v>5591</v>
      </c>
      <c r="H1280" s="294">
        <v>42582</v>
      </c>
      <c r="I1280" s="295">
        <v>-6308.36</v>
      </c>
    </row>
    <row r="1281" spans="1:9" x14ac:dyDescent="0.2">
      <c r="A1281" s="293" t="s">
        <v>7360</v>
      </c>
      <c r="B1281" s="293" t="s">
        <v>5666</v>
      </c>
      <c r="C1281" s="293" t="s">
        <v>6069</v>
      </c>
      <c r="D1281" s="293" t="s">
        <v>5859</v>
      </c>
      <c r="E1281" s="293" t="s">
        <v>5817</v>
      </c>
      <c r="F1281" s="293" t="s">
        <v>7348</v>
      </c>
      <c r="G1281" s="293" t="s">
        <v>5591</v>
      </c>
      <c r="H1281" s="294">
        <v>42582</v>
      </c>
      <c r="I1281" s="295">
        <v>-7695.19</v>
      </c>
    </row>
    <row r="1282" spans="1:9" x14ac:dyDescent="0.2">
      <c r="A1282" s="293" t="s">
        <v>7361</v>
      </c>
      <c r="B1282" s="293" t="s">
        <v>5666</v>
      </c>
      <c r="C1282" s="293" t="s">
        <v>6471</v>
      </c>
      <c r="D1282" s="293" t="s">
        <v>5859</v>
      </c>
      <c r="E1282" s="293" t="s">
        <v>6829</v>
      </c>
      <c r="F1282" s="293" t="s">
        <v>7348</v>
      </c>
      <c r="G1282" s="293" t="s">
        <v>5589</v>
      </c>
      <c r="H1282" s="294">
        <v>42582</v>
      </c>
      <c r="I1282" s="295">
        <v>-7123.53</v>
      </c>
    </row>
    <row r="1283" spans="1:9" x14ac:dyDescent="0.2">
      <c r="A1283" s="293" t="s">
        <v>7362</v>
      </c>
      <c r="B1283" s="293" t="s">
        <v>5666</v>
      </c>
      <c r="C1283" s="293" t="s">
        <v>6473</v>
      </c>
      <c r="D1283" s="293" t="s">
        <v>5859</v>
      </c>
      <c r="E1283" s="293" t="s">
        <v>6474</v>
      </c>
      <c r="F1283" s="293" t="s">
        <v>7348</v>
      </c>
      <c r="G1283" s="293" t="s">
        <v>5593</v>
      </c>
      <c r="H1283" s="294">
        <v>42582</v>
      </c>
      <c r="I1283" s="295">
        <v>-14668.67</v>
      </c>
    </row>
    <row r="1284" spans="1:9" x14ac:dyDescent="0.2">
      <c r="A1284" s="293" t="s">
        <v>7363</v>
      </c>
      <c r="B1284" s="293" t="s">
        <v>5666</v>
      </c>
      <c r="C1284" s="293" t="s">
        <v>6920</v>
      </c>
      <c r="D1284" s="293" t="s">
        <v>5859</v>
      </c>
      <c r="E1284" s="293" t="s">
        <v>6921</v>
      </c>
      <c r="F1284" s="293" t="s">
        <v>7348</v>
      </c>
      <c r="G1284" s="293" t="s">
        <v>5754</v>
      </c>
      <c r="H1284" s="294">
        <v>42582</v>
      </c>
      <c r="I1284" s="295">
        <v>-8710.42</v>
      </c>
    </row>
    <row r="1285" spans="1:9" x14ac:dyDescent="0.2">
      <c r="A1285" s="293" t="s">
        <v>7364</v>
      </c>
      <c r="B1285" s="293" t="s">
        <v>5666</v>
      </c>
      <c r="C1285" s="293" t="s">
        <v>7219</v>
      </c>
      <c r="D1285" s="293" t="s">
        <v>5859</v>
      </c>
      <c r="E1285" s="293" t="s">
        <v>7080</v>
      </c>
      <c r="F1285" s="293" t="s">
        <v>7348</v>
      </c>
      <c r="G1285" s="293" t="s">
        <v>5755</v>
      </c>
      <c r="H1285" s="294">
        <v>42582</v>
      </c>
      <c r="I1285" s="295">
        <v>-7028.09</v>
      </c>
    </row>
    <row r="1286" spans="1:9" x14ac:dyDescent="0.2">
      <c r="A1286" s="293" t="s">
        <v>7365</v>
      </c>
      <c r="B1286" s="293" t="s">
        <v>5666</v>
      </c>
      <c r="C1286" s="293" t="s">
        <v>6027</v>
      </c>
      <c r="D1286" s="293" t="s">
        <v>5859</v>
      </c>
      <c r="E1286" s="293" t="s">
        <v>6028</v>
      </c>
      <c r="F1286" s="293" t="s">
        <v>7366</v>
      </c>
      <c r="G1286" s="293" t="s">
        <v>5573</v>
      </c>
      <c r="H1286" s="294">
        <v>42613</v>
      </c>
      <c r="I1286" s="295">
        <v>-6400.96</v>
      </c>
    </row>
    <row r="1287" spans="1:9" x14ac:dyDescent="0.2">
      <c r="A1287" s="293" t="s">
        <v>7367</v>
      </c>
      <c r="B1287" s="293" t="s">
        <v>5666</v>
      </c>
      <c r="C1287" s="293" t="s">
        <v>6030</v>
      </c>
      <c r="D1287" s="293" t="s">
        <v>5859</v>
      </c>
      <c r="E1287" s="293" t="s">
        <v>6028</v>
      </c>
      <c r="F1287" s="293" t="s">
        <v>7366</v>
      </c>
      <c r="G1287" s="293" t="s">
        <v>5573</v>
      </c>
      <c r="H1287" s="294">
        <v>42613</v>
      </c>
      <c r="I1287" s="295">
        <v>-130.22</v>
      </c>
    </row>
    <row r="1288" spans="1:9" x14ac:dyDescent="0.2">
      <c r="A1288" s="293" t="s">
        <v>7368</v>
      </c>
      <c r="B1288" s="293" t="s">
        <v>5666</v>
      </c>
      <c r="C1288" s="293" t="s">
        <v>6032</v>
      </c>
      <c r="D1288" s="293" t="s">
        <v>5859</v>
      </c>
      <c r="E1288" s="293" t="s">
        <v>6033</v>
      </c>
      <c r="F1288" s="293" t="s">
        <v>7366</v>
      </c>
      <c r="G1288" s="293" t="s">
        <v>5585</v>
      </c>
      <c r="H1288" s="294">
        <v>42613</v>
      </c>
      <c r="I1288" s="295">
        <v>-6872.38</v>
      </c>
    </row>
    <row r="1289" spans="1:9" x14ac:dyDescent="0.2">
      <c r="A1289" s="293" t="s">
        <v>7369</v>
      </c>
      <c r="B1289" s="293" t="s">
        <v>5666</v>
      </c>
      <c r="C1289" s="293" t="s">
        <v>6035</v>
      </c>
      <c r="D1289" s="293" t="s">
        <v>5859</v>
      </c>
      <c r="E1289" s="293" t="s">
        <v>6033</v>
      </c>
      <c r="F1289" s="293" t="s">
        <v>7366</v>
      </c>
      <c r="G1289" s="293" t="s">
        <v>5585</v>
      </c>
      <c r="H1289" s="294">
        <v>42613</v>
      </c>
      <c r="I1289" s="295">
        <v>-4630.24</v>
      </c>
    </row>
    <row r="1290" spans="1:9" x14ac:dyDescent="0.2">
      <c r="A1290" s="293" t="s">
        <v>7370</v>
      </c>
      <c r="B1290" s="293" t="s">
        <v>5666</v>
      </c>
      <c r="C1290" s="293" t="s">
        <v>6037</v>
      </c>
      <c r="D1290" s="293" t="s">
        <v>5859</v>
      </c>
      <c r="E1290" s="293" t="s">
        <v>6038</v>
      </c>
      <c r="F1290" s="293" t="s">
        <v>7366</v>
      </c>
      <c r="G1290" s="293" t="s">
        <v>5586</v>
      </c>
      <c r="H1290" s="294">
        <v>42613</v>
      </c>
      <c r="I1290" s="295">
        <v>-3059.89</v>
      </c>
    </row>
    <row r="1291" spans="1:9" x14ac:dyDescent="0.2">
      <c r="A1291" s="293" t="s">
        <v>7371</v>
      </c>
      <c r="B1291" s="293" t="s">
        <v>5666</v>
      </c>
      <c r="C1291" s="293" t="s">
        <v>6040</v>
      </c>
      <c r="D1291" s="293" t="s">
        <v>5859</v>
      </c>
      <c r="E1291" s="293" t="s">
        <v>6041</v>
      </c>
      <c r="F1291" s="293" t="s">
        <v>7366</v>
      </c>
      <c r="G1291" s="293" t="s">
        <v>5581</v>
      </c>
      <c r="H1291" s="294">
        <v>42613</v>
      </c>
      <c r="I1291" s="295">
        <v>-8058.13</v>
      </c>
    </row>
    <row r="1292" spans="1:9" x14ac:dyDescent="0.2">
      <c r="A1292" s="293" t="s">
        <v>7372</v>
      </c>
      <c r="B1292" s="293" t="s">
        <v>5666</v>
      </c>
      <c r="C1292" s="293" t="s">
        <v>6052</v>
      </c>
      <c r="D1292" s="293" t="s">
        <v>5859</v>
      </c>
      <c r="E1292" s="293" t="s">
        <v>5817</v>
      </c>
      <c r="F1292" s="293" t="s">
        <v>7366</v>
      </c>
      <c r="G1292" s="293" t="s">
        <v>5577</v>
      </c>
      <c r="H1292" s="294">
        <v>42613</v>
      </c>
      <c r="I1292" s="295">
        <v>-7696.08</v>
      </c>
    </row>
    <row r="1293" spans="1:9" x14ac:dyDescent="0.2">
      <c r="A1293" s="293" t="s">
        <v>7373</v>
      </c>
      <c r="B1293" s="293" t="s">
        <v>5666</v>
      </c>
      <c r="C1293" s="293" t="s">
        <v>6054</v>
      </c>
      <c r="D1293" s="293" t="s">
        <v>5859</v>
      </c>
      <c r="E1293" s="293" t="s">
        <v>5817</v>
      </c>
      <c r="F1293" s="293" t="s">
        <v>7366</v>
      </c>
      <c r="G1293" s="293" t="s">
        <v>5577</v>
      </c>
      <c r="H1293" s="294">
        <v>42613</v>
      </c>
      <c r="I1293" s="295">
        <v>-3633.17</v>
      </c>
    </row>
    <row r="1294" spans="1:9" x14ac:dyDescent="0.2">
      <c r="A1294" s="293" t="s">
        <v>7374</v>
      </c>
      <c r="B1294" s="293" t="s">
        <v>5666</v>
      </c>
      <c r="C1294" s="293" t="s">
        <v>6056</v>
      </c>
      <c r="D1294" s="293" t="s">
        <v>5859</v>
      </c>
      <c r="E1294" s="293" t="s">
        <v>6057</v>
      </c>
      <c r="F1294" s="293" t="s">
        <v>7366</v>
      </c>
      <c r="G1294" s="293" t="s">
        <v>5578</v>
      </c>
      <c r="H1294" s="294">
        <v>42613</v>
      </c>
      <c r="I1294" s="295">
        <v>-4399.9399999999996</v>
      </c>
    </row>
    <row r="1295" spans="1:9" x14ac:dyDescent="0.2">
      <c r="A1295" s="293" t="s">
        <v>7375</v>
      </c>
      <c r="B1295" s="293" t="s">
        <v>5666</v>
      </c>
      <c r="C1295" s="293" t="s">
        <v>6062</v>
      </c>
      <c r="D1295" s="293" t="s">
        <v>5859</v>
      </c>
      <c r="E1295" s="293" t="s">
        <v>6063</v>
      </c>
      <c r="F1295" s="293" t="s">
        <v>7366</v>
      </c>
      <c r="G1295" s="293" t="s">
        <v>5579</v>
      </c>
      <c r="H1295" s="294">
        <v>42613</v>
      </c>
      <c r="I1295" s="295">
        <v>-2351.71</v>
      </c>
    </row>
    <row r="1296" spans="1:9" x14ac:dyDescent="0.2">
      <c r="A1296" s="293" t="s">
        <v>7376</v>
      </c>
      <c r="B1296" s="293" t="s">
        <v>5666</v>
      </c>
      <c r="C1296" s="293" t="s">
        <v>6065</v>
      </c>
      <c r="D1296" s="293" t="s">
        <v>5859</v>
      </c>
      <c r="E1296" s="293" t="s">
        <v>6063</v>
      </c>
      <c r="F1296" s="293" t="s">
        <v>7366</v>
      </c>
      <c r="G1296" s="293" t="s">
        <v>5579</v>
      </c>
      <c r="H1296" s="294">
        <v>42613</v>
      </c>
      <c r="I1296" s="295">
        <v>-63.12</v>
      </c>
    </row>
    <row r="1297" spans="1:9" x14ac:dyDescent="0.2">
      <c r="A1297" s="293" t="s">
        <v>7377</v>
      </c>
      <c r="B1297" s="293" t="s">
        <v>5666</v>
      </c>
      <c r="C1297" s="293" t="s">
        <v>6067</v>
      </c>
      <c r="D1297" s="293" t="s">
        <v>5859</v>
      </c>
      <c r="E1297" s="293" t="s">
        <v>5817</v>
      </c>
      <c r="F1297" s="293" t="s">
        <v>7366</v>
      </c>
      <c r="G1297" s="293" t="s">
        <v>5591</v>
      </c>
      <c r="H1297" s="294">
        <v>42613</v>
      </c>
      <c r="I1297" s="295">
        <v>-6308.36</v>
      </c>
    </row>
    <row r="1298" spans="1:9" x14ac:dyDescent="0.2">
      <c r="A1298" s="293" t="s">
        <v>7378</v>
      </c>
      <c r="B1298" s="293" t="s">
        <v>5666</v>
      </c>
      <c r="C1298" s="293" t="s">
        <v>6069</v>
      </c>
      <c r="D1298" s="293" t="s">
        <v>5859</v>
      </c>
      <c r="E1298" s="293" t="s">
        <v>5817</v>
      </c>
      <c r="F1298" s="293" t="s">
        <v>7366</v>
      </c>
      <c r="G1298" s="293" t="s">
        <v>5591</v>
      </c>
      <c r="H1298" s="294">
        <v>42613</v>
      </c>
      <c r="I1298" s="295">
        <v>-7695.19</v>
      </c>
    </row>
    <row r="1299" spans="1:9" x14ac:dyDescent="0.2">
      <c r="A1299" s="293" t="s">
        <v>7379</v>
      </c>
      <c r="B1299" s="293" t="s">
        <v>5666</v>
      </c>
      <c r="C1299" s="293" t="s">
        <v>6471</v>
      </c>
      <c r="D1299" s="293" t="s">
        <v>5859</v>
      </c>
      <c r="E1299" s="293" t="s">
        <v>6829</v>
      </c>
      <c r="F1299" s="293" t="s">
        <v>7366</v>
      </c>
      <c r="G1299" s="293" t="s">
        <v>5589</v>
      </c>
      <c r="H1299" s="294">
        <v>42613</v>
      </c>
      <c r="I1299" s="295">
        <v>-7123.53</v>
      </c>
    </row>
    <row r="1300" spans="1:9" x14ac:dyDescent="0.2">
      <c r="A1300" s="293" t="s">
        <v>7380</v>
      </c>
      <c r="B1300" s="293" t="s">
        <v>5666</v>
      </c>
      <c r="C1300" s="293" t="s">
        <v>6473</v>
      </c>
      <c r="D1300" s="293" t="s">
        <v>5859</v>
      </c>
      <c r="E1300" s="293" t="s">
        <v>6474</v>
      </c>
      <c r="F1300" s="293" t="s">
        <v>7366</v>
      </c>
      <c r="G1300" s="293" t="s">
        <v>5593</v>
      </c>
      <c r="H1300" s="294">
        <v>42613</v>
      </c>
      <c r="I1300" s="295">
        <v>-14668.67</v>
      </c>
    </row>
    <row r="1301" spans="1:9" x14ac:dyDescent="0.2">
      <c r="A1301" s="293" t="s">
        <v>7381</v>
      </c>
      <c r="B1301" s="293" t="s">
        <v>5666</v>
      </c>
      <c r="C1301" s="293" t="s">
        <v>6920</v>
      </c>
      <c r="D1301" s="293" t="s">
        <v>5859</v>
      </c>
      <c r="E1301" s="293" t="s">
        <v>6921</v>
      </c>
      <c r="F1301" s="293" t="s">
        <v>7366</v>
      </c>
      <c r="G1301" s="293" t="s">
        <v>5754</v>
      </c>
      <c r="H1301" s="294">
        <v>42613</v>
      </c>
      <c r="I1301" s="295">
        <v>-8710.42</v>
      </c>
    </row>
    <row r="1302" spans="1:9" x14ac:dyDescent="0.2">
      <c r="A1302" s="293" t="s">
        <v>7382</v>
      </c>
      <c r="B1302" s="293" t="s">
        <v>5666</v>
      </c>
      <c r="C1302" s="293" t="s">
        <v>7219</v>
      </c>
      <c r="D1302" s="293" t="s">
        <v>5859</v>
      </c>
      <c r="E1302" s="293" t="s">
        <v>7080</v>
      </c>
      <c r="F1302" s="293" t="s">
        <v>7366</v>
      </c>
      <c r="G1302" s="293" t="s">
        <v>5755</v>
      </c>
      <c r="H1302" s="294">
        <v>42613</v>
      </c>
      <c r="I1302" s="295">
        <v>-7028.09</v>
      </c>
    </row>
    <row r="1303" spans="1:9" x14ac:dyDescent="0.2">
      <c r="A1303" s="293" t="s">
        <v>7383</v>
      </c>
      <c r="B1303" s="293" t="s">
        <v>6010</v>
      </c>
      <c r="C1303" s="293" t="s">
        <v>7384</v>
      </c>
      <c r="D1303" s="293" t="s">
        <v>5859</v>
      </c>
      <c r="E1303" s="293" t="s">
        <v>5088</v>
      </c>
      <c r="F1303" s="293" t="s">
        <v>7385</v>
      </c>
      <c r="G1303" s="293" t="s">
        <v>5593</v>
      </c>
      <c r="H1303" s="294">
        <v>42625</v>
      </c>
      <c r="I1303" s="295">
        <v>3780</v>
      </c>
    </row>
    <row r="1304" spans="1:9" x14ac:dyDescent="0.2">
      <c r="A1304" s="293" t="s">
        <v>7386</v>
      </c>
      <c r="B1304" s="293" t="s">
        <v>5666</v>
      </c>
      <c r="C1304" s="293" t="s">
        <v>6027</v>
      </c>
      <c r="D1304" s="293" t="s">
        <v>5859</v>
      </c>
      <c r="E1304" s="293" t="s">
        <v>6028</v>
      </c>
      <c r="F1304" s="293" t="s">
        <v>7387</v>
      </c>
      <c r="G1304" s="293" t="s">
        <v>5573</v>
      </c>
      <c r="H1304" s="294">
        <v>42643</v>
      </c>
      <c r="I1304" s="295">
        <v>-6400.96</v>
      </c>
    </row>
    <row r="1305" spans="1:9" x14ac:dyDescent="0.2">
      <c r="A1305" s="293" t="s">
        <v>7388</v>
      </c>
      <c r="B1305" s="293" t="s">
        <v>5666</v>
      </c>
      <c r="C1305" s="293" t="s">
        <v>6030</v>
      </c>
      <c r="D1305" s="293" t="s">
        <v>5859</v>
      </c>
      <c r="E1305" s="293" t="s">
        <v>6028</v>
      </c>
      <c r="F1305" s="293" t="s">
        <v>7387</v>
      </c>
      <c r="G1305" s="293" t="s">
        <v>5573</v>
      </c>
      <c r="H1305" s="294">
        <v>42643</v>
      </c>
      <c r="I1305" s="295">
        <v>-130.22</v>
      </c>
    </row>
    <row r="1306" spans="1:9" x14ac:dyDescent="0.2">
      <c r="A1306" s="293" t="s">
        <v>7389</v>
      </c>
      <c r="B1306" s="293" t="s">
        <v>5666</v>
      </c>
      <c r="C1306" s="293" t="s">
        <v>6032</v>
      </c>
      <c r="D1306" s="293" t="s">
        <v>5859</v>
      </c>
      <c r="E1306" s="293" t="s">
        <v>6033</v>
      </c>
      <c r="F1306" s="293" t="s">
        <v>7387</v>
      </c>
      <c r="G1306" s="293" t="s">
        <v>5585</v>
      </c>
      <c r="H1306" s="294">
        <v>42643</v>
      </c>
      <c r="I1306" s="295">
        <v>-6872.38</v>
      </c>
    </row>
    <row r="1307" spans="1:9" x14ac:dyDescent="0.2">
      <c r="A1307" s="293" t="s">
        <v>7390</v>
      </c>
      <c r="B1307" s="293" t="s">
        <v>5666</v>
      </c>
      <c r="C1307" s="293" t="s">
        <v>6035</v>
      </c>
      <c r="D1307" s="293" t="s">
        <v>5859</v>
      </c>
      <c r="E1307" s="293" t="s">
        <v>6033</v>
      </c>
      <c r="F1307" s="293" t="s">
        <v>7387</v>
      </c>
      <c r="G1307" s="293" t="s">
        <v>5585</v>
      </c>
      <c r="H1307" s="294">
        <v>42643</v>
      </c>
      <c r="I1307" s="295">
        <v>-4630.24</v>
      </c>
    </row>
    <row r="1308" spans="1:9" x14ac:dyDescent="0.2">
      <c r="A1308" s="293" t="s">
        <v>7391</v>
      </c>
      <c r="B1308" s="293" t="s">
        <v>5666</v>
      </c>
      <c r="C1308" s="293" t="s">
        <v>6037</v>
      </c>
      <c r="D1308" s="293" t="s">
        <v>5859</v>
      </c>
      <c r="E1308" s="293" t="s">
        <v>6038</v>
      </c>
      <c r="F1308" s="293" t="s">
        <v>7387</v>
      </c>
      <c r="G1308" s="293" t="s">
        <v>5586</v>
      </c>
      <c r="H1308" s="294">
        <v>42643</v>
      </c>
      <c r="I1308" s="295">
        <v>-3059.89</v>
      </c>
    </row>
    <row r="1309" spans="1:9" x14ac:dyDescent="0.2">
      <c r="A1309" s="293" t="s">
        <v>7392</v>
      </c>
      <c r="B1309" s="293" t="s">
        <v>5666</v>
      </c>
      <c r="C1309" s="293" t="s">
        <v>6040</v>
      </c>
      <c r="D1309" s="293" t="s">
        <v>5859</v>
      </c>
      <c r="E1309" s="293" t="s">
        <v>6041</v>
      </c>
      <c r="F1309" s="293" t="s">
        <v>7387</v>
      </c>
      <c r="G1309" s="293" t="s">
        <v>5581</v>
      </c>
      <c r="H1309" s="294">
        <v>42643</v>
      </c>
      <c r="I1309" s="295">
        <v>-8058.13</v>
      </c>
    </row>
    <row r="1310" spans="1:9" x14ac:dyDescent="0.2">
      <c r="A1310" s="293" t="s">
        <v>7393</v>
      </c>
      <c r="B1310" s="293" t="s">
        <v>5666</v>
      </c>
      <c r="C1310" s="293" t="s">
        <v>6052</v>
      </c>
      <c r="D1310" s="293" t="s">
        <v>5859</v>
      </c>
      <c r="E1310" s="293" t="s">
        <v>5817</v>
      </c>
      <c r="F1310" s="293" t="s">
        <v>7387</v>
      </c>
      <c r="G1310" s="293" t="s">
        <v>5577</v>
      </c>
      <c r="H1310" s="294">
        <v>42643</v>
      </c>
      <c r="I1310" s="295">
        <v>-7696.08</v>
      </c>
    </row>
    <row r="1311" spans="1:9" x14ac:dyDescent="0.2">
      <c r="A1311" s="293" t="s">
        <v>7394</v>
      </c>
      <c r="B1311" s="293" t="s">
        <v>5666</v>
      </c>
      <c r="C1311" s="293" t="s">
        <v>6054</v>
      </c>
      <c r="D1311" s="293" t="s">
        <v>5859</v>
      </c>
      <c r="E1311" s="293" t="s">
        <v>5817</v>
      </c>
      <c r="F1311" s="293" t="s">
        <v>7387</v>
      </c>
      <c r="G1311" s="293" t="s">
        <v>5577</v>
      </c>
      <c r="H1311" s="294">
        <v>42643</v>
      </c>
      <c r="I1311" s="295">
        <v>-3633.17</v>
      </c>
    </row>
    <row r="1312" spans="1:9" x14ac:dyDescent="0.2">
      <c r="A1312" s="293" t="s">
        <v>7395</v>
      </c>
      <c r="B1312" s="293" t="s">
        <v>5666</v>
      </c>
      <c r="C1312" s="293" t="s">
        <v>6056</v>
      </c>
      <c r="D1312" s="293" t="s">
        <v>5859</v>
      </c>
      <c r="E1312" s="293" t="s">
        <v>6057</v>
      </c>
      <c r="F1312" s="293" t="s">
        <v>7387</v>
      </c>
      <c r="G1312" s="293" t="s">
        <v>5578</v>
      </c>
      <c r="H1312" s="294">
        <v>42643</v>
      </c>
      <c r="I1312" s="295">
        <v>-4399.9399999999996</v>
      </c>
    </row>
    <row r="1313" spans="1:9" x14ac:dyDescent="0.2">
      <c r="A1313" s="293" t="s">
        <v>7396</v>
      </c>
      <c r="B1313" s="293" t="s">
        <v>5666</v>
      </c>
      <c r="C1313" s="293" t="s">
        <v>6062</v>
      </c>
      <c r="D1313" s="293" t="s">
        <v>5859</v>
      </c>
      <c r="E1313" s="293" t="s">
        <v>6063</v>
      </c>
      <c r="F1313" s="293" t="s">
        <v>7387</v>
      </c>
      <c r="G1313" s="293" t="s">
        <v>5579</v>
      </c>
      <c r="H1313" s="294">
        <v>42643</v>
      </c>
      <c r="I1313" s="295">
        <v>-2351.71</v>
      </c>
    </row>
    <row r="1314" spans="1:9" x14ac:dyDescent="0.2">
      <c r="A1314" s="293" t="s">
        <v>7397</v>
      </c>
      <c r="B1314" s="293" t="s">
        <v>5666</v>
      </c>
      <c r="C1314" s="293" t="s">
        <v>6065</v>
      </c>
      <c r="D1314" s="293" t="s">
        <v>5859</v>
      </c>
      <c r="E1314" s="293" t="s">
        <v>6063</v>
      </c>
      <c r="F1314" s="293" t="s">
        <v>7387</v>
      </c>
      <c r="G1314" s="293" t="s">
        <v>5579</v>
      </c>
      <c r="H1314" s="294">
        <v>42643</v>
      </c>
      <c r="I1314" s="295">
        <v>-63.12</v>
      </c>
    </row>
    <row r="1315" spans="1:9" x14ac:dyDescent="0.2">
      <c r="A1315" s="293" t="s">
        <v>7398</v>
      </c>
      <c r="B1315" s="293" t="s">
        <v>5666</v>
      </c>
      <c r="C1315" s="293" t="s">
        <v>6067</v>
      </c>
      <c r="D1315" s="293" t="s">
        <v>5859</v>
      </c>
      <c r="E1315" s="293" t="s">
        <v>5817</v>
      </c>
      <c r="F1315" s="293" t="s">
        <v>7387</v>
      </c>
      <c r="G1315" s="293" t="s">
        <v>5591</v>
      </c>
      <c r="H1315" s="294">
        <v>42643</v>
      </c>
      <c r="I1315" s="295">
        <v>-6308.36</v>
      </c>
    </row>
    <row r="1316" spans="1:9" x14ac:dyDescent="0.2">
      <c r="A1316" s="293" t="s">
        <v>7399</v>
      </c>
      <c r="B1316" s="293" t="s">
        <v>5666</v>
      </c>
      <c r="C1316" s="293" t="s">
        <v>6069</v>
      </c>
      <c r="D1316" s="293" t="s">
        <v>5859</v>
      </c>
      <c r="E1316" s="293" t="s">
        <v>5817</v>
      </c>
      <c r="F1316" s="293" t="s">
        <v>7387</v>
      </c>
      <c r="G1316" s="293" t="s">
        <v>5591</v>
      </c>
      <c r="H1316" s="294">
        <v>42643</v>
      </c>
      <c r="I1316" s="295">
        <v>-7695.19</v>
      </c>
    </row>
    <row r="1317" spans="1:9" x14ac:dyDescent="0.2">
      <c r="A1317" s="293" t="s">
        <v>7400</v>
      </c>
      <c r="B1317" s="293" t="s">
        <v>5666</v>
      </c>
      <c r="C1317" s="293" t="s">
        <v>6471</v>
      </c>
      <c r="D1317" s="293" t="s">
        <v>5859</v>
      </c>
      <c r="E1317" s="293" t="s">
        <v>6829</v>
      </c>
      <c r="F1317" s="293" t="s">
        <v>7387</v>
      </c>
      <c r="G1317" s="293" t="s">
        <v>5589</v>
      </c>
      <c r="H1317" s="294">
        <v>42643</v>
      </c>
      <c r="I1317" s="295">
        <v>-7123.53</v>
      </c>
    </row>
    <row r="1318" spans="1:9" x14ac:dyDescent="0.2">
      <c r="A1318" s="293" t="s">
        <v>7401</v>
      </c>
      <c r="B1318" s="293" t="s">
        <v>5666</v>
      </c>
      <c r="C1318" s="293" t="s">
        <v>6473</v>
      </c>
      <c r="D1318" s="293" t="s">
        <v>5859</v>
      </c>
      <c r="E1318" s="293" t="s">
        <v>6474</v>
      </c>
      <c r="F1318" s="293" t="s">
        <v>7387</v>
      </c>
      <c r="G1318" s="293" t="s">
        <v>5593</v>
      </c>
      <c r="H1318" s="294">
        <v>42643</v>
      </c>
      <c r="I1318" s="295">
        <v>-14668.67</v>
      </c>
    </row>
    <row r="1319" spans="1:9" x14ac:dyDescent="0.2">
      <c r="A1319" s="293" t="s">
        <v>7402</v>
      </c>
      <c r="B1319" s="293" t="s">
        <v>5666</v>
      </c>
      <c r="C1319" s="293" t="s">
        <v>6920</v>
      </c>
      <c r="D1319" s="293" t="s">
        <v>5859</v>
      </c>
      <c r="E1319" s="293" t="s">
        <v>6921</v>
      </c>
      <c r="F1319" s="293" t="s">
        <v>7387</v>
      </c>
      <c r="G1319" s="293" t="s">
        <v>5754</v>
      </c>
      <c r="H1319" s="294">
        <v>42643</v>
      </c>
      <c r="I1319" s="295">
        <v>-8710.42</v>
      </c>
    </row>
    <row r="1320" spans="1:9" x14ac:dyDescent="0.2">
      <c r="A1320" s="293" t="s">
        <v>7403</v>
      </c>
      <c r="B1320" s="293" t="s">
        <v>5666</v>
      </c>
      <c r="C1320" s="293" t="s">
        <v>7219</v>
      </c>
      <c r="D1320" s="293" t="s">
        <v>5859</v>
      </c>
      <c r="E1320" s="293" t="s">
        <v>7080</v>
      </c>
      <c r="F1320" s="293" t="s">
        <v>7387</v>
      </c>
      <c r="G1320" s="293" t="s">
        <v>5755</v>
      </c>
      <c r="H1320" s="294">
        <v>42643</v>
      </c>
      <c r="I1320" s="295">
        <v>-7028.09</v>
      </c>
    </row>
    <row r="1321" spans="1:9" x14ac:dyDescent="0.2">
      <c r="A1321" s="293" t="s">
        <v>7404</v>
      </c>
      <c r="B1321" s="293" t="s">
        <v>5666</v>
      </c>
      <c r="C1321" s="293" t="s">
        <v>6027</v>
      </c>
      <c r="D1321" s="293" t="s">
        <v>5859</v>
      </c>
      <c r="E1321" s="293" t="s">
        <v>6028</v>
      </c>
      <c r="F1321" s="293" t="s">
        <v>7405</v>
      </c>
      <c r="G1321" s="293" t="s">
        <v>5573</v>
      </c>
      <c r="H1321" s="294">
        <v>42674</v>
      </c>
      <c r="I1321" s="295">
        <v>-6400.96</v>
      </c>
    </row>
    <row r="1322" spans="1:9" x14ac:dyDescent="0.2">
      <c r="A1322" s="293" t="s">
        <v>7406</v>
      </c>
      <c r="B1322" s="293" t="s">
        <v>5666</v>
      </c>
      <c r="C1322" s="293" t="s">
        <v>6030</v>
      </c>
      <c r="D1322" s="293" t="s">
        <v>5859</v>
      </c>
      <c r="E1322" s="293" t="s">
        <v>6028</v>
      </c>
      <c r="F1322" s="293" t="s">
        <v>7405</v>
      </c>
      <c r="G1322" s="293" t="s">
        <v>5573</v>
      </c>
      <c r="H1322" s="294">
        <v>42674</v>
      </c>
      <c r="I1322" s="295">
        <v>-130.22</v>
      </c>
    </row>
    <row r="1323" spans="1:9" x14ac:dyDescent="0.2">
      <c r="A1323" s="293" t="s">
        <v>7407</v>
      </c>
      <c r="B1323" s="293" t="s">
        <v>5666</v>
      </c>
      <c r="C1323" s="293" t="s">
        <v>6032</v>
      </c>
      <c r="D1323" s="293" t="s">
        <v>5859</v>
      </c>
      <c r="E1323" s="293" t="s">
        <v>6033</v>
      </c>
      <c r="F1323" s="293" t="s">
        <v>7405</v>
      </c>
      <c r="G1323" s="293" t="s">
        <v>5585</v>
      </c>
      <c r="H1323" s="294">
        <v>42674</v>
      </c>
      <c r="I1323" s="295">
        <v>-6872.38</v>
      </c>
    </row>
    <row r="1324" spans="1:9" x14ac:dyDescent="0.2">
      <c r="A1324" s="293" t="s">
        <v>7408</v>
      </c>
      <c r="B1324" s="293" t="s">
        <v>5666</v>
      </c>
      <c r="C1324" s="293" t="s">
        <v>6035</v>
      </c>
      <c r="D1324" s="293" t="s">
        <v>5859</v>
      </c>
      <c r="E1324" s="293" t="s">
        <v>6033</v>
      </c>
      <c r="F1324" s="293" t="s">
        <v>7405</v>
      </c>
      <c r="G1324" s="293" t="s">
        <v>5585</v>
      </c>
      <c r="H1324" s="294">
        <v>42674</v>
      </c>
      <c r="I1324" s="295">
        <v>-4630.24</v>
      </c>
    </row>
    <row r="1325" spans="1:9" x14ac:dyDescent="0.2">
      <c r="A1325" s="293" t="s">
        <v>7409</v>
      </c>
      <c r="B1325" s="293" t="s">
        <v>5666</v>
      </c>
      <c r="C1325" s="293" t="s">
        <v>6037</v>
      </c>
      <c r="D1325" s="293" t="s">
        <v>5859</v>
      </c>
      <c r="E1325" s="293" t="s">
        <v>6038</v>
      </c>
      <c r="F1325" s="293" t="s">
        <v>7405</v>
      </c>
      <c r="G1325" s="293" t="s">
        <v>5586</v>
      </c>
      <c r="H1325" s="294">
        <v>42674</v>
      </c>
      <c r="I1325" s="295">
        <v>-3059.89</v>
      </c>
    </row>
    <row r="1326" spans="1:9" x14ac:dyDescent="0.2">
      <c r="A1326" s="293" t="s">
        <v>7410</v>
      </c>
      <c r="B1326" s="293" t="s">
        <v>5666</v>
      </c>
      <c r="C1326" s="293" t="s">
        <v>6040</v>
      </c>
      <c r="D1326" s="293" t="s">
        <v>5859</v>
      </c>
      <c r="E1326" s="293" t="s">
        <v>6041</v>
      </c>
      <c r="F1326" s="293" t="s">
        <v>7405</v>
      </c>
      <c r="G1326" s="293" t="s">
        <v>5581</v>
      </c>
      <c r="H1326" s="294">
        <v>42674</v>
      </c>
      <c r="I1326" s="295">
        <v>-8058.13</v>
      </c>
    </row>
    <row r="1327" spans="1:9" x14ac:dyDescent="0.2">
      <c r="A1327" s="293" t="s">
        <v>7411</v>
      </c>
      <c r="B1327" s="293" t="s">
        <v>5666</v>
      </c>
      <c r="C1327" s="293" t="s">
        <v>6052</v>
      </c>
      <c r="D1327" s="293" t="s">
        <v>5859</v>
      </c>
      <c r="E1327" s="293" t="s">
        <v>5817</v>
      </c>
      <c r="F1327" s="293" t="s">
        <v>7405</v>
      </c>
      <c r="G1327" s="293" t="s">
        <v>5577</v>
      </c>
      <c r="H1327" s="294">
        <v>42674</v>
      </c>
      <c r="I1327" s="295">
        <v>-7696.08</v>
      </c>
    </row>
    <row r="1328" spans="1:9" x14ac:dyDescent="0.2">
      <c r="A1328" s="293" t="s">
        <v>7412</v>
      </c>
      <c r="B1328" s="293" t="s">
        <v>5666</v>
      </c>
      <c r="C1328" s="293" t="s">
        <v>6054</v>
      </c>
      <c r="D1328" s="293" t="s">
        <v>5859</v>
      </c>
      <c r="E1328" s="293" t="s">
        <v>5817</v>
      </c>
      <c r="F1328" s="293" t="s">
        <v>7405</v>
      </c>
      <c r="G1328" s="293" t="s">
        <v>5577</v>
      </c>
      <c r="H1328" s="294">
        <v>42674</v>
      </c>
      <c r="I1328" s="295">
        <v>-3633.17</v>
      </c>
    </row>
    <row r="1329" spans="1:9" x14ac:dyDescent="0.2">
      <c r="A1329" s="293" t="s">
        <v>7413</v>
      </c>
      <c r="B1329" s="293" t="s">
        <v>5666</v>
      </c>
      <c r="C1329" s="293" t="s">
        <v>6056</v>
      </c>
      <c r="D1329" s="293" t="s">
        <v>5859</v>
      </c>
      <c r="E1329" s="293" t="s">
        <v>6057</v>
      </c>
      <c r="F1329" s="293" t="s">
        <v>7405</v>
      </c>
      <c r="G1329" s="293" t="s">
        <v>5578</v>
      </c>
      <c r="H1329" s="294">
        <v>42674</v>
      </c>
      <c r="I1329" s="295">
        <v>-4399.9399999999996</v>
      </c>
    </row>
    <row r="1330" spans="1:9" x14ac:dyDescent="0.2">
      <c r="A1330" s="293" t="s">
        <v>7414</v>
      </c>
      <c r="B1330" s="293" t="s">
        <v>5666</v>
      </c>
      <c r="C1330" s="293" t="s">
        <v>6062</v>
      </c>
      <c r="D1330" s="293" t="s">
        <v>5859</v>
      </c>
      <c r="E1330" s="293" t="s">
        <v>6063</v>
      </c>
      <c r="F1330" s="293" t="s">
        <v>7405</v>
      </c>
      <c r="G1330" s="293" t="s">
        <v>5579</v>
      </c>
      <c r="H1330" s="294">
        <v>42674</v>
      </c>
      <c r="I1330" s="295">
        <v>-2351.71</v>
      </c>
    </row>
    <row r="1331" spans="1:9" x14ac:dyDescent="0.2">
      <c r="A1331" s="293" t="s">
        <v>7415</v>
      </c>
      <c r="B1331" s="293" t="s">
        <v>5666</v>
      </c>
      <c r="C1331" s="293" t="s">
        <v>6065</v>
      </c>
      <c r="D1331" s="293" t="s">
        <v>5859</v>
      </c>
      <c r="E1331" s="293" t="s">
        <v>6063</v>
      </c>
      <c r="F1331" s="293" t="s">
        <v>7405</v>
      </c>
      <c r="G1331" s="293" t="s">
        <v>5579</v>
      </c>
      <c r="H1331" s="294">
        <v>42674</v>
      </c>
      <c r="I1331" s="295">
        <v>-63.12</v>
      </c>
    </row>
    <row r="1332" spans="1:9" x14ac:dyDescent="0.2">
      <c r="A1332" s="293" t="s">
        <v>7416</v>
      </c>
      <c r="B1332" s="293" t="s">
        <v>5666</v>
      </c>
      <c r="C1332" s="293" t="s">
        <v>6067</v>
      </c>
      <c r="D1332" s="293" t="s">
        <v>5859</v>
      </c>
      <c r="E1332" s="293" t="s">
        <v>5817</v>
      </c>
      <c r="F1332" s="293" t="s">
        <v>7405</v>
      </c>
      <c r="G1332" s="293" t="s">
        <v>5591</v>
      </c>
      <c r="H1332" s="294">
        <v>42674</v>
      </c>
      <c r="I1332" s="295">
        <v>-6308.36</v>
      </c>
    </row>
    <row r="1333" spans="1:9" x14ac:dyDescent="0.2">
      <c r="A1333" s="293" t="s">
        <v>7417</v>
      </c>
      <c r="B1333" s="293" t="s">
        <v>5666</v>
      </c>
      <c r="C1333" s="293" t="s">
        <v>6069</v>
      </c>
      <c r="D1333" s="293" t="s">
        <v>5859</v>
      </c>
      <c r="E1333" s="293" t="s">
        <v>5817</v>
      </c>
      <c r="F1333" s="293" t="s">
        <v>7405</v>
      </c>
      <c r="G1333" s="293" t="s">
        <v>5591</v>
      </c>
      <c r="H1333" s="294">
        <v>42674</v>
      </c>
      <c r="I1333" s="295">
        <v>-7695.19</v>
      </c>
    </row>
    <row r="1334" spans="1:9" x14ac:dyDescent="0.2">
      <c r="A1334" s="293" t="s">
        <v>7418</v>
      </c>
      <c r="B1334" s="293" t="s">
        <v>5666</v>
      </c>
      <c r="C1334" s="293" t="s">
        <v>6471</v>
      </c>
      <c r="D1334" s="293" t="s">
        <v>5859</v>
      </c>
      <c r="E1334" s="293" t="s">
        <v>6829</v>
      </c>
      <c r="F1334" s="293" t="s">
        <v>7405</v>
      </c>
      <c r="G1334" s="293" t="s">
        <v>5589</v>
      </c>
      <c r="H1334" s="294">
        <v>42674</v>
      </c>
      <c r="I1334" s="295">
        <v>-7123.53</v>
      </c>
    </row>
    <row r="1335" spans="1:9" x14ac:dyDescent="0.2">
      <c r="A1335" s="293" t="s">
        <v>7419</v>
      </c>
      <c r="B1335" s="293" t="s">
        <v>5666</v>
      </c>
      <c r="C1335" s="293" t="s">
        <v>6473</v>
      </c>
      <c r="D1335" s="293" t="s">
        <v>5859</v>
      </c>
      <c r="E1335" s="293" t="s">
        <v>6474</v>
      </c>
      <c r="F1335" s="293" t="s">
        <v>7405</v>
      </c>
      <c r="G1335" s="293" t="s">
        <v>5593</v>
      </c>
      <c r="H1335" s="294">
        <v>42674</v>
      </c>
      <c r="I1335" s="295">
        <v>-14668.67</v>
      </c>
    </row>
    <row r="1336" spans="1:9" x14ac:dyDescent="0.2">
      <c r="A1336" s="293" t="s">
        <v>7420</v>
      </c>
      <c r="B1336" s="293" t="s">
        <v>5666</v>
      </c>
      <c r="C1336" s="293" t="s">
        <v>6920</v>
      </c>
      <c r="D1336" s="293" t="s">
        <v>5859</v>
      </c>
      <c r="E1336" s="293" t="s">
        <v>6921</v>
      </c>
      <c r="F1336" s="293" t="s">
        <v>7405</v>
      </c>
      <c r="G1336" s="293" t="s">
        <v>5754</v>
      </c>
      <c r="H1336" s="294">
        <v>42674</v>
      </c>
      <c r="I1336" s="295">
        <v>-8710.42</v>
      </c>
    </row>
    <row r="1337" spans="1:9" x14ac:dyDescent="0.2">
      <c r="A1337" s="293" t="s">
        <v>7421</v>
      </c>
      <c r="B1337" s="293" t="s">
        <v>5666</v>
      </c>
      <c r="C1337" s="293" t="s">
        <v>7219</v>
      </c>
      <c r="D1337" s="293" t="s">
        <v>5859</v>
      </c>
      <c r="E1337" s="293" t="s">
        <v>7080</v>
      </c>
      <c r="F1337" s="293" t="s">
        <v>7405</v>
      </c>
      <c r="G1337" s="293" t="s">
        <v>5755</v>
      </c>
      <c r="H1337" s="294">
        <v>42674</v>
      </c>
      <c r="I1337" s="295">
        <v>-7028.09</v>
      </c>
    </row>
    <row r="1338" spans="1:9" x14ac:dyDescent="0.2">
      <c r="A1338" s="293" t="s">
        <v>7422</v>
      </c>
      <c r="B1338" s="293" t="s">
        <v>5666</v>
      </c>
      <c r="C1338" s="293" t="s">
        <v>6027</v>
      </c>
      <c r="D1338" s="293" t="s">
        <v>5859</v>
      </c>
      <c r="E1338" s="293" t="s">
        <v>6028</v>
      </c>
      <c r="F1338" s="293" t="s">
        <v>7423</v>
      </c>
      <c r="G1338" s="293" t="s">
        <v>5573</v>
      </c>
      <c r="H1338" s="294">
        <v>42704</v>
      </c>
      <c r="I1338" s="295">
        <v>-6400.96</v>
      </c>
    </row>
    <row r="1339" spans="1:9" x14ac:dyDescent="0.2">
      <c r="A1339" s="293" t="s">
        <v>7424</v>
      </c>
      <c r="B1339" s="293" t="s">
        <v>5666</v>
      </c>
      <c r="C1339" s="293" t="s">
        <v>6030</v>
      </c>
      <c r="D1339" s="293" t="s">
        <v>5859</v>
      </c>
      <c r="E1339" s="293" t="s">
        <v>6028</v>
      </c>
      <c r="F1339" s="293" t="s">
        <v>7423</v>
      </c>
      <c r="G1339" s="293" t="s">
        <v>5573</v>
      </c>
      <c r="H1339" s="294">
        <v>42704</v>
      </c>
      <c r="I1339" s="295">
        <v>-130.22</v>
      </c>
    </row>
    <row r="1340" spans="1:9" x14ac:dyDescent="0.2">
      <c r="A1340" s="293" t="s">
        <v>7425</v>
      </c>
      <c r="B1340" s="293" t="s">
        <v>5666</v>
      </c>
      <c r="C1340" s="293" t="s">
        <v>6032</v>
      </c>
      <c r="D1340" s="293" t="s">
        <v>5859</v>
      </c>
      <c r="E1340" s="293" t="s">
        <v>6033</v>
      </c>
      <c r="F1340" s="293" t="s">
        <v>7423</v>
      </c>
      <c r="G1340" s="293" t="s">
        <v>5585</v>
      </c>
      <c r="H1340" s="294">
        <v>42704</v>
      </c>
      <c r="I1340" s="295">
        <v>-6872.38</v>
      </c>
    </row>
    <row r="1341" spans="1:9" x14ac:dyDescent="0.2">
      <c r="A1341" s="293" t="s">
        <v>7426</v>
      </c>
      <c r="B1341" s="293" t="s">
        <v>5666</v>
      </c>
      <c r="C1341" s="293" t="s">
        <v>6035</v>
      </c>
      <c r="D1341" s="293" t="s">
        <v>5859</v>
      </c>
      <c r="E1341" s="293" t="s">
        <v>6033</v>
      </c>
      <c r="F1341" s="293" t="s">
        <v>7423</v>
      </c>
      <c r="G1341" s="293" t="s">
        <v>5585</v>
      </c>
      <c r="H1341" s="294">
        <v>42704</v>
      </c>
      <c r="I1341" s="295">
        <v>-4630.24</v>
      </c>
    </row>
    <row r="1342" spans="1:9" x14ac:dyDescent="0.2">
      <c r="A1342" s="293" t="s">
        <v>7427</v>
      </c>
      <c r="B1342" s="293" t="s">
        <v>5666</v>
      </c>
      <c r="C1342" s="293" t="s">
        <v>6037</v>
      </c>
      <c r="D1342" s="293" t="s">
        <v>5859</v>
      </c>
      <c r="E1342" s="293" t="s">
        <v>6038</v>
      </c>
      <c r="F1342" s="293" t="s">
        <v>7423</v>
      </c>
      <c r="G1342" s="293" t="s">
        <v>5586</v>
      </c>
      <c r="H1342" s="294">
        <v>42704</v>
      </c>
      <c r="I1342" s="295">
        <v>-3059.89</v>
      </c>
    </row>
    <row r="1343" spans="1:9" x14ac:dyDescent="0.2">
      <c r="A1343" s="293" t="s">
        <v>7428</v>
      </c>
      <c r="B1343" s="293" t="s">
        <v>5666</v>
      </c>
      <c r="C1343" s="293" t="s">
        <v>6040</v>
      </c>
      <c r="D1343" s="293" t="s">
        <v>5859</v>
      </c>
      <c r="E1343" s="293" t="s">
        <v>6041</v>
      </c>
      <c r="F1343" s="293" t="s">
        <v>7423</v>
      </c>
      <c r="G1343" s="293" t="s">
        <v>5581</v>
      </c>
      <c r="H1343" s="294">
        <v>42704</v>
      </c>
      <c r="I1343" s="295">
        <v>-8058.13</v>
      </c>
    </row>
    <row r="1344" spans="1:9" x14ac:dyDescent="0.2">
      <c r="A1344" s="293" t="s">
        <v>7429</v>
      </c>
      <c r="B1344" s="293" t="s">
        <v>5666</v>
      </c>
      <c r="C1344" s="293" t="s">
        <v>6052</v>
      </c>
      <c r="D1344" s="293" t="s">
        <v>5859</v>
      </c>
      <c r="E1344" s="293" t="s">
        <v>5817</v>
      </c>
      <c r="F1344" s="293" t="s">
        <v>7423</v>
      </c>
      <c r="G1344" s="293" t="s">
        <v>5577</v>
      </c>
      <c r="H1344" s="294">
        <v>42704</v>
      </c>
      <c r="I1344" s="295">
        <v>-7696.08</v>
      </c>
    </row>
    <row r="1345" spans="1:9" x14ac:dyDescent="0.2">
      <c r="A1345" s="293" t="s">
        <v>7430</v>
      </c>
      <c r="B1345" s="293" t="s">
        <v>5666</v>
      </c>
      <c r="C1345" s="293" t="s">
        <v>6054</v>
      </c>
      <c r="D1345" s="293" t="s">
        <v>5859</v>
      </c>
      <c r="E1345" s="293" t="s">
        <v>5817</v>
      </c>
      <c r="F1345" s="293" t="s">
        <v>7423</v>
      </c>
      <c r="G1345" s="293" t="s">
        <v>5577</v>
      </c>
      <c r="H1345" s="294">
        <v>42704</v>
      </c>
      <c r="I1345" s="295">
        <v>-3633.17</v>
      </c>
    </row>
    <row r="1346" spans="1:9" x14ac:dyDescent="0.2">
      <c r="A1346" s="293" t="s">
        <v>7431</v>
      </c>
      <c r="B1346" s="293" t="s">
        <v>5666</v>
      </c>
      <c r="C1346" s="293" t="s">
        <v>6056</v>
      </c>
      <c r="D1346" s="293" t="s">
        <v>5859</v>
      </c>
      <c r="E1346" s="293" t="s">
        <v>6057</v>
      </c>
      <c r="F1346" s="293" t="s">
        <v>7423</v>
      </c>
      <c r="G1346" s="293" t="s">
        <v>5578</v>
      </c>
      <c r="H1346" s="294">
        <v>42704</v>
      </c>
      <c r="I1346" s="295">
        <v>-4399.9399999999996</v>
      </c>
    </row>
    <row r="1347" spans="1:9" x14ac:dyDescent="0.2">
      <c r="A1347" s="293" t="s">
        <v>7432</v>
      </c>
      <c r="B1347" s="293" t="s">
        <v>5666</v>
      </c>
      <c r="C1347" s="293" t="s">
        <v>6062</v>
      </c>
      <c r="D1347" s="293" t="s">
        <v>5859</v>
      </c>
      <c r="E1347" s="293" t="s">
        <v>6063</v>
      </c>
      <c r="F1347" s="293" t="s">
        <v>7423</v>
      </c>
      <c r="G1347" s="293" t="s">
        <v>5579</v>
      </c>
      <c r="H1347" s="294">
        <v>42704</v>
      </c>
      <c r="I1347" s="295">
        <v>-2351.71</v>
      </c>
    </row>
    <row r="1348" spans="1:9" x14ac:dyDescent="0.2">
      <c r="A1348" s="293" t="s">
        <v>7433</v>
      </c>
      <c r="B1348" s="293" t="s">
        <v>5666</v>
      </c>
      <c r="C1348" s="293" t="s">
        <v>6065</v>
      </c>
      <c r="D1348" s="293" t="s">
        <v>5859</v>
      </c>
      <c r="E1348" s="293" t="s">
        <v>6063</v>
      </c>
      <c r="F1348" s="293" t="s">
        <v>7423</v>
      </c>
      <c r="G1348" s="293" t="s">
        <v>5579</v>
      </c>
      <c r="H1348" s="294">
        <v>42704</v>
      </c>
      <c r="I1348" s="295">
        <v>-63.12</v>
      </c>
    </row>
    <row r="1349" spans="1:9" x14ac:dyDescent="0.2">
      <c r="A1349" s="293" t="s">
        <v>7434</v>
      </c>
      <c r="B1349" s="293" t="s">
        <v>5666</v>
      </c>
      <c r="C1349" s="293" t="s">
        <v>6067</v>
      </c>
      <c r="D1349" s="293" t="s">
        <v>5859</v>
      </c>
      <c r="E1349" s="293" t="s">
        <v>5817</v>
      </c>
      <c r="F1349" s="293" t="s">
        <v>7423</v>
      </c>
      <c r="G1349" s="293" t="s">
        <v>5591</v>
      </c>
      <c r="H1349" s="294">
        <v>42704</v>
      </c>
      <c r="I1349" s="295">
        <v>-6308.36</v>
      </c>
    </row>
    <row r="1350" spans="1:9" x14ac:dyDescent="0.2">
      <c r="A1350" s="293" t="s">
        <v>7435</v>
      </c>
      <c r="B1350" s="293" t="s">
        <v>5666</v>
      </c>
      <c r="C1350" s="293" t="s">
        <v>6069</v>
      </c>
      <c r="D1350" s="293" t="s">
        <v>5859</v>
      </c>
      <c r="E1350" s="293" t="s">
        <v>5817</v>
      </c>
      <c r="F1350" s="293" t="s">
        <v>7423</v>
      </c>
      <c r="G1350" s="293" t="s">
        <v>5591</v>
      </c>
      <c r="H1350" s="294">
        <v>42704</v>
      </c>
      <c r="I1350" s="295">
        <v>-7695.19</v>
      </c>
    </row>
    <row r="1351" spans="1:9" x14ac:dyDescent="0.2">
      <c r="A1351" s="293" t="s">
        <v>7436</v>
      </c>
      <c r="B1351" s="293" t="s">
        <v>5666</v>
      </c>
      <c r="C1351" s="293" t="s">
        <v>6471</v>
      </c>
      <c r="D1351" s="293" t="s">
        <v>5859</v>
      </c>
      <c r="E1351" s="293" t="s">
        <v>6829</v>
      </c>
      <c r="F1351" s="293" t="s">
        <v>7423</v>
      </c>
      <c r="G1351" s="293" t="s">
        <v>5589</v>
      </c>
      <c r="H1351" s="294">
        <v>42704</v>
      </c>
      <c r="I1351" s="295">
        <v>-7123.53</v>
      </c>
    </row>
    <row r="1352" spans="1:9" x14ac:dyDescent="0.2">
      <c r="A1352" s="293" t="s">
        <v>7437</v>
      </c>
      <c r="B1352" s="293" t="s">
        <v>5666</v>
      </c>
      <c r="C1352" s="293" t="s">
        <v>6473</v>
      </c>
      <c r="D1352" s="293" t="s">
        <v>5859</v>
      </c>
      <c r="E1352" s="293" t="s">
        <v>6474</v>
      </c>
      <c r="F1352" s="293" t="s">
        <v>7423</v>
      </c>
      <c r="G1352" s="293" t="s">
        <v>5593</v>
      </c>
      <c r="H1352" s="294">
        <v>42704</v>
      </c>
      <c r="I1352" s="295">
        <v>-14668.67</v>
      </c>
    </row>
    <row r="1353" spans="1:9" x14ac:dyDescent="0.2">
      <c r="A1353" s="293" t="s">
        <v>7438</v>
      </c>
      <c r="B1353" s="293" t="s">
        <v>5666</v>
      </c>
      <c r="C1353" s="293" t="s">
        <v>6920</v>
      </c>
      <c r="D1353" s="293" t="s">
        <v>5859</v>
      </c>
      <c r="E1353" s="293" t="s">
        <v>6921</v>
      </c>
      <c r="F1353" s="293" t="s">
        <v>7423</v>
      </c>
      <c r="G1353" s="293" t="s">
        <v>5754</v>
      </c>
      <c r="H1353" s="294">
        <v>42704</v>
      </c>
      <c r="I1353" s="295">
        <v>-8710.42</v>
      </c>
    </row>
    <row r="1354" spans="1:9" x14ac:dyDescent="0.2">
      <c r="A1354" s="293" t="s">
        <v>7439</v>
      </c>
      <c r="B1354" s="293" t="s">
        <v>5666</v>
      </c>
      <c r="C1354" s="293" t="s">
        <v>7219</v>
      </c>
      <c r="D1354" s="293" t="s">
        <v>5859</v>
      </c>
      <c r="E1354" s="293" t="s">
        <v>7080</v>
      </c>
      <c r="F1354" s="293" t="s">
        <v>7423</v>
      </c>
      <c r="G1354" s="293" t="s">
        <v>5755</v>
      </c>
      <c r="H1354" s="294">
        <v>42704</v>
      </c>
      <c r="I1354" s="295">
        <v>-7028.09</v>
      </c>
    </row>
    <row r="1355" spans="1:9" x14ac:dyDescent="0.2">
      <c r="A1355" s="293" t="s">
        <v>7440</v>
      </c>
      <c r="B1355" s="293" t="s">
        <v>5666</v>
      </c>
      <c r="C1355" s="293" t="s">
        <v>6027</v>
      </c>
      <c r="D1355" s="293" t="s">
        <v>5859</v>
      </c>
      <c r="E1355" s="293" t="s">
        <v>6028</v>
      </c>
      <c r="F1355" s="293" t="s">
        <v>7441</v>
      </c>
      <c r="G1355" s="293" t="s">
        <v>5573</v>
      </c>
      <c r="H1355" s="294">
        <v>42735</v>
      </c>
      <c r="I1355" s="295">
        <v>-6400.96</v>
      </c>
    </row>
    <row r="1356" spans="1:9" x14ac:dyDescent="0.2">
      <c r="A1356" s="293" t="s">
        <v>7442</v>
      </c>
      <c r="B1356" s="293" t="s">
        <v>5666</v>
      </c>
      <c r="C1356" s="293" t="s">
        <v>6030</v>
      </c>
      <c r="D1356" s="293" t="s">
        <v>5859</v>
      </c>
      <c r="E1356" s="293" t="s">
        <v>6028</v>
      </c>
      <c r="F1356" s="293" t="s">
        <v>7441</v>
      </c>
      <c r="G1356" s="293" t="s">
        <v>5573</v>
      </c>
      <c r="H1356" s="294">
        <v>42735</v>
      </c>
      <c r="I1356" s="295">
        <v>-130.22</v>
      </c>
    </row>
    <row r="1357" spans="1:9" x14ac:dyDescent="0.2">
      <c r="A1357" s="293" t="s">
        <v>7443</v>
      </c>
      <c r="B1357" s="293" t="s">
        <v>5666</v>
      </c>
      <c r="C1357" s="293" t="s">
        <v>6032</v>
      </c>
      <c r="D1357" s="293" t="s">
        <v>5859</v>
      </c>
      <c r="E1357" s="293" t="s">
        <v>6033</v>
      </c>
      <c r="F1357" s="293" t="s">
        <v>7441</v>
      </c>
      <c r="G1357" s="293" t="s">
        <v>5585</v>
      </c>
      <c r="H1357" s="294">
        <v>42735</v>
      </c>
      <c r="I1357" s="295">
        <v>-6872.38</v>
      </c>
    </row>
    <row r="1358" spans="1:9" x14ac:dyDescent="0.2">
      <c r="A1358" s="293" t="s">
        <v>7444</v>
      </c>
      <c r="B1358" s="293" t="s">
        <v>5666</v>
      </c>
      <c r="C1358" s="293" t="s">
        <v>6035</v>
      </c>
      <c r="D1358" s="293" t="s">
        <v>5859</v>
      </c>
      <c r="E1358" s="293" t="s">
        <v>6033</v>
      </c>
      <c r="F1358" s="293" t="s">
        <v>7441</v>
      </c>
      <c r="G1358" s="293" t="s">
        <v>5585</v>
      </c>
      <c r="H1358" s="294">
        <v>42735</v>
      </c>
      <c r="I1358" s="295">
        <v>-4630.24</v>
      </c>
    </row>
    <row r="1359" spans="1:9" x14ac:dyDescent="0.2">
      <c r="A1359" s="293" t="s">
        <v>7445</v>
      </c>
      <c r="B1359" s="293" t="s">
        <v>5666</v>
      </c>
      <c r="C1359" s="293" t="s">
        <v>6037</v>
      </c>
      <c r="D1359" s="293" t="s">
        <v>5859</v>
      </c>
      <c r="E1359" s="293" t="s">
        <v>6038</v>
      </c>
      <c r="F1359" s="293" t="s">
        <v>7441</v>
      </c>
      <c r="G1359" s="293" t="s">
        <v>5586</v>
      </c>
      <c r="H1359" s="294">
        <v>42735</v>
      </c>
      <c r="I1359" s="295">
        <v>-3059.89</v>
      </c>
    </row>
    <row r="1360" spans="1:9" x14ac:dyDescent="0.2">
      <c r="A1360" s="293" t="s">
        <v>7446</v>
      </c>
      <c r="B1360" s="293" t="s">
        <v>5666</v>
      </c>
      <c r="C1360" s="293" t="s">
        <v>6040</v>
      </c>
      <c r="D1360" s="293" t="s">
        <v>5859</v>
      </c>
      <c r="E1360" s="293" t="s">
        <v>6041</v>
      </c>
      <c r="F1360" s="293" t="s">
        <v>7441</v>
      </c>
      <c r="G1360" s="293" t="s">
        <v>5581</v>
      </c>
      <c r="H1360" s="294">
        <v>42735</v>
      </c>
      <c r="I1360" s="295">
        <v>-8058.13</v>
      </c>
    </row>
    <row r="1361" spans="1:9" x14ac:dyDescent="0.2">
      <c r="A1361" s="293" t="s">
        <v>7447</v>
      </c>
      <c r="B1361" s="293" t="s">
        <v>5666</v>
      </c>
      <c r="C1361" s="293" t="s">
        <v>6052</v>
      </c>
      <c r="D1361" s="293" t="s">
        <v>5859</v>
      </c>
      <c r="E1361" s="293" t="s">
        <v>5817</v>
      </c>
      <c r="F1361" s="293" t="s">
        <v>7441</v>
      </c>
      <c r="G1361" s="293" t="s">
        <v>5577</v>
      </c>
      <c r="H1361" s="294">
        <v>42735</v>
      </c>
      <c r="I1361" s="295">
        <v>-7696.08</v>
      </c>
    </row>
    <row r="1362" spans="1:9" x14ac:dyDescent="0.2">
      <c r="A1362" s="293" t="s">
        <v>7448</v>
      </c>
      <c r="B1362" s="293" t="s">
        <v>5666</v>
      </c>
      <c r="C1362" s="293" t="s">
        <v>6054</v>
      </c>
      <c r="D1362" s="293" t="s">
        <v>5859</v>
      </c>
      <c r="E1362" s="293" t="s">
        <v>5817</v>
      </c>
      <c r="F1362" s="293" t="s">
        <v>7441</v>
      </c>
      <c r="G1362" s="293" t="s">
        <v>5577</v>
      </c>
      <c r="H1362" s="294">
        <v>42735</v>
      </c>
      <c r="I1362" s="295">
        <v>-3633.17</v>
      </c>
    </row>
    <row r="1363" spans="1:9" x14ac:dyDescent="0.2">
      <c r="A1363" s="293" t="s">
        <v>7449</v>
      </c>
      <c r="B1363" s="293" t="s">
        <v>5666</v>
      </c>
      <c r="C1363" s="293" t="s">
        <v>6056</v>
      </c>
      <c r="D1363" s="293" t="s">
        <v>5859</v>
      </c>
      <c r="E1363" s="293" t="s">
        <v>6057</v>
      </c>
      <c r="F1363" s="293" t="s">
        <v>7441</v>
      </c>
      <c r="G1363" s="293" t="s">
        <v>5578</v>
      </c>
      <c r="H1363" s="294">
        <v>42735</v>
      </c>
      <c r="I1363" s="295">
        <v>-4399.9399999999996</v>
      </c>
    </row>
    <row r="1364" spans="1:9" x14ac:dyDescent="0.2">
      <c r="A1364" s="293" t="s">
        <v>7450</v>
      </c>
      <c r="B1364" s="293" t="s">
        <v>5666</v>
      </c>
      <c r="C1364" s="293" t="s">
        <v>6062</v>
      </c>
      <c r="D1364" s="293" t="s">
        <v>5859</v>
      </c>
      <c r="E1364" s="293" t="s">
        <v>6063</v>
      </c>
      <c r="F1364" s="293" t="s">
        <v>7441</v>
      </c>
      <c r="G1364" s="293" t="s">
        <v>5579</v>
      </c>
      <c r="H1364" s="294">
        <v>42735</v>
      </c>
      <c r="I1364" s="295">
        <v>-2351.71</v>
      </c>
    </row>
    <row r="1365" spans="1:9" x14ac:dyDescent="0.2">
      <c r="A1365" s="293" t="s">
        <v>7451</v>
      </c>
      <c r="B1365" s="293" t="s">
        <v>5666</v>
      </c>
      <c r="C1365" s="293" t="s">
        <v>6065</v>
      </c>
      <c r="D1365" s="293" t="s">
        <v>5859</v>
      </c>
      <c r="E1365" s="293" t="s">
        <v>6063</v>
      </c>
      <c r="F1365" s="293" t="s">
        <v>7441</v>
      </c>
      <c r="G1365" s="293" t="s">
        <v>5579</v>
      </c>
      <c r="H1365" s="294">
        <v>42735</v>
      </c>
      <c r="I1365" s="295">
        <v>-63.12</v>
      </c>
    </row>
    <row r="1366" spans="1:9" x14ac:dyDescent="0.2">
      <c r="A1366" s="293" t="s">
        <v>7452</v>
      </c>
      <c r="B1366" s="293" t="s">
        <v>5666</v>
      </c>
      <c r="C1366" s="293" t="s">
        <v>6067</v>
      </c>
      <c r="D1366" s="293" t="s">
        <v>5859</v>
      </c>
      <c r="E1366" s="293" t="s">
        <v>5817</v>
      </c>
      <c r="F1366" s="293" t="s">
        <v>7441</v>
      </c>
      <c r="G1366" s="293" t="s">
        <v>5591</v>
      </c>
      <c r="H1366" s="294">
        <v>42735</v>
      </c>
      <c r="I1366" s="295">
        <v>-6308.36</v>
      </c>
    </row>
    <row r="1367" spans="1:9" x14ac:dyDescent="0.2">
      <c r="A1367" s="293" t="s">
        <v>7453</v>
      </c>
      <c r="B1367" s="293" t="s">
        <v>5666</v>
      </c>
      <c r="C1367" s="293" t="s">
        <v>6069</v>
      </c>
      <c r="D1367" s="293" t="s">
        <v>5859</v>
      </c>
      <c r="E1367" s="293" t="s">
        <v>5817</v>
      </c>
      <c r="F1367" s="293" t="s">
        <v>7441</v>
      </c>
      <c r="G1367" s="293" t="s">
        <v>5591</v>
      </c>
      <c r="H1367" s="294">
        <v>42735</v>
      </c>
      <c r="I1367" s="295">
        <v>-7695.19</v>
      </c>
    </row>
    <row r="1368" spans="1:9" x14ac:dyDescent="0.2">
      <c r="A1368" s="293" t="s">
        <v>7454</v>
      </c>
      <c r="B1368" s="293" t="s">
        <v>5666</v>
      </c>
      <c r="C1368" s="293" t="s">
        <v>6471</v>
      </c>
      <c r="D1368" s="293" t="s">
        <v>5859</v>
      </c>
      <c r="E1368" s="293" t="s">
        <v>6829</v>
      </c>
      <c r="F1368" s="293" t="s">
        <v>7441</v>
      </c>
      <c r="G1368" s="293" t="s">
        <v>5589</v>
      </c>
      <c r="H1368" s="294">
        <v>42735</v>
      </c>
      <c r="I1368" s="295">
        <v>-7123.53</v>
      </c>
    </row>
    <row r="1369" spans="1:9" x14ac:dyDescent="0.2">
      <c r="A1369" s="293" t="s">
        <v>7455</v>
      </c>
      <c r="B1369" s="293" t="s">
        <v>5666</v>
      </c>
      <c r="C1369" s="293" t="s">
        <v>6473</v>
      </c>
      <c r="D1369" s="293" t="s">
        <v>5859</v>
      </c>
      <c r="E1369" s="293" t="s">
        <v>6474</v>
      </c>
      <c r="F1369" s="293" t="s">
        <v>7441</v>
      </c>
      <c r="G1369" s="293" t="s">
        <v>5593</v>
      </c>
      <c r="H1369" s="294">
        <v>42735</v>
      </c>
      <c r="I1369" s="295">
        <v>-14668.67</v>
      </c>
    </row>
    <row r="1370" spans="1:9" x14ac:dyDescent="0.2">
      <c r="A1370" s="293" t="s">
        <v>7456</v>
      </c>
      <c r="B1370" s="293" t="s">
        <v>5666</v>
      </c>
      <c r="C1370" s="293" t="s">
        <v>6920</v>
      </c>
      <c r="D1370" s="293" t="s">
        <v>5859</v>
      </c>
      <c r="E1370" s="293" t="s">
        <v>6921</v>
      </c>
      <c r="F1370" s="293" t="s">
        <v>7441</v>
      </c>
      <c r="G1370" s="293" t="s">
        <v>5754</v>
      </c>
      <c r="H1370" s="294">
        <v>42735</v>
      </c>
      <c r="I1370" s="295">
        <v>-8710.42</v>
      </c>
    </row>
    <row r="1371" spans="1:9" x14ac:dyDescent="0.2">
      <c r="A1371" s="293" t="s">
        <v>7457</v>
      </c>
      <c r="B1371" s="293" t="s">
        <v>5666</v>
      </c>
      <c r="C1371" s="293" t="s">
        <v>7219</v>
      </c>
      <c r="D1371" s="293" t="s">
        <v>5859</v>
      </c>
      <c r="E1371" s="293" t="s">
        <v>7080</v>
      </c>
      <c r="F1371" s="293" t="s">
        <v>7441</v>
      </c>
      <c r="G1371" s="293" t="s">
        <v>5755</v>
      </c>
      <c r="H1371" s="294">
        <v>42735</v>
      </c>
      <c r="I1371" s="295">
        <v>-7028.09</v>
      </c>
    </row>
    <row r="1372" spans="1:9" x14ac:dyDescent="0.2">
      <c r="A1372" s="293" t="s">
        <v>7458</v>
      </c>
      <c r="B1372" s="293" t="s">
        <v>5666</v>
      </c>
      <c r="C1372" s="293" t="s">
        <v>6027</v>
      </c>
      <c r="D1372" s="293" t="s">
        <v>5859</v>
      </c>
      <c r="E1372" s="293" t="s">
        <v>6028</v>
      </c>
      <c r="F1372" s="293" t="s">
        <v>7459</v>
      </c>
      <c r="G1372" s="293" t="s">
        <v>5573</v>
      </c>
      <c r="H1372" s="294">
        <v>42766</v>
      </c>
      <c r="I1372" s="295">
        <v>-6400.96</v>
      </c>
    </row>
    <row r="1373" spans="1:9" x14ac:dyDescent="0.2">
      <c r="A1373" s="293" t="s">
        <v>7460</v>
      </c>
      <c r="B1373" s="293" t="s">
        <v>5666</v>
      </c>
      <c r="C1373" s="293" t="s">
        <v>6030</v>
      </c>
      <c r="D1373" s="293" t="s">
        <v>5859</v>
      </c>
      <c r="E1373" s="293" t="s">
        <v>6028</v>
      </c>
      <c r="F1373" s="293" t="s">
        <v>7459</v>
      </c>
      <c r="G1373" s="293" t="s">
        <v>5573</v>
      </c>
      <c r="H1373" s="294">
        <v>42766</v>
      </c>
      <c r="I1373" s="295">
        <v>-130.22</v>
      </c>
    </row>
    <row r="1374" spans="1:9" x14ac:dyDescent="0.2">
      <c r="A1374" s="293" t="s">
        <v>7461</v>
      </c>
      <c r="B1374" s="293" t="s">
        <v>5666</v>
      </c>
      <c r="C1374" s="293" t="s">
        <v>6032</v>
      </c>
      <c r="D1374" s="293" t="s">
        <v>5859</v>
      </c>
      <c r="E1374" s="293" t="s">
        <v>6033</v>
      </c>
      <c r="F1374" s="293" t="s">
        <v>7459</v>
      </c>
      <c r="G1374" s="293" t="s">
        <v>5585</v>
      </c>
      <c r="H1374" s="294">
        <v>42766</v>
      </c>
      <c r="I1374" s="295">
        <v>-6872.38</v>
      </c>
    </row>
    <row r="1375" spans="1:9" x14ac:dyDescent="0.2">
      <c r="A1375" s="293" t="s">
        <v>7462</v>
      </c>
      <c r="B1375" s="293" t="s">
        <v>5666</v>
      </c>
      <c r="C1375" s="293" t="s">
        <v>6035</v>
      </c>
      <c r="D1375" s="293" t="s">
        <v>5859</v>
      </c>
      <c r="E1375" s="293" t="s">
        <v>6033</v>
      </c>
      <c r="F1375" s="293" t="s">
        <v>7459</v>
      </c>
      <c r="G1375" s="293" t="s">
        <v>5585</v>
      </c>
      <c r="H1375" s="294">
        <v>42766</v>
      </c>
      <c r="I1375" s="295">
        <v>-4630.24</v>
      </c>
    </row>
    <row r="1376" spans="1:9" x14ac:dyDescent="0.2">
      <c r="A1376" s="293" t="s">
        <v>7463</v>
      </c>
      <c r="B1376" s="293" t="s">
        <v>5666</v>
      </c>
      <c r="C1376" s="293" t="s">
        <v>6037</v>
      </c>
      <c r="D1376" s="293" t="s">
        <v>5859</v>
      </c>
      <c r="E1376" s="293" t="s">
        <v>6038</v>
      </c>
      <c r="F1376" s="293" t="s">
        <v>7459</v>
      </c>
      <c r="G1376" s="293" t="s">
        <v>5586</v>
      </c>
      <c r="H1376" s="294">
        <v>42766</v>
      </c>
      <c r="I1376" s="295">
        <v>-3059.89</v>
      </c>
    </row>
    <row r="1377" spans="1:9" x14ac:dyDescent="0.2">
      <c r="A1377" s="293" t="s">
        <v>7464</v>
      </c>
      <c r="B1377" s="293" t="s">
        <v>5666</v>
      </c>
      <c r="C1377" s="293" t="s">
        <v>6040</v>
      </c>
      <c r="D1377" s="293" t="s">
        <v>5859</v>
      </c>
      <c r="E1377" s="293" t="s">
        <v>6041</v>
      </c>
      <c r="F1377" s="293" t="s">
        <v>7459</v>
      </c>
      <c r="G1377" s="293" t="s">
        <v>5581</v>
      </c>
      <c r="H1377" s="294">
        <v>42766</v>
      </c>
      <c r="I1377" s="295">
        <v>-8058.13</v>
      </c>
    </row>
    <row r="1378" spans="1:9" x14ac:dyDescent="0.2">
      <c r="A1378" s="293" t="s">
        <v>7465</v>
      </c>
      <c r="B1378" s="293" t="s">
        <v>5666</v>
      </c>
      <c r="C1378" s="293" t="s">
        <v>6052</v>
      </c>
      <c r="D1378" s="293" t="s">
        <v>5859</v>
      </c>
      <c r="E1378" s="293" t="s">
        <v>5817</v>
      </c>
      <c r="F1378" s="293" t="s">
        <v>7459</v>
      </c>
      <c r="G1378" s="293" t="s">
        <v>5577</v>
      </c>
      <c r="H1378" s="294">
        <v>42766</v>
      </c>
      <c r="I1378" s="295">
        <v>-7696.08</v>
      </c>
    </row>
    <row r="1379" spans="1:9" x14ac:dyDescent="0.2">
      <c r="A1379" s="293" t="s">
        <v>7466</v>
      </c>
      <c r="B1379" s="293" t="s">
        <v>5666</v>
      </c>
      <c r="C1379" s="293" t="s">
        <v>6054</v>
      </c>
      <c r="D1379" s="293" t="s">
        <v>5859</v>
      </c>
      <c r="E1379" s="293" t="s">
        <v>5817</v>
      </c>
      <c r="F1379" s="293" t="s">
        <v>7459</v>
      </c>
      <c r="G1379" s="293" t="s">
        <v>5577</v>
      </c>
      <c r="H1379" s="294">
        <v>42766</v>
      </c>
      <c r="I1379" s="295">
        <v>-3633.17</v>
      </c>
    </row>
    <row r="1380" spans="1:9" x14ac:dyDescent="0.2">
      <c r="A1380" s="293" t="s">
        <v>7467</v>
      </c>
      <c r="B1380" s="293" t="s">
        <v>5666</v>
      </c>
      <c r="C1380" s="293" t="s">
        <v>6056</v>
      </c>
      <c r="D1380" s="293" t="s">
        <v>5859</v>
      </c>
      <c r="E1380" s="293" t="s">
        <v>6057</v>
      </c>
      <c r="F1380" s="293" t="s">
        <v>7459</v>
      </c>
      <c r="G1380" s="293" t="s">
        <v>5578</v>
      </c>
      <c r="H1380" s="294">
        <v>42766</v>
      </c>
      <c r="I1380" s="295">
        <v>-4399.9399999999996</v>
      </c>
    </row>
    <row r="1381" spans="1:9" x14ac:dyDescent="0.2">
      <c r="A1381" s="293" t="s">
        <v>7468</v>
      </c>
      <c r="B1381" s="293" t="s">
        <v>5666</v>
      </c>
      <c r="C1381" s="293" t="s">
        <v>6062</v>
      </c>
      <c r="D1381" s="293" t="s">
        <v>5859</v>
      </c>
      <c r="E1381" s="293" t="s">
        <v>6063</v>
      </c>
      <c r="F1381" s="293" t="s">
        <v>7459</v>
      </c>
      <c r="G1381" s="293" t="s">
        <v>5579</v>
      </c>
      <c r="H1381" s="294">
        <v>42766</v>
      </c>
      <c r="I1381" s="295">
        <v>-2351.71</v>
      </c>
    </row>
    <row r="1382" spans="1:9" x14ac:dyDescent="0.2">
      <c r="A1382" s="293" t="s">
        <v>7469</v>
      </c>
      <c r="B1382" s="293" t="s">
        <v>5666</v>
      </c>
      <c r="C1382" s="293" t="s">
        <v>6065</v>
      </c>
      <c r="D1382" s="293" t="s">
        <v>5859</v>
      </c>
      <c r="E1382" s="293" t="s">
        <v>6063</v>
      </c>
      <c r="F1382" s="293" t="s">
        <v>7459</v>
      </c>
      <c r="G1382" s="293" t="s">
        <v>5579</v>
      </c>
      <c r="H1382" s="294">
        <v>42766</v>
      </c>
      <c r="I1382" s="295">
        <v>-63.12</v>
      </c>
    </row>
    <row r="1383" spans="1:9" x14ac:dyDescent="0.2">
      <c r="A1383" s="293" t="s">
        <v>7470</v>
      </c>
      <c r="B1383" s="293" t="s">
        <v>5666</v>
      </c>
      <c r="C1383" s="293" t="s">
        <v>6067</v>
      </c>
      <c r="D1383" s="293" t="s">
        <v>5859</v>
      </c>
      <c r="E1383" s="293" t="s">
        <v>5817</v>
      </c>
      <c r="F1383" s="293" t="s">
        <v>7459</v>
      </c>
      <c r="G1383" s="293" t="s">
        <v>5591</v>
      </c>
      <c r="H1383" s="294">
        <v>42766</v>
      </c>
      <c r="I1383" s="295">
        <v>-6308.36</v>
      </c>
    </row>
    <row r="1384" spans="1:9" x14ac:dyDescent="0.2">
      <c r="A1384" s="293" t="s">
        <v>7471</v>
      </c>
      <c r="B1384" s="293" t="s">
        <v>5666</v>
      </c>
      <c r="C1384" s="293" t="s">
        <v>6069</v>
      </c>
      <c r="D1384" s="293" t="s">
        <v>5859</v>
      </c>
      <c r="E1384" s="293" t="s">
        <v>5817</v>
      </c>
      <c r="F1384" s="293" t="s">
        <v>7459</v>
      </c>
      <c r="G1384" s="293" t="s">
        <v>5591</v>
      </c>
      <c r="H1384" s="294">
        <v>42766</v>
      </c>
      <c r="I1384" s="295">
        <v>-7695.19</v>
      </c>
    </row>
    <row r="1385" spans="1:9" x14ac:dyDescent="0.2">
      <c r="A1385" s="293" t="s">
        <v>7472</v>
      </c>
      <c r="B1385" s="293" t="s">
        <v>5666</v>
      </c>
      <c r="C1385" s="293" t="s">
        <v>6471</v>
      </c>
      <c r="D1385" s="293" t="s">
        <v>5859</v>
      </c>
      <c r="E1385" s="293" t="s">
        <v>6829</v>
      </c>
      <c r="F1385" s="293" t="s">
        <v>7459</v>
      </c>
      <c r="G1385" s="293" t="s">
        <v>5589</v>
      </c>
      <c r="H1385" s="294">
        <v>42766</v>
      </c>
      <c r="I1385" s="295">
        <v>-7123.53</v>
      </c>
    </row>
    <row r="1386" spans="1:9" x14ac:dyDescent="0.2">
      <c r="A1386" s="293" t="s">
        <v>7473</v>
      </c>
      <c r="B1386" s="293" t="s">
        <v>5666</v>
      </c>
      <c r="C1386" s="293" t="s">
        <v>6473</v>
      </c>
      <c r="D1386" s="293" t="s">
        <v>5859</v>
      </c>
      <c r="E1386" s="293" t="s">
        <v>6474</v>
      </c>
      <c r="F1386" s="293" t="s">
        <v>7459</v>
      </c>
      <c r="G1386" s="293" t="s">
        <v>5593</v>
      </c>
      <c r="H1386" s="294">
        <v>42766</v>
      </c>
      <c r="I1386" s="295">
        <v>-14668.67</v>
      </c>
    </row>
    <row r="1387" spans="1:9" x14ac:dyDescent="0.2">
      <c r="A1387" s="293" t="s">
        <v>7474</v>
      </c>
      <c r="B1387" s="293" t="s">
        <v>5666</v>
      </c>
      <c r="C1387" s="293" t="s">
        <v>6920</v>
      </c>
      <c r="D1387" s="293" t="s">
        <v>5859</v>
      </c>
      <c r="E1387" s="293" t="s">
        <v>6921</v>
      </c>
      <c r="F1387" s="293" t="s">
        <v>7459</v>
      </c>
      <c r="G1387" s="293" t="s">
        <v>5754</v>
      </c>
      <c r="H1387" s="294">
        <v>42766</v>
      </c>
      <c r="I1387" s="295">
        <v>-8710.42</v>
      </c>
    </row>
    <row r="1388" spans="1:9" x14ac:dyDescent="0.2">
      <c r="A1388" s="293" t="s">
        <v>7475</v>
      </c>
      <c r="B1388" s="293" t="s">
        <v>5666</v>
      </c>
      <c r="C1388" s="293" t="s">
        <v>7219</v>
      </c>
      <c r="D1388" s="293" t="s">
        <v>5859</v>
      </c>
      <c r="E1388" s="293" t="s">
        <v>7080</v>
      </c>
      <c r="F1388" s="293" t="s">
        <v>7459</v>
      </c>
      <c r="G1388" s="293" t="s">
        <v>5755</v>
      </c>
      <c r="H1388" s="294">
        <v>42766</v>
      </c>
      <c r="I1388" s="295">
        <v>-7028.09</v>
      </c>
    </row>
    <row r="1389" spans="1:9" x14ac:dyDescent="0.2">
      <c r="A1389" s="293" t="s">
        <v>7476</v>
      </c>
      <c r="B1389" s="293" t="s">
        <v>5983</v>
      </c>
      <c r="C1389" s="293" t="s">
        <v>7477</v>
      </c>
      <c r="D1389" s="293" t="s">
        <v>5859</v>
      </c>
      <c r="E1389" s="293" t="s">
        <v>5088</v>
      </c>
      <c r="F1389" s="293" t="s">
        <v>7478</v>
      </c>
      <c r="G1389" s="293" t="s">
        <v>5637</v>
      </c>
      <c r="H1389" s="294">
        <v>42793</v>
      </c>
      <c r="I1389" s="295">
        <v>115900</v>
      </c>
    </row>
    <row r="1390" spans="1:9" x14ac:dyDescent="0.2">
      <c r="A1390" s="293" t="s">
        <v>7479</v>
      </c>
      <c r="B1390" s="293" t="s">
        <v>5666</v>
      </c>
      <c r="C1390" s="293" t="s">
        <v>6027</v>
      </c>
      <c r="D1390" s="293" t="s">
        <v>5859</v>
      </c>
      <c r="E1390" s="293" t="s">
        <v>6028</v>
      </c>
      <c r="F1390" s="293" t="s">
        <v>7480</v>
      </c>
      <c r="G1390" s="293" t="s">
        <v>5573</v>
      </c>
      <c r="H1390" s="294">
        <v>42794</v>
      </c>
      <c r="I1390" s="295">
        <v>-6400.96</v>
      </c>
    </row>
    <row r="1391" spans="1:9" x14ac:dyDescent="0.2">
      <c r="A1391" s="293" t="s">
        <v>7481</v>
      </c>
      <c r="B1391" s="293" t="s">
        <v>5666</v>
      </c>
      <c r="C1391" s="293" t="s">
        <v>6030</v>
      </c>
      <c r="D1391" s="293" t="s">
        <v>5859</v>
      </c>
      <c r="E1391" s="293" t="s">
        <v>6028</v>
      </c>
      <c r="F1391" s="293" t="s">
        <v>7480</v>
      </c>
      <c r="G1391" s="293" t="s">
        <v>5573</v>
      </c>
      <c r="H1391" s="294">
        <v>42794</v>
      </c>
      <c r="I1391" s="295">
        <v>-130.22</v>
      </c>
    </row>
    <row r="1392" spans="1:9" x14ac:dyDescent="0.2">
      <c r="A1392" s="293" t="s">
        <v>7482</v>
      </c>
      <c r="B1392" s="293" t="s">
        <v>5666</v>
      </c>
      <c r="C1392" s="293" t="s">
        <v>6032</v>
      </c>
      <c r="D1392" s="293" t="s">
        <v>5859</v>
      </c>
      <c r="E1392" s="293" t="s">
        <v>6033</v>
      </c>
      <c r="F1392" s="293" t="s">
        <v>7480</v>
      </c>
      <c r="G1392" s="293" t="s">
        <v>5585</v>
      </c>
      <c r="H1392" s="294">
        <v>42794</v>
      </c>
      <c r="I1392" s="295">
        <v>-6872.38</v>
      </c>
    </row>
    <row r="1393" spans="1:9" x14ac:dyDescent="0.2">
      <c r="A1393" s="293" t="s">
        <v>7483</v>
      </c>
      <c r="B1393" s="293" t="s">
        <v>5666</v>
      </c>
      <c r="C1393" s="293" t="s">
        <v>6035</v>
      </c>
      <c r="D1393" s="293" t="s">
        <v>5859</v>
      </c>
      <c r="E1393" s="293" t="s">
        <v>6033</v>
      </c>
      <c r="F1393" s="293" t="s">
        <v>7480</v>
      </c>
      <c r="G1393" s="293" t="s">
        <v>5585</v>
      </c>
      <c r="H1393" s="294">
        <v>42794</v>
      </c>
      <c r="I1393" s="295">
        <v>-4630.24</v>
      </c>
    </row>
    <row r="1394" spans="1:9" x14ac:dyDescent="0.2">
      <c r="A1394" s="293" t="s">
        <v>7484</v>
      </c>
      <c r="B1394" s="293" t="s">
        <v>5666</v>
      </c>
      <c r="C1394" s="293" t="s">
        <v>6037</v>
      </c>
      <c r="D1394" s="293" t="s">
        <v>5859</v>
      </c>
      <c r="E1394" s="293" t="s">
        <v>6038</v>
      </c>
      <c r="F1394" s="293" t="s">
        <v>7480</v>
      </c>
      <c r="G1394" s="293" t="s">
        <v>5586</v>
      </c>
      <c r="H1394" s="294">
        <v>42794</v>
      </c>
      <c r="I1394" s="295">
        <v>-3059.89</v>
      </c>
    </row>
    <row r="1395" spans="1:9" x14ac:dyDescent="0.2">
      <c r="A1395" s="293" t="s">
        <v>7485</v>
      </c>
      <c r="B1395" s="293" t="s">
        <v>5666</v>
      </c>
      <c r="C1395" s="293" t="s">
        <v>6040</v>
      </c>
      <c r="D1395" s="293" t="s">
        <v>5859</v>
      </c>
      <c r="E1395" s="293" t="s">
        <v>6041</v>
      </c>
      <c r="F1395" s="293" t="s">
        <v>7480</v>
      </c>
      <c r="G1395" s="293" t="s">
        <v>5581</v>
      </c>
      <c r="H1395" s="294">
        <v>42794</v>
      </c>
      <c r="I1395" s="295">
        <v>-8058.13</v>
      </c>
    </row>
    <row r="1396" spans="1:9" x14ac:dyDescent="0.2">
      <c r="A1396" s="293" t="s">
        <v>7486</v>
      </c>
      <c r="B1396" s="293" t="s">
        <v>5666</v>
      </c>
      <c r="C1396" s="293" t="s">
        <v>6052</v>
      </c>
      <c r="D1396" s="293" t="s">
        <v>5859</v>
      </c>
      <c r="E1396" s="293" t="s">
        <v>5817</v>
      </c>
      <c r="F1396" s="293" t="s">
        <v>7480</v>
      </c>
      <c r="G1396" s="293" t="s">
        <v>5577</v>
      </c>
      <c r="H1396" s="294">
        <v>42794</v>
      </c>
      <c r="I1396" s="295">
        <v>-7696.08</v>
      </c>
    </row>
    <row r="1397" spans="1:9" x14ac:dyDescent="0.2">
      <c r="A1397" s="293" t="s">
        <v>7487</v>
      </c>
      <c r="B1397" s="293" t="s">
        <v>5666</v>
      </c>
      <c r="C1397" s="293" t="s">
        <v>6054</v>
      </c>
      <c r="D1397" s="293" t="s">
        <v>5859</v>
      </c>
      <c r="E1397" s="293" t="s">
        <v>5817</v>
      </c>
      <c r="F1397" s="293" t="s">
        <v>7480</v>
      </c>
      <c r="G1397" s="293" t="s">
        <v>5577</v>
      </c>
      <c r="H1397" s="294">
        <v>42794</v>
      </c>
      <c r="I1397" s="295">
        <v>-3633.17</v>
      </c>
    </row>
    <row r="1398" spans="1:9" x14ac:dyDescent="0.2">
      <c r="A1398" s="293" t="s">
        <v>7488</v>
      </c>
      <c r="B1398" s="293" t="s">
        <v>5666</v>
      </c>
      <c r="C1398" s="293" t="s">
        <v>6056</v>
      </c>
      <c r="D1398" s="293" t="s">
        <v>5859</v>
      </c>
      <c r="E1398" s="293" t="s">
        <v>6057</v>
      </c>
      <c r="F1398" s="293" t="s">
        <v>7480</v>
      </c>
      <c r="G1398" s="293" t="s">
        <v>5578</v>
      </c>
      <c r="H1398" s="294">
        <v>42794</v>
      </c>
      <c r="I1398" s="295">
        <v>-4399.9399999999996</v>
      </c>
    </row>
    <row r="1399" spans="1:9" x14ac:dyDescent="0.2">
      <c r="A1399" s="293" t="s">
        <v>7489</v>
      </c>
      <c r="B1399" s="293" t="s">
        <v>5666</v>
      </c>
      <c r="C1399" s="293" t="s">
        <v>6062</v>
      </c>
      <c r="D1399" s="293" t="s">
        <v>5859</v>
      </c>
      <c r="E1399" s="293" t="s">
        <v>6063</v>
      </c>
      <c r="F1399" s="293" t="s">
        <v>7480</v>
      </c>
      <c r="G1399" s="293" t="s">
        <v>5579</v>
      </c>
      <c r="H1399" s="294">
        <v>42794</v>
      </c>
      <c r="I1399" s="295">
        <v>-2351.71</v>
      </c>
    </row>
    <row r="1400" spans="1:9" x14ac:dyDescent="0.2">
      <c r="A1400" s="293" t="s">
        <v>7490</v>
      </c>
      <c r="B1400" s="293" t="s">
        <v>5666</v>
      </c>
      <c r="C1400" s="293" t="s">
        <v>6065</v>
      </c>
      <c r="D1400" s="293" t="s">
        <v>5859</v>
      </c>
      <c r="E1400" s="293" t="s">
        <v>6063</v>
      </c>
      <c r="F1400" s="293" t="s">
        <v>7480</v>
      </c>
      <c r="G1400" s="293" t="s">
        <v>5579</v>
      </c>
      <c r="H1400" s="294">
        <v>42794</v>
      </c>
      <c r="I1400" s="295">
        <v>-63.12</v>
      </c>
    </row>
    <row r="1401" spans="1:9" x14ac:dyDescent="0.2">
      <c r="A1401" s="293" t="s">
        <v>7491</v>
      </c>
      <c r="B1401" s="293" t="s">
        <v>5666</v>
      </c>
      <c r="C1401" s="293" t="s">
        <v>6067</v>
      </c>
      <c r="D1401" s="293" t="s">
        <v>5859</v>
      </c>
      <c r="E1401" s="293" t="s">
        <v>5817</v>
      </c>
      <c r="F1401" s="293" t="s">
        <v>7480</v>
      </c>
      <c r="G1401" s="293" t="s">
        <v>5591</v>
      </c>
      <c r="H1401" s="294">
        <v>42794</v>
      </c>
      <c r="I1401" s="295">
        <v>-6308.36</v>
      </c>
    </row>
    <row r="1402" spans="1:9" x14ac:dyDescent="0.2">
      <c r="A1402" s="293" t="s">
        <v>7492</v>
      </c>
      <c r="B1402" s="293" t="s">
        <v>5666</v>
      </c>
      <c r="C1402" s="293" t="s">
        <v>6069</v>
      </c>
      <c r="D1402" s="293" t="s">
        <v>5859</v>
      </c>
      <c r="E1402" s="293" t="s">
        <v>5817</v>
      </c>
      <c r="F1402" s="293" t="s">
        <v>7480</v>
      </c>
      <c r="G1402" s="293" t="s">
        <v>5591</v>
      </c>
      <c r="H1402" s="294">
        <v>42794</v>
      </c>
      <c r="I1402" s="295">
        <v>-7695.19</v>
      </c>
    </row>
    <row r="1403" spans="1:9" x14ac:dyDescent="0.2">
      <c r="A1403" s="293" t="s">
        <v>7493</v>
      </c>
      <c r="B1403" s="293" t="s">
        <v>5666</v>
      </c>
      <c r="C1403" s="293" t="s">
        <v>6471</v>
      </c>
      <c r="D1403" s="293" t="s">
        <v>5859</v>
      </c>
      <c r="E1403" s="293" t="s">
        <v>6829</v>
      </c>
      <c r="F1403" s="293" t="s">
        <v>7480</v>
      </c>
      <c r="G1403" s="293" t="s">
        <v>5589</v>
      </c>
      <c r="H1403" s="294">
        <v>42794</v>
      </c>
      <c r="I1403" s="295">
        <v>-7123.53</v>
      </c>
    </row>
    <row r="1404" spans="1:9" x14ac:dyDescent="0.2">
      <c r="A1404" s="293" t="s">
        <v>7494</v>
      </c>
      <c r="B1404" s="293" t="s">
        <v>5666</v>
      </c>
      <c r="C1404" s="293" t="s">
        <v>6473</v>
      </c>
      <c r="D1404" s="293" t="s">
        <v>5859</v>
      </c>
      <c r="E1404" s="293" t="s">
        <v>6474</v>
      </c>
      <c r="F1404" s="293" t="s">
        <v>7480</v>
      </c>
      <c r="G1404" s="293" t="s">
        <v>5593</v>
      </c>
      <c r="H1404" s="294">
        <v>42794</v>
      </c>
      <c r="I1404" s="295">
        <v>-14668.67</v>
      </c>
    </row>
    <row r="1405" spans="1:9" x14ac:dyDescent="0.2">
      <c r="A1405" s="293" t="s">
        <v>7495</v>
      </c>
      <c r="B1405" s="293" t="s">
        <v>5666</v>
      </c>
      <c r="C1405" s="293" t="s">
        <v>6920</v>
      </c>
      <c r="D1405" s="293" t="s">
        <v>5859</v>
      </c>
      <c r="E1405" s="293" t="s">
        <v>6921</v>
      </c>
      <c r="F1405" s="293" t="s">
        <v>7480</v>
      </c>
      <c r="G1405" s="293" t="s">
        <v>5754</v>
      </c>
      <c r="H1405" s="294">
        <v>42794</v>
      </c>
      <c r="I1405" s="295">
        <v>-8710.42</v>
      </c>
    </row>
    <row r="1406" spans="1:9" x14ac:dyDescent="0.2">
      <c r="A1406" s="293" t="s">
        <v>7496</v>
      </c>
      <c r="B1406" s="293" t="s">
        <v>5666</v>
      </c>
      <c r="C1406" s="293" t="s">
        <v>7219</v>
      </c>
      <c r="D1406" s="293" t="s">
        <v>5859</v>
      </c>
      <c r="E1406" s="293" t="s">
        <v>7080</v>
      </c>
      <c r="F1406" s="293" t="s">
        <v>7480</v>
      </c>
      <c r="G1406" s="293" t="s">
        <v>5755</v>
      </c>
      <c r="H1406" s="294">
        <v>42794</v>
      </c>
      <c r="I1406" s="295">
        <v>-7028.09</v>
      </c>
    </row>
    <row r="1407" spans="1:9" x14ac:dyDescent="0.2">
      <c r="A1407" s="293" t="s">
        <v>7497</v>
      </c>
      <c r="B1407" s="293" t="s">
        <v>5666</v>
      </c>
      <c r="C1407" s="293" t="s">
        <v>6027</v>
      </c>
      <c r="D1407" s="293" t="s">
        <v>5859</v>
      </c>
      <c r="E1407" s="293" t="s">
        <v>6028</v>
      </c>
      <c r="F1407" s="293" t="s">
        <v>7498</v>
      </c>
      <c r="G1407" s="293" t="s">
        <v>5573</v>
      </c>
      <c r="H1407" s="294">
        <v>42825</v>
      </c>
      <c r="I1407" s="295">
        <v>-6400.96</v>
      </c>
    </row>
    <row r="1408" spans="1:9" x14ac:dyDescent="0.2">
      <c r="A1408" s="293" t="s">
        <v>7499</v>
      </c>
      <c r="B1408" s="293" t="s">
        <v>5666</v>
      </c>
      <c r="C1408" s="293" t="s">
        <v>6030</v>
      </c>
      <c r="D1408" s="293" t="s">
        <v>5859</v>
      </c>
      <c r="E1408" s="293" t="s">
        <v>6028</v>
      </c>
      <c r="F1408" s="293" t="s">
        <v>7498</v>
      </c>
      <c r="G1408" s="293" t="s">
        <v>5573</v>
      </c>
      <c r="H1408" s="294">
        <v>42825</v>
      </c>
      <c r="I1408" s="295">
        <v>-130.22</v>
      </c>
    </row>
    <row r="1409" spans="1:9" x14ac:dyDescent="0.2">
      <c r="A1409" s="293" t="s">
        <v>7500</v>
      </c>
      <c r="B1409" s="293" t="s">
        <v>5666</v>
      </c>
      <c r="C1409" s="293" t="s">
        <v>6032</v>
      </c>
      <c r="D1409" s="293" t="s">
        <v>5859</v>
      </c>
      <c r="E1409" s="293" t="s">
        <v>6033</v>
      </c>
      <c r="F1409" s="293" t="s">
        <v>7498</v>
      </c>
      <c r="G1409" s="293" t="s">
        <v>5585</v>
      </c>
      <c r="H1409" s="294">
        <v>42825</v>
      </c>
      <c r="I1409" s="295">
        <v>-6872.38</v>
      </c>
    </row>
    <row r="1410" spans="1:9" x14ac:dyDescent="0.2">
      <c r="A1410" s="293" t="s">
        <v>7501</v>
      </c>
      <c r="B1410" s="293" t="s">
        <v>5666</v>
      </c>
      <c r="C1410" s="293" t="s">
        <v>6035</v>
      </c>
      <c r="D1410" s="293" t="s">
        <v>5859</v>
      </c>
      <c r="E1410" s="293" t="s">
        <v>6033</v>
      </c>
      <c r="F1410" s="293" t="s">
        <v>7498</v>
      </c>
      <c r="G1410" s="293" t="s">
        <v>5585</v>
      </c>
      <c r="H1410" s="294">
        <v>42825</v>
      </c>
      <c r="I1410" s="295">
        <v>-4630.24</v>
      </c>
    </row>
    <row r="1411" spans="1:9" x14ac:dyDescent="0.2">
      <c r="A1411" s="293" t="s">
        <v>7502</v>
      </c>
      <c r="B1411" s="293" t="s">
        <v>5666</v>
      </c>
      <c r="C1411" s="293" t="s">
        <v>6037</v>
      </c>
      <c r="D1411" s="293" t="s">
        <v>5859</v>
      </c>
      <c r="E1411" s="293" t="s">
        <v>6038</v>
      </c>
      <c r="F1411" s="293" t="s">
        <v>7498</v>
      </c>
      <c r="G1411" s="293" t="s">
        <v>5586</v>
      </c>
      <c r="H1411" s="294">
        <v>42825</v>
      </c>
      <c r="I1411" s="295">
        <v>-3059.89</v>
      </c>
    </row>
    <row r="1412" spans="1:9" x14ac:dyDescent="0.2">
      <c r="A1412" s="293" t="s">
        <v>7503</v>
      </c>
      <c r="B1412" s="293" t="s">
        <v>5666</v>
      </c>
      <c r="C1412" s="293" t="s">
        <v>6040</v>
      </c>
      <c r="D1412" s="293" t="s">
        <v>5859</v>
      </c>
      <c r="E1412" s="293" t="s">
        <v>6041</v>
      </c>
      <c r="F1412" s="293" t="s">
        <v>7498</v>
      </c>
      <c r="G1412" s="293" t="s">
        <v>5581</v>
      </c>
      <c r="H1412" s="294">
        <v>42825</v>
      </c>
      <c r="I1412" s="295">
        <v>-8058.13</v>
      </c>
    </row>
    <row r="1413" spans="1:9" x14ac:dyDescent="0.2">
      <c r="A1413" s="293" t="s">
        <v>7504</v>
      </c>
      <c r="B1413" s="293" t="s">
        <v>5666</v>
      </c>
      <c r="C1413" s="293" t="s">
        <v>6052</v>
      </c>
      <c r="D1413" s="293" t="s">
        <v>5859</v>
      </c>
      <c r="E1413" s="293" t="s">
        <v>5817</v>
      </c>
      <c r="F1413" s="293" t="s">
        <v>7498</v>
      </c>
      <c r="G1413" s="293" t="s">
        <v>5577</v>
      </c>
      <c r="H1413" s="294">
        <v>42825</v>
      </c>
      <c r="I1413" s="295">
        <v>-7696.08</v>
      </c>
    </row>
    <row r="1414" spans="1:9" x14ac:dyDescent="0.2">
      <c r="A1414" s="293" t="s">
        <v>7505</v>
      </c>
      <c r="B1414" s="293" t="s">
        <v>5666</v>
      </c>
      <c r="C1414" s="293" t="s">
        <v>6054</v>
      </c>
      <c r="D1414" s="293" t="s">
        <v>5859</v>
      </c>
      <c r="E1414" s="293" t="s">
        <v>5817</v>
      </c>
      <c r="F1414" s="293" t="s">
        <v>7498</v>
      </c>
      <c r="G1414" s="293" t="s">
        <v>5577</v>
      </c>
      <c r="H1414" s="294">
        <v>42825</v>
      </c>
      <c r="I1414" s="295">
        <v>-3633.17</v>
      </c>
    </row>
    <row r="1415" spans="1:9" x14ac:dyDescent="0.2">
      <c r="A1415" s="293" t="s">
        <v>7506</v>
      </c>
      <c r="B1415" s="293" t="s">
        <v>5666</v>
      </c>
      <c r="C1415" s="293" t="s">
        <v>6056</v>
      </c>
      <c r="D1415" s="293" t="s">
        <v>5859</v>
      </c>
      <c r="E1415" s="293" t="s">
        <v>6057</v>
      </c>
      <c r="F1415" s="293" t="s">
        <v>7498</v>
      </c>
      <c r="G1415" s="293" t="s">
        <v>5578</v>
      </c>
      <c r="H1415" s="294">
        <v>42825</v>
      </c>
      <c r="I1415" s="295">
        <v>-4399.9399999999996</v>
      </c>
    </row>
    <row r="1416" spans="1:9" x14ac:dyDescent="0.2">
      <c r="A1416" s="293" t="s">
        <v>7507</v>
      </c>
      <c r="B1416" s="293" t="s">
        <v>5666</v>
      </c>
      <c r="C1416" s="293" t="s">
        <v>6062</v>
      </c>
      <c r="D1416" s="293" t="s">
        <v>5859</v>
      </c>
      <c r="E1416" s="293" t="s">
        <v>6063</v>
      </c>
      <c r="F1416" s="293" t="s">
        <v>7498</v>
      </c>
      <c r="G1416" s="293" t="s">
        <v>5579</v>
      </c>
      <c r="H1416" s="294">
        <v>42825</v>
      </c>
      <c r="I1416" s="295">
        <v>-2351.71</v>
      </c>
    </row>
    <row r="1417" spans="1:9" x14ac:dyDescent="0.2">
      <c r="A1417" s="293" t="s">
        <v>7508</v>
      </c>
      <c r="B1417" s="293" t="s">
        <v>5666</v>
      </c>
      <c r="C1417" s="293" t="s">
        <v>6065</v>
      </c>
      <c r="D1417" s="293" t="s">
        <v>5859</v>
      </c>
      <c r="E1417" s="293" t="s">
        <v>6063</v>
      </c>
      <c r="F1417" s="293" t="s">
        <v>7498</v>
      </c>
      <c r="G1417" s="293" t="s">
        <v>5579</v>
      </c>
      <c r="H1417" s="294">
        <v>42825</v>
      </c>
      <c r="I1417" s="295">
        <v>-63.12</v>
      </c>
    </row>
    <row r="1418" spans="1:9" x14ac:dyDescent="0.2">
      <c r="A1418" s="293" t="s">
        <v>7509</v>
      </c>
      <c r="B1418" s="293" t="s">
        <v>5666</v>
      </c>
      <c r="C1418" s="293" t="s">
        <v>6067</v>
      </c>
      <c r="D1418" s="293" t="s">
        <v>5859</v>
      </c>
      <c r="E1418" s="293" t="s">
        <v>5817</v>
      </c>
      <c r="F1418" s="293" t="s">
        <v>7498</v>
      </c>
      <c r="G1418" s="293" t="s">
        <v>5591</v>
      </c>
      <c r="H1418" s="294">
        <v>42825</v>
      </c>
      <c r="I1418" s="295">
        <v>-6308.36</v>
      </c>
    </row>
    <row r="1419" spans="1:9" x14ac:dyDescent="0.2">
      <c r="A1419" s="293" t="s">
        <v>7510</v>
      </c>
      <c r="B1419" s="293" t="s">
        <v>5666</v>
      </c>
      <c r="C1419" s="293" t="s">
        <v>6069</v>
      </c>
      <c r="D1419" s="293" t="s">
        <v>5859</v>
      </c>
      <c r="E1419" s="293" t="s">
        <v>5817</v>
      </c>
      <c r="F1419" s="293" t="s">
        <v>7498</v>
      </c>
      <c r="G1419" s="293" t="s">
        <v>5591</v>
      </c>
      <c r="H1419" s="294">
        <v>42825</v>
      </c>
      <c r="I1419" s="295">
        <v>-7695.19</v>
      </c>
    </row>
    <row r="1420" spans="1:9" x14ac:dyDescent="0.2">
      <c r="A1420" s="293" t="s">
        <v>7511</v>
      </c>
      <c r="B1420" s="293" t="s">
        <v>5666</v>
      </c>
      <c r="C1420" s="293" t="s">
        <v>6471</v>
      </c>
      <c r="D1420" s="293" t="s">
        <v>5859</v>
      </c>
      <c r="E1420" s="293" t="s">
        <v>6829</v>
      </c>
      <c r="F1420" s="293" t="s">
        <v>7498</v>
      </c>
      <c r="G1420" s="293" t="s">
        <v>5589</v>
      </c>
      <c r="H1420" s="294">
        <v>42825</v>
      </c>
      <c r="I1420" s="295">
        <v>-7123.53</v>
      </c>
    </row>
    <row r="1421" spans="1:9" x14ac:dyDescent="0.2">
      <c r="A1421" s="293" t="s">
        <v>7512</v>
      </c>
      <c r="B1421" s="293" t="s">
        <v>5666</v>
      </c>
      <c r="C1421" s="293" t="s">
        <v>6473</v>
      </c>
      <c r="D1421" s="293" t="s">
        <v>5859</v>
      </c>
      <c r="E1421" s="293" t="s">
        <v>6474</v>
      </c>
      <c r="F1421" s="293" t="s">
        <v>7498</v>
      </c>
      <c r="G1421" s="293" t="s">
        <v>5593</v>
      </c>
      <c r="H1421" s="294">
        <v>42825</v>
      </c>
      <c r="I1421" s="295">
        <v>-14668.67</v>
      </c>
    </row>
    <row r="1422" spans="1:9" x14ac:dyDescent="0.2">
      <c r="A1422" s="293" t="s">
        <v>7513</v>
      </c>
      <c r="B1422" s="293" t="s">
        <v>5666</v>
      </c>
      <c r="C1422" s="293" t="s">
        <v>6920</v>
      </c>
      <c r="D1422" s="293" t="s">
        <v>5859</v>
      </c>
      <c r="E1422" s="293" t="s">
        <v>6921</v>
      </c>
      <c r="F1422" s="293" t="s">
        <v>7498</v>
      </c>
      <c r="G1422" s="293" t="s">
        <v>5754</v>
      </c>
      <c r="H1422" s="294">
        <v>42825</v>
      </c>
      <c r="I1422" s="295">
        <v>-8710.42</v>
      </c>
    </row>
    <row r="1423" spans="1:9" x14ac:dyDescent="0.2">
      <c r="A1423" s="293" t="s">
        <v>7514</v>
      </c>
      <c r="B1423" s="293" t="s">
        <v>5666</v>
      </c>
      <c r="C1423" s="293" t="s">
        <v>7219</v>
      </c>
      <c r="D1423" s="293" t="s">
        <v>5859</v>
      </c>
      <c r="E1423" s="293" t="s">
        <v>7080</v>
      </c>
      <c r="F1423" s="293" t="s">
        <v>7498</v>
      </c>
      <c r="G1423" s="293" t="s">
        <v>5755</v>
      </c>
      <c r="H1423" s="294">
        <v>42825</v>
      </c>
      <c r="I1423" s="295">
        <v>-7028.09</v>
      </c>
    </row>
    <row r="1424" spans="1:9" x14ac:dyDescent="0.2">
      <c r="A1424" s="293" t="s">
        <v>7515</v>
      </c>
      <c r="B1424" s="293" t="s">
        <v>5666</v>
      </c>
      <c r="C1424" s="293" t="s">
        <v>6027</v>
      </c>
      <c r="D1424" s="293" t="s">
        <v>5859</v>
      </c>
      <c r="E1424" s="293" t="s">
        <v>6028</v>
      </c>
      <c r="F1424" s="293" t="s">
        <v>7516</v>
      </c>
      <c r="G1424" s="293" t="s">
        <v>5573</v>
      </c>
      <c r="H1424" s="294">
        <v>42855</v>
      </c>
      <c r="I1424" s="295">
        <v>-6400.96</v>
      </c>
    </row>
    <row r="1425" spans="1:9" x14ac:dyDescent="0.2">
      <c r="A1425" s="293" t="s">
        <v>7517</v>
      </c>
      <c r="B1425" s="293" t="s">
        <v>5666</v>
      </c>
      <c r="C1425" s="293" t="s">
        <v>6030</v>
      </c>
      <c r="D1425" s="293" t="s">
        <v>5859</v>
      </c>
      <c r="E1425" s="293" t="s">
        <v>6028</v>
      </c>
      <c r="F1425" s="293" t="s">
        <v>7516</v>
      </c>
      <c r="G1425" s="293" t="s">
        <v>5573</v>
      </c>
      <c r="H1425" s="294">
        <v>42855</v>
      </c>
      <c r="I1425" s="295">
        <v>-130.22</v>
      </c>
    </row>
    <row r="1426" spans="1:9" x14ac:dyDescent="0.2">
      <c r="A1426" s="293" t="s">
        <v>7518</v>
      </c>
      <c r="B1426" s="293" t="s">
        <v>5666</v>
      </c>
      <c r="C1426" s="293" t="s">
        <v>6032</v>
      </c>
      <c r="D1426" s="293" t="s">
        <v>5859</v>
      </c>
      <c r="E1426" s="293" t="s">
        <v>6033</v>
      </c>
      <c r="F1426" s="293" t="s">
        <v>7516</v>
      </c>
      <c r="G1426" s="293" t="s">
        <v>5585</v>
      </c>
      <c r="H1426" s="294">
        <v>42855</v>
      </c>
      <c r="I1426" s="295">
        <v>-6872.38</v>
      </c>
    </row>
    <row r="1427" spans="1:9" x14ac:dyDescent="0.2">
      <c r="A1427" s="293" t="s">
        <v>7519</v>
      </c>
      <c r="B1427" s="293" t="s">
        <v>5666</v>
      </c>
      <c r="C1427" s="293" t="s">
        <v>6035</v>
      </c>
      <c r="D1427" s="293" t="s">
        <v>5859</v>
      </c>
      <c r="E1427" s="293" t="s">
        <v>6033</v>
      </c>
      <c r="F1427" s="293" t="s">
        <v>7516</v>
      </c>
      <c r="G1427" s="293" t="s">
        <v>5585</v>
      </c>
      <c r="H1427" s="294">
        <v>42855</v>
      </c>
      <c r="I1427" s="295">
        <v>-4630.24</v>
      </c>
    </row>
    <row r="1428" spans="1:9" x14ac:dyDescent="0.2">
      <c r="A1428" s="293" t="s">
        <v>7520</v>
      </c>
      <c r="B1428" s="293" t="s">
        <v>5666</v>
      </c>
      <c r="C1428" s="293" t="s">
        <v>6037</v>
      </c>
      <c r="D1428" s="293" t="s">
        <v>5859</v>
      </c>
      <c r="E1428" s="293" t="s">
        <v>6038</v>
      </c>
      <c r="F1428" s="293" t="s">
        <v>7516</v>
      </c>
      <c r="G1428" s="293" t="s">
        <v>5586</v>
      </c>
      <c r="H1428" s="294">
        <v>42855</v>
      </c>
      <c r="I1428" s="295">
        <v>-3059.89</v>
      </c>
    </row>
    <row r="1429" spans="1:9" x14ac:dyDescent="0.2">
      <c r="A1429" s="293" t="s">
        <v>7521</v>
      </c>
      <c r="B1429" s="293" t="s">
        <v>5666</v>
      </c>
      <c r="C1429" s="293" t="s">
        <v>6040</v>
      </c>
      <c r="D1429" s="293" t="s">
        <v>5859</v>
      </c>
      <c r="E1429" s="293" t="s">
        <v>6041</v>
      </c>
      <c r="F1429" s="293" t="s">
        <v>7516</v>
      </c>
      <c r="G1429" s="293" t="s">
        <v>5581</v>
      </c>
      <c r="H1429" s="294">
        <v>42855</v>
      </c>
      <c r="I1429" s="295">
        <v>-8058.13</v>
      </c>
    </row>
    <row r="1430" spans="1:9" x14ac:dyDescent="0.2">
      <c r="A1430" s="293" t="s">
        <v>7522</v>
      </c>
      <c r="B1430" s="293" t="s">
        <v>5666</v>
      </c>
      <c r="C1430" s="293" t="s">
        <v>6052</v>
      </c>
      <c r="D1430" s="293" t="s">
        <v>5859</v>
      </c>
      <c r="E1430" s="293" t="s">
        <v>5817</v>
      </c>
      <c r="F1430" s="293" t="s">
        <v>7516</v>
      </c>
      <c r="G1430" s="293" t="s">
        <v>5577</v>
      </c>
      <c r="H1430" s="294">
        <v>42855</v>
      </c>
      <c r="I1430" s="295">
        <v>-7696.08</v>
      </c>
    </row>
    <row r="1431" spans="1:9" x14ac:dyDescent="0.2">
      <c r="A1431" s="293" t="s">
        <v>7523</v>
      </c>
      <c r="B1431" s="293" t="s">
        <v>5666</v>
      </c>
      <c r="C1431" s="293" t="s">
        <v>6054</v>
      </c>
      <c r="D1431" s="293" t="s">
        <v>5859</v>
      </c>
      <c r="E1431" s="293" t="s">
        <v>5817</v>
      </c>
      <c r="F1431" s="293" t="s">
        <v>7516</v>
      </c>
      <c r="G1431" s="293" t="s">
        <v>5577</v>
      </c>
      <c r="H1431" s="294">
        <v>42855</v>
      </c>
      <c r="I1431" s="295">
        <v>-3633.17</v>
      </c>
    </row>
    <row r="1432" spans="1:9" x14ac:dyDescent="0.2">
      <c r="A1432" s="293" t="s">
        <v>7524</v>
      </c>
      <c r="B1432" s="293" t="s">
        <v>5666</v>
      </c>
      <c r="C1432" s="293" t="s">
        <v>6056</v>
      </c>
      <c r="D1432" s="293" t="s">
        <v>5859</v>
      </c>
      <c r="E1432" s="293" t="s">
        <v>6057</v>
      </c>
      <c r="F1432" s="293" t="s">
        <v>7516</v>
      </c>
      <c r="G1432" s="293" t="s">
        <v>5578</v>
      </c>
      <c r="H1432" s="294">
        <v>42855</v>
      </c>
      <c r="I1432" s="295">
        <v>-4399.9399999999996</v>
      </c>
    </row>
    <row r="1433" spans="1:9" x14ac:dyDescent="0.2">
      <c r="A1433" s="293" t="s">
        <v>7525</v>
      </c>
      <c r="B1433" s="293" t="s">
        <v>5666</v>
      </c>
      <c r="C1433" s="293" t="s">
        <v>6062</v>
      </c>
      <c r="D1433" s="293" t="s">
        <v>5859</v>
      </c>
      <c r="E1433" s="293" t="s">
        <v>6063</v>
      </c>
      <c r="F1433" s="293" t="s">
        <v>7516</v>
      </c>
      <c r="G1433" s="293" t="s">
        <v>5579</v>
      </c>
      <c r="H1433" s="294">
        <v>42855</v>
      </c>
      <c r="I1433" s="295">
        <v>-2351.71</v>
      </c>
    </row>
    <row r="1434" spans="1:9" x14ac:dyDescent="0.2">
      <c r="A1434" s="293" t="s">
        <v>7526</v>
      </c>
      <c r="B1434" s="293" t="s">
        <v>5666</v>
      </c>
      <c r="C1434" s="293" t="s">
        <v>6065</v>
      </c>
      <c r="D1434" s="293" t="s">
        <v>5859</v>
      </c>
      <c r="E1434" s="293" t="s">
        <v>6063</v>
      </c>
      <c r="F1434" s="293" t="s">
        <v>7516</v>
      </c>
      <c r="G1434" s="293" t="s">
        <v>5579</v>
      </c>
      <c r="H1434" s="294">
        <v>42855</v>
      </c>
      <c r="I1434" s="295">
        <v>-63.12</v>
      </c>
    </row>
    <row r="1435" spans="1:9" x14ac:dyDescent="0.2">
      <c r="A1435" s="293" t="s">
        <v>7527</v>
      </c>
      <c r="B1435" s="293" t="s">
        <v>5666</v>
      </c>
      <c r="C1435" s="293" t="s">
        <v>6067</v>
      </c>
      <c r="D1435" s="293" t="s">
        <v>5859</v>
      </c>
      <c r="E1435" s="293" t="s">
        <v>5817</v>
      </c>
      <c r="F1435" s="293" t="s">
        <v>7516</v>
      </c>
      <c r="G1435" s="293" t="s">
        <v>5591</v>
      </c>
      <c r="H1435" s="294">
        <v>42855</v>
      </c>
      <c r="I1435" s="295">
        <v>-6308.36</v>
      </c>
    </row>
    <row r="1436" spans="1:9" x14ac:dyDescent="0.2">
      <c r="A1436" s="293" t="s">
        <v>7528</v>
      </c>
      <c r="B1436" s="293" t="s">
        <v>5666</v>
      </c>
      <c r="C1436" s="293" t="s">
        <v>6069</v>
      </c>
      <c r="D1436" s="293" t="s">
        <v>5859</v>
      </c>
      <c r="E1436" s="293" t="s">
        <v>5817</v>
      </c>
      <c r="F1436" s="293" t="s">
        <v>7516</v>
      </c>
      <c r="G1436" s="293" t="s">
        <v>5591</v>
      </c>
      <c r="H1436" s="294">
        <v>42855</v>
      </c>
      <c r="I1436" s="295">
        <v>-7695.19</v>
      </c>
    </row>
    <row r="1437" spans="1:9" x14ac:dyDescent="0.2">
      <c r="A1437" s="293" t="s">
        <v>7529</v>
      </c>
      <c r="B1437" s="293" t="s">
        <v>5666</v>
      </c>
      <c r="C1437" s="293" t="s">
        <v>6471</v>
      </c>
      <c r="D1437" s="293" t="s">
        <v>5859</v>
      </c>
      <c r="E1437" s="293" t="s">
        <v>6829</v>
      </c>
      <c r="F1437" s="293" t="s">
        <v>7516</v>
      </c>
      <c r="G1437" s="293" t="s">
        <v>5589</v>
      </c>
      <c r="H1437" s="294">
        <v>42855</v>
      </c>
      <c r="I1437" s="295">
        <v>-7123.53</v>
      </c>
    </row>
    <row r="1438" spans="1:9" x14ac:dyDescent="0.2">
      <c r="A1438" s="293" t="s">
        <v>7530</v>
      </c>
      <c r="B1438" s="293" t="s">
        <v>5666</v>
      </c>
      <c r="C1438" s="293" t="s">
        <v>6473</v>
      </c>
      <c r="D1438" s="293" t="s">
        <v>5859</v>
      </c>
      <c r="E1438" s="293" t="s">
        <v>6474</v>
      </c>
      <c r="F1438" s="293" t="s">
        <v>7516</v>
      </c>
      <c r="G1438" s="293" t="s">
        <v>5593</v>
      </c>
      <c r="H1438" s="294">
        <v>42855</v>
      </c>
      <c r="I1438" s="295">
        <v>-14668.67</v>
      </c>
    </row>
    <row r="1439" spans="1:9" x14ac:dyDescent="0.2">
      <c r="A1439" s="293" t="s">
        <v>7531</v>
      </c>
      <c r="B1439" s="293" t="s">
        <v>5666</v>
      </c>
      <c r="C1439" s="293" t="s">
        <v>6920</v>
      </c>
      <c r="D1439" s="293" t="s">
        <v>5859</v>
      </c>
      <c r="E1439" s="293" t="s">
        <v>6921</v>
      </c>
      <c r="F1439" s="293" t="s">
        <v>7516</v>
      </c>
      <c r="G1439" s="293" t="s">
        <v>5754</v>
      </c>
      <c r="H1439" s="294">
        <v>42855</v>
      </c>
      <c r="I1439" s="295">
        <v>-8710.42</v>
      </c>
    </row>
    <row r="1440" spans="1:9" x14ac:dyDescent="0.2">
      <c r="A1440" s="293" t="s">
        <v>7532</v>
      </c>
      <c r="B1440" s="293" t="s">
        <v>5666</v>
      </c>
      <c r="C1440" s="293" t="s">
        <v>7219</v>
      </c>
      <c r="D1440" s="293" t="s">
        <v>5859</v>
      </c>
      <c r="E1440" s="293" t="s">
        <v>7080</v>
      </c>
      <c r="F1440" s="293" t="s">
        <v>7516</v>
      </c>
      <c r="G1440" s="293" t="s">
        <v>5755</v>
      </c>
      <c r="H1440" s="294">
        <v>42855</v>
      </c>
      <c r="I1440" s="295">
        <v>-7028.09</v>
      </c>
    </row>
    <row r="1441" spans="1:9" x14ac:dyDescent="0.2">
      <c r="A1441" s="293" t="s">
        <v>7533</v>
      </c>
      <c r="B1441" s="293" t="s">
        <v>5666</v>
      </c>
      <c r="C1441" s="293" t="s">
        <v>6027</v>
      </c>
      <c r="D1441" s="293" t="s">
        <v>5859</v>
      </c>
      <c r="E1441" s="293" t="s">
        <v>6028</v>
      </c>
      <c r="F1441" s="293" t="s">
        <v>7534</v>
      </c>
      <c r="G1441" s="293" t="s">
        <v>5573</v>
      </c>
      <c r="H1441" s="294">
        <v>42886</v>
      </c>
      <c r="I1441" s="295">
        <v>-6400.96</v>
      </c>
    </row>
    <row r="1442" spans="1:9" x14ac:dyDescent="0.2">
      <c r="A1442" s="293" t="s">
        <v>7535</v>
      </c>
      <c r="B1442" s="293" t="s">
        <v>5666</v>
      </c>
      <c r="C1442" s="293" t="s">
        <v>6030</v>
      </c>
      <c r="D1442" s="293" t="s">
        <v>5859</v>
      </c>
      <c r="E1442" s="293" t="s">
        <v>6028</v>
      </c>
      <c r="F1442" s="293" t="s">
        <v>7534</v>
      </c>
      <c r="G1442" s="293" t="s">
        <v>5573</v>
      </c>
      <c r="H1442" s="294">
        <v>42886</v>
      </c>
      <c r="I1442" s="295">
        <v>-130.22</v>
      </c>
    </row>
    <row r="1443" spans="1:9" x14ac:dyDescent="0.2">
      <c r="A1443" s="293" t="s">
        <v>7536</v>
      </c>
      <c r="B1443" s="293" t="s">
        <v>5666</v>
      </c>
      <c r="C1443" s="293" t="s">
        <v>6032</v>
      </c>
      <c r="D1443" s="293" t="s">
        <v>5859</v>
      </c>
      <c r="E1443" s="293" t="s">
        <v>6033</v>
      </c>
      <c r="F1443" s="293" t="s">
        <v>7534</v>
      </c>
      <c r="G1443" s="293" t="s">
        <v>5585</v>
      </c>
      <c r="H1443" s="294">
        <v>42886</v>
      </c>
      <c r="I1443" s="295">
        <v>-6872.38</v>
      </c>
    </row>
    <row r="1444" spans="1:9" x14ac:dyDescent="0.2">
      <c r="A1444" s="293" t="s">
        <v>7537</v>
      </c>
      <c r="B1444" s="293" t="s">
        <v>5666</v>
      </c>
      <c r="C1444" s="293" t="s">
        <v>6035</v>
      </c>
      <c r="D1444" s="293" t="s">
        <v>5859</v>
      </c>
      <c r="E1444" s="293" t="s">
        <v>6033</v>
      </c>
      <c r="F1444" s="293" t="s">
        <v>7534</v>
      </c>
      <c r="G1444" s="293" t="s">
        <v>5585</v>
      </c>
      <c r="H1444" s="294">
        <v>42886</v>
      </c>
      <c r="I1444" s="295">
        <v>-4630.24</v>
      </c>
    </row>
    <row r="1445" spans="1:9" x14ac:dyDescent="0.2">
      <c r="A1445" s="293" t="s">
        <v>7538</v>
      </c>
      <c r="B1445" s="293" t="s">
        <v>5666</v>
      </c>
      <c r="C1445" s="293" t="s">
        <v>6037</v>
      </c>
      <c r="D1445" s="293" t="s">
        <v>5859</v>
      </c>
      <c r="E1445" s="293" t="s">
        <v>6038</v>
      </c>
      <c r="F1445" s="293" t="s">
        <v>7534</v>
      </c>
      <c r="G1445" s="293" t="s">
        <v>5586</v>
      </c>
      <c r="H1445" s="294">
        <v>42886</v>
      </c>
      <c r="I1445" s="295">
        <v>-3059.89</v>
      </c>
    </row>
    <row r="1446" spans="1:9" x14ac:dyDescent="0.2">
      <c r="A1446" s="293" t="s">
        <v>7539</v>
      </c>
      <c r="B1446" s="293" t="s">
        <v>5666</v>
      </c>
      <c r="C1446" s="293" t="s">
        <v>6040</v>
      </c>
      <c r="D1446" s="293" t="s">
        <v>5859</v>
      </c>
      <c r="E1446" s="293" t="s">
        <v>6041</v>
      </c>
      <c r="F1446" s="293" t="s">
        <v>7534</v>
      </c>
      <c r="G1446" s="293" t="s">
        <v>5581</v>
      </c>
      <c r="H1446" s="294">
        <v>42886</v>
      </c>
      <c r="I1446" s="295">
        <v>-8058.13</v>
      </c>
    </row>
    <row r="1447" spans="1:9" x14ac:dyDescent="0.2">
      <c r="A1447" s="293" t="s">
        <v>7540</v>
      </c>
      <c r="B1447" s="293" t="s">
        <v>5666</v>
      </c>
      <c r="C1447" s="293" t="s">
        <v>6052</v>
      </c>
      <c r="D1447" s="293" t="s">
        <v>5859</v>
      </c>
      <c r="E1447" s="293" t="s">
        <v>5817</v>
      </c>
      <c r="F1447" s="293" t="s">
        <v>7534</v>
      </c>
      <c r="G1447" s="293" t="s">
        <v>5577</v>
      </c>
      <c r="H1447" s="294">
        <v>42886</v>
      </c>
      <c r="I1447" s="295">
        <v>-7696.08</v>
      </c>
    </row>
    <row r="1448" spans="1:9" x14ac:dyDescent="0.2">
      <c r="A1448" s="293" t="s">
        <v>7541</v>
      </c>
      <c r="B1448" s="293" t="s">
        <v>5666</v>
      </c>
      <c r="C1448" s="293" t="s">
        <v>6054</v>
      </c>
      <c r="D1448" s="293" t="s">
        <v>5859</v>
      </c>
      <c r="E1448" s="293" t="s">
        <v>5817</v>
      </c>
      <c r="F1448" s="293" t="s">
        <v>7534</v>
      </c>
      <c r="G1448" s="293" t="s">
        <v>5577</v>
      </c>
      <c r="H1448" s="294">
        <v>42886</v>
      </c>
      <c r="I1448" s="295">
        <v>-3633.17</v>
      </c>
    </row>
    <row r="1449" spans="1:9" x14ac:dyDescent="0.2">
      <c r="A1449" s="293" t="s">
        <v>7542</v>
      </c>
      <c r="B1449" s="293" t="s">
        <v>5666</v>
      </c>
      <c r="C1449" s="293" t="s">
        <v>6056</v>
      </c>
      <c r="D1449" s="293" t="s">
        <v>5859</v>
      </c>
      <c r="E1449" s="293" t="s">
        <v>6057</v>
      </c>
      <c r="F1449" s="293" t="s">
        <v>7534</v>
      </c>
      <c r="G1449" s="293" t="s">
        <v>5578</v>
      </c>
      <c r="H1449" s="294">
        <v>42886</v>
      </c>
      <c r="I1449" s="295">
        <v>-4399.9399999999996</v>
      </c>
    </row>
    <row r="1450" spans="1:9" x14ac:dyDescent="0.2">
      <c r="A1450" s="293" t="s">
        <v>7543</v>
      </c>
      <c r="B1450" s="293" t="s">
        <v>5666</v>
      </c>
      <c r="C1450" s="293" t="s">
        <v>6062</v>
      </c>
      <c r="D1450" s="293" t="s">
        <v>5859</v>
      </c>
      <c r="E1450" s="293" t="s">
        <v>6063</v>
      </c>
      <c r="F1450" s="293" t="s">
        <v>7534</v>
      </c>
      <c r="G1450" s="293" t="s">
        <v>5579</v>
      </c>
      <c r="H1450" s="294">
        <v>42886</v>
      </c>
      <c r="I1450" s="295">
        <v>-2351.71</v>
      </c>
    </row>
    <row r="1451" spans="1:9" x14ac:dyDescent="0.2">
      <c r="A1451" s="293" t="s">
        <v>7544</v>
      </c>
      <c r="B1451" s="293" t="s">
        <v>5666</v>
      </c>
      <c r="C1451" s="293" t="s">
        <v>6065</v>
      </c>
      <c r="D1451" s="293" t="s">
        <v>5859</v>
      </c>
      <c r="E1451" s="293" t="s">
        <v>6063</v>
      </c>
      <c r="F1451" s="293" t="s">
        <v>7534</v>
      </c>
      <c r="G1451" s="293" t="s">
        <v>5579</v>
      </c>
      <c r="H1451" s="294">
        <v>42886</v>
      </c>
      <c r="I1451" s="295">
        <v>-63.12</v>
      </c>
    </row>
    <row r="1452" spans="1:9" x14ac:dyDescent="0.2">
      <c r="A1452" s="293" t="s">
        <v>7545</v>
      </c>
      <c r="B1452" s="293" t="s">
        <v>5666</v>
      </c>
      <c r="C1452" s="293" t="s">
        <v>6067</v>
      </c>
      <c r="D1452" s="293" t="s">
        <v>5859</v>
      </c>
      <c r="E1452" s="293" t="s">
        <v>5817</v>
      </c>
      <c r="F1452" s="293" t="s">
        <v>7534</v>
      </c>
      <c r="G1452" s="293" t="s">
        <v>5591</v>
      </c>
      <c r="H1452" s="294">
        <v>42886</v>
      </c>
      <c r="I1452" s="295">
        <v>-6308.36</v>
      </c>
    </row>
    <row r="1453" spans="1:9" x14ac:dyDescent="0.2">
      <c r="A1453" s="293" t="s">
        <v>7546</v>
      </c>
      <c r="B1453" s="293" t="s">
        <v>5666</v>
      </c>
      <c r="C1453" s="293" t="s">
        <v>6069</v>
      </c>
      <c r="D1453" s="293" t="s">
        <v>5859</v>
      </c>
      <c r="E1453" s="293" t="s">
        <v>5817</v>
      </c>
      <c r="F1453" s="293" t="s">
        <v>7534</v>
      </c>
      <c r="G1453" s="293" t="s">
        <v>5591</v>
      </c>
      <c r="H1453" s="294">
        <v>42886</v>
      </c>
      <c r="I1453" s="295">
        <v>-7695.19</v>
      </c>
    </row>
    <row r="1454" spans="1:9" x14ac:dyDescent="0.2">
      <c r="A1454" s="293" t="s">
        <v>7547</v>
      </c>
      <c r="B1454" s="293" t="s">
        <v>5666</v>
      </c>
      <c r="C1454" s="293" t="s">
        <v>6471</v>
      </c>
      <c r="D1454" s="293" t="s">
        <v>5859</v>
      </c>
      <c r="E1454" s="293" t="s">
        <v>6829</v>
      </c>
      <c r="F1454" s="293" t="s">
        <v>7534</v>
      </c>
      <c r="G1454" s="293" t="s">
        <v>5589</v>
      </c>
      <c r="H1454" s="294">
        <v>42886</v>
      </c>
      <c r="I1454" s="295">
        <v>-7123.53</v>
      </c>
    </row>
    <row r="1455" spans="1:9" x14ac:dyDescent="0.2">
      <c r="A1455" s="293" t="s">
        <v>7548</v>
      </c>
      <c r="B1455" s="293" t="s">
        <v>5666</v>
      </c>
      <c r="C1455" s="293" t="s">
        <v>6473</v>
      </c>
      <c r="D1455" s="293" t="s">
        <v>5859</v>
      </c>
      <c r="E1455" s="293" t="s">
        <v>6474</v>
      </c>
      <c r="F1455" s="293" t="s">
        <v>7534</v>
      </c>
      <c r="G1455" s="293" t="s">
        <v>5593</v>
      </c>
      <c r="H1455" s="294">
        <v>42886</v>
      </c>
      <c r="I1455" s="295">
        <v>-14668.67</v>
      </c>
    </row>
    <row r="1456" spans="1:9" x14ac:dyDescent="0.2">
      <c r="A1456" s="293" t="s">
        <v>7549</v>
      </c>
      <c r="B1456" s="293" t="s">
        <v>5666</v>
      </c>
      <c r="C1456" s="293" t="s">
        <v>6920</v>
      </c>
      <c r="D1456" s="293" t="s">
        <v>5859</v>
      </c>
      <c r="E1456" s="293" t="s">
        <v>6921</v>
      </c>
      <c r="F1456" s="293" t="s">
        <v>7534</v>
      </c>
      <c r="G1456" s="293" t="s">
        <v>5754</v>
      </c>
      <c r="H1456" s="294">
        <v>42886</v>
      </c>
      <c r="I1456" s="295">
        <v>-8710.42</v>
      </c>
    </row>
    <row r="1457" spans="1:9" x14ac:dyDescent="0.2">
      <c r="A1457" s="293" t="s">
        <v>7550</v>
      </c>
      <c r="B1457" s="293" t="s">
        <v>5666</v>
      </c>
      <c r="C1457" s="293" t="s">
        <v>7219</v>
      </c>
      <c r="D1457" s="293" t="s">
        <v>5859</v>
      </c>
      <c r="E1457" s="293" t="s">
        <v>7080</v>
      </c>
      <c r="F1457" s="293" t="s">
        <v>7534</v>
      </c>
      <c r="G1457" s="293" t="s">
        <v>5755</v>
      </c>
      <c r="H1457" s="294">
        <v>42886</v>
      </c>
      <c r="I1457" s="295">
        <v>-7028.09</v>
      </c>
    </row>
    <row r="1458" spans="1:9" x14ac:dyDescent="0.2">
      <c r="A1458" s="293" t="s">
        <v>7551</v>
      </c>
      <c r="B1458" s="293" t="s">
        <v>5666</v>
      </c>
      <c r="C1458" s="293" t="s">
        <v>6027</v>
      </c>
      <c r="D1458" s="293" t="s">
        <v>5859</v>
      </c>
      <c r="E1458" s="293" t="s">
        <v>6028</v>
      </c>
      <c r="F1458" s="293" t="s">
        <v>7552</v>
      </c>
      <c r="G1458" s="293" t="s">
        <v>5573</v>
      </c>
      <c r="H1458" s="294">
        <v>42916</v>
      </c>
      <c r="I1458" s="295">
        <v>-6400.96</v>
      </c>
    </row>
    <row r="1459" spans="1:9" x14ac:dyDescent="0.2">
      <c r="A1459" s="293" t="s">
        <v>7553</v>
      </c>
      <c r="B1459" s="293" t="s">
        <v>5666</v>
      </c>
      <c r="C1459" s="293" t="s">
        <v>6030</v>
      </c>
      <c r="D1459" s="293" t="s">
        <v>5859</v>
      </c>
      <c r="E1459" s="293" t="s">
        <v>6028</v>
      </c>
      <c r="F1459" s="293" t="s">
        <v>7552</v>
      </c>
      <c r="G1459" s="293" t="s">
        <v>5573</v>
      </c>
      <c r="H1459" s="294">
        <v>42916</v>
      </c>
      <c r="I1459" s="295">
        <v>-130.22</v>
      </c>
    </row>
    <row r="1460" spans="1:9" x14ac:dyDescent="0.2">
      <c r="A1460" s="293" t="s">
        <v>7554</v>
      </c>
      <c r="B1460" s="293" t="s">
        <v>5666</v>
      </c>
      <c r="C1460" s="293" t="s">
        <v>6032</v>
      </c>
      <c r="D1460" s="293" t="s">
        <v>5859</v>
      </c>
      <c r="E1460" s="293" t="s">
        <v>6033</v>
      </c>
      <c r="F1460" s="293" t="s">
        <v>7552</v>
      </c>
      <c r="G1460" s="293" t="s">
        <v>5585</v>
      </c>
      <c r="H1460" s="294">
        <v>42916</v>
      </c>
      <c r="I1460" s="295">
        <v>-6872.38</v>
      </c>
    </row>
    <row r="1461" spans="1:9" x14ac:dyDescent="0.2">
      <c r="A1461" s="293" t="s">
        <v>7555</v>
      </c>
      <c r="B1461" s="293" t="s">
        <v>5666</v>
      </c>
      <c r="C1461" s="293" t="s">
        <v>6035</v>
      </c>
      <c r="D1461" s="293" t="s">
        <v>5859</v>
      </c>
      <c r="E1461" s="293" t="s">
        <v>6033</v>
      </c>
      <c r="F1461" s="293" t="s">
        <v>7552</v>
      </c>
      <c r="G1461" s="293" t="s">
        <v>5585</v>
      </c>
      <c r="H1461" s="294">
        <v>42916</v>
      </c>
      <c r="I1461" s="295">
        <v>-4630.24</v>
      </c>
    </row>
    <row r="1462" spans="1:9" x14ac:dyDescent="0.2">
      <c r="A1462" s="293" t="s">
        <v>7556</v>
      </c>
      <c r="B1462" s="293" t="s">
        <v>5666</v>
      </c>
      <c r="C1462" s="293" t="s">
        <v>6037</v>
      </c>
      <c r="D1462" s="293" t="s">
        <v>5859</v>
      </c>
      <c r="E1462" s="293" t="s">
        <v>6038</v>
      </c>
      <c r="F1462" s="293" t="s">
        <v>7552</v>
      </c>
      <c r="G1462" s="293" t="s">
        <v>5586</v>
      </c>
      <c r="H1462" s="294">
        <v>42916</v>
      </c>
      <c r="I1462" s="295">
        <v>-3059.89</v>
      </c>
    </row>
    <row r="1463" spans="1:9" x14ac:dyDescent="0.2">
      <c r="A1463" s="293" t="s">
        <v>7557</v>
      </c>
      <c r="B1463" s="293" t="s">
        <v>5666</v>
      </c>
      <c r="C1463" s="293" t="s">
        <v>6040</v>
      </c>
      <c r="D1463" s="293" t="s">
        <v>5859</v>
      </c>
      <c r="E1463" s="293" t="s">
        <v>6041</v>
      </c>
      <c r="F1463" s="293" t="s">
        <v>7552</v>
      </c>
      <c r="G1463" s="293" t="s">
        <v>5581</v>
      </c>
      <c r="H1463" s="294">
        <v>42916</v>
      </c>
      <c r="I1463" s="295">
        <v>-8058.13</v>
      </c>
    </row>
    <row r="1464" spans="1:9" x14ac:dyDescent="0.2">
      <c r="A1464" s="293" t="s">
        <v>7558</v>
      </c>
      <c r="B1464" s="293" t="s">
        <v>5666</v>
      </c>
      <c r="C1464" s="293" t="s">
        <v>6052</v>
      </c>
      <c r="D1464" s="293" t="s">
        <v>5859</v>
      </c>
      <c r="E1464" s="293" t="s">
        <v>5817</v>
      </c>
      <c r="F1464" s="293" t="s">
        <v>7552</v>
      </c>
      <c r="G1464" s="293" t="s">
        <v>5577</v>
      </c>
      <c r="H1464" s="294">
        <v>42916</v>
      </c>
      <c r="I1464" s="295">
        <v>-7696.08</v>
      </c>
    </row>
    <row r="1465" spans="1:9" x14ac:dyDescent="0.2">
      <c r="A1465" s="293" t="s">
        <v>7559</v>
      </c>
      <c r="B1465" s="293" t="s">
        <v>5666</v>
      </c>
      <c r="C1465" s="293" t="s">
        <v>6054</v>
      </c>
      <c r="D1465" s="293" t="s">
        <v>5859</v>
      </c>
      <c r="E1465" s="293" t="s">
        <v>5817</v>
      </c>
      <c r="F1465" s="293" t="s">
        <v>7552</v>
      </c>
      <c r="G1465" s="293" t="s">
        <v>5577</v>
      </c>
      <c r="H1465" s="294">
        <v>42916</v>
      </c>
      <c r="I1465" s="295">
        <v>-3633.17</v>
      </c>
    </row>
    <row r="1466" spans="1:9" x14ac:dyDescent="0.2">
      <c r="A1466" s="293" t="s">
        <v>7560</v>
      </c>
      <c r="B1466" s="293" t="s">
        <v>5666</v>
      </c>
      <c r="C1466" s="293" t="s">
        <v>6056</v>
      </c>
      <c r="D1466" s="293" t="s">
        <v>5859</v>
      </c>
      <c r="E1466" s="293" t="s">
        <v>6057</v>
      </c>
      <c r="F1466" s="293" t="s">
        <v>7552</v>
      </c>
      <c r="G1466" s="293" t="s">
        <v>5578</v>
      </c>
      <c r="H1466" s="294">
        <v>42916</v>
      </c>
      <c r="I1466" s="295">
        <v>-4399.9399999999996</v>
      </c>
    </row>
    <row r="1467" spans="1:9" x14ac:dyDescent="0.2">
      <c r="A1467" s="293" t="s">
        <v>7561</v>
      </c>
      <c r="B1467" s="293" t="s">
        <v>5666</v>
      </c>
      <c r="C1467" s="293" t="s">
        <v>6062</v>
      </c>
      <c r="D1467" s="293" t="s">
        <v>5859</v>
      </c>
      <c r="E1467" s="293" t="s">
        <v>6063</v>
      </c>
      <c r="F1467" s="293" t="s">
        <v>7552</v>
      </c>
      <c r="G1467" s="293" t="s">
        <v>5579</v>
      </c>
      <c r="H1467" s="294">
        <v>42916</v>
      </c>
      <c r="I1467" s="295">
        <v>-2351.71</v>
      </c>
    </row>
    <row r="1468" spans="1:9" x14ac:dyDescent="0.2">
      <c r="A1468" s="293" t="s">
        <v>7562</v>
      </c>
      <c r="B1468" s="293" t="s">
        <v>5666</v>
      </c>
      <c r="C1468" s="293" t="s">
        <v>6065</v>
      </c>
      <c r="D1468" s="293" t="s">
        <v>5859</v>
      </c>
      <c r="E1468" s="293" t="s">
        <v>6063</v>
      </c>
      <c r="F1468" s="293" t="s">
        <v>7552</v>
      </c>
      <c r="G1468" s="293" t="s">
        <v>5579</v>
      </c>
      <c r="H1468" s="294">
        <v>42916</v>
      </c>
      <c r="I1468" s="295">
        <v>-63.12</v>
      </c>
    </row>
    <row r="1469" spans="1:9" x14ac:dyDescent="0.2">
      <c r="A1469" s="293" t="s">
        <v>7563</v>
      </c>
      <c r="B1469" s="293" t="s">
        <v>5666</v>
      </c>
      <c r="C1469" s="293" t="s">
        <v>6067</v>
      </c>
      <c r="D1469" s="293" t="s">
        <v>5859</v>
      </c>
      <c r="E1469" s="293" t="s">
        <v>5817</v>
      </c>
      <c r="F1469" s="293" t="s">
        <v>7552</v>
      </c>
      <c r="G1469" s="293" t="s">
        <v>5591</v>
      </c>
      <c r="H1469" s="294">
        <v>42916</v>
      </c>
      <c r="I1469" s="295">
        <v>-6308.36</v>
      </c>
    </row>
    <row r="1470" spans="1:9" x14ac:dyDescent="0.2">
      <c r="A1470" s="293" t="s">
        <v>7564</v>
      </c>
      <c r="B1470" s="293" t="s">
        <v>5666</v>
      </c>
      <c r="C1470" s="293" t="s">
        <v>6069</v>
      </c>
      <c r="D1470" s="293" t="s">
        <v>5859</v>
      </c>
      <c r="E1470" s="293" t="s">
        <v>5817</v>
      </c>
      <c r="F1470" s="293" t="s">
        <v>7552</v>
      </c>
      <c r="G1470" s="293" t="s">
        <v>5591</v>
      </c>
      <c r="H1470" s="294">
        <v>42916</v>
      </c>
      <c r="I1470" s="295">
        <v>-7695.19</v>
      </c>
    </row>
    <row r="1471" spans="1:9" x14ac:dyDescent="0.2">
      <c r="A1471" s="293" t="s">
        <v>7565</v>
      </c>
      <c r="B1471" s="293" t="s">
        <v>5666</v>
      </c>
      <c r="C1471" s="293" t="s">
        <v>6471</v>
      </c>
      <c r="D1471" s="293" t="s">
        <v>5859</v>
      </c>
      <c r="E1471" s="293" t="s">
        <v>6829</v>
      </c>
      <c r="F1471" s="293" t="s">
        <v>7552</v>
      </c>
      <c r="G1471" s="293" t="s">
        <v>5589</v>
      </c>
      <c r="H1471" s="294">
        <v>42916</v>
      </c>
      <c r="I1471" s="295">
        <v>-7123.53</v>
      </c>
    </row>
    <row r="1472" spans="1:9" x14ac:dyDescent="0.2">
      <c r="A1472" s="293" t="s">
        <v>7566</v>
      </c>
      <c r="B1472" s="293" t="s">
        <v>5666</v>
      </c>
      <c r="C1472" s="293" t="s">
        <v>6473</v>
      </c>
      <c r="D1472" s="293" t="s">
        <v>5859</v>
      </c>
      <c r="E1472" s="293" t="s">
        <v>6474</v>
      </c>
      <c r="F1472" s="293" t="s">
        <v>7552</v>
      </c>
      <c r="G1472" s="293" t="s">
        <v>5593</v>
      </c>
      <c r="H1472" s="294">
        <v>42916</v>
      </c>
      <c r="I1472" s="295">
        <v>-14668.67</v>
      </c>
    </row>
    <row r="1473" spans="1:9" x14ac:dyDescent="0.2">
      <c r="A1473" s="293" t="s">
        <v>7567</v>
      </c>
      <c r="B1473" s="293" t="s">
        <v>5666</v>
      </c>
      <c r="C1473" s="293" t="s">
        <v>6920</v>
      </c>
      <c r="D1473" s="293" t="s">
        <v>5859</v>
      </c>
      <c r="E1473" s="293" t="s">
        <v>6921</v>
      </c>
      <c r="F1473" s="293" t="s">
        <v>7552</v>
      </c>
      <c r="G1473" s="293" t="s">
        <v>5754</v>
      </c>
      <c r="H1473" s="294">
        <v>42916</v>
      </c>
      <c r="I1473" s="295">
        <v>-8710.42</v>
      </c>
    </row>
    <row r="1474" spans="1:9" x14ac:dyDescent="0.2">
      <c r="A1474" s="293" t="s">
        <v>7568</v>
      </c>
      <c r="B1474" s="293" t="s">
        <v>5666</v>
      </c>
      <c r="C1474" s="293" t="s">
        <v>7219</v>
      </c>
      <c r="D1474" s="293" t="s">
        <v>5859</v>
      </c>
      <c r="E1474" s="293" t="s">
        <v>7080</v>
      </c>
      <c r="F1474" s="293" t="s">
        <v>7552</v>
      </c>
      <c r="G1474" s="293" t="s">
        <v>5755</v>
      </c>
      <c r="H1474" s="294">
        <v>42916</v>
      </c>
      <c r="I1474" s="295">
        <v>-7028.09</v>
      </c>
    </row>
    <row r="1475" spans="1:9" x14ac:dyDescent="0.2">
      <c r="A1475" s="293" t="s">
        <v>7569</v>
      </c>
      <c r="B1475" s="293" t="s">
        <v>5666</v>
      </c>
      <c r="C1475" s="293" t="s">
        <v>6027</v>
      </c>
      <c r="D1475" s="293" t="s">
        <v>5859</v>
      </c>
      <c r="E1475" s="293" t="s">
        <v>6028</v>
      </c>
      <c r="F1475" s="293" t="s">
        <v>7570</v>
      </c>
      <c r="G1475" s="293" t="s">
        <v>5573</v>
      </c>
      <c r="H1475" s="294">
        <v>42947</v>
      </c>
      <c r="I1475" s="295">
        <v>-6400.96</v>
      </c>
    </row>
    <row r="1476" spans="1:9" x14ac:dyDescent="0.2">
      <c r="A1476" s="293" t="s">
        <v>7571</v>
      </c>
      <c r="B1476" s="293" t="s">
        <v>5666</v>
      </c>
      <c r="C1476" s="293" t="s">
        <v>6030</v>
      </c>
      <c r="D1476" s="293" t="s">
        <v>5859</v>
      </c>
      <c r="E1476" s="293" t="s">
        <v>6028</v>
      </c>
      <c r="F1476" s="293" t="s">
        <v>7570</v>
      </c>
      <c r="G1476" s="293" t="s">
        <v>5573</v>
      </c>
      <c r="H1476" s="294">
        <v>42947</v>
      </c>
      <c r="I1476" s="295">
        <v>-130.22</v>
      </c>
    </row>
    <row r="1477" spans="1:9" x14ac:dyDescent="0.2">
      <c r="A1477" s="293" t="s">
        <v>7572</v>
      </c>
      <c r="B1477" s="293" t="s">
        <v>5666</v>
      </c>
      <c r="C1477" s="293" t="s">
        <v>6032</v>
      </c>
      <c r="D1477" s="293" t="s">
        <v>5859</v>
      </c>
      <c r="E1477" s="293" t="s">
        <v>6033</v>
      </c>
      <c r="F1477" s="293" t="s">
        <v>7570</v>
      </c>
      <c r="G1477" s="293" t="s">
        <v>5585</v>
      </c>
      <c r="H1477" s="294">
        <v>42947</v>
      </c>
      <c r="I1477" s="295">
        <v>-6872.38</v>
      </c>
    </row>
    <row r="1478" spans="1:9" x14ac:dyDescent="0.2">
      <c r="A1478" s="293" t="s">
        <v>7573</v>
      </c>
      <c r="B1478" s="293" t="s">
        <v>5666</v>
      </c>
      <c r="C1478" s="293" t="s">
        <v>6035</v>
      </c>
      <c r="D1478" s="293" t="s">
        <v>5859</v>
      </c>
      <c r="E1478" s="293" t="s">
        <v>6033</v>
      </c>
      <c r="F1478" s="293" t="s">
        <v>7570</v>
      </c>
      <c r="G1478" s="293" t="s">
        <v>5585</v>
      </c>
      <c r="H1478" s="294">
        <v>42947</v>
      </c>
      <c r="I1478" s="295">
        <v>-4630.24</v>
      </c>
    </row>
    <row r="1479" spans="1:9" x14ac:dyDescent="0.2">
      <c r="A1479" s="293" t="s">
        <v>7574</v>
      </c>
      <c r="B1479" s="293" t="s">
        <v>5666</v>
      </c>
      <c r="C1479" s="293" t="s">
        <v>6037</v>
      </c>
      <c r="D1479" s="293" t="s">
        <v>5859</v>
      </c>
      <c r="E1479" s="293" t="s">
        <v>6038</v>
      </c>
      <c r="F1479" s="293" t="s">
        <v>7570</v>
      </c>
      <c r="G1479" s="293" t="s">
        <v>5586</v>
      </c>
      <c r="H1479" s="294">
        <v>42947</v>
      </c>
      <c r="I1479" s="295">
        <v>-3059.89</v>
      </c>
    </row>
    <row r="1480" spans="1:9" x14ac:dyDescent="0.2">
      <c r="A1480" s="293" t="s">
        <v>7575</v>
      </c>
      <c r="B1480" s="293" t="s">
        <v>5666</v>
      </c>
      <c r="C1480" s="293" t="s">
        <v>6040</v>
      </c>
      <c r="D1480" s="293" t="s">
        <v>5859</v>
      </c>
      <c r="E1480" s="293" t="s">
        <v>6041</v>
      </c>
      <c r="F1480" s="293" t="s">
        <v>7570</v>
      </c>
      <c r="G1480" s="293" t="s">
        <v>5581</v>
      </c>
      <c r="H1480" s="294">
        <v>42947</v>
      </c>
      <c r="I1480" s="295">
        <v>-8058.13</v>
      </c>
    </row>
    <row r="1481" spans="1:9" x14ac:dyDescent="0.2">
      <c r="A1481" s="293" t="s">
        <v>7576</v>
      </c>
      <c r="B1481" s="293" t="s">
        <v>5666</v>
      </c>
      <c r="C1481" s="293" t="s">
        <v>6052</v>
      </c>
      <c r="D1481" s="293" t="s">
        <v>5859</v>
      </c>
      <c r="E1481" s="293" t="s">
        <v>5817</v>
      </c>
      <c r="F1481" s="293" t="s">
        <v>7570</v>
      </c>
      <c r="G1481" s="293" t="s">
        <v>5577</v>
      </c>
      <c r="H1481" s="294">
        <v>42947</v>
      </c>
      <c r="I1481" s="295">
        <v>-7696.08</v>
      </c>
    </row>
    <row r="1482" spans="1:9" x14ac:dyDescent="0.2">
      <c r="A1482" s="293" t="s">
        <v>7577</v>
      </c>
      <c r="B1482" s="293" t="s">
        <v>5666</v>
      </c>
      <c r="C1482" s="293" t="s">
        <v>6054</v>
      </c>
      <c r="D1482" s="293" t="s">
        <v>5859</v>
      </c>
      <c r="E1482" s="293" t="s">
        <v>5817</v>
      </c>
      <c r="F1482" s="293" t="s">
        <v>7570</v>
      </c>
      <c r="G1482" s="293" t="s">
        <v>5577</v>
      </c>
      <c r="H1482" s="294">
        <v>42947</v>
      </c>
      <c r="I1482" s="295">
        <v>-3633.17</v>
      </c>
    </row>
    <row r="1483" spans="1:9" x14ac:dyDescent="0.2">
      <c r="A1483" s="293" t="s">
        <v>7578</v>
      </c>
      <c r="B1483" s="293" t="s">
        <v>5666</v>
      </c>
      <c r="C1483" s="293" t="s">
        <v>6056</v>
      </c>
      <c r="D1483" s="293" t="s">
        <v>5859</v>
      </c>
      <c r="E1483" s="293" t="s">
        <v>6057</v>
      </c>
      <c r="F1483" s="293" t="s">
        <v>7570</v>
      </c>
      <c r="G1483" s="293" t="s">
        <v>5578</v>
      </c>
      <c r="H1483" s="294">
        <v>42947</v>
      </c>
      <c r="I1483" s="295">
        <v>-4399.9399999999996</v>
      </c>
    </row>
    <row r="1484" spans="1:9" x14ac:dyDescent="0.2">
      <c r="A1484" s="293" t="s">
        <v>7579</v>
      </c>
      <c r="B1484" s="293" t="s">
        <v>5666</v>
      </c>
      <c r="C1484" s="293" t="s">
        <v>6062</v>
      </c>
      <c r="D1484" s="293" t="s">
        <v>5859</v>
      </c>
      <c r="E1484" s="293" t="s">
        <v>6063</v>
      </c>
      <c r="F1484" s="293" t="s">
        <v>7570</v>
      </c>
      <c r="G1484" s="293" t="s">
        <v>5579</v>
      </c>
      <c r="H1484" s="294">
        <v>42947</v>
      </c>
      <c r="I1484" s="295">
        <v>-2351.71</v>
      </c>
    </row>
    <row r="1485" spans="1:9" x14ac:dyDescent="0.2">
      <c r="A1485" s="293" t="s">
        <v>7580</v>
      </c>
      <c r="B1485" s="293" t="s">
        <v>5666</v>
      </c>
      <c r="C1485" s="293" t="s">
        <v>6065</v>
      </c>
      <c r="D1485" s="293" t="s">
        <v>5859</v>
      </c>
      <c r="E1485" s="293" t="s">
        <v>6063</v>
      </c>
      <c r="F1485" s="293" t="s">
        <v>7570</v>
      </c>
      <c r="G1485" s="293" t="s">
        <v>5579</v>
      </c>
      <c r="H1485" s="294">
        <v>42947</v>
      </c>
      <c r="I1485" s="295">
        <v>-63.12</v>
      </c>
    </row>
    <row r="1486" spans="1:9" x14ac:dyDescent="0.2">
      <c r="A1486" s="293" t="s">
        <v>7581</v>
      </c>
      <c r="B1486" s="293" t="s">
        <v>5666</v>
      </c>
      <c r="C1486" s="293" t="s">
        <v>6067</v>
      </c>
      <c r="D1486" s="293" t="s">
        <v>5859</v>
      </c>
      <c r="E1486" s="293" t="s">
        <v>5817</v>
      </c>
      <c r="F1486" s="293" t="s">
        <v>7570</v>
      </c>
      <c r="G1486" s="293" t="s">
        <v>5591</v>
      </c>
      <c r="H1486" s="294">
        <v>42947</v>
      </c>
      <c r="I1486" s="295">
        <v>-6308.36</v>
      </c>
    </row>
    <row r="1487" spans="1:9" x14ac:dyDescent="0.2">
      <c r="A1487" s="293" t="s">
        <v>7582</v>
      </c>
      <c r="B1487" s="293" t="s">
        <v>5666</v>
      </c>
      <c r="C1487" s="293" t="s">
        <v>6069</v>
      </c>
      <c r="D1487" s="293" t="s">
        <v>5859</v>
      </c>
      <c r="E1487" s="293" t="s">
        <v>5817</v>
      </c>
      <c r="F1487" s="293" t="s">
        <v>7570</v>
      </c>
      <c r="G1487" s="293" t="s">
        <v>5591</v>
      </c>
      <c r="H1487" s="294">
        <v>42947</v>
      </c>
      <c r="I1487" s="295">
        <v>-7695.19</v>
      </c>
    </row>
    <row r="1488" spans="1:9" x14ac:dyDescent="0.2">
      <c r="A1488" s="293" t="s">
        <v>7583</v>
      </c>
      <c r="B1488" s="293" t="s">
        <v>5666</v>
      </c>
      <c r="C1488" s="293" t="s">
        <v>6471</v>
      </c>
      <c r="D1488" s="293" t="s">
        <v>5859</v>
      </c>
      <c r="E1488" s="293" t="s">
        <v>6829</v>
      </c>
      <c r="F1488" s="293" t="s">
        <v>7570</v>
      </c>
      <c r="G1488" s="293" t="s">
        <v>5589</v>
      </c>
      <c r="H1488" s="294">
        <v>42947</v>
      </c>
      <c r="I1488" s="295">
        <v>-7123.53</v>
      </c>
    </row>
    <row r="1489" spans="1:9" x14ac:dyDescent="0.2">
      <c r="A1489" s="293" t="s">
        <v>7584</v>
      </c>
      <c r="B1489" s="293" t="s">
        <v>5666</v>
      </c>
      <c r="C1489" s="293" t="s">
        <v>6473</v>
      </c>
      <c r="D1489" s="293" t="s">
        <v>5859</v>
      </c>
      <c r="E1489" s="293" t="s">
        <v>6474</v>
      </c>
      <c r="F1489" s="293" t="s">
        <v>7570</v>
      </c>
      <c r="G1489" s="293" t="s">
        <v>5593</v>
      </c>
      <c r="H1489" s="294">
        <v>42947</v>
      </c>
      <c r="I1489" s="295">
        <v>-14668.67</v>
      </c>
    </row>
    <row r="1490" spans="1:9" x14ac:dyDescent="0.2">
      <c r="A1490" s="293" t="s">
        <v>7585</v>
      </c>
      <c r="B1490" s="293" t="s">
        <v>5666</v>
      </c>
      <c r="C1490" s="293" t="s">
        <v>6920</v>
      </c>
      <c r="D1490" s="293" t="s">
        <v>5859</v>
      </c>
      <c r="E1490" s="293" t="s">
        <v>6921</v>
      </c>
      <c r="F1490" s="293" t="s">
        <v>7570</v>
      </c>
      <c r="G1490" s="293" t="s">
        <v>5754</v>
      </c>
      <c r="H1490" s="294">
        <v>42947</v>
      </c>
      <c r="I1490" s="295">
        <v>-8710.42</v>
      </c>
    </row>
    <row r="1491" spans="1:9" x14ac:dyDescent="0.2">
      <c r="A1491" s="293" t="s">
        <v>7586</v>
      </c>
      <c r="B1491" s="293" t="s">
        <v>5666</v>
      </c>
      <c r="C1491" s="293" t="s">
        <v>7219</v>
      </c>
      <c r="D1491" s="293" t="s">
        <v>5859</v>
      </c>
      <c r="E1491" s="293" t="s">
        <v>7080</v>
      </c>
      <c r="F1491" s="293" t="s">
        <v>7570</v>
      </c>
      <c r="G1491" s="293" t="s">
        <v>5755</v>
      </c>
      <c r="H1491" s="294">
        <v>42947</v>
      </c>
      <c r="I1491" s="295">
        <v>-7028.09</v>
      </c>
    </row>
    <row r="1492" spans="1:9" x14ac:dyDescent="0.2">
      <c r="A1492" s="293" t="s">
        <v>7587</v>
      </c>
      <c r="B1492" s="293" t="s">
        <v>5666</v>
      </c>
      <c r="C1492" s="293" t="s">
        <v>6027</v>
      </c>
      <c r="D1492" s="293" t="s">
        <v>5859</v>
      </c>
      <c r="E1492" s="293" t="s">
        <v>6028</v>
      </c>
      <c r="F1492" s="293" t="s">
        <v>7588</v>
      </c>
      <c r="G1492" s="293" t="s">
        <v>5573</v>
      </c>
      <c r="H1492" s="294">
        <v>42978</v>
      </c>
      <c r="I1492" s="295">
        <v>-6400.96</v>
      </c>
    </row>
    <row r="1493" spans="1:9" x14ac:dyDescent="0.2">
      <c r="A1493" s="293" t="s">
        <v>7589</v>
      </c>
      <c r="B1493" s="293" t="s">
        <v>5666</v>
      </c>
      <c r="C1493" s="293" t="s">
        <v>6030</v>
      </c>
      <c r="D1493" s="293" t="s">
        <v>5859</v>
      </c>
      <c r="E1493" s="293" t="s">
        <v>6028</v>
      </c>
      <c r="F1493" s="293" t="s">
        <v>7588</v>
      </c>
      <c r="G1493" s="293" t="s">
        <v>5573</v>
      </c>
      <c r="H1493" s="294">
        <v>42978</v>
      </c>
      <c r="I1493" s="295">
        <v>-130.22</v>
      </c>
    </row>
    <row r="1494" spans="1:9" x14ac:dyDescent="0.2">
      <c r="A1494" s="293" t="s">
        <v>7590</v>
      </c>
      <c r="B1494" s="293" t="s">
        <v>5666</v>
      </c>
      <c r="C1494" s="293" t="s">
        <v>6032</v>
      </c>
      <c r="D1494" s="293" t="s">
        <v>5859</v>
      </c>
      <c r="E1494" s="293" t="s">
        <v>6033</v>
      </c>
      <c r="F1494" s="293" t="s">
        <v>7588</v>
      </c>
      <c r="G1494" s="293" t="s">
        <v>5585</v>
      </c>
      <c r="H1494" s="294">
        <v>42978</v>
      </c>
      <c r="I1494" s="295">
        <v>-6872.38</v>
      </c>
    </row>
    <row r="1495" spans="1:9" x14ac:dyDescent="0.2">
      <c r="A1495" s="293" t="s">
        <v>7591</v>
      </c>
      <c r="B1495" s="293" t="s">
        <v>5666</v>
      </c>
      <c r="C1495" s="293" t="s">
        <v>6035</v>
      </c>
      <c r="D1495" s="293" t="s">
        <v>5859</v>
      </c>
      <c r="E1495" s="293" t="s">
        <v>6033</v>
      </c>
      <c r="F1495" s="293" t="s">
        <v>7588</v>
      </c>
      <c r="G1495" s="293" t="s">
        <v>5585</v>
      </c>
      <c r="H1495" s="294">
        <v>42978</v>
      </c>
      <c r="I1495" s="295">
        <v>-4630.24</v>
      </c>
    </row>
    <row r="1496" spans="1:9" x14ac:dyDescent="0.2">
      <c r="A1496" s="293" t="s">
        <v>7592</v>
      </c>
      <c r="B1496" s="293" t="s">
        <v>5666</v>
      </c>
      <c r="C1496" s="293" t="s">
        <v>6037</v>
      </c>
      <c r="D1496" s="293" t="s">
        <v>5859</v>
      </c>
      <c r="E1496" s="293" t="s">
        <v>6038</v>
      </c>
      <c r="F1496" s="293" t="s">
        <v>7588</v>
      </c>
      <c r="G1496" s="293" t="s">
        <v>5586</v>
      </c>
      <c r="H1496" s="294">
        <v>42978</v>
      </c>
      <c r="I1496" s="295">
        <v>-3059.89</v>
      </c>
    </row>
    <row r="1497" spans="1:9" x14ac:dyDescent="0.2">
      <c r="A1497" s="293" t="s">
        <v>7593</v>
      </c>
      <c r="B1497" s="293" t="s">
        <v>5666</v>
      </c>
      <c r="C1497" s="293" t="s">
        <v>6040</v>
      </c>
      <c r="D1497" s="293" t="s">
        <v>5859</v>
      </c>
      <c r="E1497" s="293" t="s">
        <v>6041</v>
      </c>
      <c r="F1497" s="293" t="s">
        <v>7588</v>
      </c>
      <c r="G1497" s="293" t="s">
        <v>5581</v>
      </c>
      <c r="H1497" s="294">
        <v>42978</v>
      </c>
      <c r="I1497" s="295">
        <v>-8058.13</v>
      </c>
    </row>
    <row r="1498" spans="1:9" x14ac:dyDescent="0.2">
      <c r="A1498" s="293" t="s">
        <v>7594</v>
      </c>
      <c r="B1498" s="293" t="s">
        <v>5666</v>
      </c>
      <c r="C1498" s="293" t="s">
        <v>6052</v>
      </c>
      <c r="D1498" s="293" t="s">
        <v>5859</v>
      </c>
      <c r="E1498" s="293" t="s">
        <v>5817</v>
      </c>
      <c r="F1498" s="293" t="s">
        <v>7588</v>
      </c>
      <c r="G1498" s="293" t="s">
        <v>5577</v>
      </c>
      <c r="H1498" s="294">
        <v>42978</v>
      </c>
      <c r="I1498" s="295">
        <v>-7696.08</v>
      </c>
    </row>
    <row r="1499" spans="1:9" x14ac:dyDescent="0.2">
      <c r="A1499" s="293" t="s">
        <v>7595</v>
      </c>
      <c r="B1499" s="293" t="s">
        <v>5666</v>
      </c>
      <c r="C1499" s="293" t="s">
        <v>6054</v>
      </c>
      <c r="D1499" s="293" t="s">
        <v>5859</v>
      </c>
      <c r="E1499" s="293" t="s">
        <v>5817</v>
      </c>
      <c r="F1499" s="293" t="s">
        <v>7588</v>
      </c>
      <c r="G1499" s="293" t="s">
        <v>5577</v>
      </c>
      <c r="H1499" s="294">
        <v>42978</v>
      </c>
      <c r="I1499" s="295">
        <v>-3633.17</v>
      </c>
    </row>
    <row r="1500" spans="1:9" x14ac:dyDescent="0.2">
      <c r="A1500" s="293" t="s">
        <v>7596</v>
      </c>
      <c r="B1500" s="293" t="s">
        <v>5666</v>
      </c>
      <c r="C1500" s="293" t="s">
        <v>6056</v>
      </c>
      <c r="D1500" s="293" t="s">
        <v>5859</v>
      </c>
      <c r="E1500" s="293" t="s">
        <v>6057</v>
      </c>
      <c r="F1500" s="293" t="s">
        <v>7588</v>
      </c>
      <c r="G1500" s="293" t="s">
        <v>5578</v>
      </c>
      <c r="H1500" s="294">
        <v>42978</v>
      </c>
      <c r="I1500" s="295">
        <v>-4399.9399999999996</v>
      </c>
    </row>
    <row r="1501" spans="1:9" x14ac:dyDescent="0.2">
      <c r="A1501" s="293" t="s">
        <v>7597</v>
      </c>
      <c r="B1501" s="293" t="s">
        <v>5666</v>
      </c>
      <c r="C1501" s="293" t="s">
        <v>6062</v>
      </c>
      <c r="D1501" s="293" t="s">
        <v>5859</v>
      </c>
      <c r="E1501" s="293" t="s">
        <v>6063</v>
      </c>
      <c r="F1501" s="293" t="s">
        <v>7588</v>
      </c>
      <c r="G1501" s="293" t="s">
        <v>5579</v>
      </c>
      <c r="H1501" s="294">
        <v>42978</v>
      </c>
      <c r="I1501" s="295">
        <v>-2351.71</v>
      </c>
    </row>
    <row r="1502" spans="1:9" x14ac:dyDescent="0.2">
      <c r="A1502" s="293" t="s">
        <v>7598</v>
      </c>
      <c r="B1502" s="293" t="s">
        <v>5666</v>
      </c>
      <c r="C1502" s="293" t="s">
        <v>6065</v>
      </c>
      <c r="D1502" s="293" t="s">
        <v>5859</v>
      </c>
      <c r="E1502" s="293" t="s">
        <v>6063</v>
      </c>
      <c r="F1502" s="293" t="s">
        <v>7588</v>
      </c>
      <c r="G1502" s="293" t="s">
        <v>5579</v>
      </c>
      <c r="H1502" s="294">
        <v>42978</v>
      </c>
      <c r="I1502" s="295">
        <v>-63.12</v>
      </c>
    </row>
    <row r="1503" spans="1:9" x14ac:dyDescent="0.2">
      <c r="A1503" s="293" t="s">
        <v>7599</v>
      </c>
      <c r="B1503" s="293" t="s">
        <v>5666</v>
      </c>
      <c r="C1503" s="293" t="s">
        <v>6067</v>
      </c>
      <c r="D1503" s="293" t="s">
        <v>5859</v>
      </c>
      <c r="E1503" s="293" t="s">
        <v>5817</v>
      </c>
      <c r="F1503" s="293" t="s">
        <v>7588</v>
      </c>
      <c r="G1503" s="293" t="s">
        <v>5591</v>
      </c>
      <c r="H1503" s="294">
        <v>42978</v>
      </c>
      <c r="I1503" s="295">
        <v>-6308.36</v>
      </c>
    </row>
    <row r="1504" spans="1:9" x14ac:dyDescent="0.2">
      <c r="A1504" s="293" t="s">
        <v>7600</v>
      </c>
      <c r="B1504" s="293" t="s">
        <v>5666</v>
      </c>
      <c r="C1504" s="293" t="s">
        <v>6069</v>
      </c>
      <c r="D1504" s="293" t="s">
        <v>5859</v>
      </c>
      <c r="E1504" s="293" t="s">
        <v>5817</v>
      </c>
      <c r="F1504" s="293" t="s">
        <v>7588</v>
      </c>
      <c r="G1504" s="293" t="s">
        <v>5591</v>
      </c>
      <c r="H1504" s="294">
        <v>42978</v>
      </c>
      <c r="I1504" s="295">
        <v>-7695.19</v>
      </c>
    </row>
    <row r="1505" spans="1:9" x14ac:dyDescent="0.2">
      <c r="A1505" s="293" t="s">
        <v>7601</v>
      </c>
      <c r="B1505" s="293" t="s">
        <v>5666</v>
      </c>
      <c r="C1505" s="293" t="s">
        <v>6471</v>
      </c>
      <c r="D1505" s="293" t="s">
        <v>5859</v>
      </c>
      <c r="E1505" s="293" t="s">
        <v>6829</v>
      </c>
      <c r="F1505" s="293" t="s">
        <v>7588</v>
      </c>
      <c r="G1505" s="293" t="s">
        <v>5589</v>
      </c>
      <c r="H1505" s="294">
        <v>42978</v>
      </c>
      <c r="I1505" s="295">
        <v>-7123.53</v>
      </c>
    </row>
    <row r="1506" spans="1:9" x14ac:dyDescent="0.2">
      <c r="A1506" s="293" t="s">
        <v>7602</v>
      </c>
      <c r="B1506" s="293" t="s">
        <v>5666</v>
      </c>
      <c r="C1506" s="293" t="s">
        <v>6473</v>
      </c>
      <c r="D1506" s="293" t="s">
        <v>5859</v>
      </c>
      <c r="E1506" s="293" t="s">
        <v>6474</v>
      </c>
      <c r="F1506" s="293" t="s">
        <v>7588</v>
      </c>
      <c r="G1506" s="293" t="s">
        <v>5593</v>
      </c>
      <c r="H1506" s="294">
        <v>42978</v>
      </c>
      <c r="I1506" s="295">
        <v>-14668.67</v>
      </c>
    </row>
    <row r="1507" spans="1:9" x14ac:dyDescent="0.2">
      <c r="A1507" s="293" t="s">
        <v>7603</v>
      </c>
      <c r="B1507" s="293" t="s">
        <v>5666</v>
      </c>
      <c r="C1507" s="293" t="s">
        <v>6920</v>
      </c>
      <c r="D1507" s="293" t="s">
        <v>5859</v>
      </c>
      <c r="E1507" s="293" t="s">
        <v>6921</v>
      </c>
      <c r="F1507" s="293" t="s">
        <v>7588</v>
      </c>
      <c r="G1507" s="293" t="s">
        <v>5754</v>
      </c>
      <c r="H1507" s="294">
        <v>42978</v>
      </c>
      <c r="I1507" s="295">
        <v>-8710.42</v>
      </c>
    </row>
    <row r="1508" spans="1:9" x14ac:dyDescent="0.2">
      <c r="A1508" s="293" t="s">
        <v>7604</v>
      </c>
      <c r="B1508" s="293" t="s">
        <v>5666</v>
      </c>
      <c r="C1508" s="293" t="s">
        <v>7219</v>
      </c>
      <c r="D1508" s="293" t="s">
        <v>5859</v>
      </c>
      <c r="E1508" s="293" t="s">
        <v>7080</v>
      </c>
      <c r="F1508" s="293" t="s">
        <v>7588</v>
      </c>
      <c r="G1508" s="293" t="s">
        <v>5755</v>
      </c>
      <c r="H1508" s="294">
        <v>42978</v>
      </c>
      <c r="I1508" s="295">
        <v>-7028.09</v>
      </c>
    </row>
    <row r="1509" spans="1:9" x14ac:dyDescent="0.2">
      <c r="A1509" s="293" t="s">
        <v>7605</v>
      </c>
      <c r="B1509" s="293" t="s">
        <v>6010</v>
      </c>
      <c r="C1509" s="293" t="s">
        <v>7606</v>
      </c>
      <c r="D1509" s="293" t="s">
        <v>5859</v>
      </c>
      <c r="E1509" s="293" t="s">
        <v>5088</v>
      </c>
      <c r="F1509" s="293" t="s">
        <v>7607</v>
      </c>
      <c r="G1509" s="293" t="s">
        <v>5593</v>
      </c>
      <c r="H1509" s="294">
        <v>43004</v>
      </c>
      <c r="I1509" s="295">
        <v>3645</v>
      </c>
    </row>
    <row r="1510" spans="1:9" x14ac:dyDescent="0.2">
      <c r="A1510" s="293" t="s">
        <v>7608</v>
      </c>
      <c r="B1510" s="293" t="s">
        <v>5666</v>
      </c>
      <c r="C1510" s="293" t="s">
        <v>6027</v>
      </c>
      <c r="D1510" s="293" t="s">
        <v>5859</v>
      </c>
      <c r="E1510" s="293" t="s">
        <v>6028</v>
      </c>
      <c r="F1510" s="293" t="s">
        <v>7609</v>
      </c>
      <c r="G1510" s="293" t="s">
        <v>5573</v>
      </c>
      <c r="H1510" s="294">
        <v>43008</v>
      </c>
      <c r="I1510" s="295">
        <v>-6400.96</v>
      </c>
    </row>
    <row r="1511" spans="1:9" x14ac:dyDescent="0.2">
      <c r="A1511" s="293" t="s">
        <v>7610</v>
      </c>
      <c r="B1511" s="293" t="s">
        <v>5666</v>
      </c>
      <c r="C1511" s="293" t="s">
        <v>6030</v>
      </c>
      <c r="D1511" s="293" t="s">
        <v>5859</v>
      </c>
      <c r="E1511" s="293" t="s">
        <v>6028</v>
      </c>
      <c r="F1511" s="293" t="s">
        <v>7609</v>
      </c>
      <c r="G1511" s="293" t="s">
        <v>5573</v>
      </c>
      <c r="H1511" s="294">
        <v>43008</v>
      </c>
      <c r="I1511" s="295">
        <v>-130.22</v>
      </c>
    </row>
    <row r="1512" spans="1:9" x14ac:dyDescent="0.2">
      <c r="A1512" s="293" t="s">
        <v>7611</v>
      </c>
      <c r="B1512" s="293" t="s">
        <v>5666</v>
      </c>
      <c r="C1512" s="293" t="s">
        <v>6032</v>
      </c>
      <c r="D1512" s="293" t="s">
        <v>5859</v>
      </c>
      <c r="E1512" s="293" t="s">
        <v>6033</v>
      </c>
      <c r="F1512" s="293" t="s">
        <v>7609</v>
      </c>
      <c r="G1512" s="293" t="s">
        <v>5585</v>
      </c>
      <c r="H1512" s="294">
        <v>43008</v>
      </c>
      <c r="I1512" s="295">
        <v>-6872.38</v>
      </c>
    </row>
    <row r="1513" spans="1:9" x14ac:dyDescent="0.2">
      <c r="A1513" s="293" t="s">
        <v>7612</v>
      </c>
      <c r="B1513" s="293" t="s">
        <v>5666</v>
      </c>
      <c r="C1513" s="293" t="s">
        <v>6035</v>
      </c>
      <c r="D1513" s="293" t="s">
        <v>5859</v>
      </c>
      <c r="E1513" s="293" t="s">
        <v>6033</v>
      </c>
      <c r="F1513" s="293" t="s">
        <v>7609</v>
      </c>
      <c r="G1513" s="293" t="s">
        <v>5585</v>
      </c>
      <c r="H1513" s="294">
        <v>43008</v>
      </c>
      <c r="I1513" s="295">
        <v>-4630.24</v>
      </c>
    </row>
    <row r="1514" spans="1:9" x14ac:dyDescent="0.2">
      <c r="A1514" s="293" t="s">
        <v>7613</v>
      </c>
      <c r="B1514" s="293" t="s">
        <v>5666</v>
      </c>
      <c r="C1514" s="293" t="s">
        <v>6037</v>
      </c>
      <c r="D1514" s="293" t="s">
        <v>5859</v>
      </c>
      <c r="E1514" s="293" t="s">
        <v>6038</v>
      </c>
      <c r="F1514" s="293" t="s">
        <v>7609</v>
      </c>
      <c r="G1514" s="293" t="s">
        <v>5586</v>
      </c>
      <c r="H1514" s="294">
        <v>43008</v>
      </c>
      <c r="I1514" s="295">
        <v>-3059.89</v>
      </c>
    </row>
    <row r="1515" spans="1:9" x14ac:dyDescent="0.2">
      <c r="A1515" s="293" t="s">
        <v>7614</v>
      </c>
      <c r="B1515" s="293" t="s">
        <v>5666</v>
      </c>
      <c r="C1515" s="293" t="s">
        <v>6040</v>
      </c>
      <c r="D1515" s="293" t="s">
        <v>5859</v>
      </c>
      <c r="E1515" s="293" t="s">
        <v>6041</v>
      </c>
      <c r="F1515" s="293" t="s">
        <v>7609</v>
      </c>
      <c r="G1515" s="293" t="s">
        <v>5581</v>
      </c>
      <c r="H1515" s="294">
        <v>43008</v>
      </c>
      <c r="I1515" s="295">
        <v>-8058.13</v>
      </c>
    </row>
    <row r="1516" spans="1:9" x14ac:dyDescent="0.2">
      <c r="A1516" s="293" t="s">
        <v>7615</v>
      </c>
      <c r="B1516" s="293" t="s">
        <v>5666</v>
      </c>
      <c r="C1516" s="293" t="s">
        <v>6052</v>
      </c>
      <c r="D1516" s="293" t="s">
        <v>5859</v>
      </c>
      <c r="E1516" s="293" t="s">
        <v>5817</v>
      </c>
      <c r="F1516" s="293" t="s">
        <v>7609</v>
      </c>
      <c r="G1516" s="293" t="s">
        <v>5577</v>
      </c>
      <c r="H1516" s="294">
        <v>43008</v>
      </c>
      <c r="I1516" s="295">
        <v>-7696.08</v>
      </c>
    </row>
    <row r="1517" spans="1:9" x14ac:dyDescent="0.2">
      <c r="A1517" s="293" t="s">
        <v>7616</v>
      </c>
      <c r="B1517" s="293" t="s">
        <v>5666</v>
      </c>
      <c r="C1517" s="293" t="s">
        <v>6054</v>
      </c>
      <c r="D1517" s="293" t="s">
        <v>5859</v>
      </c>
      <c r="E1517" s="293" t="s">
        <v>5817</v>
      </c>
      <c r="F1517" s="293" t="s">
        <v>7609</v>
      </c>
      <c r="G1517" s="293" t="s">
        <v>5577</v>
      </c>
      <c r="H1517" s="294">
        <v>43008</v>
      </c>
      <c r="I1517" s="295">
        <v>-3633.17</v>
      </c>
    </row>
    <row r="1518" spans="1:9" x14ac:dyDescent="0.2">
      <c r="A1518" s="293" t="s">
        <v>7617</v>
      </c>
      <c r="B1518" s="293" t="s">
        <v>5666</v>
      </c>
      <c r="C1518" s="293" t="s">
        <v>6056</v>
      </c>
      <c r="D1518" s="293" t="s">
        <v>5859</v>
      </c>
      <c r="E1518" s="293" t="s">
        <v>6057</v>
      </c>
      <c r="F1518" s="293" t="s">
        <v>7609</v>
      </c>
      <c r="G1518" s="293" t="s">
        <v>5578</v>
      </c>
      <c r="H1518" s="294">
        <v>43008</v>
      </c>
      <c r="I1518" s="295">
        <v>-4399.9399999999996</v>
      </c>
    </row>
    <row r="1519" spans="1:9" x14ac:dyDescent="0.2">
      <c r="A1519" s="293" t="s">
        <v>7618</v>
      </c>
      <c r="B1519" s="293" t="s">
        <v>5666</v>
      </c>
      <c r="C1519" s="293" t="s">
        <v>6062</v>
      </c>
      <c r="D1519" s="293" t="s">
        <v>5859</v>
      </c>
      <c r="E1519" s="293" t="s">
        <v>6063</v>
      </c>
      <c r="F1519" s="293" t="s">
        <v>7609</v>
      </c>
      <c r="G1519" s="293" t="s">
        <v>5579</v>
      </c>
      <c r="H1519" s="294">
        <v>43008</v>
      </c>
      <c r="I1519" s="295">
        <v>-2351.71</v>
      </c>
    </row>
    <row r="1520" spans="1:9" x14ac:dyDescent="0.2">
      <c r="A1520" s="293" t="s">
        <v>7619</v>
      </c>
      <c r="B1520" s="293" t="s">
        <v>5666</v>
      </c>
      <c r="C1520" s="293" t="s">
        <v>6065</v>
      </c>
      <c r="D1520" s="293" t="s">
        <v>5859</v>
      </c>
      <c r="E1520" s="293" t="s">
        <v>6063</v>
      </c>
      <c r="F1520" s="293" t="s">
        <v>7609</v>
      </c>
      <c r="G1520" s="293" t="s">
        <v>5579</v>
      </c>
      <c r="H1520" s="294">
        <v>43008</v>
      </c>
      <c r="I1520" s="295">
        <v>-63.12</v>
      </c>
    </row>
    <row r="1521" spans="1:9" x14ac:dyDescent="0.2">
      <c r="A1521" s="293" t="s">
        <v>7620</v>
      </c>
      <c r="B1521" s="293" t="s">
        <v>5666</v>
      </c>
      <c r="C1521" s="293" t="s">
        <v>6067</v>
      </c>
      <c r="D1521" s="293" t="s">
        <v>5859</v>
      </c>
      <c r="E1521" s="293" t="s">
        <v>5817</v>
      </c>
      <c r="F1521" s="293" t="s">
        <v>7609</v>
      </c>
      <c r="G1521" s="293" t="s">
        <v>5591</v>
      </c>
      <c r="H1521" s="294">
        <v>43008</v>
      </c>
      <c r="I1521" s="295">
        <v>-6308.36</v>
      </c>
    </row>
    <row r="1522" spans="1:9" x14ac:dyDescent="0.2">
      <c r="A1522" s="293" t="s">
        <v>7621</v>
      </c>
      <c r="B1522" s="293" t="s">
        <v>5666</v>
      </c>
      <c r="C1522" s="293" t="s">
        <v>6069</v>
      </c>
      <c r="D1522" s="293" t="s">
        <v>5859</v>
      </c>
      <c r="E1522" s="293" t="s">
        <v>5817</v>
      </c>
      <c r="F1522" s="293" t="s">
        <v>7609</v>
      </c>
      <c r="G1522" s="293" t="s">
        <v>5591</v>
      </c>
      <c r="H1522" s="294">
        <v>43008</v>
      </c>
      <c r="I1522" s="295">
        <v>-7695.19</v>
      </c>
    </row>
    <row r="1523" spans="1:9" x14ac:dyDescent="0.2">
      <c r="A1523" s="293" t="s">
        <v>7622</v>
      </c>
      <c r="B1523" s="293" t="s">
        <v>5666</v>
      </c>
      <c r="C1523" s="293" t="s">
        <v>6471</v>
      </c>
      <c r="D1523" s="293" t="s">
        <v>5859</v>
      </c>
      <c r="E1523" s="293" t="s">
        <v>6829</v>
      </c>
      <c r="F1523" s="293" t="s">
        <v>7609</v>
      </c>
      <c r="G1523" s="293" t="s">
        <v>5589</v>
      </c>
      <c r="H1523" s="294">
        <v>43008</v>
      </c>
      <c r="I1523" s="295">
        <v>-7123.53</v>
      </c>
    </row>
    <row r="1524" spans="1:9" x14ac:dyDescent="0.2">
      <c r="A1524" s="293" t="s">
        <v>7623</v>
      </c>
      <c r="B1524" s="293" t="s">
        <v>5666</v>
      </c>
      <c r="C1524" s="293" t="s">
        <v>6473</v>
      </c>
      <c r="D1524" s="293" t="s">
        <v>5859</v>
      </c>
      <c r="E1524" s="293" t="s">
        <v>6474</v>
      </c>
      <c r="F1524" s="293" t="s">
        <v>7609</v>
      </c>
      <c r="G1524" s="293" t="s">
        <v>5593</v>
      </c>
      <c r="H1524" s="294">
        <v>43008</v>
      </c>
      <c r="I1524" s="295">
        <v>-14668.67</v>
      </c>
    </row>
    <row r="1525" spans="1:9" x14ac:dyDescent="0.2">
      <c r="A1525" s="293" t="s">
        <v>7624</v>
      </c>
      <c r="B1525" s="293" t="s">
        <v>5666</v>
      </c>
      <c r="C1525" s="293" t="s">
        <v>6920</v>
      </c>
      <c r="D1525" s="293" t="s">
        <v>5859</v>
      </c>
      <c r="E1525" s="293" t="s">
        <v>6921</v>
      </c>
      <c r="F1525" s="293" t="s">
        <v>7609</v>
      </c>
      <c r="G1525" s="293" t="s">
        <v>5754</v>
      </c>
      <c r="H1525" s="294">
        <v>43008</v>
      </c>
      <c r="I1525" s="295">
        <v>-8710.42</v>
      </c>
    </row>
    <row r="1526" spans="1:9" x14ac:dyDescent="0.2">
      <c r="A1526" s="293" t="s">
        <v>7625</v>
      </c>
      <c r="B1526" s="293" t="s">
        <v>5666</v>
      </c>
      <c r="C1526" s="293" t="s">
        <v>7219</v>
      </c>
      <c r="D1526" s="293" t="s">
        <v>5859</v>
      </c>
      <c r="E1526" s="293" t="s">
        <v>7080</v>
      </c>
      <c r="F1526" s="293" t="s">
        <v>7609</v>
      </c>
      <c r="G1526" s="293" t="s">
        <v>5755</v>
      </c>
      <c r="H1526" s="294">
        <v>43008</v>
      </c>
      <c r="I1526" s="295">
        <v>-7028.09</v>
      </c>
    </row>
    <row r="1527" spans="1:9" x14ac:dyDescent="0.2">
      <c r="A1527" s="293" t="s">
        <v>7626</v>
      </c>
      <c r="B1527" s="293" t="s">
        <v>6010</v>
      </c>
      <c r="C1527" s="293" t="s">
        <v>7079</v>
      </c>
      <c r="D1527" s="293" t="s">
        <v>5859</v>
      </c>
      <c r="E1527" s="293" t="s">
        <v>6075</v>
      </c>
      <c r="F1527" s="293" t="s">
        <v>7609</v>
      </c>
      <c r="G1527" s="293" t="s">
        <v>5593</v>
      </c>
      <c r="H1527" s="294">
        <v>43008</v>
      </c>
      <c r="I1527" s="295">
        <v>-3645</v>
      </c>
    </row>
    <row r="1528" spans="1:9" x14ac:dyDescent="0.2">
      <c r="A1528" s="293" t="s">
        <v>7627</v>
      </c>
      <c r="B1528" s="293" t="s">
        <v>5666</v>
      </c>
      <c r="C1528" s="293" t="s">
        <v>6027</v>
      </c>
      <c r="D1528" s="293" t="s">
        <v>5859</v>
      </c>
      <c r="E1528" s="293" t="s">
        <v>6028</v>
      </c>
      <c r="F1528" s="293" t="s">
        <v>7628</v>
      </c>
      <c r="G1528" s="293" t="s">
        <v>5573</v>
      </c>
      <c r="H1528" s="294">
        <v>43039</v>
      </c>
      <c r="I1528" s="295">
        <v>-6400.96</v>
      </c>
    </row>
    <row r="1529" spans="1:9" x14ac:dyDescent="0.2">
      <c r="A1529" s="293" t="s">
        <v>7629</v>
      </c>
      <c r="B1529" s="293" t="s">
        <v>5666</v>
      </c>
      <c r="C1529" s="293" t="s">
        <v>6030</v>
      </c>
      <c r="D1529" s="293" t="s">
        <v>5859</v>
      </c>
      <c r="E1529" s="293" t="s">
        <v>6028</v>
      </c>
      <c r="F1529" s="293" t="s">
        <v>7628</v>
      </c>
      <c r="G1529" s="293" t="s">
        <v>5573</v>
      </c>
      <c r="H1529" s="294">
        <v>43039</v>
      </c>
      <c r="I1529" s="295">
        <v>-130.22</v>
      </c>
    </row>
    <row r="1530" spans="1:9" x14ac:dyDescent="0.2">
      <c r="A1530" s="293" t="s">
        <v>7630</v>
      </c>
      <c r="B1530" s="293" t="s">
        <v>5666</v>
      </c>
      <c r="C1530" s="293" t="s">
        <v>6032</v>
      </c>
      <c r="D1530" s="293" t="s">
        <v>5859</v>
      </c>
      <c r="E1530" s="293" t="s">
        <v>6033</v>
      </c>
      <c r="F1530" s="293" t="s">
        <v>7628</v>
      </c>
      <c r="G1530" s="293" t="s">
        <v>5585</v>
      </c>
      <c r="H1530" s="294">
        <v>43039</v>
      </c>
      <c r="I1530" s="295">
        <v>-6872.38</v>
      </c>
    </row>
    <row r="1531" spans="1:9" x14ac:dyDescent="0.2">
      <c r="A1531" s="293" t="s">
        <v>7631</v>
      </c>
      <c r="B1531" s="293" t="s">
        <v>5666</v>
      </c>
      <c r="C1531" s="293" t="s">
        <v>6035</v>
      </c>
      <c r="D1531" s="293" t="s">
        <v>5859</v>
      </c>
      <c r="E1531" s="293" t="s">
        <v>6033</v>
      </c>
      <c r="F1531" s="293" t="s">
        <v>7628</v>
      </c>
      <c r="G1531" s="293" t="s">
        <v>5585</v>
      </c>
      <c r="H1531" s="294">
        <v>43039</v>
      </c>
      <c r="I1531" s="295">
        <v>-4630.24</v>
      </c>
    </row>
    <row r="1532" spans="1:9" x14ac:dyDescent="0.2">
      <c r="A1532" s="293" t="s">
        <v>7632</v>
      </c>
      <c r="B1532" s="293" t="s">
        <v>5666</v>
      </c>
      <c r="C1532" s="293" t="s">
        <v>6037</v>
      </c>
      <c r="D1532" s="293" t="s">
        <v>5859</v>
      </c>
      <c r="E1532" s="293" t="s">
        <v>6038</v>
      </c>
      <c r="F1532" s="293" t="s">
        <v>7628</v>
      </c>
      <c r="G1532" s="293" t="s">
        <v>5586</v>
      </c>
      <c r="H1532" s="294">
        <v>43039</v>
      </c>
      <c r="I1532" s="295">
        <v>-3059.89</v>
      </c>
    </row>
    <row r="1533" spans="1:9" x14ac:dyDescent="0.2">
      <c r="A1533" s="293" t="s">
        <v>7633</v>
      </c>
      <c r="B1533" s="293" t="s">
        <v>5666</v>
      </c>
      <c r="C1533" s="293" t="s">
        <v>6040</v>
      </c>
      <c r="D1533" s="293" t="s">
        <v>5859</v>
      </c>
      <c r="E1533" s="293" t="s">
        <v>6041</v>
      </c>
      <c r="F1533" s="293" t="s">
        <v>7628</v>
      </c>
      <c r="G1533" s="293" t="s">
        <v>5581</v>
      </c>
      <c r="H1533" s="294">
        <v>43039</v>
      </c>
      <c r="I1533" s="295">
        <v>-8058.13</v>
      </c>
    </row>
    <row r="1534" spans="1:9" x14ac:dyDescent="0.2">
      <c r="A1534" s="293" t="s">
        <v>7634</v>
      </c>
      <c r="B1534" s="293" t="s">
        <v>5666</v>
      </c>
      <c r="C1534" s="293" t="s">
        <v>6052</v>
      </c>
      <c r="D1534" s="293" t="s">
        <v>5859</v>
      </c>
      <c r="E1534" s="293" t="s">
        <v>5817</v>
      </c>
      <c r="F1534" s="293" t="s">
        <v>7628</v>
      </c>
      <c r="G1534" s="293" t="s">
        <v>5577</v>
      </c>
      <c r="H1534" s="294">
        <v>43039</v>
      </c>
      <c r="I1534" s="295">
        <v>-7696.08</v>
      </c>
    </row>
    <row r="1535" spans="1:9" x14ac:dyDescent="0.2">
      <c r="A1535" s="293" t="s">
        <v>7635</v>
      </c>
      <c r="B1535" s="293" t="s">
        <v>5666</v>
      </c>
      <c r="C1535" s="293" t="s">
        <v>6054</v>
      </c>
      <c r="D1535" s="293" t="s">
        <v>5859</v>
      </c>
      <c r="E1535" s="293" t="s">
        <v>5817</v>
      </c>
      <c r="F1535" s="293" t="s">
        <v>7628</v>
      </c>
      <c r="G1535" s="293" t="s">
        <v>5577</v>
      </c>
      <c r="H1535" s="294">
        <v>43039</v>
      </c>
      <c r="I1535" s="295">
        <v>-3633.17</v>
      </c>
    </row>
    <row r="1536" spans="1:9" x14ac:dyDescent="0.2">
      <c r="A1536" s="293" t="s">
        <v>7636</v>
      </c>
      <c r="B1536" s="293" t="s">
        <v>5666</v>
      </c>
      <c r="C1536" s="293" t="s">
        <v>6056</v>
      </c>
      <c r="D1536" s="293" t="s">
        <v>5859</v>
      </c>
      <c r="E1536" s="293" t="s">
        <v>6057</v>
      </c>
      <c r="F1536" s="293" t="s">
        <v>7628</v>
      </c>
      <c r="G1536" s="293" t="s">
        <v>5578</v>
      </c>
      <c r="H1536" s="294">
        <v>43039</v>
      </c>
      <c r="I1536" s="295">
        <v>-4399.9399999999996</v>
      </c>
    </row>
    <row r="1537" spans="1:9" x14ac:dyDescent="0.2">
      <c r="A1537" s="293" t="s">
        <v>7637</v>
      </c>
      <c r="B1537" s="293" t="s">
        <v>5666</v>
      </c>
      <c r="C1537" s="293" t="s">
        <v>6062</v>
      </c>
      <c r="D1537" s="293" t="s">
        <v>5859</v>
      </c>
      <c r="E1537" s="293" t="s">
        <v>6063</v>
      </c>
      <c r="F1537" s="293" t="s">
        <v>7628</v>
      </c>
      <c r="G1537" s="293" t="s">
        <v>5579</v>
      </c>
      <c r="H1537" s="294">
        <v>43039</v>
      </c>
      <c r="I1537" s="295">
        <v>-2351.71</v>
      </c>
    </row>
    <row r="1538" spans="1:9" x14ac:dyDescent="0.2">
      <c r="A1538" s="293" t="s">
        <v>7638</v>
      </c>
      <c r="B1538" s="293" t="s">
        <v>5666</v>
      </c>
      <c r="C1538" s="293" t="s">
        <v>6065</v>
      </c>
      <c r="D1538" s="293" t="s">
        <v>5859</v>
      </c>
      <c r="E1538" s="293" t="s">
        <v>6063</v>
      </c>
      <c r="F1538" s="293" t="s">
        <v>7628</v>
      </c>
      <c r="G1538" s="293" t="s">
        <v>5579</v>
      </c>
      <c r="H1538" s="294">
        <v>43039</v>
      </c>
      <c r="I1538" s="295">
        <v>-63.12</v>
      </c>
    </row>
    <row r="1539" spans="1:9" x14ac:dyDescent="0.2">
      <c r="A1539" s="293" t="s">
        <v>7639</v>
      </c>
      <c r="B1539" s="293" t="s">
        <v>5666</v>
      </c>
      <c r="C1539" s="293" t="s">
        <v>6067</v>
      </c>
      <c r="D1539" s="293" t="s">
        <v>5859</v>
      </c>
      <c r="E1539" s="293" t="s">
        <v>5817</v>
      </c>
      <c r="F1539" s="293" t="s">
        <v>7628</v>
      </c>
      <c r="G1539" s="293" t="s">
        <v>5591</v>
      </c>
      <c r="H1539" s="294">
        <v>43039</v>
      </c>
      <c r="I1539" s="295">
        <v>-6308.36</v>
      </c>
    </row>
    <row r="1540" spans="1:9" x14ac:dyDescent="0.2">
      <c r="A1540" s="293" t="s">
        <v>7640</v>
      </c>
      <c r="B1540" s="293" t="s">
        <v>5666</v>
      </c>
      <c r="C1540" s="293" t="s">
        <v>6069</v>
      </c>
      <c r="D1540" s="293" t="s">
        <v>5859</v>
      </c>
      <c r="E1540" s="293" t="s">
        <v>5817</v>
      </c>
      <c r="F1540" s="293" t="s">
        <v>7628</v>
      </c>
      <c r="G1540" s="293" t="s">
        <v>5591</v>
      </c>
      <c r="H1540" s="294">
        <v>43039</v>
      </c>
      <c r="I1540" s="295">
        <v>-7695.19</v>
      </c>
    </row>
    <row r="1541" spans="1:9" x14ac:dyDescent="0.2">
      <c r="A1541" s="293" t="s">
        <v>7641</v>
      </c>
      <c r="B1541" s="293" t="s">
        <v>5666</v>
      </c>
      <c r="C1541" s="293" t="s">
        <v>6471</v>
      </c>
      <c r="D1541" s="293" t="s">
        <v>5859</v>
      </c>
      <c r="E1541" s="293" t="s">
        <v>6829</v>
      </c>
      <c r="F1541" s="293" t="s">
        <v>7628</v>
      </c>
      <c r="G1541" s="293" t="s">
        <v>5589</v>
      </c>
      <c r="H1541" s="294">
        <v>43039</v>
      </c>
      <c r="I1541" s="295">
        <v>-7123.53</v>
      </c>
    </row>
    <row r="1542" spans="1:9" x14ac:dyDescent="0.2">
      <c r="A1542" s="293" t="s">
        <v>7642</v>
      </c>
      <c r="B1542" s="293" t="s">
        <v>5666</v>
      </c>
      <c r="C1542" s="293" t="s">
        <v>6473</v>
      </c>
      <c r="D1542" s="293" t="s">
        <v>5859</v>
      </c>
      <c r="E1542" s="293" t="s">
        <v>6474</v>
      </c>
      <c r="F1542" s="293" t="s">
        <v>7628</v>
      </c>
      <c r="G1542" s="293" t="s">
        <v>5593</v>
      </c>
      <c r="H1542" s="294">
        <v>43039</v>
      </c>
      <c r="I1542" s="295">
        <v>-14668.67</v>
      </c>
    </row>
    <row r="1543" spans="1:9" x14ac:dyDescent="0.2">
      <c r="A1543" s="293" t="s">
        <v>7643</v>
      </c>
      <c r="B1543" s="293" t="s">
        <v>5666</v>
      </c>
      <c r="C1543" s="293" t="s">
        <v>6920</v>
      </c>
      <c r="D1543" s="293" t="s">
        <v>5859</v>
      </c>
      <c r="E1543" s="293" t="s">
        <v>6921</v>
      </c>
      <c r="F1543" s="293" t="s">
        <v>7628</v>
      </c>
      <c r="G1543" s="293" t="s">
        <v>5754</v>
      </c>
      <c r="H1543" s="294">
        <v>43039</v>
      </c>
      <c r="I1543" s="295">
        <v>-8710.42</v>
      </c>
    </row>
    <row r="1544" spans="1:9" x14ac:dyDescent="0.2">
      <c r="A1544" s="293" t="s">
        <v>7644</v>
      </c>
      <c r="B1544" s="293" t="s">
        <v>5666</v>
      </c>
      <c r="C1544" s="293" t="s">
        <v>7219</v>
      </c>
      <c r="D1544" s="293" t="s">
        <v>5859</v>
      </c>
      <c r="E1544" s="293" t="s">
        <v>7080</v>
      </c>
      <c r="F1544" s="293" t="s">
        <v>7628</v>
      </c>
      <c r="G1544" s="293" t="s">
        <v>5755</v>
      </c>
      <c r="H1544" s="294">
        <v>43039</v>
      </c>
      <c r="I1544" s="295">
        <v>-7028.09</v>
      </c>
    </row>
    <row r="1545" spans="1:9" x14ac:dyDescent="0.2">
      <c r="A1545" s="293" t="s">
        <v>7645</v>
      </c>
      <c r="B1545" s="293" t="s">
        <v>5666</v>
      </c>
      <c r="C1545" s="293" t="s">
        <v>6027</v>
      </c>
      <c r="D1545" s="293" t="s">
        <v>5859</v>
      </c>
      <c r="E1545" s="293" t="s">
        <v>6028</v>
      </c>
      <c r="F1545" s="293" t="s">
        <v>7646</v>
      </c>
      <c r="G1545" s="293" t="s">
        <v>5573</v>
      </c>
      <c r="H1545" s="294">
        <v>43069</v>
      </c>
      <c r="I1545" s="295">
        <v>-6400.96</v>
      </c>
    </row>
    <row r="1546" spans="1:9" x14ac:dyDescent="0.2">
      <c r="A1546" s="293" t="s">
        <v>7647</v>
      </c>
      <c r="B1546" s="293" t="s">
        <v>5666</v>
      </c>
      <c r="C1546" s="293" t="s">
        <v>6030</v>
      </c>
      <c r="D1546" s="293" t="s">
        <v>5859</v>
      </c>
      <c r="E1546" s="293" t="s">
        <v>6028</v>
      </c>
      <c r="F1546" s="293" t="s">
        <v>7646</v>
      </c>
      <c r="G1546" s="293" t="s">
        <v>5573</v>
      </c>
      <c r="H1546" s="294">
        <v>43069</v>
      </c>
      <c r="I1546" s="295">
        <v>-130.22</v>
      </c>
    </row>
    <row r="1547" spans="1:9" x14ac:dyDescent="0.2">
      <c r="A1547" s="293" t="s">
        <v>7648</v>
      </c>
      <c r="B1547" s="293" t="s">
        <v>5666</v>
      </c>
      <c r="C1547" s="293" t="s">
        <v>6032</v>
      </c>
      <c r="D1547" s="293" t="s">
        <v>5859</v>
      </c>
      <c r="E1547" s="293" t="s">
        <v>6033</v>
      </c>
      <c r="F1547" s="293" t="s">
        <v>7646</v>
      </c>
      <c r="G1547" s="293" t="s">
        <v>5585</v>
      </c>
      <c r="H1547" s="294">
        <v>43069</v>
      </c>
      <c r="I1547" s="295">
        <v>-6872.38</v>
      </c>
    </row>
    <row r="1548" spans="1:9" x14ac:dyDescent="0.2">
      <c r="A1548" s="293" t="s">
        <v>7649</v>
      </c>
      <c r="B1548" s="293" t="s">
        <v>5666</v>
      </c>
      <c r="C1548" s="293" t="s">
        <v>6035</v>
      </c>
      <c r="D1548" s="293" t="s">
        <v>5859</v>
      </c>
      <c r="E1548" s="293" t="s">
        <v>6033</v>
      </c>
      <c r="F1548" s="293" t="s">
        <v>7646</v>
      </c>
      <c r="G1548" s="293" t="s">
        <v>5585</v>
      </c>
      <c r="H1548" s="294">
        <v>43069</v>
      </c>
      <c r="I1548" s="295">
        <v>-4630.24</v>
      </c>
    </row>
    <row r="1549" spans="1:9" x14ac:dyDescent="0.2">
      <c r="A1549" s="293" t="s">
        <v>7650</v>
      </c>
      <c r="B1549" s="293" t="s">
        <v>5666</v>
      </c>
      <c r="C1549" s="293" t="s">
        <v>6037</v>
      </c>
      <c r="D1549" s="293" t="s">
        <v>5859</v>
      </c>
      <c r="E1549" s="293" t="s">
        <v>6038</v>
      </c>
      <c r="F1549" s="293" t="s">
        <v>7646</v>
      </c>
      <c r="G1549" s="293" t="s">
        <v>5586</v>
      </c>
      <c r="H1549" s="294">
        <v>43069</v>
      </c>
      <c r="I1549" s="295">
        <v>-3059.89</v>
      </c>
    </row>
    <row r="1550" spans="1:9" x14ac:dyDescent="0.2">
      <c r="A1550" s="293" t="s">
        <v>7651</v>
      </c>
      <c r="B1550" s="293" t="s">
        <v>5666</v>
      </c>
      <c r="C1550" s="293" t="s">
        <v>6040</v>
      </c>
      <c r="D1550" s="293" t="s">
        <v>5859</v>
      </c>
      <c r="E1550" s="293" t="s">
        <v>6041</v>
      </c>
      <c r="F1550" s="293" t="s">
        <v>7646</v>
      </c>
      <c r="G1550" s="293" t="s">
        <v>5581</v>
      </c>
      <c r="H1550" s="294">
        <v>43069</v>
      </c>
      <c r="I1550" s="295">
        <v>-8058.13</v>
      </c>
    </row>
    <row r="1551" spans="1:9" x14ac:dyDescent="0.2">
      <c r="A1551" s="293" t="s">
        <v>7652</v>
      </c>
      <c r="B1551" s="293" t="s">
        <v>5666</v>
      </c>
      <c r="C1551" s="293" t="s">
        <v>6052</v>
      </c>
      <c r="D1551" s="293" t="s">
        <v>5859</v>
      </c>
      <c r="E1551" s="293" t="s">
        <v>5817</v>
      </c>
      <c r="F1551" s="293" t="s">
        <v>7646</v>
      </c>
      <c r="G1551" s="293" t="s">
        <v>5577</v>
      </c>
      <c r="H1551" s="294">
        <v>43069</v>
      </c>
      <c r="I1551" s="295">
        <v>-7696.08</v>
      </c>
    </row>
    <row r="1552" spans="1:9" x14ac:dyDescent="0.2">
      <c r="A1552" s="293" t="s">
        <v>7653</v>
      </c>
      <c r="B1552" s="293" t="s">
        <v>5666</v>
      </c>
      <c r="C1552" s="293" t="s">
        <v>6054</v>
      </c>
      <c r="D1552" s="293" t="s">
        <v>5859</v>
      </c>
      <c r="E1552" s="293" t="s">
        <v>5817</v>
      </c>
      <c r="F1552" s="293" t="s">
        <v>7646</v>
      </c>
      <c r="G1552" s="293" t="s">
        <v>5577</v>
      </c>
      <c r="H1552" s="294">
        <v>43069</v>
      </c>
      <c r="I1552" s="295">
        <v>-3633.17</v>
      </c>
    </row>
    <row r="1553" spans="1:9" x14ac:dyDescent="0.2">
      <c r="A1553" s="293" t="s">
        <v>7654</v>
      </c>
      <c r="B1553" s="293" t="s">
        <v>5666</v>
      </c>
      <c r="C1553" s="293" t="s">
        <v>6056</v>
      </c>
      <c r="D1553" s="293" t="s">
        <v>5859</v>
      </c>
      <c r="E1553" s="293" t="s">
        <v>6057</v>
      </c>
      <c r="F1553" s="293" t="s">
        <v>7646</v>
      </c>
      <c r="G1553" s="293" t="s">
        <v>5578</v>
      </c>
      <c r="H1553" s="294">
        <v>43069</v>
      </c>
      <c r="I1553" s="295">
        <v>-4399.9399999999996</v>
      </c>
    </row>
    <row r="1554" spans="1:9" x14ac:dyDescent="0.2">
      <c r="A1554" s="293" t="s">
        <v>7655</v>
      </c>
      <c r="B1554" s="293" t="s">
        <v>5666</v>
      </c>
      <c r="C1554" s="293" t="s">
        <v>6062</v>
      </c>
      <c r="D1554" s="293" t="s">
        <v>5859</v>
      </c>
      <c r="E1554" s="293" t="s">
        <v>6063</v>
      </c>
      <c r="F1554" s="293" t="s">
        <v>7646</v>
      </c>
      <c r="G1554" s="293" t="s">
        <v>5579</v>
      </c>
      <c r="H1554" s="294">
        <v>43069</v>
      </c>
      <c r="I1554" s="295">
        <v>-2351.71</v>
      </c>
    </row>
    <row r="1555" spans="1:9" x14ac:dyDescent="0.2">
      <c r="A1555" s="293" t="s">
        <v>7656</v>
      </c>
      <c r="B1555" s="293" t="s">
        <v>5666</v>
      </c>
      <c r="C1555" s="293" t="s">
        <v>6065</v>
      </c>
      <c r="D1555" s="293" t="s">
        <v>5859</v>
      </c>
      <c r="E1555" s="293" t="s">
        <v>6063</v>
      </c>
      <c r="F1555" s="293" t="s">
        <v>7646</v>
      </c>
      <c r="G1555" s="293" t="s">
        <v>5579</v>
      </c>
      <c r="H1555" s="294">
        <v>43069</v>
      </c>
      <c r="I1555" s="295">
        <v>-63.12</v>
      </c>
    </row>
    <row r="1556" spans="1:9" x14ac:dyDescent="0.2">
      <c r="A1556" s="293" t="s">
        <v>7657</v>
      </c>
      <c r="B1556" s="293" t="s">
        <v>5666</v>
      </c>
      <c r="C1556" s="293" t="s">
        <v>6067</v>
      </c>
      <c r="D1556" s="293" t="s">
        <v>5859</v>
      </c>
      <c r="E1556" s="293" t="s">
        <v>5817</v>
      </c>
      <c r="F1556" s="293" t="s">
        <v>7646</v>
      </c>
      <c r="G1556" s="293" t="s">
        <v>5591</v>
      </c>
      <c r="H1556" s="294">
        <v>43069</v>
      </c>
      <c r="I1556" s="295">
        <v>-6308.36</v>
      </c>
    </row>
    <row r="1557" spans="1:9" x14ac:dyDescent="0.2">
      <c r="A1557" s="293" t="s">
        <v>7658</v>
      </c>
      <c r="B1557" s="293" t="s">
        <v>5666</v>
      </c>
      <c r="C1557" s="293" t="s">
        <v>6069</v>
      </c>
      <c r="D1557" s="293" t="s">
        <v>5859</v>
      </c>
      <c r="E1557" s="293" t="s">
        <v>5817</v>
      </c>
      <c r="F1557" s="293" t="s">
        <v>7646</v>
      </c>
      <c r="G1557" s="293" t="s">
        <v>5591</v>
      </c>
      <c r="H1557" s="294">
        <v>43069</v>
      </c>
      <c r="I1557" s="295">
        <v>-7695.19</v>
      </c>
    </row>
    <row r="1558" spans="1:9" x14ac:dyDescent="0.2">
      <c r="A1558" s="293" t="s">
        <v>7659</v>
      </c>
      <c r="B1558" s="293" t="s">
        <v>5666</v>
      </c>
      <c r="C1558" s="293" t="s">
        <v>6471</v>
      </c>
      <c r="D1558" s="293" t="s">
        <v>5859</v>
      </c>
      <c r="E1558" s="293" t="s">
        <v>6829</v>
      </c>
      <c r="F1558" s="293" t="s">
        <v>7646</v>
      </c>
      <c r="G1558" s="293" t="s">
        <v>5589</v>
      </c>
      <c r="H1558" s="294">
        <v>43069</v>
      </c>
      <c r="I1558" s="295">
        <v>-7123.53</v>
      </c>
    </row>
    <row r="1559" spans="1:9" x14ac:dyDescent="0.2">
      <c r="A1559" s="293" t="s">
        <v>7660</v>
      </c>
      <c r="B1559" s="293" t="s">
        <v>5666</v>
      </c>
      <c r="C1559" s="293" t="s">
        <v>6473</v>
      </c>
      <c r="D1559" s="293" t="s">
        <v>5859</v>
      </c>
      <c r="E1559" s="293" t="s">
        <v>6474</v>
      </c>
      <c r="F1559" s="293" t="s">
        <v>7646</v>
      </c>
      <c r="G1559" s="293" t="s">
        <v>5593</v>
      </c>
      <c r="H1559" s="294">
        <v>43069</v>
      </c>
      <c r="I1559" s="295">
        <v>-14668.67</v>
      </c>
    </row>
    <row r="1560" spans="1:9" x14ac:dyDescent="0.2">
      <c r="A1560" s="293" t="s">
        <v>7661</v>
      </c>
      <c r="B1560" s="293" t="s">
        <v>5666</v>
      </c>
      <c r="C1560" s="293" t="s">
        <v>6920</v>
      </c>
      <c r="D1560" s="293" t="s">
        <v>5859</v>
      </c>
      <c r="E1560" s="293" t="s">
        <v>6921</v>
      </c>
      <c r="F1560" s="293" t="s">
        <v>7646</v>
      </c>
      <c r="G1560" s="293" t="s">
        <v>5754</v>
      </c>
      <c r="H1560" s="294">
        <v>43069</v>
      </c>
      <c r="I1560" s="295">
        <v>-8710.42</v>
      </c>
    </row>
    <row r="1561" spans="1:9" x14ac:dyDescent="0.2">
      <c r="A1561" s="293" t="s">
        <v>7662</v>
      </c>
      <c r="B1561" s="293" t="s">
        <v>5666</v>
      </c>
      <c r="C1561" s="293" t="s">
        <v>7219</v>
      </c>
      <c r="D1561" s="293" t="s">
        <v>5859</v>
      </c>
      <c r="E1561" s="293" t="s">
        <v>7080</v>
      </c>
      <c r="F1561" s="293" t="s">
        <v>7646</v>
      </c>
      <c r="G1561" s="293" t="s">
        <v>5755</v>
      </c>
      <c r="H1561" s="294">
        <v>43069</v>
      </c>
      <c r="I1561" s="295">
        <v>-7028.09</v>
      </c>
    </row>
    <row r="1562" spans="1:9" x14ac:dyDescent="0.2">
      <c r="A1562" s="293" t="s">
        <v>7663</v>
      </c>
      <c r="B1562" s="293" t="s">
        <v>5666</v>
      </c>
      <c r="C1562" s="293" t="s">
        <v>6027</v>
      </c>
      <c r="D1562" s="293" t="s">
        <v>5859</v>
      </c>
      <c r="E1562" s="293" t="s">
        <v>6028</v>
      </c>
      <c r="F1562" s="293" t="s">
        <v>7664</v>
      </c>
      <c r="G1562" s="293" t="s">
        <v>5573</v>
      </c>
      <c r="H1562" s="294">
        <v>43100</v>
      </c>
      <c r="I1562" s="295">
        <v>-6400.96</v>
      </c>
    </row>
    <row r="1563" spans="1:9" x14ac:dyDescent="0.2">
      <c r="A1563" s="293" t="s">
        <v>7665</v>
      </c>
      <c r="B1563" s="293" t="s">
        <v>5666</v>
      </c>
      <c r="C1563" s="293" t="s">
        <v>6030</v>
      </c>
      <c r="D1563" s="293" t="s">
        <v>5859</v>
      </c>
      <c r="E1563" s="293" t="s">
        <v>6028</v>
      </c>
      <c r="F1563" s="293" t="s">
        <v>7664</v>
      </c>
      <c r="G1563" s="293" t="s">
        <v>5573</v>
      </c>
      <c r="H1563" s="294">
        <v>43100</v>
      </c>
      <c r="I1563" s="295">
        <v>-130.22</v>
      </c>
    </row>
    <row r="1564" spans="1:9" x14ac:dyDescent="0.2">
      <c r="A1564" s="293" t="s">
        <v>7666</v>
      </c>
      <c r="B1564" s="293" t="s">
        <v>5666</v>
      </c>
      <c r="C1564" s="293" t="s">
        <v>6032</v>
      </c>
      <c r="D1564" s="293" t="s">
        <v>5859</v>
      </c>
      <c r="E1564" s="293" t="s">
        <v>6033</v>
      </c>
      <c r="F1564" s="293" t="s">
        <v>7664</v>
      </c>
      <c r="G1564" s="293" t="s">
        <v>5585</v>
      </c>
      <c r="H1564" s="294">
        <v>43100</v>
      </c>
      <c r="I1564" s="295">
        <v>-6872.38</v>
      </c>
    </row>
    <row r="1565" spans="1:9" x14ac:dyDescent="0.2">
      <c r="A1565" s="293" t="s">
        <v>7667</v>
      </c>
      <c r="B1565" s="293" t="s">
        <v>5666</v>
      </c>
      <c r="C1565" s="293" t="s">
        <v>6035</v>
      </c>
      <c r="D1565" s="293" t="s">
        <v>5859</v>
      </c>
      <c r="E1565" s="293" t="s">
        <v>6033</v>
      </c>
      <c r="F1565" s="293" t="s">
        <v>7664</v>
      </c>
      <c r="G1565" s="293" t="s">
        <v>5585</v>
      </c>
      <c r="H1565" s="294">
        <v>43100</v>
      </c>
      <c r="I1565" s="295">
        <v>-4630.24</v>
      </c>
    </row>
    <row r="1566" spans="1:9" x14ac:dyDescent="0.2">
      <c r="A1566" s="293" t="s">
        <v>7668</v>
      </c>
      <c r="B1566" s="293" t="s">
        <v>5666</v>
      </c>
      <c r="C1566" s="293" t="s">
        <v>6037</v>
      </c>
      <c r="D1566" s="293" t="s">
        <v>5859</v>
      </c>
      <c r="E1566" s="293" t="s">
        <v>6038</v>
      </c>
      <c r="F1566" s="293" t="s">
        <v>7664</v>
      </c>
      <c r="G1566" s="293" t="s">
        <v>5586</v>
      </c>
      <c r="H1566" s="294">
        <v>43100</v>
      </c>
      <c r="I1566" s="295">
        <v>-3059.89</v>
      </c>
    </row>
    <row r="1567" spans="1:9" x14ac:dyDescent="0.2">
      <c r="A1567" s="293" t="s">
        <v>7669</v>
      </c>
      <c r="B1567" s="293" t="s">
        <v>5666</v>
      </c>
      <c r="C1567" s="293" t="s">
        <v>6040</v>
      </c>
      <c r="D1567" s="293" t="s">
        <v>5859</v>
      </c>
      <c r="E1567" s="293" t="s">
        <v>6041</v>
      </c>
      <c r="F1567" s="293" t="s">
        <v>7664</v>
      </c>
      <c r="G1567" s="293" t="s">
        <v>5581</v>
      </c>
      <c r="H1567" s="294">
        <v>43100</v>
      </c>
      <c r="I1567" s="295">
        <v>-8058.13</v>
      </c>
    </row>
    <row r="1568" spans="1:9" x14ac:dyDescent="0.2">
      <c r="A1568" s="293" t="s">
        <v>7670</v>
      </c>
      <c r="B1568" s="293" t="s">
        <v>5666</v>
      </c>
      <c r="C1568" s="293" t="s">
        <v>6052</v>
      </c>
      <c r="D1568" s="293" t="s">
        <v>5859</v>
      </c>
      <c r="E1568" s="293" t="s">
        <v>5817</v>
      </c>
      <c r="F1568" s="293" t="s">
        <v>7664</v>
      </c>
      <c r="G1568" s="293" t="s">
        <v>5577</v>
      </c>
      <c r="H1568" s="294">
        <v>43100</v>
      </c>
      <c r="I1568" s="295">
        <v>-7696.08</v>
      </c>
    </row>
    <row r="1569" spans="1:9" x14ac:dyDescent="0.2">
      <c r="A1569" s="293" t="s">
        <v>7671</v>
      </c>
      <c r="B1569" s="293" t="s">
        <v>5666</v>
      </c>
      <c r="C1569" s="293" t="s">
        <v>6054</v>
      </c>
      <c r="D1569" s="293" t="s">
        <v>5859</v>
      </c>
      <c r="E1569" s="293" t="s">
        <v>5817</v>
      </c>
      <c r="F1569" s="293" t="s">
        <v>7664</v>
      </c>
      <c r="G1569" s="293" t="s">
        <v>5577</v>
      </c>
      <c r="H1569" s="294">
        <v>43100</v>
      </c>
      <c r="I1569" s="295">
        <v>-3633.17</v>
      </c>
    </row>
    <row r="1570" spans="1:9" x14ac:dyDescent="0.2">
      <c r="A1570" s="293" t="s">
        <v>7672</v>
      </c>
      <c r="B1570" s="293" t="s">
        <v>5666</v>
      </c>
      <c r="C1570" s="293" t="s">
        <v>6056</v>
      </c>
      <c r="D1570" s="293" t="s">
        <v>5859</v>
      </c>
      <c r="E1570" s="293" t="s">
        <v>6057</v>
      </c>
      <c r="F1570" s="293" t="s">
        <v>7664</v>
      </c>
      <c r="G1570" s="293" t="s">
        <v>5578</v>
      </c>
      <c r="H1570" s="294">
        <v>43100</v>
      </c>
      <c r="I1570" s="295">
        <v>-4399.9399999999996</v>
      </c>
    </row>
    <row r="1571" spans="1:9" x14ac:dyDescent="0.2">
      <c r="A1571" s="293" t="s">
        <v>7673</v>
      </c>
      <c r="B1571" s="293" t="s">
        <v>5666</v>
      </c>
      <c r="C1571" s="293" t="s">
        <v>6062</v>
      </c>
      <c r="D1571" s="293" t="s">
        <v>5859</v>
      </c>
      <c r="E1571" s="293" t="s">
        <v>6063</v>
      </c>
      <c r="F1571" s="293" t="s">
        <v>7664</v>
      </c>
      <c r="G1571" s="293" t="s">
        <v>5579</v>
      </c>
      <c r="H1571" s="294">
        <v>43100</v>
      </c>
      <c r="I1571" s="295">
        <v>-2351.71</v>
      </c>
    </row>
    <row r="1572" spans="1:9" x14ac:dyDescent="0.2">
      <c r="A1572" s="293" t="s">
        <v>7674</v>
      </c>
      <c r="B1572" s="293" t="s">
        <v>5666</v>
      </c>
      <c r="C1572" s="293" t="s">
        <v>6065</v>
      </c>
      <c r="D1572" s="293" t="s">
        <v>5859</v>
      </c>
      <c r="E1572" s="293" t="s">
        <v>6063</v>
      </c>
      <c r="F1572" s="293" t="s">
        <v>7664</v>
      </c>
      <c r="G1572" s="293" t="s">
        <v>5579</v>
      </c>
      <c r="H1572" s="294">
        <v>43100</v>
      </c>
      <c r="I1572" s="295">
        <v>-63.12</v>
      </c>
    </row>
    <row r="1573" spans="1:9" x14ac:dyDescent="0.2">
      <c r="A1573" s="293" t="s">
        <v>7675</v>
      </c>
      <c r="B1573" s="293" t="s">
        <v>5666</v>
      </c>
      <c r="C1573" s="293" t="s">
        <v>6067</v>
      </c>
      <c r="D1573" s="293" t="s">
        <v>5859</v>
      </c>
      <c r="E1573" s="293" t="s">
        <v>5817</v>
      </c>
      <c r="F1573" s="293" t="s">
        <v>7664</v>
      </c>
      <c r="G1573" s="293" t="s">
        <v>5591</v>
      </c>
      <c r="H1573" s="294">
        <v>43100</v>
      </c>
      <c r="I1573" s="295">
        <v>-6308.36</v>
      </c>
    </row>
    <row r="1574" spans="1:9" x14ac:dyDescent="0.2">
      <c r="A1574" s="293" t="s">
        <v>7676</v>
      </c>
      <c r="B1574" s="293" t="s">
        <v>5666</v>
      </c>
      <c r="C1574" s="293" t="s">
        <v>6069</v>
      </c>
      <c r="D1574" s="293" t="s">
        <v>5859</v>
      </c>
      <c r="E1574" s="293" t="s">
        <v>5817</v>
      </c>
      <c r="F1574" s="293" t="s">
        <v>7664</v>
      </c>
      <c r="G1574" s="293" t="s">
        <v>5591</v>
      </c>
      <c r="H1574" s="294">
        <v>43100</v>
      </c>
      <c r="I1574" s="295">
        <v>-7695.19</v>
      </c>
    </row>
    <row r="1575" spans="1:9" x14ac:dyDescent="0.2">
      <c r="A1575" s="293" t="s">
        <v>7677</v>
      </c>
      <c r="B1575" s="293" t="s">
        <v>5666</v>
      </c>
      <c r="C1575" s="293" t="s">
        <v>6471</v>
      </c>
      <c r="D1575" s="293" t="s">
        <v>5859</v>
      </c>
      <c r="E1575" s="293" t="s">
        <v>6829</v>
      </c>
      <c r="F1575" s="293" t="s">
        <v>7664</v>
      </c>
      <c r="G1575" s="293" t="s">
        <v>5589</v>
      </c>
      <c r="H1575" s="294">
        <v>43100</v>
      </c>
      <c r="I1575" s="295">
        <v>-7123.53</v>
      </c>
    </row>
    <row r="1576" spans="1:9" x14ac:dyDescent="0.2">
      <c r="A1576" s="293" t="s">
        <v>7678</v>
      </c>
      <c r="B1576" s="293" t="s">
        <v>5666</v>
      </c>
      <c r="C1576" s="293" t="s">
        <v>6473</v>
      </c>
      <c r="D1576" s="293" t="s">
        <v>5859</v>
      </c>
      <c r="E1576" s="293" t="s">
        <v>6474</v>
      </c>
      <c r="F1576" s="293" t="s">
        <v>7664</v>
      </c>
      <c r="G1576" s="293" t="s">
        <v>5593</v>
      </c>
      <c r="H1576" s="294">
        <v>43100</v>
      </c>
      <c r="I1576" s="295">
        <v>-14668.67</v>
      </c>
    </row>
    <row r="1577" spans="1:9" x14ac:dyDescent="0.2">
      <c r="A1577" s="293" t="s">
        <v>7679</v>
      </c>
      <c r="B1577" s="293" t="s">
        <v>5666</v>
      </c>
      <c r="C1577" s="293" t="s">
        <v>6920</v>
      </c>
      <c r="D1577" s="293" t="s">
        <v>5859</v>
      </c>
      <c r="E1577" s="293" t="s">
        <v>6921</v>
      </c>
      <c r="F1577" s="293" t="s">
        <v>7664</v>
      </c>
      <c r="G1577" s="293" t="s">
        <v>5754</v>
      </c>
      <c r="H1577" s="294">
        <v>43100</v>
      </c>
      <c r="I1577" s="295">
        <v>-8710.42</v>
      </c>
    </row>
    <row r="1578" spans="1:9" x14ac:dyDescent="0.2">
      <c r="A1578" s="293" t="s">
        <v>7680</v>
      </c>
      <c r="B1578" s="293" t="s">
        <v>5666</v>
      </c>
      <c r="C1578" s="293" t="s">
        <v>7219</v>
      </c>
      <c r="D1578" s="293" t="s">
        <v>5859</v>
      </c>
      <c r="E1578" s="293" t="s">
        <v>7080</v>
      </c>
      <c r="F1578" s="293" t="s">
        <v>7664</v>
      </c>
      <c r="G1578" s="293" t="s">
        <v>5755</v>
      </c>
      <c r="H1578" s="294">
        <v>43100</v>
      </c>
      <c r="I1578" s="295">
        <v>-7028.09</v>
      </c>
    </row>
    <row r="1579" spans="1:9" x14ac:dyDescent="0.2">
      <c r="A1579" s="293" t="s">
        <v>7681</v>
      </c>
      <c r="B1579" s="293" t="s">
        <v>5666</v>
      </c>
      <c r="C1579" s="293" t="s">
        <v>6027</v>
      </c>
      <c r="D1579" s="293" t="s">
        <v>5859</v>
      </c>
      <c r="E1579" s="293" t="s">
        <v>6028</v>
      </c>
      <c r="F1579" s="293" t="s">
        <v>7682</v>
      </c>
      <c r="G1579" s="293" t="s">
        <v>5573</v>
      </c>
      <c r="H1579" s="294">
        <v>43131</v>
      </c>
      <c r="I1579" s="295">
        <v>-6400.96</v>
      </c>
    </row>
    <row r="1580" spans="1:9" x14ac:dyDescent="0.2">
      <c r="A1580" s="293" t="s">
        <v>7683</v>
      </c>
      <c r="B1580" s="293" t="s">
        <v>5666</v>
      </c>
      <c r="C1580" s="293" t="s">
        <v>6030</v>
      </c>
      <c r="D1580" s="293" t="s">
        <v>5859</v>
      </c>
      <c r="E1580" s="293" t="s">
        <v>6028</v>
      </c>
      <c r="F1580" s="293" t="s">
        <v>7682</v>
      </c>
      <c r="G1580" s="293" t="s">
        <v>5573</v>
      </c>
      <c r="H1580" s="294">
        <v>43131</v>
      </c>
      <c r="I1580" s="295">
        <v>-130.22</v>
      </c>
    </row>
    <row r="1581" spans="1:9" x14ac:dyDescent="0.2">
      <c r="A1581" s="293" t="s">
        <v>7684</v>
      </c>
      <c r="B1581" s="293" t="s">
        <v>5666</v>
      </c>
      <c r="C1581" s="293" t="s">
        <v>6032</v>
      </c>
      <c r="D1581" s="293" t="s">
        <v>5859</v>
      </c>
      <c r="E1581" s="293" t="s">
        <v>6033</v>
      </c>
      <c r="F1581" s="293" t="s">
        <v>7682</v>
      </c>
      <c r="G1581" s="293" t="s">
        <v>5585</v>
      </c>
      <c r="H1581" s="294">
        <v>43131</v>
      </c>
      <c r="I1581" s="295">
        <v>-6872.38</v>
      </c>
    </row>
    <row r="1582" spans="1:9" x14ac:dyDescent="0.2">
      <c r="A1582" s="293" t="s">
        <v>7685</v>
      </c>
      <c r="B1582" s="293" t="s">
        <v>5666</v>
      </c>
      <c r="C1582" s="293" t="s">
        <v>6035</v>
      </c>
      <c r="D1582" s="293" t="s">
        <v>5859</v>
      </c>
      <c r="E1582" s="293" t="s">
        <v>6033</v>
      </c>
      <c r="F1582" s="293" t="s">
        <v>7682</v>
      </c>
      <c r="G1582" s="293" t="s">
        <v>5585</v>
      </c>
      <c r="H1582" s="294">
        <v>43131</v>
      </c>
      <c r="I1582" s="295">
        <v>-4630.24</v>
      </c>
    </row>
    <row r="1583" spans="1:9" x14ac:dyDescent="0.2">
      <c r="A1583" s="293" t="s">
        <v>7686</v>
      </c>
      <c r="B1583" s="293" t="s">
        <v>5666</v>
      </c>
      <c r="C1583" s="293" t="s">
        <v>6037</v>
      </c>
      <c r="D1583" s="293" t="s">
        <v>5859</v>
      </c>
      <c r="E1583" s="293" t="s">
        <v>6038</v>
      </c>
      <c r="F1583" s="293" t="s">
        <v>7682</v>
      </c>
      <c r="G1583" s="293" t="s">
        <v>5586</v>
      </c>
      <c r="H1583" s="294">
        <v>43131</v>
      </c>
      <c r="I1583" s="295">
        <v>-3059.89</v>
      </c>
    </row>
    <row r="1584" spans="1:9" x14ac:dyDescent="0.2">
      <c r="A1584" s="293" t="s">
        <v>7687</v>
      </c>
      <c r="B1584" s="293" t="s">
        <v>5666</v>
      </c>
      <c r="C1584" s="293" t="s">
        <v>6040</v>
      </c>
      <c r="D1584" s="293" t="s">
        <v>5859</v>
      </c>
      <c r="E1584" s="293" t="s">
        <v>6041</v>
      </c>
      <c r="F1584" s="293" t="s">
        <v>7682</v>
      </c>
      <c r="G1584" s="293" t="s">
        <v>5581</v>
      </c>
      <c r="H1584" s="294">
        <v>43131</v>
      </c>
      <c r="I1584" s="295">
        <v>-8058.13</v>
      </c>
    </row>
    <row r="1585" spans="1:9" x14ac:dyDescent="0.2">
      <c r="A1585" s="293" t="s">
        <v>7688</v>
      </c>
      <c r="B1585" s="293" t="s">
        <v>5666</v>
      </c>
      <c r="C1585" s="293" t="s">
        <v>6052</v>
      </c>
      <c r="D1585" s="293" t="s">
        <v>5859</v>
      </c>
      <c r="E1585" s="293" t="s">
        <v>5817</v>
      </c>
      <c r="F1585" s="293" t="s">
        <v>7682</v>
      </c>
      <c r="G1585" s="293" t="s">
        <v>5577</v>
      </c>
      <c r="H1585" s="294">
        <v>43131</v>
      </c>
      <c r="I1585" s="295">
        <v>-7696.08</v>
      </c>
    </row>
    <row r="1586" spans="1:9" x14ac:dyDescent="0.2">
      <c r="A1586" s="293" t="s">
        <v>7689</v>
      </c>
      <c r="B1586" s="293" t="s">
        <v>5666</v>
      </c>
      <c r="C1586" s="293" t="s">
        <v>6054</v>
      </c>
      <c r="D1586" s="293" t="s">
        <v>5859</v>
      </c>
      <c r="E1586" s="293" t="s">
        <v>5817</v>
      </c>
      <c r="F1586" s="293" t="s">
        <v>7682</v>
      </c>
      <c r="G1586" s="293" t="s">
        <v>5577</v>
      </c>
      <c r="H1586" s="294">
        <v>43131</v>
      </c>
      <c r="I1586" s="295">
        <v>-3633.17</v>
      </c>
    </row>
    <row r="1587" spans="1:9" x14ac:dyDescent="0.2">
      <c r="A1587" s="293" t="s">
        <v>7690</v>
      </c>
      <c r="B1587" s="293" t="s">
        <v>5666</v>
      </c>
      <c r="C1587" s="293" t="s">
        <v>6056</v>
      </c>
      <c r="D1587" s="293" t="s">
        <v>5859</v>
      </c>
      <c r="E1587" s="293" t="s">
        <v>6057</v>
      </c>
      <c r="F1587" s="293" t="s">
        <v>7682</v>
      </c>
      <c r="G1587" s="293" t="s">
        <v>5578</v>
      </c>
      <c r="H1587" s="294">
        <v>43131</v>
      </c>
      <c r="I1587" s="295">
        <v>-4399.9399999999996</v>
      </c>
    </row>
    <row r="1588" spans="1:9" x14ac:dyDescent="0.2">
      <c r="A1588" s="293" t="s">
        <v>7691</v>
      </c>
      <c r="B1588" s="293" t="s">
        <v>5666</v>
      </c>
      <c r="C1588" s="293" t="s">
        <v>6062</v>
      </c>
      <c r="D1588" s="293" t="s">
        <v>5859</v>
      </c>
      <c r="E1588" s="293" t="s">
        <v>6063</v>
      </c>
      <c r="F1588" s="293" t="s">
        <v>7682</v>
      </c>
      <c r="G1588" s="293" t="s">
        <v>5579</v>
      </c>
      <c r="H1588" s="294">
        <v>43131</v>
      </c>
      <c r="I1588" s="295">
        <v>-2351.71</v>
      </c>
    </row>
    <row r="1589" spans="1:9" x14ac:dyDescent="0.2">
      <c r="A1589" s="293" t="s">
        <v>7692</v>
      </c>
      <c r="B1589" s="293" t="s">
        <v>5666</v>
      </c>
      <c r="C1589" s="293" t="s">
        <v>6065</v>
      </c>
      <c r="D1589" s="293" t="s">
        <v>5859</v>
      </c>
      <c r="E1589" s="293" t="s">
        <v>6063</v>
      </c>
      <c r="F1589" s="293" t="s">
        <v>7682</v>
      </c>
      <c r="G1589" s="293" t="s">
        <v>5579</v>
      </c>
      <c r="H1589" s="294">
        <v>43131</v>
      </c>
      <c r="I1589" s="295">
        <v>-63.12</v>
      </c>
    </row>
    <row r="1590" spans="1:9" x14ac:dyDescent="0.2">
      <c r="A1590" s="293" t="s">
        <v>7693</v>
      </c>
      <c r="B1590" s="293" t="s">
        <v>5666</v>
      </c>
      <c r="C1590" s="293" t="s">
        <v>6067</v>
      </c>
      <c r="D1590" s="293" t="s">
        <v>5859</v>
      </c>
      <c r="E1590" s="293" t="s">
        <v>5817</v>
      </c>
      <c r="F1590" s="293" t="s">
        <v>7682</v>
      </c>
      <c r="G1590" s="293" t="s">
        <v>5591</v>
      </c>
      <c r="H1590" s="294">
        <v>43131</v>
      </c>
      <c r="I1590" s="295">
        <v>-6308.36</v>
      </c>
    </row>
    <row r="1591" spans="1:9" x14ac:dyDescent="0.2">
      <c r="A1591" s="293" t="s">
        <v>7694</v>
      </c>
      <c r="B1591" s="293" t="s">
        <v>5666</v>
      </c>
      <c r="C1591" s="293" t="s">
        <v>6069</v>
      </c>
      <c r="D1591" s="293" t="s">
        <v>5859</v>
      </c>
      <c r="E1591" s="293" t="s">
        <v>5817</v>
      </c>
      <c r="F1591" s="293" t="s">
        <v>7682</v>
      </c>
      <c r="G1591" s="293" t="s">
        <v>5591</v>
      </c>
      <c r="H1591" s="294">
        <v>43131</v>
      </c>
      <c r="I1591" s="295">
        <v>-7695.19</v>
      </c>
    </row>
    <row r="1592" spans="1:9" x14ac:dyDescent="0.2">
      <c r="A1592" s="293" t="s">
        <v>7695</v>
      </c>
      <c r="B1592" s="293" t="s">
        <v>5666</v>
      </c>
      <c r="C1592" s="293" t="s">
        <v>6471</v>
      </c>
      <c r="D1592" s="293" t="s">
        <v>5859</v>
      </c>
      <c r="E1592" s="293" t="s">
        <v>6829</v>
      </c>
      <c r="F1592" s="293" t="s">
        <v>7682</v>
      </c>
      <c r="G1592" s="293" t="s">
        <v>5589</v>
      </c>
      <c r="H1592" s="294">
        <v>43131</v>
      </c>
      <c r="I1592" s="295">
        <v>-7123.53</v>
      </c>
    </row>
    <row r="1593" spans="1:9" x14ac:dyDescent="0.2">
      <c r="A1593" s="293" t="s">
        <v>7696</v>
      </c>
      <c r="B1593" s="293" t="s">
        <v>5666</v>
      </c>
      <c r="C1593" s="293" t="s">
        <v>6473</v>
      </c>
      <c r="D1593" s="293" t="s">
        <v>5859</v>
      </c>
      <c r="E1593" s="293" t="s">
        <v>6474</v>
      </c>
      <c r="F1593" s="293" t="s">
        <v>7682</v>
      </c>
      <c r="G1593" s="293" t="s">
        <v>5593</v>
      </c>
      <c r="H1593" s="294">
        <v>43131</v>
      </c>
      <c r="I1593" s="295">
        <v>-14668.67</v>
      </c>
    </row>
    <row r="1594" spans="1:9" x14ac:dyDescent="0.2">
      <c r="A1594" s="293" t="s">
        <v>7697</v>
      </c>
      <c r="B1594" s="293" t="s">
        <v>5666</v>
      </c>
      <c r="C1594" s="293" t="s">
        <v>6920</v>
      </c>
      <c r="D1594" s="293" t="s">
        <v>5859</v>
      </c>
      <c r="E1594" s="293" t="s">
        <v>6921</v>
      </c>
      <c r="F1594" s="293" t="s">
        <v>7682</v>
      </c>
      <c r="G1594" s="293" t="s">
        <v>5754</v>
      </c>
      <c r="H1594" s="294">
        <v>43131</v>
      </c>
      <c r="I1594" s="295">
        <v>-8710.42</v>
      </c>
    </row>
    <row r="1595" spans="1:9" x14ac:dyDescent="0.2">
      <c r="A1595" s="293" t="s">
        <v>7698</v>
      </c>
      <c r="B1595" s="293" t="s">
        <v>5666</v>
      </c>
      <c r="C1595" s="293" t="s">
        <v>7219</v>
      </c>
      <c r="D1595" s="293" t="s">
        <v>5859</v>
      </c>
      <c r="E1595" s="293" t="s">
        <v>7080</v>
      </c>
      <c r="F1595" s="293" t="s">
        <v>7682</v>
      </c>
      <c r="G1595" s="293" t="s">
        <v>5755</v>
      </c>
      <c r="H1595" s="294">
        <v>43131</v>
      </c>
      <c r="I1595" s="295">
        <v>-7028.09</v>
      </c>
    </row>
    <row r="1596" spans="1:9" x14ac:dyDescent="0.2">
      <c r="A1596" s="293" t="s">
        <v>7699</v>
      </c>
      <c r="B1596" s="293" t="s">
        <v>5666</v>
      </c>
      <c r="C1596" s="293" t="s">
        <v>6027</v>
      </c>
      <c r="D1596" s="293" t="s">
        <v>5859</v>
      </c>
      <c r="E1596" s="293" t="s">
        <v>6028</v>
      </c>
      <c r="F1596" s="293" t="s">
        <v>7700</v>
      </c>
      <c r="G1596" s="293" t="s">
        <v>5573</v>
      </c>
      <c r="H1596" s="294">
        <v>43159</v>
      </c>
      <c r="I1596" s="295">
        <v>-6400.96</v>
      </c>
    </row>
    <row r="1597" spans="1:9" x14ac:dyDescent="0.2">
      <c r="A1597" s="293" t="s">
        <v>7701</v>
      </c>
      <c r="B1597" s="293" t="s">
        <v>5666</v>
      </c>
      <c r="C1597" s="293" t="s">
        <v>6030</v>
      </c>
      <c r="D1597" s="293" t="s">
        <v>5859</v>
      </c>
      <c r="E1597" s="293" t="s">
        <v>6028</v>
      </c>
      <c r="F1597" s="293" t="s">
        <v>7700</v>
      </c>
      <c r="G1597" s="293" t="s">
        <v>5573</v>
      </c>
      <c r="H1597" s="294">
        <v>43159</v>
      </c>
      <c r="I1597" s="295">
        <v>-130.22</v>
      </c>
    </row>
    <row r="1598" spans="1:9" x14ac:dyDescent="0.2">
      <c r="A1598" s="293" t="s">
        <v>7702</v>
      </c>
      <c r="B1598" s="293" t="s">
        <v>5666</v>
      </c>
      <c r="C1598" s="293" t="s">
        <v>6032</v>
      </c>
      <c r="D1598" s="293" t="s">
        <v>5859</v>
      </c>
      <c r="E1598" s="293" t="s">
        <v>6033</v>
      </c>
      <c r="F1598" s="293" t="s">
        <v>7700</v>
      </c>
      <c r="G1598" s="293" t="s">
        <v>5585</v>
      </c>
      <c r="H1598" s="294">
        <v>43159</v>
      </c>
      <c r="I1598" s="295">
        <v>-6872.38</v>
      </c>
    </row>
    <row r="1599" spans="1:9" x14ac:dyDescent="0.2">
      <c r="A1599" s="293" t="s">
        <v>7703</v>
      </c>
      <c r="B1599" s="293" t="s">
        <v>5666</v>
      </c>
      <c r="C1599" s="293" t="s">
        <v>6035</v>
      </c>
      <c r="D1599" s="293" t="s">
        <v>5859</v>
      </c>
      <c r="E1599" s="293" t="s">
        <v>6033</v>
      </c>
      <c r="F1599" s="293" t="s">
        <v>7700</v>
      </c>
      <c r="G1599" s="293" t="s">
        <v>5585</v>
      </c>
      <c r="H1599" s="294">
        <v>43159</v>
      </c>
      <c r="I1599" s="295">
        <v>-4630.24</v>
      </c>
    </row>
    <row r="1600" spans="1:9" x14ac:dyDescent="0.2">
      <c r="A1600" s="293" t="s">
        <v>7704</v>
      </c>
      <c r="B1600" s="293" t="s">
        <v>5666</v>
      </c>
      <c r="C1600" s="293" t="s">
        <v>6037</v>
      </c>
      <c r="D1600" s="293" t="s">
        <v>5859</v>
      </c>
      <c r="E1600" s="293" t="s">
        <v>6038</v>
      </c>
      <c r="F1600" s="293" t="s">
        <v>7700</v>
      </c>
      <c r="G1600" s="293" t="s">
        <v>5586</v>
      </c>
      <c r="H1600" s="294">
        <v>43159</v>
      </c>
      <c r="I1600" s="295">
        <v>-3059.89</v>
      </c>
    </row>
    <row r="1601" spans="1:9" x14ac:dyDescent="0.2">
      <c r="A1601" s="293" t="s">
        <v>7705</v>
      </c>
      <c r="B1601" s="293" t="s">
        <v>5666</v>
      </c>
      <c r="C1601" s="293" t="s">
        <v>6040</v>
      </c>
      <c r="D1601" s="293" t="s">
        <v>5859</v>
      </c>
      <c r="E1601" s="293" t="s">
        <v>6041</v>
      </c>
      <c r="F1601" s="293" t="s">
        <v>7700</v>
      </c>
      <c r="G1601" s="293" t="s">
        <v>5581</v>
      </c>
      <c r="H1601" s="294">
        <v>43159</v>
      </c>
      <c r="I1601" s="295">
        <v>-8058.13</v>
      </c>
    </row>
    <row r="1602" spans="1:9" x14ac:dyDescent="0.2">
      <c r="A1602" s="293" t="s">
        <v>7706</v>
      </c>
      <c r="B1602" s="293" t="s">
        <v>5666</v>
      </c>
      <c r="C1602" s="293" t="s">
        <v>6052</v>
      </c>
      <c r="D1602" s="293" t="s">
        <v>5859</v>
      </c>
      <c r="E1602" s="293" t="s">
        <v>5817</v>
      </c>
      <c r="F1602" s="293" t="s">
        <v>7700</v>
      </c>
      <c r="G1602" s="293" t="s">
        <v>5577</v>
      </c>
      <c r="H1602" s="294">
        <v>43159</v>
      </c>
      <c r="I1602" s="295">
        <v>-7696.08</v>
      </c>
    </row>
    <row r="1603" spans="1:9" x14ac:dyDescent="0.2">
      <c r="A1603" s="293" t="s">
        <v>7707</v>
      </c>
      <c r="B1603" s="293" t="s">
        <v>5666</v>
      </c>
      <c r="C1603" s="293" t="s">
        <v>6054</v>
      </c>
      <c r="D1603" s="293" t="s">
        <v>5859</v>
      </c>
      <c r="E1603" s="293" t="s">
        <v>5817</v>
      </c>
      <c r="F1603" s="293" t="s">
        <v>7700</v>
      </c>
      <c r="G1603" s="293" t="s">
        <v>5577</v>
      </c>
      <c r="H1603" s="294">
        <v>43159</v>
      </c>
      <c r="I1603" s="295">
        <v>-3633.17</v>
      </c>
    </row>
    <row r="1604" spans="1:9" x14ac:dyDescent="0.2">
      <c r="A1604" s="293" t="s">
        <v>7708</v>
      </c>
      <c r="B1604" s="293" t="s">
        <v>5666</v>
      </c>
      <c r="C1604" s="293" t="s">
        <v>6056</v>
      </c>
      <c r="D1604" s="293" t="s">
        <v>5859</v>
      </c>
      <c r="E1604" s="293" t="s">
        <v>6057</v>
      </c>
      <c r="F1604" s="293" t="s">
        <v>7700</v>
      </c>
      <c r="G1604" s="293" t="s">
        <v>5578</v>
      </c>
      <c r="H1604" s="294">
        <v>43159</v>
      </c>
      <c r="I1604" s="295">
        <v>-4399.9399999999996</v>
      </c>
    </row>
    <row r="1605" spans="1:9" x14ac:dyDescent="0.2">
      <c r="A1605" s="293" t="s">
        <v>7709</v>
      </c>
      <c r="B1605" s="293" t="s">
        <v>5666</v>
      </c>
      <c r="C1605" s="293" t="s">
        <v>6062</v>
      </c>
      <c r="D1605" s="293" t="s">
        <v>5859</v>
      </c>
      <c r="E1605" s="293" t="s">
        <v>6063</v>
      </c>
      <c r="F1605" s="293" t="s">
        <v>7700</v>
      </c>
      <c r="G1605" s="293" t="s">
        <v>5579</v>
      </c>
      <c r="H1605" s="294">
        <v>43159</v>
      </c>
      <c r="I1605" s="295">
        <v>-2351.71</v>
      </c>
    </row>
    <row r="1606" spans="1:9" x14ac:dyDescent="0.2">
      <c r="A1606" s="293" t="s">
        <v>7710</v>
      </c>
      <c r="B1606" s="293" t="s">
        <v>5666</v>
      </c>
      <c r="C1606" s="293" t="s">
        <v>6065</v>
      </c>
      <c r="D1606" s="293" t="s">
        <v>5859</v>
      </c>
      <c r="E1606" s="293" t="s">
        <v>6063</v>
      </c>
      <c r="F1606" s="293" t="s">
        <v>7700</v>
      </c>
      <c r="G1606" s="293" t="s">
        <v>5579</v>
      </c>
      <c r="H1606" s="294">
        <v>43159</v>
      </c>
      <c r="I1606" s="295">
        <v>-63.12</v>
      </c>
    </row>
    <row r="1607" spans="1:9" x14ac:dyDescent="0.2">
      <c r="A1607" s="293" t="s">
        <v>7711</v>
      </c>
      <c r="B1607" s="293" t="s">
        <v>5666</v>
      </c>
      <c r="C1607" s="293" t="s">
        <v>6067</v>
      </c>
      <c r="D1607" s="293" t="s">
        <v>5859</v>
      </c>
      <c r="E1607" s="293" t="s">
        <v>5817</v>
      </c>
      <c r="F1607" s="293" t="s">
        <v>7700</v>
      </c>
      <c r="G1607" s="293" t="s">
        <v>5591</v>
      </c>
      <c r="H1607" s="294">
        <v>43159</v>
      </c>
      <c r="I1607" s="295">
        <v>-6308.36</v>
      </c>
    </row>
    <row r="1608" spans="1:9" x14ac:dyDescent="0.2">
      <c r="A1608" s="293" t="s">
        <v>7712</v>
      </c>
      <c r="B1608" s="293" t="s">
        <v>5666</v>
      </c>
      <c r="C1608" s="293" t="s">
        <v>6069</v>
      </c>
      <c r="D1608" s="293" t="s">
        <v>5859</v>
      </c>
      <c r="E1608" s="293" t="s">
        <v>5817</v>
      </c>
      <c r="F1608" s="293" t="s">
        <v>7700</v>
      </c>
      <c r="G1608" s="293" t="s">
        <v>5591</v>
      </c>
      <c r="H1608" s="294">
        <v>43159</v>
      </c>
      <c r="I1608" s="295">
        <v>-7695.19</v>
      </c>
    </row>
    <row r="1609" spans="1:9" x14ac:dyDescent="0.2">
      <c r="A1609" s="293" t="s">
        <v>7713</v>
      </c>
      <c r="B1609" s="293" t="s">
        <v>5666</v>
      </c>
      <c r="C1609" s="293" t="s">
        <v>6471</v>
      </c>
      <c r="D1609" s="293" t="s">
        <v>5859</v>
      </c>
      <c r="E1609" s="293" t="s">
        <v>6829</v>
      </c>
      <c r="F1609" s="293" t="s">
        <v>7700</v>
      </c>
      <c r="G1609" s="293" t="s">
        <v>5589</v>
      </c>
      <c r="H1609" s="294">
        <v>43159</v>
      </c>
      <c r="I1609" s="295">
        <v>-7123.53</v>
      </c>
    </row>
    <row r="1610" spans="1:9" x14ac:dyDescent="0.2">
      <c r="A1610" s="293" t="s">
        <v>7714</v>
      </c>
      <c r="B1610" s="293" t="s">
        <v>5666</v>
      </c>
      <c r="C1610" s="293" t="s">
        <v>6473</v>
      </c>
      <c r="D1610" s="293" t="s">
        <v>5859</v>
      </c>
      <c r="E1610" s="293" t="s">
        <v>6474</v>
      </c>
      <c r="F1610" s="293" t="s">
        <v>7700</v>
      </c>
      <c r="G1610" s="293" t="s">
        <v>5593</v>
      </c>
      <c r="H1610" s="294">
        <v>43159</v>
      </c>
      <c r="I1610" s="295">
        <v>-14668.67</v>
      </c>
    </row>
    <row r="1611" spans="1:9" x14ac:dyDescent="0.2">
      <c r="A1611" s="293" t="s">
        <v>7715</v>
      </c>
      <c r="B1611" s="293" t="s">
        <v>5666</v>
      </c>
      <c r="C1611" s="293" t="s">
        <v>6920</v>
      </c>
      <c r="D1611" s="293" t="s">
        <v>5859</v>
      </c>
      <c r="E1611" s="293" t="s">
        <v>6921</v>
      </c>
      <c r="F1611" s="293" t="s">
        <v>7700</v>
      </c>
      <c r="G1611" s="293" t="s">
        <v>5754</v>
      </c>
      <c r="H1611" s="294">
        <v>43159</v>
      </c>
      <c r="I1611" s="295">
        <v>-8710.42</v>
      </c>
    </row>
    <row r="1612" spans="1:9" x14ac:dyDescent="0.2">
      <c r="A1612" s="293" t="s">
        <v>7716</v>
      </c>
      <c r="B1612" s="293" t="s">
        <v>5666</v>
      </c>
      <c r="C1612" s="293" t="s">
        <v>7219</v>
      </c>
      <c r="D1612" s="293" t="s">
        <v>5859</v>
      </c>
      <c r="E1612" s="293" t="s">
        <v>7080</v>
      </c>
      <c r="F1612" s="293" t="s">
        <v>7700</v>
      </c>
      <c r="G1612" s="293" t="s">
        <v>5755</v>
      </c>
      <c r="H1612" s="294">
        <v>43159</v>
      </c>
      <c r="I1612" s="295">
        <v>-7028.09</v>
      </c>
    </row>
    <row r="1613" spans="1:9" x14ac:dyDescent="0.2">
      <c r="A1613" s="293" t="s">
        <v>7717</v>
      </c>
      <c r="B1613" s="293" t="s">
        <v>5666</v>
      </c>
      <c r="C1613" s="293" t="s">
        <v>6027</v>
      </c>
      <c r="D1613" s="293" t="s">
        <v>5859</v>
      </c>
      <c r="E1613" s="293" t="s">
        <v>6028</v>
      </c>
      <c r="F1613" s="293" t="s">
        <v>7718</v>
      </c>
      <c r="G1613" s="293" t="s">
        <v>5573</v>
      </c>
      <c r="H1613" s="294">
        <v>43190</v>
      </c>
      <c r="I1613" s="295">
        <v>-6400.96</v>
      </c>
    </row>
    <row r="1614" spans="1:9" x14ac:dyDescent="0.2">
      <c r="A1614" s="293" t="s">
        <v>7719</v>
      </c>
      <c r="B1614" s="293" t="s">
        <v>5666</v>
      </c>
      <c r="C1614" s="293" t="s">
        <v>6030</v>
      </c>
      <c r="D1614" s="293" t="s">
        <v>5859</v>
      </c>
      <c r="E1614" s="293" t="s">
        <v>6028</v>
      </c>
      <c r="F1614" s="293" t="s">
        <v>7718</v>
      </c>
      <c r="G1614" s="293" t="s">
        <v>5573</v>
      </c>
      <c r="H1614" s="294">
        <v>43190</v>
      </c>
      <c r="I1614" s="295">
        <v>-130.22</v>
      </c>
    </row>
    <row r="1615" spans="1:9" x14ac:dyDescent="0.2">
      <c r="A1615" s="293" t="s">
        <v>7720</v>
      </c>
      <c r="B1615" s="293" t="s">
        <v>5666</v>
      </c>
      <c r="C1615" s="293" t="s">
        <v>6032</v>
      </c>
      <c r="D1615" s="293" t="s">
        <v>5859</v>
      </c>
      <c r="E1615" s="293" t="s">
        <v>6033</v>
      </c>
      <c r="F1615" s="293" t="s">
        <v>7718</v>
      </c>
      <c r="G1615" s="293" t="s">
        <v>5585</v>
      </c>
      <c r="H1615" s="294">
        <v>43190</v>
      </c>
      <c r="I1615" s="295">
        <v>-6872.38</v>
      </c>
    </row>
    <row r="1616" spans="1:9" x14ac:dyDescent="0.2">
      <c r="A1616" s="293" t="s">
        <v>7721</v>
      </c>
      <c r="B1616" s="293" t="s">
        <v>5666</v>
      </c>
      <c r="C1616" s="293" t="s">
        <v>6035</v>
      </c>
      <c r="D1616" s="293" t="s">
        <v>5859</v>
      </c>
      <c r="E1616" s="293" t="s">
        <v>6033</v>
      </c>
      <c r="F1616" s="293" t="s">
        <v>7718</v>
      </c>
      <c r="G1616" s="293" t="s">
        <v>5585</v>
      </c>
      <c r="H1616" s="294">
        <v>43190</v>
      </c>
      <c r="I1616" s="295">
        <v>-4630.24</v>
      </c>
    </row>
    <row r="1617" spans="1:9" x14ac:dyDescent="0.2">
      <c r="A1617" s="293" t="s">
        <v>7722</v>
      </c>
      <c r="B1617" s="293" t="s">
        <v>5666</v>
      </c>
      <c r="C1617" s="293" t="s">
        <v>6037</v>
      </c>
      <c r="D1617" s="293" t="s">
        <v>5859</v>
      </c>
      <c r="E1617" s="293" t="s">
        <v>6038</v>
      </c>
      <c r="F1617" s="293" t="s">
        <v>7718</v>
      </c>
      <c r="G1617" s="293" t="s">
        <v>5586</v>
      </c>
      <c r="H1617" s="294">
        <v>43190</v>
      </c>
      <c r="I1617" s="295">
        <v>-3059.89</v>
      </c>
    </row>
    <row r="1618" spans="1:9" x14ac:dyDescent="0.2">
      <c r="A1618" s="293" t="s">
        <v>7723</v>
      </c>
      <c r="B1618" s="293" t="s">
        <v>5666</v>
      </c>
      <c r="C1618" s="293" t="s">
        <v>6040</v>
      </c>
      <c r="D1618" s="293" t="s">
        <v>5859</v>
      </c>
      <c r="E1618" s="293" t="s">
        <v>6041</v>
      </c>
      <c r="F1618" s="293" t="s">
        <v>7718</v>
      </c>
      <c r="G1618" s="293" t="s">
        <v>5581</v>
      </c>
      <c r="H1618" s="294">
        <v>43190</v>
      </c>
      <c r="I1618" s="295">
        <v>-8058.13</v>
      </c>
    </row>
    <row r="1619" spans="1:9" x14ac:dyDescent="0.2">
      <c r="A1619" s="293" t="s">
        <v>7724</v>
      </c>
      <c r="B1619" s="293" t="s">
        <v>5666</v>
      </c>
      <c r="C1619" s="293" t="s">
        <v>6052</v>
      </c>
      <c r="D1619" s="293" t="s">
        <v>5859</v>
      </c>
      <c r="E1619" s="293" t="s">
        <v>5817</v>
      </c>
      <c r="F1619" s="293" t="s">
        <v>7718</v>
      </c>
      <c r="G1619" s="293" t="s">
        <v>5577</v>
      </c>
      <c r="H1619" s="294">
        <v>43190</v>
      </c>
      <c r="I1619" s="295">
        <v>-7696.08</v>
      </c>
    </row>
    <row r="1620" spans="1:9" x14ac:dyDescent="0.2">
      <c r="A1620" s="293" t="s">
        <v>7725</v>
      </c>
      <c r="B1620" s="293" t="s">
        <v>5666</v>
      </c>
      <c r="C1620" s="293" t="s">
        <v>6054</v>
      </c>
      <c r="D1620" s="293" t="s">
        <v>5859</v>
      </c>
      <c r="E1620" s="293" t="s">
        <v>5817</v>
      </c>
      <c r="F1620" s="293" t="s">
        <v>7718</v>
      </c>
      <c r="G1620" s="293" t="s">
        <v>5577</v>
      </c>
      <c r="H1620" s="294">
        <v>43190</v>
      </c>
      <c r="I1620" s="295">
        <v>-3633.17</v>
      </c>
    </row>
    <row r="1621" spans="1:9" x14ac:dyDescent="0.2">
      <c r="A1621" s="293" t="s">
        <v>7726</v>
      </c>
      <c r="B1621" s="293" t="s">
        <v>5666</v>
      </c>
      <c r="C1621" s="293" t="s">
        <v>6056</v>
      </c>
      <c r="D1621" s="293" t="s">
        <v>5859</v>
      </c>
      <c r="E1621" s="293" t="s">
        <v>6057</v>
      </c>
      <c r="F1621" s="293" t="s">
        <v>7718</v>
      </c>
      <c r="G1621" s="293" t="s">
        <v>5578</v>
      </c>
      <c r="H1621" s="294">
        <v>43190</v>
      </c>
      <c r="I1621" s="295">
        <v>-4399.9399999999996</v>
      </c>
    </row>
    <row r="1622" spans="1:9" x14ac:dyDescent="0.2">
      <c r="A1622" s="293" t="s">
        <v>7727</v>
      </c>
      <c r="B1622" s="293" t="s">
        <v>5666</v>
      </c>
      <c r="C1622" s="293" t="s">
        <v>6062</v>
      </c>
      <c r="D1622" s="293" t="s">
        <v>5859</v>
      </c>
      <c r="E1622" s="293" t="s">
        <v>6063</v>
      </c>
      <c r="F1622" s="293" t="s">
        <v>7718</v>
      </c>
      <c r="G1622" s="293" t="s">
        <v>5579</v>
      </c>
      <c r="H1622" s="294">
        <v>43190</v>
      </c>
      <c r="I1622" s="295">
        <v>-2351.71</v>
      </c>
    </row>
    <row r="1623" spans="1:9" x14ac:dyDescent="0.2">
      <c r="A1623" s="293" t="s">
        <v>7728</v>
      </c>
      <c r="B1623" s="293" t="s">
        <v>5666</v>
      </c>
      <c r="C1623" s="293" t="s">
        <v>6065</v>
      </c>
      <c r="D1623" s="293" t="s">
        <v>5859</v>
      </c>
      <c r="E1623" s="293" t="s">
        <v>6063</v>
      </c>
      <c r="F1623" s="293" t="s">
        <v>7718</v>
      </c>
      <c r="G1623" s="293" t="s">
        <v>5579</v>
      </c>
      <c r="H1623" s="294">
        <v>43190</v>
      </c>
      <c r="I1623" s="295">
        <v>-63.12</v>
      </c>
    </row>
    <row r="1624" spans="1:9" x14ac:dyDescent="0.2">
      <c r="A1624" s="293" t="s">
        <v>7729</v>
      </c>
      <c r="B1624" s="293" t="s">
        <v>5666</v>
      </c>
      <c r="C1624" s="293" t="s">
        <v>6067</v>
      </c>
      <c r="D1624" s="293" t="s">
        <v>5859</v>
      </c>
      <c r="E1624" s="293" t="s">
        <v>5817</v>
      </c>
      <c r="F1624" s="293" t="s">
        <v>7718</v>
      </c>
      <c r="G1624" s="293" t="s">
        <v>5591</v>
      </c>
      <c r="H1624" s="294">
        <v>43190</v>
      </c>
      <c r="I1624" s="295">
        <v>-6308.36</v>
      </c>
    </row>
    <row r="1625" spans="1:9" x14ac:dyDescent="0.2">
      <c r="A1625" s="293" t="s">
        <v>7730</v>
      </c>
      <c r="B1625" s="293" t="s">
        <v>5666</v>
      </c>
      <c r="C1625" s="293" t="s">
        <v>6069</v>
      </c>
      <c r="D1625" s="293" t="s">
        <v>5859</v>
      </c>
      <c r="E1625" s="293" t="s">
        <v>5817</v>
      </c>
      <c r="F1625" s="293" t="s">
        <v>7718</v>
      </c>
      <c r="G1625" s="293" t="s">
        <v>5591</v>
      </c>
      <c r="H1625" s="294">
        <v>43190</v>
      </c>
      <c r="I1625" s="295">
        <v>-7695.19</v>
      </c>
    </row>
    <row r="1626" spans="1:9" x14ac:dyDescent="0.2">
      <c r="A1626" s="293" t="s">
        <v>7731</v>
      </c>
      <c r="B1626" s="293" t="s">
        <v>5666</v>
      </c>
      <c r="C1626" s="293" t="s">
        <v>6471</v>
      </c>
      <c r="D1626" s="293" t="s">
        <v>5859</v>
      </c>
      <c r="E1626" s="293" t="s">
        <v>6829</v>
      </c>
      <c r="F1626" s="293" t="s">
        <v>7718</v>
      </c>
      <c r="G1626" s="293" t="s">
        <v>5589</v>
      </c>
      <c r="H1626" s="294">
        <v>43190</v>
      </c>
      <c r="I1626" s="295">
        <v>-7123.53</v>
      </c>
    </row>
    <row r="1627" spans="1:9" x14ac:dyDescent="0.2">
      <c r="A1627" s="293" t="s">
        <v>7732</v>
      </c>
      <c r="B1627" s="293" t="s">
        <v>5666</v>
      </c>
      <c r="C1627" s="293" t="s">
        <v>6473</v>
      </c>
      <c r="D1627" s="293" t="s">
        <v>5859</v>
      </c>
      <c r="E1627" s="293" t="s">
        <v>6474</v>
      </c>
      <c r="F1627" s="293" t="s">
        <v>7718</v>
      </c>
      <c r="G1627" s="293" t="s">
        <v>5593</v>
      </c>
      <c r="H1627" s="294">
        <v>43190</v>
      </c>
      <c r="I1627" s="295">
        <v>-14668.67</v>
      </c>
    </row>
    <row r="1628" spans="1:9" x14ac:dyDescent="0.2">
      <c r="A1628" s="293" t="s">
        <v>7733</v>
      </c>
      <c r="B1628" s="293" t="s">
        <v>5666</v>
      </c>
      <c r="C1628" s="293" t="s">
        <v>6920</v>
      </c>
      <c r="D1628" s="293" t="s">
        <v>5859</v>
      </c>
      <c r="E1628" s="293" t="s">
        <v>6921</v>
      </c>
      <c r="F1628" s="293" t="s">
        <v>7718</v>
      </c>
      <c r="G1628" s="293" t="s">
        <v>5754</v>
      </c>
      <c r="H1628" s="294">
        <v>43190</v>
      </c>
      <c r="I1628" s="295">
        <v>-8710.42</v>
      </c>
    </row>
    <row r="1629" spans="1:9" x14ac:dyDescent="0.2">
      <c r="A1629" s="293" t="s">
        <v>7734</v>
      </c>
      <c r="B1629" s="293" t="s">
        <v>5666</v>
      </c>
      <c r="C1629" s="293" t="s">
        <v>7219</v>
      </c>
      <c r="D1629" s="293" t="s">
        <v>5859</v>
      </c>
      <c r="E1629" s="293" t="s">
        <v>7080</v>
      </c>
      <c r="F1629" s="293" t="s">
        <v>7718</v>
      </c>
      <c r="G1629" s="293" t="s">
        <v>5755</v>
      </c>
      <c r="H1629" s="294">
        <v>43190</v>
      </c>
      <c r="I1629" s="295">
        <v>-7028.09</v>
      </c>
    </row>
    <row r="1630" spans="1:9" x14ac:dyDescent="0.2">
      <c r="A1630" s="293" t="s">
        <v>7735</v>
      </c>
      <c r="B1630" s="293" t="s">
        <v>5666</v>
      </c>
      <c r="C1630" s="293" t="s">
        <v>6052</v>
      </c>
      <c r="D1630" s="293" t="s">
        <v>5859</v>
      </c>
      <c r="E1630" s="293" t="s">
        <v>5817</v>
      </c>
      <c r="F1630" s="293" t="s">
        <v>7736</v>
      </c>
      <c r="G1630" s="293" t="s">
        <v>5577</v>
      </c>
      <c r="H1630" s="294">
        <v>43191</v>
      </c>
      <c r="I1630" s="295">
        <v>-7696.08</v>
      </c>
    </row>
    <row r="1631" spans="1:9" x14ac:dyDescent="0.2">
      <c r="A1631" s="293" t="s">
        <v>7737</v>
      </c>
      <c r="B1631" s="293" t="s">
        <v>5666</v>
      </c>
      <c r="C1631" s="293" t="s">
        <v>6054</v>
      </c>
      <c r="D1631" s="293" t="s">
        <v>5859</v>
      </c>
      <c r="E1631" s="293" t="s">
        <v>5817</v>
      </c>
      <c r="F1631" s="293" t="s">
        <v>7736</v>
      </c>
      <c r="G1631" s="293" t="s">
        <v>5577</v>
      </c>
      <c r="H1631" s="294">
        <v>43191</v>
      </c>
      <c r="I1631" s="295">
        <v>-3633.17</v>
      </c>
    </row>
    <row r="1632" spans="1:9" x14ac:dyDescent="0.2">
      <c r="A1632" s="293" t="s">
        <v>7738</v>
      </c>
      <c r="B1632" s="293" t="s">
        <v>5666</v>
      </c>
      <c r="C1632" s="293" t="s">
        <v>6067</v>
      </c>
      <c r="D1632" s="293" t="s">
        <v>5859</v>
      </c>
      <c r="E1632" s="293" t="s">
        <v>5817</v>
      </c>
      <c r="F1632" s="293" t="s">
        <v>7736</v>
      </c>
      <c r="G1632" s="293" t="s">
        <v>5591</v>
      </c>
      <c r="H1632" s="294">
        <v>43191</v>
      </c>
      <c r="I1632" s="295">
        <v>-6308.36</v>
      </c>
    </row>
    <row r="1633" spans="1:9" x14ac:dyDescent="0.2">
      <c r="A1633" s="293" t="s">
        <v>7739</v>
      </c>
      <c r="B1633" s="293" t="s">
        <v>5666</v>
      </c>
      <c r="C1633" s="293" t="s">
        <v>6069</v>
      </c>
      <c r="D1633" s="293" t="s">
        <v>5859</v>
      </c>
      <c r="E1633" s="293" t="s">
        <v>5817</v>
      </c>
      <c r="F1633" s="293" t="s">
        <v>7736</v>
      </c>
      <c r="G1633" s="293" t="s">
        <v>5591</v>
      </c>
      <c r="H1633" s="294">
        <v>43191</v>
      </c>
      <c r="I1633" s="295">
        <v>-7695.19</v>
      </c>
    </row>
    <row r="1634" spans="1:9" x14ac:dyDescent="0.2">
      <c r="A1634" s="293" t="s">
        <v>7740</v>
      </c>
      <c r="B1634" s="293" t="s">
        <v>5666</v>
      </c>
      <c r="C1634" s="293" t="s">
        <v>6027</v>
      </c>
      <c r="D1634" s="293" t="s">
        <v>5859</v>
      </c>
      <c r="E1634" s="293" t="s">
        <v>6028</v>
      </c>
      <c r="F1634" s="293" t="s">
        <v>7741</v>
      </c>
      <c r="G1634" s="293" t="s">
        <v>5573</v>
      </c>
      <c r="H1634" s="294">
        <v>43220</v>
      </c>
      <c r="I1634" s="295">
        <v>-6400.96</v>
      </c>
    </row>
    <row r="1635" spans="1:9" x14ac:dyDescent="0.2">
      <c r="A1635" s="293" t="s">
        <v>7742</v>
      </c>
      <c r="B1635" s="293" t="s">
        <v>5666</v>
      </c>
      <c r="C1635" s="293" t="s">
        <v>6030</v>
      </c>
      <c r="D1635" s="293" t="s">
        <v>5859</v>
      </c>
      <c r="E1635" s="293" t="s">
        <v>6028</v>
      </c>
      <c r="F1635" s="293" t="s">
        <v>7741</v>
      </c>
      <c r="G1635" s="293" t="s">
        <v>5573</v>
      </c>
      <c r="H1635" s="294">
        <v>43220</v>
      </c>
      <c r="I1635" s="295">
        <v>-130.22</v>
      </c>
    </row>
    <row r="1636" spans="1:9" x14ac:dyDescent="0.2">
      <c r="A1636" s="293" t="s">
        <v>7743</v>
      </c>
      <c r="B1636" s="293" t="s">
        <v>5666</v>
      </c>
      <c r="C1636" s="293" t="s">
        <v>6032</v>
      </c>
      <c r="D1636" s="293" t="s">
        <v>5859</v>
      </c>
      <c r="E1636" s="293" t="s">
        <v>6033</v>
      </c>
      <c r="F1636" s="293" t="s">
        <v>7741</v>
      </c>
      <c r="G1636" s="293" t="s">
        <v>5585</v>
      </c>
      <c r="H1636" s="294">
        <v>43220</v>
      </c>
      <c r="I1636" s="295">
        <v>-6872.38</v>
      </c>
    </row>
    <row r="1637" spans="1:9" x14ac:dyDescent="0.2">
      <c r="A1637" s="293" t="s">
        <v>7744</v>
      </c>
      <c r="B1637" s="293" t="s">
        <v>5666</v>
      </c>
      <c r="C1637" s="293" t="s">
        <v>6035</v>
      </c>
      <c r="D1637" s="293" t="s">
        <v>5859</v>
      </c>
      <c r="E1637" s="293" t="s">
        <v>6033</v>
      </c>
      <c r="F1637" s="293" t="s">
        <v>7741</v>
      </c>
      <c r="G1637" s="293" t="s">
        <v>5585</v>
      </c>
      <c r="H1637" s="294">
        <v>43220</v>
      </c>
      <c r="I1637" s="295">
        <v>-4630.24</v>
      </c>
    </row>
    <row r="1638" spans="1:9" x14ac:dyDescent="0.2">
      <c r="A1638" s="293" t="s">
        <v>7745</v>
      </c>
      <c r="B1638" s="293" t="s">
        <v>5666</v>
      </c>
      <c r="C1638" s="293" t="s">
        <v>6037</v>
      </c>
      <c r="D1638" s="293" t="s">
        <v>5859</v>
      </c>
      <c r="E1638" s="293" t="s">
        <v>6038</v>
      </c>
      <c r="F1638" s="293" t="s">
        <v>7741</v>
      </c>
      <c r="G1638" s="293" t="s">
        <v>5586</v>
      </c>
      <c r="H1638" s="294">
        <v>43220</v>
      </c>
      <c r="I1638" s="295">
        <v>-3059.89</v>
      </c>
    </row>
    <row r="1639" spans="1:9" x14ac:dyDescent="0.2">
      <c r="A1639" s="293" t="s">
        <v>7746</v>
      </c>
      <c r="B1639" s="293" t="s">
        <v>5666</v>
      </c>
      <c r="C1639" s="293" t="s">
        <v>6040</v>
      </c>
      <c r="D1639" s="293" t="s">
        <v>5859</v>
      </c>
      <c r="E1639" s="293" t="s">
        <v>6041</v>
      </c>
      <c r="F1639" s="293" t="s">
        <v>7741</v>
      </c>
      <c r="G1639" s="293" t="s">
        <v>5581</v>
      </c>
      <c r="H1639" s="294">
        <v>43220</v>
      </c>
      <c r="I1639" s="295">
        <v>-8058.13</v>
      </c>
    </row>
    <row r="1640" spans="1:9" x14ac:dyDescent="0.2">
      <c r="A1640" s="293" t="s">
        <v>7747</v>
      </c>
      <c r="B1640" s="293" t="s">
        <v>5666</v>
      </c>
      <c r="C1640" s="293" t="s">
        <v>6056</v>
      </c>
      <c r="D1640" s="293" t="s">
        <v>5859</v>
      </c>
      <c r="E1640" s="293" t="s">
        <v>6057</v>
      </c>
      <c r="F1640" s="293" t="s">
        <v>7741</v>
      </c>
      <c r="G1640" s="293" t="s">
        <v>5578</v>
      </c>
      <c r="H1640" s="294">
        <v>43220</v>
      </c>
      <c r="I1640" s="295">
        <v>-4399.9399999999996</v>
      </c>
    </row>
    <row r="1641" spans="1:9" x14ac:dyDescent="0.2">
      <c r="A1641" s="293" t="s">
        <v>7748</v>
      </c>
      <c r="B1641" s="293" t="s">
        <v>5666</v>
      </c>
      <c r="C1641" s="293" t="s">
        <v>6062</v>
      </c>
      <c r="D1641" s="293" t="s">
        <v>5859</v>
      </c>
      <c r="E1641" s="293" t="s">
        <v>6063</v>
      </c>
      <c r="F1641" s="293" t="s">
        <v>7741</v>
      </c>
      <c r="G1641" s="293" t="s">
        <v>5579</v>
      </c>
      <c r="H1641" s="294">
        <v>43220</v>
      </c>
      <c r="I1641" s="295">
        <v>-2351.71</v>
      </c>
    </row>
    <row r="1642" spans="1:9" x14ac:dyDescent="0.2">
      <c r="A1642" s="293" t="s">
        <v>7749</v>
      </c>
      <c r="B1642" s="293" t="s">
        <v>5666</v>
      </c>
      <c r="C1642" s="293" t="s">
        <v>6065</v>
      </c>
      <c r="D1642" s="293" t="s">
        <v>5859</v>
      </c>
      <c r="E1642" s="293" t="s">
        <v>6063</v>
      </c>
      <c r="F1642" s="293" t="s">
        <v>7741</v>
      </c>
      <c r="G1642" s="293" t="s">
        <v>5579</v>
      </c>
      <c r="H1642" s="294">
        <v>43220</v>
      </c>
      <c r="I1642" s="295">
        <v>-63.12</v>
      </c>
    </row>
    <row r="1643" spans="1:9" x14ac:dyDescent="0.2">
      <c r="A1643" s="293" t="s">
        <v>7750</v>
      </c>
      <c r="B1643" s="293" t="s">
        <v>5666</v>
      </c>
      <c r="C1643" s="293" t="s">
        <v>6471</v>
      </c>
      <c r="D1643" s="293" t="s">
        <v>5859</v>
      </c>
      <c r="E1643" s="293" t="s">
        <v>6829</v>
      </c>
      <c r="F1643" s="293" t="s">
        <v>7741</v>
      </c>
      <c r="G1643" s="293" t="s">
        <v>5589</v>
      </c>
      <c r="H1643" s="294">
        <v>43220</v>
      </c>
      <c r="I1643" s="295">
        <v>-7123.53</v>
      </c>
    </row>
    <row r="1644" spans="1:9" x14ac:dyDescent="0.2">
      <c r="A1644" s="293" t="s">
        <v>7751</v>
      </c>
      <c r="B1644" s="293" t="s">
        <v>5666</v>
      </c>
      <c r="C1644" s="293" t="s">
        <v>6473</v>
      </c>
      <c r="D1644" s="293" t="s">
        <v>5859</v>
      </c>
      <c r="E1644" s="293" t="s">
        <v>6474</v>
      </c>
      <c r="F1644" s="293" t="s">
        <v>7741</v>
      </c>
      <c r="G1644" s="293" t="s">
        <v>5593</v>
      </c>
      <c r="H1644" s="294">
        <v>43220</v>
      </c>
      <c r="I1644" s="295">
        <v>-14668.67</v>
      </c>
    </row>
    <row r="1645" spans="1:9" x14ac:dyDescent="0.2">
      <c r="A1645" s="293" t="s">
        <v>7752</v>
      </c>
      <c r="B1645" s="293" t="s">
        <v>5666</v>
      </c>
      <c r="C1645" s="293" t="s">
        <v>6920</v>
      </c>
      <c r="D1645" s="293" t="s">
        <v>5859</v>
      </c>
      <c r="E1645" s="293" t="s">
        <v>6921</v>
      </c>
      <c r="F1645" s="293" t="s">
        <v>7741</v>
      </c>
      <c r="G1645" s="293" t="s">
        <v>5754</v>
      </c>
      <c r="H1645" s="294">
        <v>43220</v>
      </c>
      <c r="I1645" s="295">
        <v>-8710.42</v>
      </c>
    </row>
    <row r="1646" spans="1:9" x14ac:dyDescent="0.2">
      <c r="A1646" s="293" t="s">
        <v>7753</v>
      </c>
      <c r="B1646" s="293" t="s">
        <v>5666</v>
      </c>
      <c r="C1646" s="293" t="s">
        <v>7219</v>
      </c>
      <c r="D1646" s="293" t="s">
        <v>5859</v>
      </c>
      <c r="E1646" s="293" t="s">
        <v>7080</v>
      </c>
      <c r="F1646" s="293" t="s">
        <v>7741</v>
      </c>
      <c r="G1646" s="293" t="s">
        <v>5755</v>
      </c>
      <c r="H1646" s="294">
        <v>43220</v>
      </c>
      <c r="I1646" s="295">
        <v>-7028.09</v>
      </c>
    </row>
    <row r="1647" spans="1:9" x14ac:dyDescent="0.2">
      <c r="A1647" s="293" t="s">
        <v>7754</v>
      </c>
      <c r="B1647" s="293" t="s">
        <v>5666</v>
      </c>
      <c r="C1647" s="293" t="s">
        <v>6027</v>
      </c>
      <c r="D1647" s="293" t="s">
        <v>5859</v>
      </c>
      <c r="E1647" s="293" t="s">
        <v>6028</v>
      </c>
      <c r="F1647" s="293" t="s">
        <v>7755</v>
      </c>
      <c r="G1647" s="293" t="s">
        <v>5573</v>
      </c>
      <c r="H1647" s="294">
        <v>43251</v>
      </c>
      <c r="I1647" s="295">
        <v>-6400.96</v>
      </c>
    </row>
    <row r="1648" spans="1:9" x14ac:dyDescent="0.2">
      <c r="A1648" s="293" t="s">
        <v>7756</v>
      </c>
      <c r="B1648" s="293" t="s">
        <v>5666</v>
      </c>
      <c r="C1648" s="293" t="s">
        <v>6030</v>
      </c>
      <c r="D1648" s="293" t="s">
        <v>5859</v>
      </c>
      <c r="E1648" s="293" t="s">
        <v>6028</v>
      </c>
      <c r="F1648" s="293" t="s">
        <v>7755</v>
      </c>
      <c r="G1648" s="293" t="s">
        <v>5573</v>
      </c>
      <c r="H1648" s="294">
        <v>43251</v>
      </c>
      <c r="I1648" s="295">
        <v>-130.22</v>
      </c>
    </row>
    <row r="1649" spans="1:9" x14ac:dyDescent="0.2">
      <c r="A1649" s="293" t="s">
        <v>7757</v>
      </c>
      <c r="B1649" s="293" t="s">
        <v>5666</v>
      </c>
      <c r="C1649" s="293" t="s">
        <v>6032</v>
      </c>
      <c r="D1649" s="293" t="s">
        <v>5859</v>
      </c>
      <c r="E1649" s="293" t="s">
        <v>6033</v>
      </c>
      <c r="F1649" s="293" t="s">
        <v>7755</v>
      </c>
      <c r="G1649" s="293" t="s">
        <v>5585</v>
      </c>
      <c r="H1649" s="294">
        <v>43251</v>
      </c>
      <c r="I1649" s="295">
        <v>-6872.38</v>
      </c>
    </row>
    <row r="1650" spans="1:9" x14ac:dyDescent="0.2">
      <c r="A1650" s="293" t="s">
        <v>7758</v>
      </c>
      <c r="B1650" s="293" t="s">
        <v>5666</v>
      </c>
      <c r="C1650" s="293" t="s">
        <v>6035</v>
      </c>
      <c r="D1650" s="293" t="s">
        <v>5859</v>
      </c>
      <c r="E1650" s="293" t="s">
        <v>6033</v>
      </c>
      <c r="F1650" s="293" t="s">
        <v>7755</v>
      </c>
      <c r="G1650" s="293" t="s">
        <v>5585</v>
      </c>
      <c r="H1650" s="294">
        <v>43251</v>
      </c>
      <c r="I1650" s="295">
        <v>-4630.24</v>
      </c>
    </row>
    <row r="1651" spans="1:9" x14ac:dyDescent="0.2">
      <c r="A1651" s="293" t="s">
        <v>7759</v>
      </c>
      <c r="B1651" s="293" t="s">
        <v>5666</v>
      </c>
      <c r="C1651" s="293" t="s">
        <v>6037</v>
      </c>
      <c r="D1651" s="293" t="s">
        <v>5859</v>
      </c>
      <c r="E1651" s="293" t="s">
        <v>6038</v>
      </c>
      <c r="F1651" s="293" t="s">
        <v>7755</v>
      </c>
      <c r="G1651" s="293" t="s">
        <v>5586</v>
      </c>
      <c r="H1651" s="294">
        <v>43251</v>
      </c>
      <c r="I1651" s="295">
        <v>-3059.89</v>
      </c>
    </row>
    <row r="1652" spans="1:9" x14ac:dyDescent="0.2">
      <c r="A1652" s="293" t="s">
        <v>7760</v>
      </c>
      <c r="B1652" s="293" t="s">
        <v>5666</v>
      </c>
      <c r="C1652" s="293" t="s">
        <v>6040</v>
      </c>
      <c r="D1652" s="293" t="s">
        <v>5859</v>
      </c>
      <c r="E1652" s="293" t="s">
        <v>6041</v>
      </c>
      <c r="F1652" s="293" t="s">
        <v>7755</v>
      </c>
      <c r="G1652" s="293" t="s">
        <v>5581</v>
      </c>
      <c r="H1652" s="294">
        <v>43251</v>
      </c>
      <c r="I1652" s="295">
        <v>-8058.13</v>
      </c>
    </row>
    <row r="1653" spans="1:9" x14ac:dyDescent="0.2">
      <c r="A1653" s="293" t="s">
        <v>7761</v>
      </c>
      <c r="B1653" s="293" t="s">
        <v>5666</v>
      </c>
      <c r="C1653" s="293" t="s">
        <v>6056</v>
      </c>
      <c r="D1653" s="293" t="s">
        <v>5859</v>
      </c>
      <c r="E1653" s="293" t="s">
        <v>6057</v>
      </c>
      <c r="F1653" s="293" t="s">
        <v>7755</v>
      </c>
      <c r="G1653" s="293" t="s">
        <v>5578</v>
      </c>
      <c r="H1653" s="294">
        <v>43251</v>
      </c>
      <c r="I1653" s="295">
        <v>-4399.9399999999996</v>
      </c>
    </row>
    <row r="1654" spans="1:9" x14ac:dyDescent="0.2">
      <c r="A1654" s="293" t="s">
        <v>7762</v>
      </c>
      <c r="B1654" s="293" t="s">
        <v>5666</v>
      </c>
      <c r="C1654" s="293" t="s">
        <v>6062</v>
      </c>
      <c r="D1654" s="293" t="s">
        <v>5859</v>
      </c>
      <c r="E1654" s="293" t="s">
        <v>6063</v>
      </c>
      <c r="F1654" s="293" t="s">
        <v>7755</v>
      </c>
      <c r="G1654" s="293" t="s">
        <v>5579</v>
      </c>
      <c r="H1654" s="294">
        <v>43251</v>
      </c>
      <c r="I1654" s="295">
        <v>-2351.71</v>
      </c>
    </row>
    <row r="1655" spans="1:9" x14ac:dyDescent="0.2">
      <c r="A1655" s="293" t="s">
        <v>7763</v>
      </c>
      <c r="B1655" s="293" t="s">
        <v>5666</v>
      </c>
      <c r="C1655" s="293" t="s">
        <v>6065</v>
      </c>
      <c r="D1655" s="293" t="s">
        <v>5859</v>
      </c>
      <c r="E1655" s="293" t="s">
        <v>6063</v>
      </c>
      <c r="F1655" s="293" t="s">
        <v>7755</v>
      </c>
      <c r="G1655" s="293" t="s">
        <v>5579</v>
      </c>
      <c r="H1655" s="294">
        <v>43251</v>
      </c>
      <c r="I1655" s="295">
        <v>-63.12</v>
      </c>
    </row>
    <row r="1656" spans="1:9" x14ac:dyDescent="0.2">
      <c r="A1656" s="293" t="s">
        <v>7764</v>
      </c>
      <c r="B1656" s="293" t="s">
        <v>5666</v>
      </c>
      <c r="C1656" s="293" t="s">
        <v>6052</v>
      </c>
      <c r="D1656" s="293" t="s">
        <v>5859</v>
      </c>
      <c r="E1656" s="293" t="s">
        <v>6594</v>
      </c>
      <c r="F1656" s="293" t="s">
        <v>7755</v>
      </c>
      <c r="G1656" s="293" t="s">
        <v>5577</v>
      </c>
      <c r="H1656" s="294">
        <v>43251</v>
      </c>
      <c r="I1656" s="295">
        <v>-3848.02</v>
      </c>
    </row>
    <row r="1657" spans="1:9" x14ac:dyDescent="0.2">
      <c r="A1657" s="293" t="s">
        <v>7765</v>
      </c>
      <c r="B1657" s="293" t="s">
        <v>5666</v>
      </c>
      <c r="C1657" s="293" t="s">
        <v>6054</v>
      </c>
      <c r="D1657" s="293" t="s">
        <v>5859</v>
      </c>
      <c r="E1657" s="293" t="s">
        <v>6594</v>
      </c>
      <c r="F1657" s="293" t="s">
        <v>7755</v>
      </c>
      <c r="G1657" s="293" t="s">
        <v>5577</v>
      </c>
      <c r="H1657" s="294">
        <v>43251</v>
      </c>
      <c r="I1657" s="295">
        <v>-1816.76</v>
      </c>
    </row>
    <row r="1658" spans="1:9" x14ac:dyDescent="0.2">
      <c r="A1658" s="293" t="s">
        <v>7766</v>
      </c>
      <c r="B1658" s="293" t="s">
        <v>5666</v>
      </c>
      <c r="C1658" s="293" t="s">
        <v>6067</v>
      </c>
      <c r="D1658" s="293" t="s">
        <v>5859</v>
      </c>
      <c r="E1658" s="293" t="s">
        <v>6594</v>
      </c>
      <c r="F1658" s="293" t="s">
        <v>7755</v>
      </c>
      <c r="G1658" s="293" t="s">
        <v>5591</v>
      </c>
      <c r="H1658" s="294">
        <v>43251</v>
      </c>
      <c r="I1658" s="295">
        <v>-3154.28</v>
      </c>
    </row>
    <row r="1659" spans="1:9" x14ac:dyDescent="0.2">
      <c r="A1659" s="293" t="s">
        <v>7767</v>
      </c>
      <c r="B1659" s="293" t="s">
        <v>5666</v>
      </c>
      <c r="C1659" s="293" t="s">
        <v>6069</v>
      </c>
      <c r="D1659" s="293" t="s">
        <v>5859</v>
      </c>
      <c r="E1659" s="293" t="s">
        <v>6594</v>
      </c>
      <c r="F1659" s="293" t="s">
        <v>7755</v>
      </c>
      <c r="G1659" s="293" t="s">
        <v>5591</v>
      </c>
      <c r="H1659" s="294">
        <v>43251</v>
      </c>
      <c r="I1659" s="295">
        <v>-3847.44</v>
      </c>
    </row>
    <row r="1660" spans="1:9" x14ac:dyDescent="0.2">
      <c r="A1660" s="293" t="s">
        <v>7768</v>
      </c>
      <c r="B1660" s="293" t="s">
        <v>5666</v>
      </c>
      <c r="C1660" s="293" t="s">
        <v>6471</v>
      </c>
      <c r="D1660" s="293" t="s">
        <v>5859</v>
      </c>
      <c r="E1660" s="293" t="s">
        <v>6829</v>
      </c>
      <c r="F1660" s="293" t="s">
        <v>7755</v>
      </c>
      <c r="G1660" s="293" t="s">
        <v>5589</v>
      </c>
      <c r="H1660" s="294">
        <v>43251</v>
      </c>
      <c r="I1660" s="295">
        <v>-7123.53</v>
      </c>
    </row>
    <row r="1661" spans="1:9" x14ac:dyDescent="0.2">
      <c r="A1661" s="293" t="s">
        <v>7769</v>
      </c>
      <c r="B1661" s="293" t="s">
        <v>5666</v>
      </c>
      <c r="C1661" s="293" t="s">
        <v>6473</v>
      </c>
      <c r="D1661" s="293" t="s">
        <v>5859</v>
      </c>
      <c r="E1661" s="293" t="s">
        <v>6474</v>
      </c>
      <c r="F1661" s="293" t="s">
        <v>7755</v>
      </c>
      <c r="G1661" s="293" t="s">
        <v>5593</v>
      </c>
      <c r="H1661" s="294">
        <v>43251</v>
      </c>
      <c r="I1661" s="295">
        <v>-14668.67</v>
      </c>
    </row>
    <row r="1662" spans="1:9" x14ac:dyDescent="0.2">
      <c r="A1662" s="293" t="s">
        <v>7770</v>
      </c>
      <c r="B1662" s="293" t="s">
        <v>5666</v>
      </c>
      <c r="C1662" s="293" t="s">
        <v>6920</v>
      </c>
      <c r="D1662" s="293" t="s">
        <v>5859</v>
      </c>
      <c r="E1662" s="293" t="s">
        <v>6921</v>
      </c>
      <c r="F1662" s="293" t="s">
        <v>7755</v>
      </c>
      <c r="G1662" s="293" t="s">
        <v>5754</v>
      </c>
      <c r="H1662" s="294">
        <v>43251</v>
      </c>
      <c r="I1662" s="295">
        <v>-8710.42</v>
      </c>
    </row>
    <row r="1663" spans="1:9" x14ac:dyDescent="0.2">
      <c r="A1663" s="293" t="s">
        <v>7771</v>
      </c>
      <c r="B1663" s="293" t="s">
        <v>5666</v>
      </c>
      <c r="C1663" s="293" t="s">
        <v>7219</v>
      </c>
      <c r="D1663" s="293" t="s">
        <v>5859</v>
      </c>
      <c r="E1663" s="293" t="s">
        <v>7080</v>
      </c>
      <c r="F1663" s="293" t="s">
        <v>7755</v>
      </c>
      <c r="G1663" s="293" t="s">
        <v>5755</v>
      </c>
      <c r="H1663" s="294">
        <v>43251</v>
      </c>
      <c r="I1663" s="295">
        <v>-7028.09</v>
      </c>
    </row>
    <row r="1664" spans="1:9" x14ac:dyDescent="0.2">
      <c r="A1664" s="293" t="s">
        <v>7772</v>
      </c>
      <c r="B1664" s="293" t="s">
        <v>6010</v>
      </c>
      <c r="C1664" s="293" t="s">
        <v>7773</v>
      </c>
      <c r="D1664" s="293" t="s">
        <v>5859</v>
      </c>
      <c r="E1664" s="293" t="s">
        <v>7773</v>
      </c>
      <c r="F1664" s="293" t="s">
        <v>7774</v>
      </c>
      <c r="G1664" s="293" t="s">
        <v>7245</v>
      </c>
      <c r="H1664" s="294">
        <v>43277</v>
      </c>
      <c r="I1664" s="295">
        <v>58928.57</v>
      </c>
    </row>
    <row r="1665" spans="1:9" x14ac:dyDescent="0.2">
      <c r="A1665" s="293" t="s">
        <v>7775</v>
      </c>
      <c r="B1665" s="293" t="s">
        <v>6134</v>
      </c>
      <c r="C1665" s="293" t="s">
        <v>7776</v>
      </c>
      <c r="D1665" s="293" t="s">
        <v>5859</v>
      </c>
      <c r="E1665" s="293" t="s">
        <v>5088</v>
      </c>
      <c r="F1665" s="293" t="s">
        <v>7777</v>
      </c>
      <c r="G1665" s="293" t="s">
        <v>7245</v>
      </c>
      <c r="H1665" s="294">
        <v>43258</v>
      </c>
      <c r="I1665" s="295">
        <v>2406250</v>
      </c>
    </row>
    <row r="1666" spans="1:9" x14ac:dyDescent="0.2">
      <c r="A1666" s="293" t="s">
        <v>7778</v>
      </c>
      <c r="B1666" s="293" t="s">
        <v>6010</v>
      </c>
      <c r="C1666" s="293" t="s">
        <v>7779</v>
      </c>
      <c r="D1666" s="293" t="s">
        <v>5859</v>
      </c>
      <c r="E1666" s="293" t="s">
        <v>7780</v>
      </c>
      <c r="F1666" s="293" t="s">
        <v>7781</v>
      </c>
      <c r="G1666" s="293" t="s">
        <v>7245</v>
      </c>
      <c r="H1666" s="294">
        <v>43585</v>
      </c>
      <c r="I1666" s="295">
        <v>6757.46</v>
      </c>
    </row>
    <row r="1667" spans="1:9" x14ac:dyDescent="0.2">
      <c r="A1667" s="293" t="s">
        <v>7782</v>
      </c>
      <c r="B1667" s="293" t="s">
        <v>6010</v>
      </c>
      <c r="C1667" s="293" t="s">
        <v>7783</v>
      </c>
      <c r="D1667" s="293" t="s">
        <v>5859</v>
      </c>
      <c r="E1667" s="293" t="s">
        <v>7783</v>
      </c>
      <c r="F1667" s="293" t="s">
        <v>7784</v>
      </c>
      <c r="G1667" s="293" t="s">
        <v>7245</v>
      </c>
      <c r="H1667" s="294">
        <v>43277</v>
      </c>
      <c r="I1667" s="295">
        <v>39285</v>
      </c>
    </row>
    <row r="1668" spans="1:9" x14ac:dyDescent="0.2">
      <c r="A1668" s="293" t="s">
        <v>7785</v>
      </c>
      <c r="B1668" s="293" t="s">
        <v>6010</v>
      </c>
      <c r="C1668" s="293" t="s">
        <v>7786</v>
      </c>
      <c r="D1668" s="293" t="s">
        <v>5859</v>
      </c>
      <c r="E1668" s="293" t="s">
        <v>7787</v>
      </c>
      <c r="F1668" s="293" t="s">
        <v>7788</v>
      </c>
      <c r="G1668" s="293" t="s">
        <v>5754</v>
      </c>
      <c r="H1668" s="294">
        <v>43280</v>
      </c>
      <c r="I1668" s="295">
        <v>185625</v>
      </c>
    </row>
    <row r="1669" spans="1:9" x14ac:dyDescent="0.2">
      <c r="A1669" s="293" t="s">
        <v>7789</v>
      </c>
      <c r="B1669" s="293" t="s">
        <v>6010</v>
      </c>
      <c r="C1669" s="293" t="s">
        <v>7790</v>
      </c>
      <c r="D1669" s="293" t="s">
        <v>5859</v>
      </c>
      <c r="E1669" s="293" t="s">
        <v>5088</v>
      </c>
      <c r="F1669" s="293" t="s">
        <v>7791</v>
      </c>
      <c r="G1669" s="293" t="s">
        <v>7245</v>
      </c>
      <c r="H1669" s="294">
        <v>43423</v>
      </c>
      <c r="I1669" s="295">
        <v>4601.1400000000003</v>
      </c>
    </row>
    <row r="1670" spans="1:9" x14ac:dyDescent="0.2">
      <c r="A1670" s="293" t="s">
        <v>7792</v>
      </c>
      <c r="B1670" s="293" t="s">
        <v>6010</v>
      </c>
      <c r="C1670" s="293" t="s">
        <v>7793</v>
      </c>
      <c r="D1670" s="293" t="s">
        <v>5859</v>
      </c>
      <c r="E1670" s="293" t="s">
        <v>5088</v>
      </c>
      <c r="F1670" s="293" t="s">
        <v>7794</v>
      </c>
      <c r="G1670" s="293" t="s">
        <v>7245</v>
      </c>
      <c r="H1670" s="294">
        <v>43341</v>
      </c>
      <c r="I1670" s="295">
        <v>16985.18</v>
      </c>
    </row>
    <row r="1671" spans="1:9" x14ac:dyDescent="0.2">
      <c r="A1671" s="293" t="s">
        <v>7795</v>
      </c>
      <c r="B1671" s="293" t="s">
        <v>6010</v>
      </c>
      <c r="C1671" s="293" t="s">
        <v>7796</v>
      </c>
      <c r="D1671" s="293" t="s">
        <v>5859</v>
      </c>
      <c r="E1671" s="293" t="s">
        <v>5088</v>
      </c>
      <c r="F1671" s="293" t="s">
        <v>7797</v>
      </c>
      <c r="G1671" s="293" t="s">
        <v>7245</v>
      </c>
      <c r="H1671" s="294">
        <v>43306</v>
      </c>
      <c r="I1671" s="295">
        <v>27260.41</v>
      </c>
    </row>
    <row r="1672" spans="1:9" x14ac:dyDescent="0.2">
      <c r="A1672" s="293" t="s">
        <v>7798</v>
      </c>
      <c r="B1672" s="293" t="s">
        <v>6010</v>
      </c>
      <c r="C1672" s="293" t="s">
        <v>7079</v>
      </c>
      <c r="D1672" s="293" t="s">
        <v>5859</v>
      </c>
      <c r="E1672" s="293" t="s">
        <v>7799</v>
      </c>
      <c r="F1672" s="293" t="s">
        <v>7800</v>
      </c>
      <c r="G1672" s="293" t="s">
        <v>5637</v>
      </c>
      <c r="H1672" s="294">
        <v>43281</v>
      </c>
      <c r="I1672" s="295">
        <v>-115900</v>
      </c>
    </row>
    <row r="1673" spans="1:9" x14ac:dyDescent="0.2">
      <c r="A1673" s="293" t="s">
        <v>7798</v>
      </c>
      <c r="B1673" s="293" t="s">
        <v>6010</v>
      </c>
      <c r="C1673" s="293" t="s">
        <v>7079</v>
      </c>
      <c r="D1673" s="293" t="s">
        <v>5859</v>
      </c>
      <c r="E1673" s="293" t="s">
        <v>7799</v>
      </c>
      <c r="F1673" s="293" t="s">
        <v>7800</v>
      </c>
      <c r="G1673" s="293" t="s">
        <v>7245</v>
      </c>
      <c r="H1673" s="294">
        <v>43281</v>
      </c>
      <c r="I1673" s="295">
        <v>91064.29</v>
      </c>
    </row>
    <row r="1674" spans="1:9" x14ac:dyDescent="0.2">
      <c r="A1674" s="293" t="s">
        <v>7798</v>
      </c>
      <c r="B1674" s="293" t="s">
        <v>6010</v>
      </c>
      <c r="C1674" s="293" t="s">
        <v>7079</v>
      </c>
      <c r="D1674" s="293" t="s">
        <v>5859</v>
      </c>
      <c r="E1674" s="293" t="s">
        <v>7783</v>
      </c>
      <c r="F1674" s="293" t="s">
        <v>7800</v>
      </c>
      <c r="G1674" s="293" t="s">
        <v>7245</v>
      </c>
      <c r="H1674" s="294">
        <v>43281</v>
      </c>
      <c r="I1674" s="295">
        <v>-39285</v>
      </c>
    </row>
    <row r="1675" spans="1:9" x14ac:dyDescent="0.2">
      <c r="A1675" s="293" t="s">
        <v>7798</v>
      </c>
      <c r="B1675" s="293" t="s">
        <v>6010</v>
      </c>
      <c r="C1675" s="293" t="s">
        <v>7079</v>
      </c>
      <c r="D1675" s="293" t="s">
        <v>5859</v>
      </c>
      <c r="E1675" s="293" t="s">
        <v>7783</v>
      </c>
      <c r="F1675" s="293" t="s">
        <v>7800</v>
      </c>
      <c r="G1675" s="293" t="s">
        <v>7245</v>
      </c>
      <c r="H1675" s="294">
        <v>43281</v>
      </c>
      <c r="I1675" s="295">
        <v>39285.71</v>
      </c>
    </row>
    <row r="1676" spans="1:9" x14ac:dyDescent="0.2">
      <c r="A1676" s="293" t="s">
        <v>7801</v>
      </c>
      <c r="B1676" s="293" t="s">
        <v>5666</v>
      </c>
      <c r="C1676" s="293" t="s">
        <v>6027</v>
      </c>
      <c r="D1676" s="293" t="s">
        <v>5859</v>
      </c>
      <c r="E1676" s="293" t="s">
        <v>6028</v>
      </c>
      <c r="F1676" s="293" t="s">
        <v>7802</v>
      </c>
      <c r="G1676" s="293" t="s">
        <v>5573</v>
      </c>
      <c r="H1676" s="294">
        <v>43281</v>
      </c>
      <c r="I1676" s="295">
        <v>-6400.96</v>
      </c>
    </row>
    <row r="1677" spans="1:9" x14ac:dyDescent="0.2">
      <c r="A1677" s="293" t="s">
        <v>7803</v>
      </c>
      <c r="B1677" s="293" t="s">
        <v>5666</v>
      </c>
      <c r="C1677" s="293" t="s">
        <v>6030</v>
      </c>
      <c r="D1677" s="293" t="s">
        <v>5859</v>
      </c>
      <c r="E1677" s="293" t="s">
        <v>6028</v>
      </c>
      <c r="F1677" s="293" t="s">
        <v>7802</v>
      </c>
      <c r="G1677" s="293" t="s">
        <v>5573</v>
      </c>
      <c r="H1677" s="294">
        <v>43281</v>
      </c>
      <c r="I1677" s="295">
        <v>-130.22</v>
      </c>
    </row>
    <row r="1678" spans="1:9" x14ac:dyDescent="0.2">
      <c r="A1678" s="293" t="s">
        <v>7804</v>
      </c>
      <c r="B1678" s="293" t="s">
        <v>5666</v>
      </c>
      <c r="C1678" s="293" t="s">
        <v>6032</v>
      </c>
      <c r="D1678" s="293" t="s">
        <v>5859</v>
      </c>
      <c r="E1678" s="293" t="s">
        <v>6033</v>
      </c>
      <c r="F1678" s="293" t="s">
        <v>7802</v>
      </c>
      <c r="G1678" s="293" t="s">
        <v>5585</v>
      </c>
      <c r="H1678" s="294">
        <v>43281</v>
      </c>
      <c r="I1678" s="295">
        <v>-6872.38</v>
      </c>
    </row>
    <row r="1679" spans="1:9" x14ac:dyDescent="0.2">
      <c r="A1679" s="293" t="s">
        <v>7805</v>
      </c>
      <c r="B1679" s="293" t="s">
        <v>5666</v>
      </c>
      <c r="C1679" s="293" t="s">
        <v>6035</v>
      </c>
      <c r="D1679" s="293" t="s">
        <v>5859</v>
      </c>
      <c r="E1679" s="293" t="s">
        <v>6033</v>
      </c>
      <c r="F1679" s="293" t="s">
        <v>7802</v>
      </c>
      <c r="G1679" s="293" t="s">
        <v>5585</v>
      </c>
      <c r="H1679" s="294">
        <v>43281</v>
      </c>
      <c r="I1679" s="295">
        <v>-4630.24</v>
      </c>
    </row>
    <row r="1680" spans="1:9" x14ac:dyDescent="0.2">
      <c r="A1680" s="293" t="s">
        <v>7806</v>
      </c>
      <c r="B1680" s="293" t="s">
        <v>5666</v>
      </c>
      <c r="C1680" s="293" t="s">
        <v>6037</v>
      </c>
      <c r="D1680" s="293" t="s">
        <v>5859</v>
      </c>
      <c r="E1680" s="293" t="s">
        <v>6038</v>
      </c>
      <c r="F1680" s="293" t="s">
        <v>7802</v>
      </c>
      <c r="G1680" s="293" t="s">
        <v>5586</v>
      </c>
      <c r="H1680" s="294">
        <v>43281</v>
      </c>
      <c r="I1680" s="295">
        <v>-3059.89</v>
      </c>
    </row>
    <row r="1681" spans="1:9" x14ac:dyDescent="0.2">
      <c r="A1681" s="293" t="s">
        <v>7807</v>
      </c>
      <c r="B1681" s="293" t="s">
        <v>5666</v>
      </c>
      <c r="C1681" s="293" t="s">
        <v>6040</v>
      </c>
      <c r="D1681" s="293" t="s">
        <v>5859</v>
      </c>
      <c r="E1681" s="293" t="s">
        <v>6041</v>
      </c>
      <c r="F1681" s="293" t="s">
        <v>7802</v>
      </c>
      <c r="G1681" s="293" t="s">
        <v>5581</v>
      </c>
      <c r="H1681" s="294">
        <v>43281</v>
      </c>
      <c r="I1681" s="295">
        <v>-8058.13</v>
      </c>
    </row>
    <row r="1682" spans="1:9" x14ac:dyDescent="0.2">
      <c r="A1682" s="293" t="s">
        <v>7808</v>
      </c>
      <c r="B1682" s="293" t="s">
        <v>5666</v>
      </c>
      <c r="C1682" s="293" t="s">
        <v>6056</v>
      </c>
      <c r="D1682" s="293" t="s">
        <v>5859</v>
      </c>
      <c r="E1682" s="293" t="s">
        <v>6057</v>
      </c>
      <c r="F1682" s="293" t="s">
        <v>7802</v>
      </c>
      <c r="G1682" s="293" t="s">
        <v>5578</v>
      </c>
      <c r="H1682" s="294">
        <v>43281</v>
      </c>
      <c r="I1682" s="295">
        <v>-4399.9399999999996</v>
      </c>
    </row>
    <row r="1683" spans="1:9" x14ac:dyDescent="0.2">
      <c r="A1683" s="293" t="s">
        <v>7809</v>
      </c>
      <c r="B1683" s="293" t="s">
        <v>5666</v>
      </c>
      <c r="C1683" s="293" t="s">
        <v>6062</v>
      </c>
      <c r="D1683" s="293" t="s">
        <v>5859</v>
      </c>
      <c r="E1683" s="293" t="s">
        <v>6063</v>
      </c>
      <c r="F1683" s="293" t="s">
        <v>7802</v>
      </c>
      <c r="G1683" s="293" t="s">
        <v>5579</v>
      </c>
      <c r="H1683" s="294">
        <v>43281</v>
      </c>
      <c r="I1683" s="295">
        <v>-2351.71</v>
      </c>
    </row>
    <row r="1684" spans="1:9" x14ac:dyDescent="0.2">
      <c r="A1684" s="293" t="s">
        <v>7810</v>
      </c>
      <c r="B1684" s="293" t="s">
        <v>5666</v>
      </c>
      <c r="C1684" s="293" t="s">
        <v>6065</v>
      </c>
      <c r="D1684" s="293" t="s">
        <v>5859</v>
      </c>
      <c r="E1684" s="293" t="s">
        <v>6063</v>
      </c>
      <c r="F1684" s="293" t="s">
        <v>7802</v>
      </c>
      <c r="G1684" s="293" t="s">
        <v>5579</v>
      </c>
      <c r="H1684" s="294">
        <v>43281</v>
      </c>
      <c r="I1684" s="295">
        <v>-63.12</v>
      </c>
    </row>
    <row r="1685" spans="1:9" x14ac:dyDescent="0.2">
      <c r="A1685" s="293" t="s">
        <v>7811</v>
      </c>
      <c r="B1685" s="293" t="s">
        <v>5666</v>
      </c>
      <c r="C1685" s="293" t="s">
        <v>6471</v>
      </c>
      <c r="D1685" s="293" t="s">
        <v>5859</v>
      </c>
      <c r="E1685" s="293" t="s">
        <v>6829</v>
      </c>
      <c r="F1685" s="293" t="s">
        <v>7802</v>
      </c>
      <c r="G1685" s="293" t="s">
        <v>5589</v>
      </c>
      <c r="H1685" s="294">
        <v>43281</v>
      </c>
      <c r="I1685" s="295">
        <v>-7123.53</v>
      </c>
    </row>
    <row r="1686" spans="1:9" x14ac:dyDescent="0.2">
      <c r="A1686" s="293" t="s">
        <v>7812</v>
      </c>
      <c r="B1686" s="293" t="s">
        <v>5666</v>
      </c>
      <c r="C1686" s="293" t="s">
        <v>6473</v>
      </c>
      <c r="D1686" s="293" t="s">
        <v>5859</v>
      </c>
      <c r="E1686" s="293" t="s">
        <v>6474</v>
      </c>
      <c r="F1686" s="293" t="s">
        <v>7802</v>
      </c>
      <c r="G1686" s="293" t="s">
        <v>5593</v>
      </c>
      <c r="H1686" s="294">
        <v>43281</v>
      </c>
      <c r="I1686" s="295">
        <v>-14668.67</v>
      </c>
    </row>
    <row r="1687" spans="1:9" x14ac:dyDescent="0.2">
      <c r="A1687" s="293" t="s">
        <v>7813</v>
      </c>
      <c r="B1687" s="293" t="s">
        <v>5666</v>
      </c>
      <c r="C1687" s="293" t="s">
        <v>6920</v>
      </c>
      <c r="D1687" s="293" t="s">
        <v>5859</v>
      </c>
      <c r="E1687" s="293" t="s">
        <v>6921</v>
      </c>
      <c r="F1687" s="293" t="s">
        <v>7802</v>
      </c>
      <c r="G1687" s="293" t="s">
        <v>5754</v>
      </c>
      <c r="H1687" s="294">
        <v>43281</v>
      </c>
      <c r="I1687" s="295">
        <v>-8710.42</v>
      </c>
    </row>
    <row r="1688" spans="1:9" x14ac:dyDescent="0.2">
      <c r="A1688" s="293" t="s">
        <v>7814</v>
      </c>
      <c r="B1688" s="293" t="s">
        <v>5666</v>
      </c>
      <c r="C1688" s="293" t="s">
        <v>7219</v>
      </c>
      <c r="D1688" s="293" t="s">
        <v>5859</v>
      </c>
      <c r="E1688" s="293" t="s">
        <v>7080</v>
      </c>
      <c r="F1688" s="293" t="s">
        <v>7802</v>
      </c>
      <c r="G1688" s="293" t="s">
        <v>5755</v>
      </c>
      <c r="H1688" s="294">
        <v>43281</v>
      </c>
      <c r="I1688" s="295">
        <v>-7028.09</v>
      </c>
    </row>
    <row r="1689" spans="1:9" x14ac:dyDescent="0.2">
      <c r="A1689" s="293" t="s">
        <v>7815</v>
      </c>
      <c r="B1689" s="293" t="s">
        <v>6010</v>
      </c>
      <c r="C1689" s="293" t="s">
        <v>7816</v>
      </c>
      <c r="D1689" s="293" t="s">
        <v>5859</v>
      </c>
      <c r="E1689" s="293" t="s">
        <v>7817</v>
      </c>
      <c r="F1689" s="293" t="s">
        <v>7802</v>
      </c>
      <c r="G1689" s="293" t="s">
        <v>7245</v>
      </c>
      <c r="H1689" s="294">
        <v>43281</v>
      </c>
      <c r="I1689" s="295">
        <v>-7724.2</v>
      </c>
    </row>
    <row r="1690" spans="1:9" x14ac:dyDescent="0.2">
      <c r="A1690" s="293" t="s">
        <v>7815</v>
      </c>
      <c r="B1690" s="293" t="s">
        <v>6010</v>
      </c>
      <c r="C1690" s="293" t="s">
        <v>7816</v>
      </c>
      <c r="D1690" s="293" t="s">
        <v>5859</v>
      </c>
      <c r="E1690" s="293" t="s">
        <v>7818</v>
      </c>
      <c r="F1690" s="293" t="s">
        <v>7802</v>
      </c>
      <c r="G1690" s="293" t="s">
        <v>5754</v>
      </c>
      <c r="H1690" s="294">
        <v>43281</v>
      </c>
      <c r="I1690" s="295">
        <v>-185625</v>
      </c>
    </row>
    <row r="1691" spans="1:9" x14ac:dyDescent="0.2">
      <c r="A1691" s="293" t="s">
        <v>7815</v>
      </c>
      <c r="B1691" s="293" t="s">
        <v>6010</v>
      </c>
      <c r="C1691" s="293" t="s">
        <v>7816</v>
      </c>
      <c r="D1691" s="293" t="s">
        <v>5859</v>
      </c>
      <c r="E1691" s="293" t="s">
        <v>7818</v>
      </c>
      <c r="F1691" s="293" t="s">
        <v>7802</v>
      </c>
      <c r="G1691" s="293" t="s">
        <v>7245</v>
      </c>
      <c r="H1691" s="294">
        <v>43281</v>
      </c>
      <c r="I1691" s="295">
        <v>185625</v>
      </c>
    </row>
    <row r="1692" spans="1:9" x14ac:dyDescent="0.2">
      <c r="A1692" s="293" t="s">
        <v>7819</v>
      </c>
      <c r="B1692" s="293" t="s">
        <v>6010</v>
      </c>
      <c r="C1692" s="293" t="s">
        <v>7820</v>
      </c>
      <c r="D1692" s="293" t="s">
        <v>5859</v>
      </c>
      <c r="E1692" s="293" t="s">
        <v>5088</v>
      </c>
      <c r="F1692" s="293" t="s">
        <v>7821</v>
      </c>
      <c r="G1692" s="293" t="s">
        <v>7245</v>
      </c>
      <c r="H1692" s="294">
        <v>43306</v>
      </c>
      <c r="I1692" s="295">
        <v>32811.01</v>
      </c>
    </row>
    <row r="1693" spans="1:9" x14ac:dyDescent="0.2">
      <c r="A1693" s="293" t="s">
        <v>7822</v>
      </c>
      <c r="B1693" s="293" t="s">
        <v>6010</v>
      </c>
      <c r="C1693" s="293" t="s">
        <v>7823</v>
      </c>
      <c r="D1693" s="293" t="s">
        <v>5859</v>
      </c>
      <c r="E1693" s="293" t="s">
        <v>5088</v>
      </c>
      <c r="F1693" s="293" t="s">
        <v>7824</v>
      </c>
      <c r="G1693" s="293" t="s">
        <v>7245</v>
      </c>
      <c r="H1693" s="294">
        <v>43356</v>
      </c>
      <c r="I1693" s="295">
        <v>153997.20000000001</v>
      </c>
    </row>
    <row r="1694" spans="1:9" x14ac:dyDescent="0.2">
      <c r="A1694" s="293" t="s">
        <v>7825</v>
      </c>
      <c r="B1694" s="293" t="s">
        <v>5666</v>
      </c>
      <c r="C1694" s="293" t="s">
        <v>6027</v>
      </c>
      <c r="D1694" s="293" t="s">
        <v>5859</v>
      </c>
      <c r="E1694" s="293" t="s">
        <v>6028</v>
      </c>
      <c r="F1694" s="293" t="s">
        <v>7826</v>
      </c>
      <c r="G1694" s="293" t="s">
        <v>5573</v>
      </c>
      <c r="H1694" s="294">
        <v>43312</v>
      </c>
      <c r="I1694" s="295">
        <v>-6400.96</v>
      </c>
    </row>
    <row r="1695" spans="1:9" x14ac:dyDescent="0.2">
      <c r="A1695" s="293" t="s">
        <v>7827</v>
      </c>
      <c r="B1695" s="293" t="s">
        <v>5666</v>
      </c>
      <c r="C1695" s="293" t="s">
        <v>6030</v>
      </c>
      <c r="D1695" s="293" t="s">
        <v>5859</v>
      </c>
      <c r="E1695" s="293" t="s">
        <v>6028</v>
      </c>
      <c r="F1695" s="293" t="s">
        <v>7826</v>
      </c>
      <c r="G1695" s="293" t="s">
        <v>5573</v>
      </c>
      <c r="H1695" s="294">
        <v>43312</v>
      </c>
      <c r="I1695" s="295">
        <v>-130.22</v>
      </c>
    </row>
    <row r="1696" spans="1:9" x14ac:dyDescent="0.2">
      <c r="A1696" s="293" t="s">
        <v>7828</v>
      </c>
      <c r="B1696" s="293" t="s">
        <v>5666</v>
      </c>
      <c r="C1696" s="293" t="s">
        <v>6032</v>
      </c>
      <c r="D1696" s="293" t="s">
        <v>5859</v>
      </c>
      <c r="E1696" s="293" t="s">
        <v>6033</v>
      </c>
      <c r="F1696" s="293" t="s">
        <v>7826</v>
      </c>
      <c r="G1696" s="293" t="s">
        <v>5585</v>
      </c>
      <c r="H1696" s="294">
        <v>43312</v>
      </c>
      <c r="I1696" s="295">
        <v>-6872.38</v>
      </c>
    </row>
    <row r="1697" spans="1:9" x14ac:dyDescent="0.2">
      <c r="A1697" s="293" t="s">
        <v>7829</v>
      </c>
      <c r="B1697" s="293" t="s">
        <v>5666</v>
      </c>
      <c r="C1697" s="293" t="s">
        <v>6035</v>
      </c>
      <c r="D1697" s="293" t="s">
        <v>5859</v>
      </c>
      <c r="E1697" s="293" t="s">
        <v>6033</v>
      </c>
      <c r="F1697" s="293" t="s">
        <v>7826</v>
      </c>
      <c r="G1697" s="293" t="s">
        <v>5585</v>
      </c>
      <c r="H1697" s="294">
        <v>43312</v>
      </c>
      <c r="I1697" s="295">
        <v>-4630.24</v>
      </c>
    </row>
    <row r="1698" spans="1:9" x14ac:dyDescent="0.2">
      <c r="A1698" s="293" t="s">
        <v>7830</v>
      </c>
      <c r="B1698" s="293" t="s">
        <v>5666</v>
      </c>
      <c r="C1698" s="293" t="s">
        <v>6037</v>
      </c>
      <c r="D1698" s="293" t="s">
        <v>5859</v>
      </c>
      <c r="E1698" s="293" t="s">
        <v>6038</v>
      </c>
      <c r="F1698" s="293" t="s">
        <v>7826</v>
      </c>
      <c r="G1698" s="293" t="s">
        <v>5586</v>
      </c>
      <c r="H1698" s="294">
        <v>43312</v>
      </c>
      <c r="I1698" s="295">
        <v>-3059.89</v>
      </c>
    </row>
    <row r="1699" spans="1:9" x14ac:dyDescent="0.2">
      <c r="A1699" s="293" t="s">
        <v>7831</v>
      </c>
      <c r="B1699" s="293" t="s">
        <v>5666</v>
      </c>
      <c r="C1699" s="293" t="s">
        <v>6040</v>
      </c>
      <c r="D1699" s="293" t="s">
        <v>5859</v>
      </c>
      <c r="E1699" s="293" t="s">
        <v>6041</v>
      </c>
      <c r="F1699" s="293" t="s">
        <v>7826</v>
      </c>
      <c r="G1699" s="293" t="s">
        <v>5581</v>
      </c>
      <c r="H1699" s="294">
        <v>43312</v>
      </c>
      <c r="I1699" s="295">
        <v>-8058.13</v>
      </c>
    </row>
    <row r="1700" spans="1:9" x14ac:dyDescent="0.2">
      <c r="A1700" s="293" t="s">
        <v>7832</v>
      </c>
      <c r="B1700" s="293" t="s">
        <v>5666</v>
      </c>
      <c r="C1700" s="293" t="s">
        <v>6056</v>
      </c>
      <c r="D1700" s="293" t="s">
        <v>5859</v>
      </c>
      <c r="E1700" s="293" t="s">
        <v>6057</v>
      </c>
      <c r="F1700" s="293" t="s">
        <v>7826</v>
      </c>
      <c r="G1700" s="293" t="s">
        <v>5578</v>
      </c>
      <c r="H1700" s="294">
        <v>43312</v>
      </c>
      <c r="I1700" s="295">
        <v>-4399.9399999999996</v>
      </c>
    </row>
    <row r="1701" spans="1:9" x14ac:dyDescent="0.2">
      <c r="A1701" s="293" t="s">
        <v>7833</v>
      </c>
      <c r="B1701" s="293" t="s">
        <v>5666</v>
      </c>
      <c r="C1701" s="293" t="s">
        <v>6062</v>
      </c>
      <c r="D1701" s="293" t="s">
        <v>5859</v>
      </c>
      <c r="E1701" s="293" t="s">
        <v>6063</v>
      </c>
      <c r="F1701" s="293" t="s">
        <v>7826</v>
      </c>
      <c r="G1701" s="293" t="s">
        <v>5579</v>
      </c>
      <c r="H1701" s="294">
        <v>43312</v>
      </c>
      <c r="I1701" s="295">
        <v>-2351.71</v>
      </c>
    </row>
    <row r="1702" spans="1:9" x14ac:dyDescent="0.2">
      <c r="A1702" s="293" t="s">
        <v>7834</v>
      </c>
      <c r="B1702" s="293" t="s">
        <v>5666</v>
      </c>
      <c r="C1702" s="293" t="s">
        <v>6065</v>
      </c>
      <c r="D1702" s="293" t="s">
        <v>5859</v>
      </c>
      <c r="E1702" s="293" t="s">
        <v>6063</v>
      </c>
      <c r="F1702" s="293" t="s">
        <v>7826</v>
      </c>
      <c r="G1702" s="293" t="s">
        <v>5579</v>
      </c>
      <c r="H1702" s="294">
        <v>43312</v>
      </c>
      <c r="I1702" s="295">
        <v>-63.12</v>
      </c>
    </row>
    <row r="1703" spans="1:9" x14ac:dyDescent="0.2">
      <c r="A1703" s="293" t="s">
        <v>7835</v>
      </c>
      <c r="B1703" s="293" t="s">
        <v>5666</v>
      </c>
      <c r="C1703" s="293" t="s">
        <v>6471</v>
      </c>
      <c r="D1703" s="293" t="s">
        <v>5859</v>
      </c>
      <c r="E1703" s="293" t="s">
        <v>6829</v>
      </c>
      <c r="F1703" s="293" t="s">
        <v>7826</v>
      </c>
      <c r="G1703" s="293" t="s">
        <v>5589</v>
      </c>
      <c r="H1703" s="294">
        <v>43312</v>
      </c>
      <c r="I1703" s="295">
        <v>-7123.53</v>
      </c>
    </row>
    <row r="1704" spans="1:9" x14ac:dyDescent="0.2">
      <c r="A1704" s="293" t="s">
        <v>7836</v>
      </c>
      <c r="B1704" s="293" t="s">
        <v>5666</v>
      </c>
      <c r="C1704" s="293" t="s">
        <v>6473</v>
      </c>
      <c r="D1704" s="293" t="s">
        <v>5859</v>
      </c>
      <c r="E1704" s="293" t="s">
        <v>6474</v>
      </c>
      <c r="F1704" s="293" t="s">
        <v>7826</v>
      </c>
      <c r="G1704" s="293" t="s">
        <v>5593</v>
      </c>
      <c r="H1704" s="294">
        <v>43312</v>
      </c>
      <c r="I1704" s="295">
        <v>-14668.67</v>
      </c>
    </row>
    <row r="1705" spans="1:9" x14ac:dyDescent="0.2">
      <c r="A1705" s="293" t="s">
        <v>7837</v>
      </c>
      <c r="B1705" s="293" t="s">
        <v>5666</v>
      </c>
      <c r="C1705" s="293" t="s">
        <v>6920</v>
      </c>
      <c r="D1705" s="293" t="s">
        <v>5859</v>
      </c>
      <c r="E1705" s="293" t="s">
        <v>6921</v>
      </c>
      <c r="F1705" s="293" t="s">
        <v>7826</v>
      </c>
      <c r="G1705" s="293" t="s">
        <v>5754</v>
      </c>
      <c r="H1705" s="294">
        <v>43312</v>
      </c>
      <c r="I1705" s="295">
        <v>-8710.42</v>
      </c>
    </row>
    <row r="1706" spans="1:9" x14ac:dyDescent="0.2">
      <c r="A1706" s="293" t="s">
        <v>7838</v>
      </c>
      <c r="B1706" s="293" t="s">
        <v>5666</v>
      </c>
      <c r="C1706" s="293" t="s">
        <v>7219</v>
      </c>
      <c r="D1706" s="293" t="s">
        <v>5859</v>
      </c>
      <c r="E1706" s="293" t="s">
        <v>7080</v>
      </c>
      <c r="F1706" s="293" t="s">
        <v>7826</v>
      </c>
      <c r="G1706" s="293" t="s">
        <v>5755</v>
      </c>
      <c r="H1706" s="294">
        <v>43312</v>
      </c>
      <c r="I1706" s="295">
        <v>-7028.09</v>
      </c>
    </row>
    <row r="1707" spans="1:9" x14ac:dyDescent="0.2">
      <c r="A1707" s="293" t="s">
        <v>7839</v>
      </c>
      <c r="B1707" s="293" t="s">
        <v>6010</v>
      </c>
      <c r="C1707" s="293" t="s">
        <v>7840</v>
      </c>
      <c r="D1707" s="293" t="s">
        <v>5859</v>
      </c>
      <c r="E1707" s="293" t="s">
        <v>7841</v>
      </c>
      <c r="F1707" s="293" t="s">
        <v>7826</v>
      </c>
      <c r="G1707" s="293" t="s">
        <v>7245</v>
      </c>
      <c r="H1707" s="294">
        <v>43312</v>
      </c>
      <c r="I1707" s="295">
        <v>-27260.41</v>
      </c>
    </row>
    <row r="1708" spans="1:9" x14ac:dyDescent="0.2">
      <c r="A1708" s="293" t="s">
        <v>7839</v>
      </c>
      <c r="B1708" s="293" t="s">
        <v>6010</v>
      </c>
      <c r="C1708" s="293" t="s">
        <v>7840</v>
      </c>
      <c r="D1708" s="293" t="s">
        <v>5859</v>
      </c>
      <c r="E1708" s="293" t="s">
        <v>7841</v>
      </c>
      <c r="F1708" s="293" t="s">
        <v>7826</v>
      </c>
      <c r="G1708" s="293" t="s">
        <v>7245</v>
      </c>
      <c r="H1708" s="294">
        <v>43312</v>
      </c>
      <c r="I1708" s="295">
        <v>27112.53</v>
      </c>
    </row>
    <row r="1709" spans="1:9" x14ac:dyDescent="0.2">
      <c r="A1709" s="293" t="s">
        <v>7839</v>
      </c>
      <c r="B1709" s="293" t="s">
        <v>6010</v>
      </c>
      <c r="C1709" s="293" t="s">
        <v>7840</v>
      </c>
      <c r="D1709" s="293" t="s">
        <v>5859</v>
      </c>
      <c r="E1709" s="293" t="s">
        <v>7841</v>
      </c>
      <c r="F1709" s="293" t="s">
        <v>7826</v>
      </c>
      <c r="G1709" s="293" t="s">
        <v>7245</v>
      </c>
      <c r="H1709" s="294">
        <v>43312</v>
      </c>
      <c r="I1709" s="295">
        <v>-32811.01</v>
      </c>
    </row>
    <row r="1710" spans="1:9" x14ac:dyDescent="0.2">
      <c r="A1710" s="293" t="s">
        <v>7839</v>
      </c>
      <c r="B1710" s="293" t="s">
        <v>6010</v>
      </c>
      <c r="C1710" s="293" t="s">
        <v>7840</v>
      </c>
      <c r="D1710" s="293" t="s">
        <v>5859</v>
      </c>
      <c r="E1710" s="293" t="s">
        <v>7841</v>
      </c>
      <c r="F1710" s="293" t="s">
        <v>7826</v>
      </c>
      <c r="G1710" s="293" t="s">
        <v>7245</v>
      </c>
      <c r="H1710" s="294">
        <v>43312</v>
      </c>
      <c r="I1710" s="295">
        <v>32633.01</v>
      </c>
    </row>
    <row r="1711" spans="1:9" x14ac:dyDescent="0.2">
      <c r="A1711" s="293" t="s">
        <v>7839</v>
      </c>
      <c r="B1711" s="293" t="s">
        <v>6010</v>
      </c>
      <c r="C1711" s="293" t="s">
        <v>7840</v>
      </c>
      <c r="D1711" s="293" t="s">
        <v>5859</v>
      </c>
      <c r="E1711" s="293" t="s">
        <v>7817</v>
      </c>
      <c r="F1711" s="293" t="s">
        <v>7826</v>
      </c>
      <c r="G1711" s="293" t="s">
        <v>7245</v>
      </c>
      <c r="H1711" s="294">
        <v>43312</v>
      </c>
      <c r="I1711" s="295">
        <v>-8057.29</v>
      </c>
    </row>
    <row r="1712" spans="1:9" x14ac:dyDescent="0.2">
      <c r="A1712" s="293" t="s">
        <v>7842</v>
      </c>
      <c r="B1712" s="293" t="s">
        <v>6010</v>
      </c>
      <c r="C1712" s="293" t="s">
        <v>7843</v>
      </c>
      <c r="D1712" s="293" t="s">
        <v>5859</v>
      </c>
      <c r="E1712" s="293" t="s">
        <v>5088</v>
      </c>
      <c r="F1712" s="293" t="s">
        <v>7844</v>
      </c>
      <c r="G1712" s="293" t="s">
        <v>7245</v>
      </c>
      <c r="H1712" s="294">
        <v>43335</v>
      </c>
      <c r="I1712" s="295">
        <v>338.13</v>
      </c>
    </row>
    <row r="1713" spans="1:9" x14ac:dyDescent="0.2">
      <c r="A1713" s="293" t="s">
        <v>7845</v>
      </c>
      <c r="B1713" s="293" t="s">
        <v>6010</v>
      </c>
      <c r="C1713" s="293" t="s">
        <v>7846</v>
      </c>
      <c r="D1713" s="293" t="s">
        <v>5859</v>
      </c>
      <c r="E1713" s="293" t="s">
        <v>5088</v>
      </c>
      <c r="F1713" s="293" t="s">
        <v>7847</v>
      </c>
      <c r="G1713" s="293" t="s">
        <v>7245</v>
      </c>
      <c r="H1713" s="294">
        <v>43341</v>
      </c>
      <c r="I1713" s="295">
        <v>1571.43</v>
      </c>
    </row>
    <row r="1714" spans="1:9" x14ac:dyDescent="0.2">
      <c r="A1714" s="293" t="s">
        <v>7848</v>
      </c>
      <c r="B1714" s="293" t="s">
        <v>5666</v>
      </c>
      <c r="C1714" s="293" t="s">
        <v>6027</v>
      </c>
      <c r="D1714" s="293" t="s">
        <v>5859</v>
      </c>
      <c r="E1714" s="293" t="s">
        <v>6028</v>
      </c>
      <c r="F1714" s="293" t="s">
        <v>7849</v>
      </c>
      <c r="G1714" s="293" t="s">
        <v>5573</v>
      </c>
      <c r="H1714" s="294">
        <v>43343</v>
      </c>
      <c r="I1714" s="295">
        <v>-6400.96</v>
      </c>
    </row>
    <row r="1715" spans="1:9" x14ac:dyDescent="0.2">
      <c r="A1715" s="293" t="s">
        <v>7850</v>
      </c>
      <c r="B1715" s="293" t="s">
        <v>5666</v>
      </c>
      <c r="C1715" s="293" t="s">
        <v>6030</v>
      </c>
      <c r="D1715" s="293" t="s">
        <v>5859</v>
      </c>
      <c r="E1715" s="293" t="s">
        <v>6028</v>
      </c>
      <c r="F1715" s="293" t="s">
        <v>7849</v>
      </c>
      <c r="G1715" s="293" t="s">
        <v>5573</v>
      </c>
      <c r="H1715" s="294">
        <v>43343</v>
      </c>
      <c r="I1715" s="295">
        <v>-130.22</v>
      </c>
    </row>
    <row r="1716" spans="1:9" x14ac:dyDescent="0.2">
      <c r="A1716" s="293" t="s">
        <v>7851</v>
      </c>
      <c r="B1716" s="293" t="s">
        <v>5666</v>
      </c>
      <c r="C1716" s="293" t="s">
        <v>6032</v>
      </c>
      <c r="D1716" s="293" t="s">
        <v>5859</v>
      </c>
      <c r="E1716" s="293" t="s">
        <v>6033</v>
      </c>
      <c r="F1716" s="293" t="s">
        <v>7849</v>
      </c>
      <c r="G1716" s="293" t="s">
        <v>5585</v>
      </c>
      <c r="H1716" s="294">
        <v>43343</v>
      </c>
      <c r="I1716" s="295">
        <v>-6872.38</v>
      </c>
    </row>
    <row r="1717" spans="1:9" x14ac:dyDescent="0.2">
      <c r="A1717" s="293" t="s">
        <v>7852</v>
      </c>
      <c r="B1717" s="293" t="s">
        <v>5666</v>
      </c>
      <c r="C1717" s="293" t="s">
        <v>6035</v>
      </c>
      <c r="D1717" s="293" t="s">
        <v>5859</v>
      </c>
      <c r="E1717" s="293" t="s">
        <v>6033</v>
      </c>
      <c r="F1717" s="293" t="s">
        <v>7849</v>
      </c>
      <c r="G1717" s="293" t="s">
        <v>5585</v>
      </c>
      <c r="H1717" s="294">
        <v>43343</v>
      </c>
      <c r="I1717" s="295">
        <v>-4630.24</v>
      </c>
    </row>
    <row r="1718" spans="1:9" x14ac:dyDescent="0.2">
      <c r="A1718" s="293" t="s">
        <v>7853</v>
      </c>
      <c r="B1718" s="293" t="s">
        <v>5666</v>
      </c>
      <c r="C1718" s="293" t="s">
        <v>6037</v>
      </c>
      <c r="D1718" s="293" t="s">
        <v>5859</v>
      </c>
      <c r="E1718" s="293" t="s">
        <v>6038</v>
      </c>
      <c r="F1718" s="293" t="s">
        <v>7849</v>
      </c>
      <c r="G1718" s="293" t="s">
        <v>5586</v>
      </c>
      <c r="H1718" s="294">
        <v>43343</v>
      </c>
      <c r="I1718" s="295">
        <v>-3059.89</v>
      </c>
    </row>
    <row r="1719" spans="1:9" x14ac:dyDescent="0.2">
      <c r="A1719" s="293" t="s">
        <v>7854</v>
      </c>
      <c r="B1719" s="293" t="s">
        <v>5666</v>
      </c>
      <c r="C1719" s="293" t="s">
        <v>6040</v>
      </c>
      <c r="D1719" s="293" t="s">
        <v>5859</v>
      </c>
      <c r="E1719" s="293" t="s">
        <v>6041</v>
      </c>
      <c r="F1719" s="293" t="s">
        <v>7849</v>
      </c>
      <c r="G1719" s="293" t="s">
        <v>5581</v>
      </c>
      <c r="H1719" s="294">
        <v>43343</v>
      </c>
      <c r="I1719" s="295">
        <v>-8058.13</v>
      </c>
    </row>
    <row r="1720" spans="1:9" x14ac:dyDescent="0.2">
      <c r="A1720" s="293" t="s">
        <v>7855</v>
      </c>
      <c r="B1720" s="293" t="s">
        <v>5666</v>
      </c>
      <c r="C1720" s="293" t="s">
        <v>6056</v>
      </c>
      <c r="D1720" s="293" t="s">
        <v>5859</v>
      </c>
      <c r="E1720" s="293" t="s">
        <v>6057</v>
      </c>
      <c r="F1720" s="293" t="s">
        <v>7849</v>
      </c>
      <c r="G1720" s="293" t="s">
        <v>5578</v>
      </c>
      <c r="H1720" s="294">
        <v>43343</v>
      </c>
      <c r="I1720" s="295">
        <v>-4399.9399999999996</v>
      </c>
    </row>
    <row r="1721" spans="1:9" x14ac:dyDescent="0.2">
      <c r="A1721" s="293" t="s">
        <v>7856</v>
      </c>
      <c r="B1721" s="293" t="s">
        <v>5666</v>
      </c>
      <c r="C1721" s="293" t="s">
        <v>6062</v>
      </c>
      <c r="D1721" s="293" t="s">
        <v>5859</v>
      </c>
      <c r="E1721" s="293" t="s">
        <v>6063</v>
      </c>
      <c r="F1721" s="293" t="s">
        <v>7849</v>
      </c>
      <c r="G1721" s="293" t="s">
        <v>5579</v>
      </c>
      <c r="H1721" s="294">
        <v>43343</v>
      </c>
      <c r="I1721" s="295">
        <v>-2351.71</v>
      </c>
    </row>
    <row r="1722" spans="1:9" x14ac:dyDescent="0.2">
      <c r="A1722" s="293" t="s">
        <v>7857</v>
      </c>
      <c r="B1722" s="293" t="s">
        <v>5666</v>
      </c>
      <c r="C1722" s="293" t="s">
        <v>6065</v>
      </c>
      <c r="D1722" s="293" t="s">
        <v>5859</v>
      </c>
      <c r="E1722" s="293" t="s">
        <v>6063</v>
      </c>
      <c r="F1722" s="293" t="s">
        <v>7849</v>
      </c>
      <c r="G1722" s="293" t="s">
        <v>5579</v>
      </c>
      <c r="H1722" s="294">
        <v>43343</v>
      </c>
      <c r="I1722" s="295">
        <v>-63.12</v>
      </c>
    </row>
    <row r="1723" spans="1:9" x14ac:dyDescent="0.2">
      <c r="A1723" s="293" t="s">
        <v>7858</v>
      </c>
      <c r="B1723" s="293" t="s">
        <v>5666</v>
      </c>
      <c r="C1723" s="293" t="s">
        <v>6471</v>
      </c>
      <c r="D1723" s="293" t="s">
        <v>5859</v>
      </c>
      <c r="E1723" s="293" t="s">
        <v>6829</v>
      </c>
      <c r="F1723" s="293" t="s">
        <v>7849</v>
      </c>
      <c r="G1723" s="293" t="s">
        <v>5589</v>
      </c>
      <c r="H1723" s="294">
        <v>43343</v>
      </c>
      <c r="I1723" s="295">
        <v>-7123.53</v>
      </c>
    </row>
    <row r="1724" spans="1:9" x14ac:dyDescent="0.2">
      <c r="A1724" s="293" t="s">
        <v>7859</v>
      </c>
      <c r="B1724" s="293" t="s">
        <v>5666</v>
      </c>
      <c r="C1724" s="293" t="s">
        <v>6473</v>
      </c>
      <c r="D1724" s="293" t="s">
        <v>5859</v>
      </c>
      <c r="E1724" s="293" t="s">
        <v>6474</v>
      </c>
      <c r="F1724" s="293" t="s">
        <v>7849</v>
      </c>
      <c r="G1724" s="293" t="s">
        <v>5593</v>
      </c>
      <c r="H1724" s="294">
        <v>43343</v>
      </c>
      <c r="I1724" s="295">
        <v>-14668.67</v>
      </c>
    </row>
    <row r="1725" spans="1:9" x14ac:dyDescent="0.2">
      <c r="A1725" s="293" t="s">
        <v>7860</v>
      </c>
      <c r="B1725" s="293" t="s">
        <v>5666</v>
      </c>
      <c r="C1725" s="293" t="s">
        <v>6920</v>
      </c>
      <c r="D1725" s="293" t="s">
        <v>5859</v>
      </c>
      <c r="E1725" s="293" t="s">
        <v>6921</v>
      </c>
      <c r="F1725" s="293" t="s">
        <v>7849</v>
      </c>
      <c r="G1725" s="293" t="s">
        <v>5754</v>
      </c>
      <c r="H1725" s="294">
        <v>43343</v>
      </c>
      <c r="I1725" s="295">
        <v>-8710.42</v>
      </c>
    </row>
    <row r="1726" spans="1:9" x14ac:dyDescent="0.2">
      <c r="A1726" s="293" t="s">
        <v>7861</v>
      </c>
      <c r="B1726" s="293" t="s">
        <v>5666</v>
      </c>
      <c r="C1726" s="293" t="s">
        <v>7219</v>
      </c>
      <c r="D1726" s="293" t="s">
        <v>5859</v>
      </c>
      <c r="E1726" s="293" t="s">
        <v>7080</v>
      </c>
      <c r="F1726" s="293" t="s">
        <v>7849</v>
      </c>
      <c r="G1726" s="293" t="s">
        <v>5755</v>
      </c>
      <c r="H1726" s="294">
        <v>43343</v>
      </c>
      <c r="I1726" s="295">
        <v>-7028.09</v>
      </c>
    </row>
    <row r="1727" spans="1:9" x14ac:dyDescent="0.2">
      <c r="A1727" s="293" t="s">
        <v>7130</v>
      </c>
      <c r="B1727" s="293" t="s">
        <v>6010</v>
      </c>
      <c r="C1727" s="293" t="s">
        <v>7079</v>
      </c>
      <c r="D1727" s="293" t="s">
        <v>5859</v>
      </c>
      <c r="E1727" s="293" t="s">
        <v>7817</v>
      </c>
      <c r="F1727" s="293" t="s">
        <v>7849</v>
      </c>
      <c r="G1727" s="293" t="s">
        <v>7245</v>
      </c>
      <c r="H1727" s="294">
        <v>43343</v>
      </c>
      <c r="I1727" s="295">
        <v>-8050.77</v>
      </c>
    </row>
    <row r="1728" spans="1:9" x14ac:dyDescent="0.2">
      <c r="A1728" s="293" t="s">
        <v>7862</v>
      </c>
      <c r="B1728" s="293" t="s">
        <v>6010</v>
      </c>
      <c r="C1728" s="293" t="s">
        <v>7863</v>
      </c>
      <c r="D1728" s="293" t="s">
        <v>5859</v>
      </c>
      <c r="E1728" s="293" t="s">
        <v>5088</v>
      </c>
      <c r="F1728" s="293" t="s">
        <v>7864</v>
      </c>
      <c r="G1728" s="293" t="s">
        <v>5593</v>
      </c>
      <c r="H1728" s="294">
        <v>43439</v>
      </c>
      <c r="I1728" s="295">
        <v>3780</v>
      </c>
    </row>
    <row r="1729" spans="1:9" x14ac:dyDescent="0.2">
      <c r="A1729" s="293" t="s">
        <v>7865</v>
      </c>
      <c r="B1729" s="293" t="s">
        <v>6010</v>
      </c>
      <c r="C1729" s="293" t="s">
        <v>7866</v>
      </c>
      <c r="D1729" s="293" t="s">
        <v>5859</v>
      </c>
      <c r="E1729" s="293" t="s">
        <v>7867</v>
      </c>
      <c r="F1729" s="293" t="s">
        <v>7864</v>
      </c>
      <c r="G1729" s="293" t="s">
        <v>5593</v>
      </c>
      <c r="H1729" s="294">
        <v>43465</v>
      </c>
      <c r="I1729" s="295">
        <v>-3780</v>
      </c>
    </row>
    <row r="1730" spans="1:9" x14ac:dyDescent="0.2">
      <c r="A1730" s="293" t="s">
        <v>7868</v>
      </c>
      <c r="B1730" s="293" t="s">
        <v>5666</v>
      </c>
      <c r="C1730" s="293" t="s">
        <v>6027</v>
      </c>
      <c r="D1730" s="293" t="s">
        <v>5859</v>
      </c>
      <c r="E1730" s="293" t="s">
        <v>6028</v>
      </c>
      <c r="F1730" s="293" t="s">
        <v>7869</v>
      </c>
      <c r="G1730" s="293" t="s">
        <v>5573</v>
      </c>
      <c r="H1730" s="294">
        <v>43373</v>
      </c>
      <c r="I1730" s="295">
        <v>-6400.96</v>
      </c>
    </row>
    <row r="1731" spans="1:9" x14ac:dyDescent="0.2">
      <c r="A1731" s="293" t="s">
        <v>7870</v>
      </c>
      <c r="B1731" s="293" t="s">
        <v>5666</v>
      </c>
      <c r="C1731" s="293" t="s">
        <v>6030</v>
      </c>
      <c r="D1731" s="293" t="s">
        <v>5859</v>
      </c>
      <c r="E1731" s="293" t="s">
        <v>6028</v>
      </c>
      <c r="F1731" s="293" t="s">
        <v>7869</v>
      </c>
      <c r="G1731" s="293" t="s">
        <v>5573</v>
      </c>
      <c r="H1731" s="294">
        <v>43373</v>
      </c>
      <c r="I1731" s="295">
        <v>-130.22</v>
      </c>
    </row>
    <row r="1732" spans="1:9" x14ac:dyDescent="0.2">
      <c r="A1732" s="293" t="s">
        <v>7871</v>
      </c>
      <c r="B1732" s="293" t="s">
        <v>5666</v>
      </c>
      <c r="C1732" s="293" t="s">
        <v>6032</v>
      </c>
      <c r="D1732" s="293" t="s">
        <v>5859</v>
      </c>
      <c r="E1732" s="293" t="s">
        <v>6033</v>
      </c>
      <c r="F1732" s="293" t="s">
        <v>7869</v>
      </c>
      <c r="G1732" s="293" t="s">
        <v>5585</v>
      </c>
      <c r="H1732" s="294">
        <v>43373</v>
      </c>
      <c r="I1732" s="295">
        <v>-6872.38</v>
      </c>
    </row>
    <row r="1733" spans="1:9" x14ac:dyDescent="0.2">
      <c r="A1733" s="293" t="s">
        <v>7872</v>
      </c>
      <c r="B1733" s="293" t="s">
        <v>5666</v>
      </c>
      <c r="C1733" s="293" t="s">
        <v>6035</v>
      </c>
      <c r="D1733" s="293" t="s">
        <v>5859</v>
      </c>
      <c r="E1733" s="293" t="s">
        <v>6033</v>
      </c>
      <c r="F1733" s="293" t="s">
        <v>7869</v>
      </c>
      <c r="G1733" s="293" t="s">
        <v>5585</v>
      </c>
      <c r="H1733" s="294">
        <v>43373</v>
      </c>
      <c r="I1733" s="295">
        <v>-4630.24</v>
      </c>
    </row>
    <row r="1734" spans="1:9" x14ac:dyDescent="0.2">
      <c r="A1734" s="293" t="s">
        <v>7873</v>
      </c>
      <c r="B1734" s="293" t="s">
        <v>5666</v>
      </c>
      <c r="C1734" s="293" t="s">
        <v>6037</v>
      </c>
      <c r="D1734" s="293" t="s">
        <v>5859</v>
      </c>
      <c r="E1734" s="293" t="s">
        <v>6038</v>
      </c>
      <c r="F1734" s="293" t="s">
        <v>7869</v>
      </c>
      <c r="G1734" s="293" t="s">
        <v>5586</v>
      </c>
      <c r="H1734" s="294">
        <v>43373</v>
      </c>
      <c r="I1734" s="295">
        <v>-3059.89</v>
      </c>
    </row>
    <row r="1735" spans="1:9" x14ac:dyDescent="0.2">
      <c r="A1735" s="293" t="s">
        <v>7874</v>
      </c>
      <c r="B1735" s="293" t="s">
        <v>5666</v>
      </c>
      <c r="C1735" s="293" t="s">
        <v>6040</v>
      </c>
      <c r="D1735" s="293" t="s">
        <v>5859</v>
      </c>
      <c r="E1735" s="293" t="s">
        <v>6041</v>
      </c>
      <c r="F1735" s="293" t="s">
        <v>7869</v>
      </c>
      <c r="G1735" s="293" t="s">
        <v>5581</v>
      </c>
      <c r="H1735" s="294">
        <v>43373</v>
      </c>
      <c r="I1735" s="295">
        <v>-8058.13</v>
      </c>
    </row>
    <row r="1736" spans="1:9" x14ac:dyDescent="0.2">
      <c r="A1736" s="293" t="s">
        <v>7875</v>
      </c>
      <c r="B1736" s="293" t="s">
        <v>5666</v>
      </c>
      <c r="C1736" s="293" t="s">
        <v>6056</v>
      </c>
      <c r="D1736" s="293" t="s">
        <v>5859</v>
      </c>
      <c r="E1736" s="293" t="s">
        <v>6057</v>
      </c>
      <c r="F1736" s="293" t="s">
        <v>7869</v>
      </c>
      <c r="G1736" s="293" t="s">
        <v>5578</v>
      </c>
      <c r="H1736" s="294">
        <v>43373</v>
      </c>
      <c r="I1736" s="295">
        <v>-4399.9399999999996</v>
      </c>
    </row>
    <row r="1737" spans="1:9" x14ac:dyDescent="0.2">
      <c r="A1737" s="293" t="s">
        <v>7876</v>
      </c>
      <c r="B1737" s="293" t="s">
        <v>5666</v>
      </c>
      <c r="C1737" s="293" t="s">
        <v>6062</v>
      </c>
      <c r="D1737" s="293" t="s">
        <v>5859</v>
      </c>
      <c r="E1737" s="293" t="s">
        <v>6063</v>
      </c>
      <c r="F1737" s="293" t="s">
        <v>7869</v>
      </c>
      <c r="G1737" s="293" t="s">
        <v>5579</v>
      </c>
      <c r="H1737" s="294">
        <v>43373</v>
      </c>
      <c r="I1737" s="295">
        <v>-2351.71</v>
      </c>
    </row>
    <row r="1738" spans="1:9" x14ac:dyDescent="0.2">
      <c r="A1738" s="293" t="s">
        <v>7877</v>
      </c>
      <c r="B1738" s="293" t="s">
        <v>5666</v>
      </c>
      <c r="C1738" s="293" t="s">
        <v>6065</v>
      </c>
      <c r="D1738" s="293" t="s">
        <v>5859</v>
      </c>
      <c r="E1738" s="293" t="s">
        <v>6063</v>
      </c>
      <c r="F1738" s="293" t="s">
        <v>7869</v>
      </c>
      <c r="G1738" s="293" t="s">
        <v>5579</v>
      </c>
      <c r="H1738" s="294">
        <v>43373</v>
      </c>
      <c r="I1738" s="295">
        <v>-63.12</v>
      </c>
    </row>
    <row r="1739" spans="1:9" x14ac:dyDescent="0.2">
      <c r="A1739" s="293" t="s">
        <v>7878</v>
      </c>
      <c r="B1739" s="293" t="s">
        <v>5666</v>
      </c>
      <c r="C1739" s="293" t="s">
        <v>6471</v>
      </c>
      <c r="D1739" s="293" t="s">
        <v>5859</v>
      </c>
      <c r="E1739" s="293" t="s">
        <v>6829</v>
      </c>
      <c r="F1739" s="293" t="s">
        <v>7869</v>
      </c>
      <c r="G1739" s="293" t="s">
        <v>5589</v>
      </c>
      <c r="H1739" s="294">
        <v>43373</v>
      </c>
      <c r="I1739" s="295">
        <v>-7123.53</v>
      </c>
    </row>
    <row r="1740" spans="1:9" x14ac:dyDescent="0.2">
      <c r="A1740" s="293" t="s">
        <v>7879</v>
      </c>
      <c r="B1740" s="293" t="s">
        <v>5666</v>
      </c>
      <c r="C1740" s="293" t="s">
        <v>6473</v>
      </c>
      <c r="D1740" s="293" t="s">
        <v>5859</v>
      </c>
      <c r="E1740" s="293" t="s">
        <v>6474</v>
      </c>
      <c r="F1740" s="293" t="s">
        <v>7869</v>
      </c>
      <c r="G1740" s="293" t="s">
        <v>5593</v>
      </c>
      <c r="H1740" s="294">
        <v>43373</v>
      </c>
      <c r="I1740" s="295">
        <v>-14668.67</v>
      </c>
    </row>
    <row r="1741" spans="1:9" x14ac:dyDescent="0.2">
      <c r="A1741" s="293" t="s">
        <v>7880</v>
      </c>
      <c r="B1741" s="293" t="s">
        <v>5666</v>
      </c>
      <c r="C1741" s="293" t="s">
        <v>6920</v>
      </c>
      <c r="D1741" s="293" t="s">
        <v>5859</v>
      </c>
      <c r="E1741" s="293" t="s">
        <v>6921</v>
      </c>
      <c r="F1741" s="293" t="s">
        <v>7869</v>
      </c>
      <c r="G1741" s="293" t="s">
        <v>5754</v>
      </c>
      <c r="H1741" s="294">
        <v>43373</v>
      </c>
      <c r="I1741" s="295">
        <v>-8710.42</v>
      </c>
    </row>
    <row r="1742" spans="1:9" x14ac:dyDescent="0.2">
      <c r="A1742" s="293" t="s">
        <v>7881</v>
      </c>
      <c r="B1742" s="293" t="s">
        <v>5666</v>
      </c>
      <c r="C1742" s="293" t="s">
        <v>7219</v>
      </c>
      <c r="D1742" s="293" t="s">
        <v>5859</v>
      </c>
      <c r="E1742" s="293" t="s">
        <v>7080</v>
      </c>
      <c r="F1742" s="293" t="s">
        <v>7869</v>
      </c>
      <c r="G1742" s="293" t="s">
        <v>5755</v>
      </c>
      <c r="H1742" s="294">
        <v>43373</v>
      </c>
      <c r="I1742" s="295">
        <v>-7028.09</v>
      </c>
    </row>
    <row r="1743" spans="1:9" x14ac:dyDescent="0.2">
      <c r="A1743" s="293" t="s">
        <v>7882</v>
      </c>
      <c r="B1743" s="293" t="s">
        <v>6010</v>
      </c>
      <c r="C1743" s="293" t="s">
        <v>7198</v>
      </c>
      <c r="D1743" s="293" t="s">
        <v>5859</v>
      </c>
      <c r="E1743" s="293" t="s">
        <v>7883</v>
      </c>
      <c r="F1743" s="293" t="s">
        <v>7869</v>
      </c>
      <c r="G1743" s="293" t="s">
        <v>7245</v>
      </c>
      <c r="H1743" s="294">
        <v>43373</v>
      </c>
      <c r="I1743" s="295">
        <v>-153997.20000000001</v>
      </c>
    </row>
    <row r="1744" spans="1:9" x14ac:dyDescent="0.2">
      <c r="A1744" s="293" t="s">
        <v>7882</v>
      </c>
      <c r="B1744" s="293" t="s">
        <v>6010</v>
      </c>
      <c r="C1744" s="293" t="s">
        <v>7198</v>
      </c>
      <c r="D1744" s="293" t="s">
        <v>5859</v>
      </c>
      <c r="E1744" s="293" t="s">
        <v>7883</v>
      </c>
      <c r="F1744" s="293" t="s">
        <v>7869</v>
      </c>
      <c r="G1744" s="293" t="s">
        <v>7245</v>
      </c>
      <c r="H1744" s="294">
        <v>43373</v>
      </c>
      <c r="I1744" s="295">
        <v>154000</v>
      </c>
    </row>
    <row r="1745" spans="1:9" x14ac:dyDescent="0.2">
      <c r="A1745" s="293" t="s">
        <v>7882</v>
      </c>
      <c r="B1745" s="293" t="s">
        <v>6010</v>
      </c>
      <c r="C1745" s="293" t="s">
        <v>7198</v>
      </c>
      <c r="D1745" s="293" t="s">
        <v>5859</v>
      </c>
      <c r="E1745" s="293" t="s">
        <v>7817</v>
      </c>
      <c r="F1745" s="293" t="s">
        <v>7869</v>
      </c>
      <c r="G1745" s="293" t="s">
        <v>7245</v>
      </c>
      <c r="H1745" s="294">
        <v>43373</v>
      </c>
      <c r="I1745" s="295">
        <v>-9654.19</v>
      </c>
    </row>
    <row r="1746" spans="1:9" x14ac:dyDescent="0.2">
      <c r="A1746" s="293" t="s">
        <v>7884</v>
      </c>
      <c r="B1746" s="293" t="s">
        <v>6134</v>
      </c>
      <c r="C1746" s="293" t="s">
        <v>7885</v>
      </c>
      <c r="D1746" s="293" t="s">
        <v>5859</v>
      </c>
      <c r="E1746" s="293" t="s">
        <v>5088</v>
      </c>
      <c r="F1746" s="293" t="s">
        <v>7886</v>
      </c>
      <c r="G1746" s="293" t="s">
        <v>7887</v>
      </c>
      <c r="H1746" s="294">
        <v>43377</v>
      </c>
      <c r="I1746" s="295">
        <v>3062500</v>
      </c>
    </row>
    <row r="1747" spans="1:9" x14ac:dyDescent="0.2">
      <c r="A1747" s="293" t="s">
        <v>7888</v>
      </c>
      <c r="B1747" s="293" t="s">
        <v>6010</v>
      </c>
      <c r="C1747" s="293" t="s">
        <v>7889</v>
      </c>
      <c r="D1747" s="293" t="s">
        <v>5859</v>
      </c>
      <c r="E1747" s="293" t="s">
        <v>5088</v>
      </c>
      <c r="F1747" s="293" t="s">
        <v>7886</v>
      </c>
      <c r="G1747" s="293" t="s">
        <v>7887</v>
      </c>
      <c r="H1747" s="294">
        <v>43389</v>
      </c>
      <c r="I1747" s="295">
        <v>5714.52</v>
      </c>
    </row>
    <row r="1748" spans="1:9" x14ac:dyDescent="0.2">
      <c r="A1748" s="293" t="s">
        <v>7890</v>
      </c>
      <c r="B1748" s="293" t="s">
        <v>6010</v>
      </c>
      <c r="C1748" s="293" t="s">
        <v>7891</v>
      </c>
      <c r="D1748" s="293" t="s">
        <v>5859</v>
      </c>
      <c r="E1748" s="293" t="s">
        <v>5088</v>
      </c>
      <c r="F1748" s="293" t="s">
        <v>7886</v>
      </c>
      <c r="G1748" s="293" t="s">
        <v>7887</v>
      </c>
      <c r="H1748" s="294">
        <v>43389</v>
      </c>
      <c r="I1748" s="295">
        <v>70000</v>
      </c>
    </row>
    <row r="1749" spans="1:9" x14ac:dyDescent="0.2">
      <c r="A1749" s="293" t="s">
        <v>7892</v>
      </c>
      <c r="B1749" s="293" t="s">
        <v>7893</v>
      </c>
      <c r="C1749" s="293" t="s">
        <v>7894</v>
      </c>
      <c r="D1749" s="293" t="s">
        <v>5859</v>
      </c>
      <c r="E1749" s="293" t="s">
        <v>7895</v>
      </c>
      <c r="F1749" s="293" t="s">
        <v>7886</v>
      </c>
      <c r="G1749" s="293" t="s">
        <v>7887</v>
      </c>
      <c r="H1749" s="294">
        <v>43452</v>
      </c>
      <c r="I1749" s="295">
        <v>48002.34</v>
      </c>
    </row>
    <row r="1750" spans="1:9" x14ac:dyDescent="0.2">
      <c r="A1750" s="293" t="s">
        <v>7896</v>
      </c>
      <c r="B1750" s="293" t="s">
        <v>6010</v>
      </c>
      <c r="C1750" s="293" t="s">
        <v>7897</v>
      </c>
      <c r="D1750" s="293" t="s">
        <v>5859</v>
      </c>
      <c r="E1750" s="293" t="s">
        <v>7897</v>
      </c>
      <c r="F1750" s="293" t="s">
        <v>7898</v>
      </c>
      <c r="G1750" s="293" t="s">
        <v>7887</v>
      </c>
      <c r="H1750" s="294">
        <v>43403</v>
      </c>
      <c r="I1750" s="295">
        <v>1866.67</v>
      </c>
    </row>
    <row r="1751" spans="1:9" x14ac:dyDescent="0.2">
      <c r="A1751" s="293" t="s">
        <v>7899</v>
      </c>
      <c r="B1751" s="293" t="s">
        <v>6010</v>
      </c>
      <c r="C1751" s="293" t="s">
        <v>7900</v>
      </c>
      <c r="D1751" s="293" t="s">
        <v>5859</v>
      </c>
      <c r="E1751" s="293" t="s">
        <v>7900</v>
      </c>
      <c r="F1751" s="293" t="s">
        <v>7901</v>
      </c>
      <c r="G1751" s="293" t="s">
        <v>7887</v>
      </c>
      <c r="H1751" s="294">
        <v>43403</v>
      </c>
      <c r="I1751" s="295">
        <v>46666.67</v>
      </c>
    </row>
    <row r="1752" spans="1:9" x14ac:dyDescent="0.2">
      <c r="A1752" s="293" t="s">
        <v>7902</v>
      </c>
      <c r="B1752" s="293" t="s">
        <v>6010</v>
      </c>
      <c r="C1752" s="293" t="s">
        <v>7903</v>
      </c>
      <c r="D1752" s="293" t="s">
        <v>5859</v>
      </c>
      <c r="E1752" s="293" t="s">
        <v>7904</v>
      </c>
      <c r="F1752" s="293" t="s">
        <v>7905</v>
      </c>
      <c r="G1752" s="293" t="s">
        <v>7887</v>
      </c>
      <c r="H1752" s="294">
        <v>43404</v>
      </c>
      <c r="I1752" s="295">
        <v>236250</v>
      </c>
    </row>
    <row r="1753" spans="1:9" x14ac:dyDescent="0.2">
      <c r="A1753" s="293" t="s">
        <v>7906</v>
      </c>
      <c r="B1753" s="293" t="s">
        <v>5666</v>
      </c>
      <c r="C1753" s="293" t="s">
        <v>6027</v>
      </c>
      <c r="D1753" s="293" t="s">
        <v>5859</v>
      </c>
      <c r="E1753" s="293" t="s">
        <v>6028</v>
      </c>
      <c r="F1753" s="293" t="s">
        <v>7907</v>
      </c>
      <c r="G1753" s="293" t="s">
        <v>5573</v>
      </c>
      <c r="H1753" s="294">
        <v>43404</v>
      </c>
      <c r="I1753" s="295">
        <v>-6400.96</v>
      </c>
    </row>
    <row r="1754" spans="1:9" x14ac:dyDescent="0.2">
      <c r="A1754" s="293" t="s">
        <v>7908</v>
      </c>
      <c r="B1754" s="293" t="s">
        <v>5666</v>
      </c>
      <c r="C1754" s="293" t="s">
        <v>6030</v>
      </c>
      <c r="D1754" s="293" t="s">
        <v>5859</v>
      </c>
      <c r="E1754" s="293" t="s">
        <v>6028</v>
      </c>
      <c r="F1754" s="293" t="s">
        <v>7907</v>
      </c>
      <c r="G1754" s="293" t="s">
        <v>5573</v>
      </c>
      <c r="H1754" s="294">
        <v>43404</v>
      </c>
      <c r="I1754" s="295">
        <v>-130.22</v>
      </c>
    </row>
    <row r="1755" spans="1:9" x14ac:dyDescent="0.2">
      <c r="A1755" s="293" t="s">
        <v>7909</v>
      </c>
      <c r="B1755" s="293" t="s">
        <v>5666</v>
      </c>
      <c r="C1755" s="293" t="s">
        <v>6032</v>
      </c>
      <c r="D1755" s="293" t="s">
        <v>5859</v>
      </c>
      <c r="E1755" s="293" t="s">
        <v>6033</v>
      </c>
      <c r="F1755" s="293" t="s">
        <v>7907</v>
      </c>
      <c r="G1755" s="293" t="s">
        <v>5585</v>
      </c>
      <c r="H1755" s="294">
        <v>43404</v>
      </c>
      <c r="I1755" s="295">
        <v>-6872.38</v>
      </c>
    </row>
    <row r="1756" spans="1:9" x14ac:dyDescent="0.2">
      <c r="A1756" s="293" t="s">
        <v>7910</v>
      </c>
      <c r="B1756" s="293" t="s">
        <v>5666</v>
      </c>
      <c r="C1756" s="293" t="s">
        <v>6035</v>
      </c>
      <c r="D1756" s="293" t="s">
        <v>5859</v>
      </c>
      <c r="E1756" s="293" t="s">
        <v>6033</v>
      </c>
      <c r="F1756" s="293" t="s">
        <v>7907</v>
      </c>
      <c r="G1756" s="293" t="s">
        <v>5585</v>
      </c>
      <c r="H1756" s="294">
        <v>43404</v>
      </c>
      <c r="I1756" s="295">
        <v>-4630.24</v>
      </c>
    </row>
    <row r="1757" spans="1:9" x14ac:dyDescent="0.2">
      <c r="A1757" s="293" t="s">
        <v>7911</v>
      </c>
      <c r="B1757" s="293" t="s">
        <v>5666</v>
      </c>
      <c r="C1757" s="293" t="s">
        <v>6037</v>
      </c>
      <c r="D1757" s="293" t="s">
        <v>5859</v>
      </c>
      <c r="E1757" s="293" t="s">
        <v>6038</v>
      </c>
      <c r="F1757" s="293" t="s">
        <v>7907</v>
      </c>
      <c r="G1757" s="293" t="s">
        <v>5586</v>
      </c>
      <c r="H1757" s="294">
        <v>43404</v>
      </c>
      <c r="I1757" s="295">
        <v>-3059.89</v>
      </c>
    </row>
    <row r="1758" spans="1:9" x14ac:dyDescent="0.2">
      <c r="A1758" s="293" t="s">
        <v>7912</v>
      </c>
      <c r="B1758" s="293" t="s">
        <v>5666</v>
      </c>
      <c r="C1758" s="293" t="s">
        <v>6040</v>
      </c>
      <c r="D1758" s="293" t="s">
        <v>5859</v>
      </c>
      <c r="E1758" s="293" t="s">
        <v>6041</v>
      </c>
      <c r="F1758" s="293" t="s">
        <v>7907</v>
      </c>
      <c r="G1758" s="293" t="s">
        <v>5581</v>
      </c>
      <c r="H1758" s="294">
        <v>43404</v>
      </c>
      <c r="I1758" s="295">
        <v>-8058.13</v>
      </c>
    </row>
    <row r="1759" spans="1:9" x14ac:dyDescent="0.2">
      <c r="A1759" s="293" t="s">
        <v>7913</v>
      </c>
      <c r="B1759" s="293" t="s">
        <v>5666</v>
      </c>
      <c r="C1759" s="293" t="s">
        <v>6056</v>
      </c>
      <c r="D1759" s="293" t="s">
        <v>5859</v>
      </c>
      <c r="E1759" s="293" t="s">
        <v>6057</v>
      </c>
      <c r="F1759" s="293" t="s">
        <v>7907</v>
      </c>
      <c r="G1759" s="293" t="s">
        <v>5578</v>
      </c>
      <c r="H1759" s="294">
        <v>43404</v>
      </c>
      <c r="I1759" s="295">
        <v>-4399.9399999999996</v>
      </c>
    </row>
    <row r="1760" spans="1:9" x14ac:dyDescent="0.2">
      <c r="A1760" s="293" t="s">
        <v>7914</v>
      </c>
      <c r="B1760" s="293" t="s">
        <v>5666</v>
      </c>
      <c r="C1760" s="293" t="s">
        <v>6062</v>
      </c>
      <c r="D1760" s="293" t="s">
        <v>5859</v>
      </c>
      <c r="E1760" s="293" t="s">
        <v>6063</v>
      </c>
      <c r="F1760" s="293" t="s">
        <v>7907</v>
      </c>
      <c r="G1760" s="293" t="s">
        <v>5579</v>
      </c>
      <c r="H1760" s="294">
        <v>43404</v>
      </c>
      <c r="I1760" s="295">
        <v>-2351.71</v>
      </c>
    </row>
    <row r="1761" spans="1:9" x14ac:dyDescent="0.2">
      <c r="A1761" s="293" t="s">
        <v>7915</v>
      </c>
      <c r="B1761" s="293" t="s">
        <v>5666</v>
      </c>
      <c r="C1761" s="293" t="s">
        <v>6065</v>
      </c>
      <c r="D1761" s="293" t="s">
        <v>5859</v>
      </c>
      <c r="E1761" s="293" t="s">
        <v>6063</v>
      </c>
      <c r="F1761" s="293" t="s">
        <v>7907</v>
      </c>
      <c r="G1761" s="293" t="s">
        <v>5579</v>
      </c>
      <c r="H1761" s="294">
        <v>43404</v>
      </c>
      <c r="I1761" s="295">
        <v>-63.12</v>
      </c>
    </row>
    <row r="1762" spans="1:9" x14ac:dyDescent="0.2">
      <c r="A1762" s="293" t="s">
        <v>7916</v>
      </c>
      <c r="B1762" s="293" t="s">
        <v>5666</v>
      </c>
      <c r="C1762" s="293" t="s">
        <v>6471</v>
      </c>
      <c r="D1762" s="293" t="s">
        <v>5859</v>
      </c>
      <c r="E1762" s="293" t="s">
        <v>6829</v>
      </c>
      <c r="F1762" s="293" t="s">
        <v>7907</v>
      </c>
      <c r="G1762" s="293" t="s">
        <v>5589</v>
      </c>
      <c r="H1762" s="294">
        <v>43404</v>
      </c>
      <c r="I1762" s="295">
        <v>-7123.53</v>
      </c>
    </row>
    <row r="1763" spans="1:9" x14ac:dyDescent="0.2">
      <c r="A1763" s="293" t="s">
        <v>7917</v>
      </c>
      <c r="B1763" s="293" t="s">
        <v>5666</v>
      </c>
      <c r="C1763" s="293" t="s">
        <v>6473</v>
      </c>
      <c r="D1763" s="293" t="s">
        <v>5859</v>
      </c>
      <c r="E1763" s="293" t="s">
        <v>6474</v>
      </c>
      <c r="F1763" s="293" t="s">
        <v>7907</v>
      </c>
      <c r="G1763" s="293" t="s">
        <v>5593</v>
      </c>
      <c r="H1763" s="294">
        <v>43404</v>
      </c>
      <c r="I1763" s="295">
        <v>-14668.67</v>
      </c>
    </row>
    <row r="1764" spans="1:9" x14ac:dyDescent="0.2">
      <c r="A1764" s="293" t="s">
        <v>7918</v>
      </c>
      <c r="B1764" s="293" t="s">
        <v>5666</v>
      </c>
      <c r="C1764" s="293" t="s">
        <v>6920</v>
      </c>
      <c r="D1764" s="293" t="s">
        <v>5859</v>
      </c>
      <c r="E1764" s="293" t="s">
        <v>6921</v>
      </c>
      <c r="F1764" s="293" t="s">
        <v>7907</v>
      </c>
      <c r="G1764" s="293" t="s">
        <v>5754</v>
      </c>
      <c r="H1764" s="294">
        <v>43404</v>
      </c>
      <c r="I1764" s="295">
        <v>-8710.42</v>
      </c>
    </row>
    <row r="1765" spans="1:9" x14ac:dyDescent="0.2">
      <c r="A1765" s="293" t="s">
        <v>7919</v>
      </c>
      <c r="B1765" s="293" t="s">
        <v>5666</v>
      </c>
      <c r="C1765" s="293" t="s">
        <v>7219</v>
      </c>
      <c r="D1765" s="293" t="s">
        <v>5859</v>
      </c>
      <c r="E1765" s="293" t="s">
        <v>7080</v>
      </c>
      <c r="F1765" s="293" t="s">
        <v>7907</v>
      </c>
      <c r="G1765" s="293" t="s">
        <v>5755</v>
      </c>
      <c r="H1765" s="294">
        <v>43404</v>
      </c>
      <c r="I1765" s="295">
        <v>-7028.09</v>
      </c>
    </row>
    <row r="1766" spans="1:9" x14ac:dyDescent="0.2">
      <c r="A1766" s="293" t="s">
        <v>7920</v>
      </c>
      <c r="B1766" s="293" t="s">
        <v>6010</v>
      </c>
      <c r="C1766" s="293" t="s">
        <v>7151</v>
      </c>
      <c r="D1766" s="293" t="s">
        <v>5859</v>
      </c>
      <c r="E1766" s="293" t="s">
        <v>7817</v>
      </c>
      <c r="F1766" s="293" t="s">
        <v>7907</v>
      </c>
      <c r="G1766" s="293" t="s">
        <v>7245</v>
      </c>
      <c r="H1766" s="294">
        <v>43404</v>
      </c>
      <c r="I1766" s="295">
        <v>-8371.65</v>
      </c>
    </row>
    <row r="1767" spans="1:9" x14ac:dyDescent="0.2">
      <c r="A1767" s="293" t="s">
        <v>7921</v>
      </c>
      <c r="B1767" s="293" t="s">
        <v>6010</v>
      </c>
      <c r="C1767" s="293" t="s">
        <v>7128</v>
      </c>
      <c r="D1767" s="293" t="s">
        <v>5859</v>
      </c>
      <c r="E1767" s="293" t="s">
        <v>7922</v>
      </c>
      <c r="F1767" s="293" t="s">
        <v>7907</v>
      </c>
      <c r="G1767" s="293" t="s">
        <v>7887</v>
      </c>
      <c r="H1767" s="294">
        <v>43404</v>
      </c>
      <c r="I1767" s="295">
        <v>-9303.32</v>
      </c>
    </row>
    <row r="1768" spans="1:9" x14ac:dyDescent="0.2">
      <c r="A1768" s="293" t="s">
        <v>7923</v>
      </c>
      <c r="B1768" s="293" t="s">
        <v>6010</v>
      </c>
      <c r="C1768" s="293" t="s">
        <v>7924</v>
      </c>
      <c r="D1768" s="293" t="s">
        <v>5859</v>
      </c>
      <c r="E1768" s="293" t="s">
        <v>5088</v>
      </c>
      <c r="F1768" s="293" t="s">
        <v>7925</v>
      </c>
      <c r="G1768" s="293" t="s">
        <v>7887</v>
      </c>
      <c r="H1768" s="294">
        <v>43423</v>
      </c>
      <c r="I1768" s="295">
        <v>2688</v>
      </c>
    </row>
    <row r="1769" spans="1:9" x14ac:dyDescent="0.2">
      <c r="A1769" s="293" t="s">
        <v>7926</v>
      </c>
      <c r="B1769" s="293" t="s">
        <v>7893</v>
      </c>
      <c r="C1769" s="293" t="s">
        <v>7927</v>
      </c>
      <c r="D1769" s="293" t="s">
        <v>5859</v>
      </c>
      <c r="E1769" s="293" t="s">
        <v>7895</v>
      </c>
      <c r="F1769" s="293" t="s">
        <v>7928</v>
      </c>
      <c r="G1769" s="293" t="s">
        <v>7887</v>
      </c>
      <c r="H1769" s="294">
        <v>43452</v>
      </c>
      <c r="I1769" s="295">
        <v>26216.03</v>
      </c>
    </row>
    <row r="1770" spans="1:9" x14ac:dyDescent="0.2">
      <c r="A1770" s="293" t="s">
        <v>7929</v>
      </c>
      <c r="B1770" s="293" t="s">
        <v>5666</v>
      </c>
      <c r="C1770" s="293" t="s">
        <v>6027</v>
      </c>
      <c r="D1770" s="293" t="s">
        <v>5859</v>
      </c>
      <c r="E1770" s="293" t="s">
        <v>6028</v>
      </c>
      <c r="F1770" s="293" t="s">
        <v>7930</v>
      </c>
      <c r="G1770" s="293" t="s">
        <v>5573</v>
      </c>
      <c r="H1770" s="294">
        <v>43434</v>
      </c>
      <c r="I1770" s="295">
        <v>-6400.96</v>
      </c>
    </row>
    <row r="1771" spans="1:9" x14ac:dyDescent="0.2">
      <c r="A1771" s="293" t="s">
        <v>7931</v>
      </c>
      <c r="B1771" s="293" t="s">
        <v>5666</v>
      </c>
      <c r="C1771" s="293" t="s">
        <v>6030</v>
      </c>
      <c r="D1771" s="293" t="s">
        <v>5859</v>
      </c>
      <c r="E1771" s="293" t="s">
        <v>6028</v>
      </c>
      <c r="F1771" s="293" t="s">
        <v>7930</v>
      </c>
      <c r="G1771" s="293" t="s">
        <v>5573</v>
      </c>
      <c r="H1771" s="294">
        <v>43434</v>
      </c>
      <c r="I1771" s="295">
        <v>-130.22</v>
      </c>
    </row>
    <row r="1772" spans="1:9" x14ac:dyDescent="0.2">
      <c r="A1772" s="293" t="s">
        <v>7932</v>
      </c>
      <c r="B1772" s="293" t="s">
        <v>5666</v>
      </c>
      <c r="C1772" s="293" t="s">
        <v>6032</v>
      </c>
      <c r="D1772" s="293" t="s">
        <v>5859</v>
      </c>
      <c r="E1772" s="293" t="s">
        <v>6033</v>
      </c>
      <c r="F1772" s="293" t="s">
        <v>7930</v>
      </c>
      <c r="G1772" s="293" t="s">
        <v>5585</v>
      </c>
      <c r="H1772" s="294">
        <v>43434</v>
      </c>
      <c r="I1772" s="295">
        <v>-6872.38</v>
      </c>
    </row>
    <row r="1773" spans="1:9" x14ac:dyDescent="0.2">
      <c r="A1773" s="293" t="s">
        <v>7933</v>
      </c>
      <c r="B1773" s="293" t="s">
        <v>5666</v>
      </c>
      <c r="C1773" s="293" t="s">
        <v>6035</v>
      </c>
      <c r="D1773" s="293" t="s">
        <v>5859</v>
      </c>
      <c r="E1773" s="293" t="s">
        <v>6033</v>
      </c>
      <c r="F1773" s="293" t="s">
        <v>7930</v>
      </c>
      <c r="G1773" s="293" t="s">
        <v>5585</v>
      </c>
      <c r="H1773" s="294">
        <v>43434</v>
      </c>
      <c r="I1773" s="295">
        <v>-4630.24</v>
      </c>
    </row>
    <row r="1774" spans="1:9" x14ac:dyDescent="0.2">
      <c r="A1774" s="293" t="s">
        <v>7934</v>
      </c>
      <c r="B1774" s="293" t="s">
        <v>5666</v>
      </c>
      <c r="C1774" s="293" t="s">
        <v>6037</v>
      </c>
      <c r="D1774" s="293" t="s">
        <v>5859</v>
      </c>
      <c r="E1774" s="293" t="s">
        <v>6038</v>
      </c>
      <c r="F1774" s="293" t="s">
        <v>7930</v>
      </c>
      <c r="G1774" s="293" t="s">
        <v>5586</v>
      </c>
      <c r="H1774" s="294">
        <v>43434</v>
      </c>
      <c r="I1774" s="295">
        <v>-3059.89</v>
      </c>
    </row>
    <row r="1775" spans="1:9" x14ac:dyDescent="0.2">
      <c r="A1775" s="293" t="s">
        <v>7935</v>
      </c>
      <c r="B1775" s="293" t="s">
        <v>5666</v>
      </c>
      <c r="C1775" s="293" t="s">
        <v>6040</v>
      </c>
      <c r="D1775" s="293" t="s">
        <v>5859</v>
      </c>
      <c r="E1775" s="293" t="s">
        <v>6041</v>
      </c>
      <c r="F1775" s="293" t="s">
        <v>7930</v>
      </c>
      <c r="G1775" s="293" t="s">
        <v>5581</v>
      </c>
      <c r="H1775" s="294">
        <v>43434</v>
      </c>
      <c r="I1775" s="295">
        <v>-8058.13</v>
      </c>
    </row>
    <row r="1776" spans="1:9" x14ac:dyDescent="0.2">
      <c r="A1776" s="293" t="s">
        <v>7936</v>
      </c>
      <c r="B1776" s="293" t="s">
        <v>5666</v>
      </c>
      <c r="C1776" s="293" t="s">
        <v>6056</v>
      </c>
      <c r="D1776" s="293" t="s">
        <v>5859</v>
      </c>
      <c r="E1776" s="293" t="s">
        <v>6057</v>
      </c>
      <c r="F1776" s="293" t="s">
        <v>7930</v>
      </c>
      <c r="G1776" s="293" t="s">
        <v>5578</v>
      </c>
      <c r="H1776" s="294">
        <v>43434</v>
      </c>
      <c r="I1776" s="295">
        <v>-4399.9399999999996</v>
      </c>
    </row>
    <row r="1777" spans="1:9" x14ac:dyDescent="0.2">
      <c r="A1777" s="293" t="s">
        <v>7937</v>
      </c>
      <c r="B1777" s="293" t="s">
        <v>5666</v>
      </c>
      <c r="C1777" s="293" t="s">
        <v>6062</v>
      </c>
      <c r="D1777" s="293" t="s">
        <v>5859</v>
      </c>
      <c r="E1777" s="293" t="s">
        <v>6063</v>
      </c>
      <c r="F1777" s="293" t="s">
        <v>7930</v>
      </c>
      <c r="G1777" s="293" t="s">
        <v>5579</v>
      </c>
      <c r="H1777" s="294">
        <v>43434</v>
      </c>
      <c r="I1777" s="295">
        <v>-2351.71</v>
      </c>
    </row>
    <row r="1778" spans="1:9" x14ac:dyDescent="0.2">
      <c r="A1778" s="293" t="s">
        <v>7938</v>
      </c>
      <c r="B1778" s="293" t="s">
        <v>5666</v>
      </c>
      <c r="C1778" s="293" t="s">
        <v>6065</v>
      </c>
      <c r="D1778" s="293" t="s">
        <v>5859</v>
      </c>
      <c r="E1778" s="293" t="s">
        <v>6063</v>
      </c>
      <c r="F1778" s="293" t="s">
        <v>7930</v>
      </c>
      <c r="G1778" s="293" t="s">
        <v>5579</v>
      </c>
      <c r="H1778" s="294">
        <v>43434</v>
      </c>
      <c r="I1778" s="295">
        <v>-63.12</v>
      </c>
    </row>
    <row r="1779" spans="1:9" x14ac:dyDescent="0.2">
      <c r="A1779" s="293" t="s">
        <v>7939</v>
      </c>
      <c r="B1779" s="293" t="s">
        <v>5666</v>
      </c>
      <c r="C1779" s="293" t="s">
        <v>6471</v>
      </c>
      <c r="D1779" s="293" t="s">
        <v>5859</v>
      </c>
      <c r="E1779" s="293" t="s">
        <v>6829</v>
      </c>
      <c r="F1779" s="293" t="s">
        <v>7930</v>
      </c>
      <c r="G1779" s="293" t="s">
        <v>5589</v>
      </c>
      <c r="H1779" s="294">
        <v>43434</v>
      </c>
      <c r="I1779" s="295">
        <v>-7123.53</v>
      </c>
    </row>
    <row r="1780" spans="1:9" x14ac:dyDescent="0.2">
      <c r="A1780" s="293" t="s">
        <v>7940</v>
      </c>
      <c r="B1780" s="293" t="s">
        <v>5666</v>
      </c>
      <c r="C1780" s="293" t="s">
        <v>6473</v>
      </c>
      <c r="D1780" s="293" t="s">
        <v>5859</v>
      </c>
      <c r="E1780" s="293" t="s">
        <v>6474</v>
      </c>
      <c r="F1780" s="293" t="s">
        <v>7930</v>
      </c>
      <c r="G1780" s="293" t="s">
        <v>5593</v>
      </c>
      <c r="H1780" s="294">
        <v>43434</v>
      </c>
      <c r="I1780" s="295">
        <v>-14668.67</v>
      </c>
    </row>
    <row r="1781" spans="1:9" x14ac:dyDescent="0.2">
      <c r="A1781" s="293" t="s">
        <v>7941</v>
      </c>
      <c r="B1781" s="293" t="s">
        <v>5666</v>
      </c>
      <c r="C1781" s="293" t="s">
        <v>6920</v>
      </c>
      <c r="D1781" s="293" t="s">
        <v>5859</v>
      </c>
      <c r="E1781" s="293" t="s">
        <v>6921</v>
      </c>
      <c r="F1781" s="293" t="s">
        <v>7930</v>
      </c>
      <c r="G1781" s="293" t="s">
        <v>5754</v>
      </c>
      <c r="H1781" s="294">
        <v>43434</v>
      </c>
      <c r="I1781" s="295">
        <v>-8710.42</v>
      </c>
    </row>
    <row r="1782" spans="1:9" x14ac:dyDescent="0.2">
      <c r="A1782" s="293" t="s">
        <v>7942</v>
      </c>
      <c r="B1782" s="293" t="s">
        <v>5666</v>
      </c>
      <c r="C1782" s="293" t="s">
        <v>7219</v>
      </c>
      <c r="D1782" s="293" t="s">
        <v>5859</v>
      </c>
      <c r="E1782" s="293" t="s">
        <v>7080</v>
      </c>
      <c r="F1782" s="293" t="s">
        <v>7930</v>
      </c>
      <c r="G1782" s="293" t="s">
        <v>5755</v>
      </c>
      <c r="H1782" s="294">
        <v>43434</v>
      </c>
      <c r="I1782" s="295">
        <v>-7028.09</v>
      </c>
    </row>
    <row r="1783" spans="1:9" x14ac:dyDescent="0.2">
      <c r="A1783" s="293" t="s">
        <v>7943</v>
      </c>
      <c r="B1783" s="293" t="s">
        <v>6010</v>
      </c>
      <c r="C1783" s="293" t="s">
        <v>7052</v>
      </c>
      <c r="D1783" s="293" t="s">
        <v>5859</v>
      </c>
      <c r="E1783" s="293" t="s">
        <v>7817</v>
      </c>
      <c r="F1783" s="293" t="s">
        <v>7930</v>
      </c>
      <c r="G1783" s="293" t="s">
        <v>7245</v>
      </c>
      <c r="H1783" s="294">
        <v>43434</v>
      </c>
      <c r="I1783" s="295">
        <v>-8448.67</v>
      </c>
    </row>
    <row r="1784" spans="1:9" x14ac:dyDescent="0.2">
      <c r="A1784" s="293" t="s">
        <v>7944</v>
      </c>
      <c r="B1784" s="293" t="s">
        <v>6010</v>
      </c>
      <c r="C1784" s="293" t="s">
        <v>7840</v>
      </c>
      <c r="D1784" s="293" t="s">
        <v>5859</v>
      </c>
      <c r="E1784" s="293" t="s">
        <v>7922</v>
      </c>
      <c r="F1784" s="293" t="s">
        <v>7930</v>
      </c>
      <c r="G1784" s="293" t="s">
        <v>7887</v>
      </c>
      <c r="H1784" s="294">
        <v>43434</v>
      </c>
      <c r="I1784" s="295">
        <v>-9314.16</v>
      </c>
    </row>
    <row r="1785" spans="1:9" x14ac:dyDescent="0.2">
      <c r="A1785" s="293" t="s">
        <v>7945</v>
      </c>
      <c r="B1785" s="293" t="s">
        <v>5666</v>
      </c>
      <c r="C1785" s="293" t="s">
        <v>6027</v>
      </c>
      <c r="D1785" s="293" t="s">
        <v>5859</v>
      </c>
      <c r="E1785" s="293" t="s">
        <v>6028</v>
      </c>
      <c r="F1785" s="293" t="s">
        <v>7946</v>
      </c>
      <c r="G1785" s="293" t="s">
        <v>5573</v>
      </c>
      <c r="H1785" s="294">
        <v>43465</v>
      </c>
      <c r="I1785" s="295">
        <v>-6400.96</v>
      </c>
    </row>
    <row r="1786" spans="1:9" x14ac:dyDescent="0.2">
      <c r="A1786" s="293" t="s">
        <v>7947</v>
      </c>
      <c r="B1786" s="293" t="s">
        <v>5666</v>
      </c>
      <c r="C1786" s="293" t="s">
        <v>6030</v>
      </c>
      <c r="D1786" s="293" t="s">
        <v>5859</v>
      </c>
      <c r="E1786" s="293" t="s">
        <v>6028</v>
      </c>
      <c r="F1786" s="293" t="s">
        <v>7946</v>
      </c>
      <c r="G1786" s="293" t="s">
        <v>5573</v>
      </c>
      <c r="H1786" s="294">
        <v>43465</v>
      </c>
      <c r="I1786" s="295">
        <v>-130.22</v>
      </c>
    </row>
    <row r="1787" spans="1:9" x14ac:dyDescent="0.2">
      <c r="A1787" s="293" t="s">
        <v>7948</v>
      </c>
      <c r="B1787" s="293" t="s">
        <v>5666</v>
      </c>
      <c r="C1787" s="293" t="s">
        <v>6032</v>
      </c>
      <c r="D1787" s="293" t="s">
        <v>5859</v>
      </c>
      <c r="E1787" s="293" t="s">
        <v>6033</v>
      </c>
      <c r="F1787" s="293" t="s">
        <v>7946</v>
      </c>
      <c r="G1787" s="293" t="s">
        <v>5585</v>
      </c>
      <c r="H1787" s="294">
        <v>43465</v>
      </c>
      <c r="I1787" s="295">
        <v>-6872.38</v>
      </c>
    </row>
    <row r="1788" spans="1:9" x14ac:dyDescent="0.2">
      <c r="A1788" s="293" t="s">
        <v>7949</v>
      </c>
      <c r="B1788" s="293" t="s">
        <v>5666</v>
      </c>
      <c r="C1788" s="293" t="s">
        <v>6035</v>
      </c>
      <c r="D1788" s="293" t="s">
        <v>5859</v>
      </c>
      <c r="E1788" s="293" t="s">
        <v>6033</v>
      </c>
      <c r="F1788" s="293" t="s">
        <v>7946</v>
      </c>
      <c r="G1788" s="293" t="s">
        <v>5585</v>
      </c>
      <c r="H1788" s="294">
        <v>43465</v>
      </c>
      <c r="I1788" s="295">
        <v>-4630.24</v>
      </c>
    </row>
    <row r="1789" spans="1:9" x14ac:dyDescent="0.2">
      <c r="A1789" s="293" t="s">
        <v>7950</v>
      </c>
      <c r="B1789" s="293" t="s">
        <v>5666</v>
      </c>
      <c r="C1789" s="293" t="s">
        <v>6037</v>
      </c>
      <c r="D1789" s="293" t="s">
        <v>5859</v>
      </c>
      <c r="E1789" s="293" t="s">
        <v>6038</v>
      </c>
      <c r="F1789" s="293" t="s">
        <v>7946</v>
      </c>
      <c r="G1789" s="293" t="s">
        <v>5586</v>
      </c>
      <c r="H1789" s="294">
        <v>43465</v>
      </c>
      <c r="I1789" s="295">
        <v>-3059.89</v>
      </c>
    </row>
    <row r="1790" spans="1:9" x14ac:dyDescent="0.2">
      <c r="A1790" s="293" t="s">
        <v>7951</v>
      </c>
      <c r="B1790" s="293" t="s">
        <v>5666</v>
      </c>
      <c r="C1790" s="293" t="s">
        <v>6040</v>
      </c>
      <c r="D1790" s="293" t="s">
        <v>5859</v>
      </c>
      <c r="E1790" s="293" t="s">
        <v>6041</v>
      </c>
      <c r="F1790" s="293" t="s">
        <v>7946</v>
      </c>
      <c r="G1790" s="293" t="s">
        <v>5581</v>
      </c>
      <c r="H1790" s="294">
        <v>43465</v>
      </c>
      <c r="I1790" s="295">
        <v>-8058.13</v>
      </c>
    </row>
    <row r="1791" spans="1:9" x14ac:dyDescent="0.2">
      <c r="A1791" s="293" t="s">
        <v>7952</v>
      </c>
      <c r="B1791" s="293" t="s">
        <v>5666</v>
      </c>
      <c r="C1791" s="293" t="s">
        <v>6056</v>
      </c>
      <c r="D1791" s="293" t="s">
        <v>5859</v>
      </c>
      <c r="E1791" s="293" t="s">
        <v>6057</v>
      </c>
      <c r="F1791" s="293" t="s">
        <v>7946</v>
      </c>
      <c r="G1791" s="293" t="s">
        <v>5578</v>
      </c>
      <c r="H1791" s="294">
        <v>43465</v>
      </c>
      <c r="I1791" s="295">
        <v>-4399.9399999999996</v>
      </c>
    </row>
    <row r="1792" spans="1:9" x14ac:dyDescent="0.2">
      <c r="A1792" s="293" t="s">
        <v>7953</v>
      </c>
      <c r="B1792" s="293" t="s">
        <v>5666</v>
      </c>
      <c r="C1792" s="293" t="s">
        <v>6062</v>
      </c>
      <c r="D1792" s="293" t="s">
        <v>5859</v>
      </c>
      <c r="E1792" s="293" t="s">
        <v>6063</v>
      </c>
      <c r="F1792" s="293" t="s">
        <v>7946</v>
      </c>
      <c r="G1792" s="293" t="s">
        <v>5579</v>
      </c>
      <c r="H1792" s="294">
        <v>43465</v>
      </c>
      <c r="I1792" s="295">
        <v>-2351.71</v>
      </c>
    </row>
    <row r="1793" spans="1:9" x14ac:dyDescent="0.2">
      <c r="A1793" s="293" t="s">
        <v>7954</v>
      </c>
      <c r="B1793" s="293" t="s">
        <v>5666</v>
      </c>
      <c r="C1793" s="293" t="s">
        <v>6065</v>
      </c>
      <c r="D1793" s="293" t="s">
        <v>5859</v>
      </c>
      <c r="E1793" s="293" t="s">
        <v>6063</v>
      </c>
      <c r="F1793" s="293" t="s">
        <v>7946</v>
      </c>
      <c r="G1793" s="293" t="s">
        <v>5579</v>
      </c>
      <c r="H1793" s="294">
        <v>43465</v>
      </c>
      <c r="I1793" s="295">
        <v>-63.12</v>
      </c>
    </row>
    <row r="1794" spans="1:9" x14ac:dyDescent="0.2">
      <c r="A1794" s="293" t="s">
        <v>7955</v>
      </c>
      <c r="B1794" s="293" t="s">
        <v>5666</v>
      </c>
      <c r="C1794" s="293" t="s">
        <v>6471</v>
      </c>
      <c r="D1794" s="293" t="s">
        <v>5859</v>
      </c>
      <c r="E1794" s="293" t="s">
        <v>6829</v>
      </c>
      <c r="F1794" s="293" t="s">
        <v>7946</v>
      </c>
      <c r="G1794" s="293" t="s">
        <v>5589</v>
      </c>
      <c r="H1794" s="294">
        <v>43465</v>
      </c>
      <c r="I1794" s="295">
        <v>-7123.53</v>
      </c>
    </row>
    <row r="1795" spans="1:9" x14ac:dyDescent="0.2">
      <c r="A1795" s="293" t="s">
        <v>7956</v>
      </c>
      <c r="B1795" s="293" t="s">
        <v>5666</v>
      </c>
      <c r="C1795" s="293" t="s">
        <v>6473</v>
      </c>
      <c r="D1795" s="293" t="s">
        <v>5859</v>
      </c>
      <c r="E1795" s="293" t="s">
        <v>6474</v>
      </c>
      <c r="F1795" s="293" t="s">
        <v>7946</v>
      </c>
      <c r="G1795" s="293" t="s">
        <v>5593</v>
      </c>
      <c r="H1795" s="294">
        <v>43465</v>
      </c>
      <c r="I1795" s="295">
        <v>-14668.67</v>
      </c>
    </row>
    <row r="1796" spans="1:9" x14ac:dyDescent="0.2">
      <c r="A1796" s="293" t="s">
        <v>7957</v>
      </c>
      <c r="B1796" s="293" t="s">
        <v>5666</v>
      </c>
      <c r="C1796" s="293" t="s">
        <v>6920</v>
      </c>
      <c r="D1796" s="293" t="s">
        <v>5859</v>
      </c>
      <c r="E1796" s="293" t="s">
        <v>6921</v>
      </c>
      <c r="F1796" s="293" t="s">
        <v>7946</v>
      </c>
      <c r="G1796" s="293" t="s">
        <v>5754</v>
      </c>
      <c r="H1796" s="294">
        <v>43465</v>
      </c>
      <c r="I1796" s="295">
        <v>-8710.42</v>
      </c>
    </row>
    <row r="1797" spans="1:9" x14ac:dyDescent="0.2">
      <c r="A1797" s="293" t="s">
        <v>7958</v>
      </c>
      <c r="B1797" s="293" t="s">
        <v>5666</v>
      </c>
      <c r="C1797" s="293" t="s">
        <v>7219</v>
      </c>
      <c r="D1797" s="293" t="s">
        <v>5859</v>
      </c>
      <c r="E1797" s="293" t="s">
        <v>7080</v>
      </c>
      <c r="F1797" s="293" t="s">
        <v>7946</v>
      </c>
      <c r="G1797" s="293" t="s">
        <v>5755</v>
      </c>
      <c r="H1797" s="294">
        <v>43465</v>
      </c>
      <c r="I1797" s="295">
        <v>-7028.09</v>
      </c>
    </row>
    <row r="1798" spans="1:9" x14ac:dyDescent="0.2">
      <c r="A1798" s="293" t="s">
        <v>7865</v>
      </c>
      <c r="B1798" s="293" t="s">
        <v>6010</v>
      </c>
      <c r="C1798" s="293" t="s">
        <v>7866</v>
      </c>
      <c r="D1798" s="293" t="s">
        <v>5859</v>
      </c>
      <c r="E1798" s="293" t="s">
        <v>7817</v>
      </c>
      <c r="F1798" s="293" t="s">
        <v>7946</v>
      </c>
      <c r="G1798" s="293" t="s">
        <v>7245</v>
      </c>
      <c r="H1798" s="294">
        <v>43465</v>
      </c>
      <c r="I1798" s="295">
        <v>-8384.43</v>
      </c>
    </row>
    <row r="1799" spans="1:9" x14ac:dyDescent="0.2">
      <c r="A1799" s="293" t="s">
        <v>7865</v>
      </c>
      <c r="B1799" s="293" t="s">
        <v>6010</v>
      </c>
      <c r="C1799" s="293" t="s">
        <v>7866</v>
      </c>
      <c r="D1799" s="293" t="s">
        <v>5859</v>
      </c>
      <c r="E1799" s="293" t="s">
        <v>7922</v>
      </c>
      <c r="F1799" s="293" t="s">
        <v>7946</v>
      </c>
      <c r="G1799" s="293" t="s">
        <v>7887</v>
      </c>
      <c r="H1799" s="294">
        <v>43465</v>
      </c>
      <c r="I1799" s="295">
        <v>-9913.09</v>
      </c>
    </row>
    <row r="1800" spans="1:9" x14ac:dyDescent="0.2">
      <c r="A1800" s="293" t="s">
        <v>7865</v>
      </c>
      <c r="B1800" s="293" t="s">
        <v>6010</v>
      </c>
      <c r="C1800" s="293" t="s">
        <v>7866</v>
      </c>
      <c r="D1800" s="293" t="s">
        <v>5859</v>
      </c>
      <c r="E1800" s="293" t="s">
        <v>7959</v>
      </c>
      <c r="F1800" s="293" t="s">
        <v>7946</v>
      </c>
      <c r="G1800" s="293" t="s">
        <v>7887</v>
      </c>
      <c r="H1800" s="294">
        <v>43465</v>
      </c>
      <c r="I1800" s="295">
        <v>-48002.34</v>
      </c>
    </row>
    <row r="1801" spans="1:9" x14ac:dyDescent="0.2">
      <c r="A1801" s="293" t="s">
        <v>7865</v>
      </c>
      <c r="B1801" s="293" t="s">
        <v>6010</v>
      </c>
      <c r="C1801" s="293" t="s">
        <v>7866</v>
      </c>
      <c r="D1801" s="293" t="s">
        <v>5859</v>
      </c>
      <c r="E1801" s="293" t="s">
        <v>7959</v>
      </c>
      <c r="F1801" s="293" t="s">
        <v>7946</v>
      </c>
      <c r="G1801" s="293" t="s">
        <v>7887</v>
      </c>
      <c r="H1801" s="294">
        <v>43465</v>
      </c>
      <c r="I1801" s="295">
        <v>48004.05</v>
      </c>
    </row>
    <row r="1802" spans="1:9" x14ac:dyDescent="0.2">
      <c r="A1802" s="293" t="s">
        <v>7865</v>
      </c>
      <c r="B1802" s="293" t="s">
        <v>6010</v>
      </c>
      <c r="C1802" s="293" t="s">
        <v>7866</v>
      </c>
      <c r="D1802" s="293" t="s">
        <v>5859</v>
      </c>
      <c r="E1802" s="293" t="s">
        <v>7960</v>
      </c>
      <c r="F1802" s="293" t="s">
        <v>7946</v>
      </c>
      <c r="G1802" s="293" t="s">
        <v>7887</v>
      </c>
      <c r="H1802" s="294">
        <v>43465</v>
      </c>
      <c r="I1802" s="295">
        <v>-26216.03</v>
      </c>
    </row>
    <row r="1803" spans="1:9" x14ac:dyDescent="0.2">
      <c r="A1803" s="293" t="s">
        <v>7865</v>
      </c>
      <c r="B1803" s="293" t="s">
        <v>6010</v>
      </c>
      <c r="C1803" s="293" t="s">
        <v>7866</v>
      </c>
      <c r="D1803" s="293" t="s">
        <v>5859</v>
      </c>
      <c r="E1803" s="293" t="s">
        <v>7960</v>
      </c>
      <c r="F1803" s="293" t="s">
        <v>7946</v>
      </c>
      <c r="G1803" s="293" t="s">
        <v>7887</v>
      </c>
      <c r="H1803" s="294">
        <v>43465</v>
      </c>
      <c r="I1803" s="295">
        <v>26216.959999999999</v>
      </c>
    </row>
    <row r="1804" spans="1:9" x14ac:dyDescent="0.2">
      <c r="A1804" s="293" t="s">
        <v>7961</v>
      </c>
      <c r="B1804" s="293" t="s">
        <v>6010</v>
      </c>
      <c r="C1804" s="293" t="s">
        <v>7962</v>
      </c>
      <c r="D1804" s="293" t="s">
        <v>5859</v>
      </c>
      <c r="E1804" s="293" t="s">
        <v>7963</v>
      </c>
      <c r="F1804" s="293" t="s">
        <v>7964</v>
      </c>
      <c r="G1804" s="293" t="s">
        <v>7887</v>
      </c>
      <c r="H1804" s="294">
        <v>43553</v>
      </c>
      <c r="I1804" s="295">
        <v>196000</v>
      </c>
    </row>
    <row r="1805" spans="1:9" x14ac:dyDescent="0.2">
      <c r="A1805" s="293" t="s">
        <v>7965</v>
      </c>
      <c r="B1805" s="293" t="s">
        <v>5666</v>
      </c>
      <c r="C1805" s="293" t="s">
        <v>6027</v>
      </c>
      <c r="D1805" s="293" t="s">
        <v>5859</v>
      </c>
      <c r="E1805" s="293" t="s">
        <v>6028</v>
      </c>
      <c r="F1805" s="293" t="s">
        <v>7966</v>
      </c>
      <c r="G1805" s="293" t="s">
        <v>5573</v>
      </c>
      <c r="H1805" s="294">
        <v>43496</v>
      </c>
      <c r="I1805" s="295">
        <v>-6400.96</v>
      </c>
    </row>
    <row r="1806" spans="1:9" x14ac:dyDescent="0.2">
      <c r="A1806" s="293" t="s">
        <v>7967</v>
      </c>
      <c r="B1806" s="293" t="s">
        <v>5666</v>
      </c>
      <c r="C1806" s="293" t="s">
        <v>6030</v>
      </c>
      <c r="D1806" s="293" t="s">
        <v>5859</v>
      </c>
      <c r="E1806" s="293" t="s">
        <v>6028</v>
      </c>
      <c r="F1806" s="293" t="s">
        <v>7966</v>
      </c>
      <c r="G1806" s="293" t="s">
        <v>5573</v>
      </c>
      <c r="H1806" s="294">
        <v>43496</v>
      </c>
      <c r="I1806" s="295">
        <v>-130.22</v>
      </c>
    </row>
    <row r="1807" spans="1:9" x14ac:dyDescent="0.2">
      <c r="A1807" s="293" t="s">
        <v>7968</v>
      </c>
      <c r="B1807" s="293" t="s">
        <v>5666</v>
      </c>
      <c r="C1807" s="293" t="s">
        <v>6032</v>
      </c>
      <c r="D1807" s="293" t="s">
        <v>5859</v>
      </c>
      <c r="E1807" s="293" t="s">
        <v>6033</v>
      </c>
      <c r="F1807" s="293" t="s">
        <v>7966</v>
      </c>
      <c r="G1807" s="293" t="s">
        <v>5585</v>
      </c>
      <c r="H1807" s="294">
        <v>43496</v>
      </c>
      <c r="I1807" s="295">
        <v>-6872.38</v>
      </c>
    </row>
    <row r="1808" spans="1:9" x14ac:dyDescent="0.2">
      <c r="A1808" s="293" t="s">
        <v>7969</v>
      </c>
      <c r="B1808" s="293" t="s">
        <v>5666</v>
      </c>
      <c r="C1808" s="293" t="s">
        <v>6035</v>
      </c>
      <c r="D1808" s="293" t="s">
        <v>5859</v>
      </c>
      <c r="E1808" s="293" t="s">
        <v>6033</v>
      </c>
      <c r="F1808" s="293" t="s">
        <v>7966</v>
      </c>
      <c r="G1808" s="293" t="s">
        <v>5585</v>
      </c>
      <c r="H1808" s="294">
        <v>43496</v>
      </c>
      <c r="I1808" s="295">
        <v>-4630.24</v>
      </c>
    </row>
    <row r="1809" spans="1:9" x14ac:dyDescent="0.2">
      <c r="A1809" s="293" t="s">
        <v>7970</v>
      </c>
      <c r="B1809" s="293" t="s">
        <v>5666</v>
      </c>
      <c r="C1809" s="293" t="s">
        <v>6037</v>
      </c>
      <c r="D1809" s="293" t="s">
        <v>5859</v>
      </c>
      <c r="E1809" s="293" t="s">
        <v>6038</v>
      </c>
      <c r="F1809" s="293" t="s">
        <v>7966</v>
      </c>
      <c r="G1809" s="293" t="s">
        <v>5586</v>
      </c>
      <c r="H1809" s="294">
        <v>43496</v>
      </c>
      <c r="I1809" s="295">
        <v>-3059.89</v>
      </c>
    </row>
    <row r="1810" spans="1:9" x14ac:dyDescent="0.2">
      <c r="A1810" s="293" t="s">
        <v>7971</v>
      </c>
      <c r="B1810" s="293" t="s">
        <v>5666</v>
      </c>
      <c r="C1810" s="293" t="s">
        <v>6040</v>
      </c>
      <c r="D1810" s="293" t="s">
        <v>5859</v>
      </c>
      <c r="E1810" s="293" t="s">
        <v>6041</v>
      </c>
      <c r="F1810" s="293" t="s">
        <v>7966</v>
      </c>
      <c r="G1810" s="293" t="s">
        <v>5581</v>
      </c>
      <c r="H1810" s="294">
        <v>43496</v>
      </c>
      <c r="I1810" s="295">
        <v>-8058.13</v>
      </c>
    </row>
    <row r="1811" spans="1:9" x14ac:dyDescent="0.2">
      <c r="A1811" s="293" t="s">
        <v>7972</v>
      </c>
      <c r="B1811" s="293" t="s">
        <v>5666</v>
      </c>
      <c r="C1811" s="293" t="s">
        <v>6056</v>
      </c>
      <c r="D1811" s="293" t="s">
        <v>5859</v>
      </c>
      <c r="E1811" s="293" t="s">
        <v>6057</v>
      </c>
      <c r="F1811" s="293" t="s">
        <v>7966</v>
      </c>
      <c r="G1811" s="293" t="s">
        <v>5578</v>
      </c>
      <c r="H1811" s="294">
        <v>43496</v>
      </c>
      <c r="I1811" s="295">
        <v>-4399.9399999999996</v>
      </c>
    </row>
    <row r="1812" spans="1:9" x14ac:dyDescent="0.2">
      <c r="A1812" s="293" t="s">
        <v>7973</v>
      </c>
      <c r="B1812" s="293" t="s">
        <v>5666</v>
      </c>
      <c r="C1812" s="293" t="s">
        <v>6062</v>
      </c>
      <c r="D1812" s="293" t="s">
        <v>5859</v>
      </c>
      <c r="E1812" s="293" t="s">
        <v>6063</v>
      </c>
      <c r="F1812" s="293" t="s">
        <v>7966</v>
      </c>
      <c r="G1812" s="293" t="s">
        <v>5579</v>
      </c>
      <c r="H1812" s="294">
        <v>43496</v>
      </c>
      <c r="I1812" s="295">
        <v>-2351.71</v>
      </c>
    </row>
    <row r="1813" spans="1:9" x14ac:dyDescent="0.2">
      <c r="A1813" s="293" t="s">
        <v>7974</v>
      </c>
      <c r="B1813" s="293" t="s">
        <v>5666</v>
      </c>
      <c r="C1813" s="293" t="s">
        <v>6065</v>
      </c>
      <c r="D1813" s="293" t="s">
        <v>5859</v>
      </c>
      <c r="E1813" s="293" t="s">
        <v>6063</v>
      </c>
      <c r="F1813" s="293" t="s">
        <v>7966</v>
      </c>
      <c r="G1813" s="293" t="s">
        <v>5579</v>
      </c>
      <c r="H1813" s="294">
        <v>43496</v>
      </c>
      <c r="I1813" s="295">
        <v>-63.12</v>
      </c>
    </row>
    <row r="1814" spans="1:9" x14ac:dyDescent="0.2">
      <c r="A1814" s="293" t="s">
        <v>7975</v>
      </c>
      <c r="B1814" s="293" t="s">
        <v>5666</v>
      </c>
      <c r="C1814" s="293" t="s">
        <v>6471</v>
      </c>
      <c r="D1814" s="293" t="s">
        <v>5859</v>
      </c>
      <c r="E1814" s="293" t="s">
        <v>6829</v>
      </c>
      <c r="F1814" s="293" t="s">
        <v>7966</v>
      </c>
      <c r="G1814" s="293" t="s">
        <v>5589</v>
      </c>
      <c r="H1814" s="294">
        <v>43496</v>
      </c>
      <c r="I1814" s="295">
        <v>-7123.53</v>
      </c>
    </row>
    <row r="1815" spans="1:9" x14ac:dyDescent="0.2">
      <c r="A1815" s="293" t="s">
        <v>7976</v>
      </c>
      <c r="B1815" s="293" t="s">
        <v>5666</v>
      </c>
      <c r="C1815" s="293" t="s">
        <v>6473</v>
      </c>
      <c r="D1815" s="293" t="s">
        <v>5859</v>
      </c>
      <c r="E1815" s="293" t="s">
        <v>6474</v>
      </c>
      <c r="F1815" s="293" t="s">
        <v>7966</v>
      </c>
      <c r="G1815" s="293" t="s">
        <v>5593</v>
      </c>
      <c r="H1815" s="294">
        <v>43496</v>
      </c>
      <c r="I1815" s="295">
        <v>-14668.67</v>
      </c>
    </row>
    <row r="1816" spans="1:9" x14ac:dyDescent="0.2">
      <c r="A1816" s="293" t="s">
        <v>7977</v>
      </c>
      <c r="B1816" s="293" t="s">
        <v>5666</v>
      </c>
      <c r="C1816" s="293" t="s">
        <v>6920</v>
      </c>
      <c r="D1816" s="293" t="s">
        <v>5859</v>
      </c>
      <c r="E1816" s="293" t="s">
        <v>6921</v>
      </c>
      <c r="F1816" s="293" t="s">
        <v>7966</v>
      </c>
      <c r="G1816" s="293" t="s">
        <v>5754</v>
      </c>
      <c r="H1816" s="294">
        <v>43496</v>
      </c>
      <c r="I1816" s="295">
        <v>-8710.42</v>
      </c>
    </row>
    <row r="1817" spans="1:9" x14ac:dyDescent="0.2">
      <c r="A1817" s="293" t="s">
        <v>7978</v>
      </c>
      <c r="B1817" s="293" t="s">
        <v>5666</v>
      </c>
      <c r="C1817" s="293" t="s">
        <v>7219</v>
      </c>
      <c r="D1817" s="293" t="s">
        <v>5859</v>
      </c>
      <c r="E1817" s="293" t="s">
        <v>7080</v>
      </c>
      <c r="F1817" s="293" t="s">
        <v>7966</v>
      </c>
      <c r="G1817" s="293" t="s">
        <v>5755</v>
      </c>
      <c r="H1817" s="294">
        <v>43496</v>
      </c>
      <c r="I1817" s="295">
        <v>-7028.09</v>
      </c>
    </row>
    <row r="1818" spans="1:9" x14ac:dyDescent="0.2">
      <c r="A1818" s="293" t="s">
        <v>7979</v>
      </c>
      <c r="B1818" s="293" t="s">
        <v>6010</v>
      </c>
      <c r="C1818" s="293" t="s">
        <v>7980</v>
      </c>
      <c r="D1818" s="293" t="s">
        <v>5859</v>
      </c>
      <c r="E1818" s="293" t="s">
        <v>7817</v>
      </c>
      <c r="F1818" s="293" t="s">
        <v>7966</v>
      </c>
      <c r="G1818" s="293" t="s">
        <v>7245</v>
      </c>
      <c r="H1818" s="294">
        <v>43496</v>
      </c>
      <c r="I1818" s="295">
        <v>-8384.43</v>
      </c>
    </row>
    <row r="1819" spans="1:9" x14ac:dyDescent="0.2">
      <c r="A1819" s="293" t="s">
        <v>7979</v>
      </c>
      <c r="B1819" s="293" t="s">
        <v>6010</v>
      </c>
      <c r="C1819" s="293" t="s">
        <v>7980</v>
      </c>
      <c r="D1819" s="293" t="s">
        <v>5859</v>
      </c>
      <c r="E1819" s="293" t="s">
        <v>7922</v>
      </c>
      <c r="F1819" s="293" t="s">
        <v>7966</v>
      </c>
      <c r="G1819" s="293" t="s">
        <v>7887</v>
      </c>
      <c r="H1819" s="294">
        <v>43496</v>
      </c>
      <c r="I1819" s="295">
        <v>-9510.6200000000008</v>
      </c>
    </row>
    <row r="1820" spans="1:9" x14ac:dyDescent="0.2">
      <c r="A1820" s="293" t="s">
        <v>7981</v>
      </c>
      <c r="B1820" s="293" t="s">
        <v>7893</v>
      </c>
      <c r="C1820" s="293" t="s">
        <v>7982</v>
      </c>
      <c r="D1820" s="293" t="s">
        <v>5859</v>
      </c>
      <c r="E1820" s="293" t="s">
        <v>7895</v>
      </c>
      <c r="F1820" s="293" t="s">
        <v>7983</v>
      </c>
      <c r="G1820" s="293" t="s">
        <v>7887</v>
      </c>
      <c r="H1820" s="294">
        <v>43516</v>
      </c>
      <c r="I1820" s="295">
        <v>238.06</v>
      </c>
    </row>
    <row r="1821" spans="1:9" x14ac:dyDescent="0.2">
      <c r="A1821" s="293" t="s">
        <v>7984</v>
      </c>
      <c r="B1821" s="293" t="s">
        <v>7893</v>
      </c>
      <c r="C1821" s="293" t="s">
        <v>7985</v>
      </c>
      <c r="D1821" s="293" t="s">
        <v>5859</v>
      </c>
      <c r="E1821" s="293" t="s">
        <v>7895</v>
      </c>
      <c r="F1821" s="293" t="s">
        <v>7983</v>
      </c>
      <c r="G1821" s="293" t="s">
        <v>5578</v>
      </c>
      <c r="H1821" s="294">
        <v>43579</v>
      </c>
      <c r="I1821" s="295">
        <v>2975.87</v>
      </c>
    </row>
    <row r="1822" spans="1:9" x14ac:dyDescent="0.2">
      <c r="A1822" s="293" t="s">
        <v>7986</v>
      </c>
      <c r="B1822" s="293" t="s">
        <v>5666</v>
      </c>
      <c r="C1822" s="293" t="s">
        <v>6027</v>
      </c>
      <c r="D1822" s="293" t="s">
        <v>5859</v>
      </c>
      <c r="E1822" s="293" t="s">
        <v>6028</v>
      </c>
      <c r="F1822" s="293" t="s">
        <v>7987</v>
      </c>
      <c r="G1822" s="293" t="s">
        <v>5573</v>
      </c>
      <c r="H1822" s="294">
        <v>43524</v>
      </c>
      <c r="I1822" s="295">
        <v>-6400.96</v>
      </c>
    </row>
    <row r="1823" spans="1:9" x14ac:dyDescent="0.2">
      <c r="A1823" s="293" t="s">
        <v>7988</v>
      </c>
      <c r="B1823" s="293" t="s">
        <v>5666</v>
      </c>
      <c r="C1823" s="293" t="s">
        <v>6030</v>
      </c>
      <c r="D1823" s="293" t="s">
        <v>5859</v>
      </c>
      <c r="E1823" s="293" t="s">
        <v>6028</v>
      </c>
      <c r="F1823" s="293" t="s">
        <v>7987</v>
      </c>
      <c r="G1823" s="293" t="s">
        <v>5573</v>
      </c>
      <c r="H1823" s="294">
        <v>43524</v>
      </c>
      <c r="I1823" s="295">
        <v>-130.22</v>
      </c>
    </row>
    <row r="1824" spans="1:9" x14ac:dyDescent="0.2">
      <c r="A1824" s="293" t="s">
        <v>7989</v>
      </c>
      <c r="B1824" s="293" t="s">
        <v>5666</v>
      </c>
      <c r="C1824" s="293" t="s">
        <v>6032</v>
      </c>
      <c r="D1824" s="293" t="s">
        <v>5859</v>
      </c>
      <c r="E1824" s="293" t="s">
        <v>6033</v>
      </c>
      <c r="F1824" s="293" t="s">
        <v>7987</v>
      </c>
      <c r="G1824" s="293" t="s">
        <v>5585</v>
      </c>
      <c r="H1824" s="294">
        <v>43524</v>
      </c>
      <c r="I1824" s="295">
        <v>-6872.38</v>
      </c>
    </row>
    <row r="1825" spans="1:9" x14ac:dyDescent="0.2">
      <c r="A1825" s="293" t="s">
        <v>7990</v>
      </c>
      <c r="B1825" s="293" t="s">
        <v>5666</v>
      </c>
      <c r="C1825" s="293" t="s">
        <v>6035</v>
      </c>
      <c r="D1825" s="293" t="s">
        <v>5859</v>
      </c>
      <c r="E1825" s="293" t="s">
        <v>6033</v>
      </c>
      <c r="F1825" s="293" t="s">
        <v>7987</v>
      </c>
      <c r="G1825" s="293" t="s">
        <v>5585</v>
      </c>
      <c r="H1825" s="294">
        <v>43524</v>
      </c>
      <c r="I1825" s="295">
        <v>-4630.24</v>
      </c>
    </row>
    <row r="1826" spans="1:9" x14ac:dyDescent="0.2">
      <c r="A1826" s="293" t="s">
        <v>7991</v>
      </c>
      <c r="B1826" s="293" t="s">
        <v>5666</v>
      </c>
      <c r="C1826" s="293" t="s">
        <v>6037</v>
      </c>
      <c r="D1826" s="293" t="s">
        <v>5859</v>
      </c>
      <c r="E1826" s="293" t="s">
        <v>6038</v>
      </c>
      <c r="F1826" s="293" t="s">
        <v>7987</v>
      </c>
      <c r="G1826" s="293" t="s">
        <v>5586</v>
      </c>
      <c r="H1826" s="294">
        <v>43524</v>
      </c>
      <c r="I1826" s="295">
        <v>-3059.89</v>
      </c>
    </row>
    <row r="1827" spans="1:9" x14ac:dyDescent="0.2">
      <c r="A1827" s="293" t="s">
        <v>7992</v>
      </c>
      <c r="B1827" s="293" t="s">
        <v>5666</v>
      </c>
      <c r="C1827" s="293" t="s">
        <v>6040</v>
      </c>
      <c r="D1827" s="293" t="s">
        <v>5859</v>
      </c>
      <c r="E1827" s="293" t="s">
        <v>6041</v>
      </c>
      <c r="F1827" s="293" t="s">
        <v>7987</v>
      </c>
      <c r="G1827" s="293" t="s">
        <v>5581</v>
      </c>
      <c r="H1827" s="294">
        <v>43524</v>
      </c>
      <c r="I1827" s="295">
        <v>-8058.13</v>
      </c>
    </row>
    <row r="1828" spans="1:9" x14ac:dyDescent="0.2">
      <c r="A1828" s="293" t="s">
        <v>7993</v>
      </c>
      <c r="B1828" s="293" t="s">
        <v>5666</v>
      </c>
      <c r="C1828" s="293" t="s">
        <v>6056</v>
      </c>
      <c r="D1828" s="293" t="s">
        <v>5859</v>
      </c>
      <c r="E1828" s="293" t="s">
        <v>6057</v>
      </c>
      <c r="F1828" s="293" t="s">
        <v>7987</v>
      </c>
      <c r="G1828" s="293" t="s">
        <v>5578</v>
      </c>
      <c r="H1828" s="294">
        <v>43524</v>
      </c>
      <c r="I1828" s="295">
        <v>-4399.9399999999996</v>
      </c>
    </row>
    <row r="1829" spans="1:9" x14ac:dyDescent="0.2">
      <c r="A1829" s="293" t="s">
        <v>7994</v>
      </c>
      <c r="B1829" s="293" t="s">
        <v>5666</v>
      </c>
      <c r="C1829" s="293" t="s">
        <v>6062</v>
      </c>
      <c r="D1829" s="293" t="s">
        <v>5859</v>
      </c>
      <c r="E1829" s="293" t="s">
        <v>6063</v>
      </c>
      <c r="F1829" s="293" t="s">
        <v>7987</v>
      </c>
      <c r="G1829" s="293" t="s">
        <v>5579</v>
      </c>
      <c r="H1829" s="294">
        <v>43524</v>
      </c>
      <c r="I1829" s="295">
        <v>-2351.71</v>
      </c>
    </row>
    <row r="1830" spans="1:9" x14ac:dyDescent="0.2">
      <c r="A1830" s="293" t="s">
        <v>7995</v>
      </c>
      <c r="B1830" s="293" t="s">
        <v>5666</v>
      </c>
      <c r="C1830" s="293" t="s">
        <v>6065</v>
      </c>
      <c r="D1830" s="293" t="s">
        <v>5859</v>
      </c>
      <c r="E1830" s="293" t="s">
        <v>6063</v>
      </c>
      <c r="F1830" s="293" t="s">
        <v>7987</v>
      </c>
      <c r="G1830" s="293" t="s">
        <v>5579</v>
      </c>
      <c r="H1830" s="294">
        <v>43524</v>
      </c>
      <c r="I1830" s="295">
        <v>-63.12</v>
      </c>
    </row>
    <row r="1831" spans="1:9" x14ac:dyDescent="0.2">
      <c r="A1831" s="293" t="s">
        <v>7996</v>
      </c>
      <c r="B1831" s="293" t="s">
        <v>5666</v>
      </c>
      <c r="C1831" s="293" t="s">
        <v>6471</v>
      </c>
      <c r="D1831" s="293" t="s">
        <v>5859</v>
      </c>
      <c r="E1831" s="293" t="s">
        <v>6829</v>
      </c>
      <c r="F1831" s="293" t="s">
        <v>7987</v>
      </c>
      <c r="G1831" s="293" t="s">
        <v>5589</v>
      </c>
      <c r="H1831" s="294">
        <v>43524</v>
      </c>
      <c r="I1831" s="295">
        <v>-7123.53</v>
      </c>
    </row>
    <row r="1832" spans="1:9" x14ac:dyDescent="0.2">
      <c r="A1832" s="293" t="s">
        <v>7997</v>
      </c>
      <c r="B1832" s="293" t="s">
        <v>5666</v>
      </c>
      <c r="C1832" s="293" t="s">
        <v>6473</v>
      </c>
      <c r="D1832" s="293" t="s">
        <v>5859</v>
      </c>
      <c r="E1832" s="293" t="s">
        <v>6474</v>
      </c>
      <c r="F1832" s="293" t="s">
        <v>7987</v>
      </c>
      <c r="G1832" s="293" t="s">
        <v>5593</v>
      </c>
      <c r="H1832" s="294">
        <v>43524</v>
      </c>
      <c r="I1832" s="295">
        <v>-14668.67</v>
      </c>
    </row>
    <row r="1833" spans="1:9" x14ac:dyDescent="0.2">
      <c r="A1833" s="293" t="s">
        <v>7998</v>
      </c>
      <c r="B1833" s="293" t="s">
        <v>5666</v>
      </c>
      <c r="C1833" s="293" t="s">
        <v>6920</v>
      </c>
      <c r="D1833" s="293" t="s">
        <v>5859</v>
      </c>
      <c r="E1833" s="293" t="s">
        <v>6921</v>
      </c>
      <c r="F1833" s="293" t="s">
        <v>7987</v>
      </c>
      <c r="G1833" s="293" t="s">
        <v>5754</v>
      </c>
      <c r="H1833" s="294">
        <v>43524</v>
      </c>
      <c r="I1833" s="295">
        <v>-8710.42</v>
      </c>
    </row>
    <row r="1834" spans="1:9" x14ac:dyDescent="0.2">
      <c r="A1834" s="293" t="s">
        <v>7999</v>
      </c>
      <c r="B1834" s="293" t="s">
        <v>5666</v>
      </c>
      <c r="C1834" s="293" t="s">
        <v>7219</v>
      </c>
      <c r="D1834" s="293" t="s">
        <v>5859</v>
      </c>
      <c r="E1834" s="293" t="s">
        <v>7080</v>
      </c>
      <c r="F1834" s="293" t="s">
        <v>7987</v>
      </c>
      <c r="G1834" s="293" t="s">
        <v>5755</v>
      </c>
      <c r="H1834" s="294">
        <v>43524</v>
      </c>
      <c r="I1834" s="295">
        <v>-7028.09</v>
      </c>
    </row>
    <row r="1835" spans="1:9" x14ac:dyDescent="0.2">
      <c r="A1835" s="293" t="s">
        <v>8000</v>
      </c>
      <c r="B1835" s="293" t="s">
        <v>5666</v>
      </c>
      <c r="C1835" s="293" t="s">
        <v>8001</v>
      </c>
      <c r="D1835" s="293" t="s">
        <v>5859</v>
      </c>
      <c r="E1835" s="293" t="s">
        <v>7817</v>
      </c>
      <c r="F1835" s="293" t="s">
        <v>7987</v>
      </c>
      <c r="G1835" s="293" t="s">
        <v>7245</v>
      </c>
      <c r="H1835" s="294">
        <v>43524</v>
      </c>
      <c r="I1835" s="295">
        <v>-8384.43</v>
      </c>
    </row>
    <row r="1836" spans="1:9" x14ac:dyDescent="0.2">
      <c r="A1836" s="293" t="s">
        <v>8002</v>
      </c>
      <c r="B1836" s="293" t="s">
        <v>6010</v>
      </c>
      <c r="C1836" s="293" t="s">
        <v>7840</v>
      </c>
      <c r="D1836" s="293" t="s">
        <v>5859</v>
      </c>
      <c r="E1836" s="293" t="s">
        <v>7922</v>
      </c>
      <c r="F1836" s="293" t="s">
        <v>7987</v>
      </c>
      <c r="G1836" s="293" t="s">
        <v>7887</v>
      </c>
      <c r="H1836" s="294">
        <v>43524</v>
      </c>
      <c r="I1836" s="295">
        <v>-9510.6200000000008</v>
      </c>
    </row>
    <row r="1837" spans="1:9" x14ac:dyDescent="0.2">
      <c r="A1837" s="293" t="s">
        <v>8003</v>
      </c>
      <c r="B1837" s="293" t="s">
        <v>6010</v>
      </c>
      <c r="C1837" s="293" t="s">
        <v>8004</v>
      </c>
      <c r="D1837" s="293" t="s">
        <v>5859</v>
      </c>
      <c r="E1837" s="293" t="s">
        <v>8005</v>
      </c>
      <c r="F1837" s="293" t="s">
        <v>7987</v>
      </c>
      <c r="G1837" s="293" t="s">
        <v>7887</v>
      </c>
      <c r="H1837" s="294">
        <v>43524</v>
      </c>
      <c r="I1837" s="295">
        <v>-238.06</v>
      </c>
    </row>
    <row r="1838" spans="1:9" x14ac:dyDescent="0.2">
      <c r="A1838" s="293" t="s">
        <v>8003</v>
      </c>
      <c r="B1838" s="293" t="s">
        <v>6010</v>
      </c>
      <c r="C1838" s="293" t="s">
        <v>8004</v>
      </c>
      <c r="D1838" s="293" t="s">
        <v>5859</v>
      </c>
      <c r="E1838" s="293" t="s">
        <v>8005</v>
      </c>
      <c r="F1838" s="293" t="s">
        <v>7987</v>
      </c>
      <c r="G1838" s="293" t="s">
        <v>8006</v>
      </c>
      <c r="H1838" s="294">
        <v>43524</v>
      </c>
      <c r="I1838" s="295">
        <v>238.06</v>
      </c>
    </row>
    <row r="1839" spans="1:9" x14ac:dyDescent="0.2">
      <c r="A1839" s="293" t="s">
        <v>8003</v>
      </c>
      <c r="B1839" s="293" t="s">
        <v>6010</v>
      </c>
      <c r="C1839" s="293" t="s">
        <v>8004</v>
      </c>
      <c r="D1839" s="293" t="s">
        <v>5859</v>
      </c>
      <c r="E1839" s="293" t="s">
        <v>8005</v>
      </c>
      <c r="F1839" s="293" t="s">
        <v>7987</v>
      </c>
      <c r="G1839" s="293" t="s">
        <v>7887</v>
      </c>
      <c r="H1839" s="294">
        <v>43524</v>
      </c>
      <c r="I1839" s="295">
        <v>-17.010000000000002</v>
      </c>
    </row>
    <row r="1840" spans="1:9" x14ac:dyDescent="0.2">
      <c r="A1840" s="293" t="s">
        <v>8003</v>
      </c>
      <c r="B1840" s="293" t="s">
        <v>6010</v>
      </c>
      <c r="C1840" s="293" t="s">
        <v>8004</v>
      </c>
      <c r="D1840" s="293" t="s">
        <v>5859</v>
      </c>
      <c r="E1840" s="293" t="s">
        <v>8005</v>
      </c>
      <c r="F1840" s="293" t="s">
        <v>7987</v>
      </c>
      <c r="G1840" s="293" t="s">
        <v>8006</v>
      </c>
      <c r="H1840" s="294">
        <v>43524</v>
      </c>
      <c r="I1840" s="295">
        <v>17.010000000000002</v>
      </c>
    </row>
    <row r="1841" spans="1:9" x14ac:dyDescent="0.2">
      <c r="A1841" s="293" t="s">
        <v>7723</v>
      </c>
      <c r="B1841" s="293" t="s">
        <v>5666</v>
      </c>
      <c r="C1841" s="293" t="s">
        <v>6027</v>
      </c>
      <c r="D1841" s="293" t="s">
        <v>5859</v>
      </c>
      <c r="E1841" s="293" t="s">
        <v>6028</v>
      </c>
      <c r="F1841" s="293" t="s">
        <v>8007</v>
      </c>
      <c r="G1841" s="293" t="s">
        <v>5573</v>
      </c>
      <c r="H1841" s="294">
        <v>43555</v>
      </c>
      <c r="I1841" s="295">
        <v>-6400.96</v>
      </c>
    </row>
    <row r="1842" spans="1:9" x14ac:dyDescent="0.2">
      <c r="A1842" s="293" t="s">
        <v>7724</v>
      </c>
      <c r="B1842" s="293" t="s">
        <v>5666</v>
      </c>
      <c r="C1842" s="293" t="s">
        <v>6030</v>
      </c>
      <c r="D1842" s="293" t="s">
        <v>5859</v>
      </c>
      <c r="E1842" s="293" t="s">
        <v>6028</v>
      </c>
      <c r="F1842" s="293" t="s">
        <v>8007</v>
      </c>
      <c r="G1842" s="293" t="s">
        <v>5573</v>
      </c>
      <c r="H1842" s="294">
        <v>43555</v>
      </c>
      <c r="I1842" s="295">
        <v>-130.22</v>
      </c>
    </row>
    <row r="1843" spans="1:9" x14ac:dyDescent="0.2">
      <c r="A1843" s="293" t="s">
        <v>7725</v>
      </c>
      <c r="B1843" s="293" t="s">
        <v>5666</v>
      </c>
      <c r="C1843" s="293" t="s">
        <v>6032</v>
      </c>
      <c r="D1843" s="293" t="s">
        <v>5859</v>
      </c>
      <c r="E1843" s="293" t="s">
        <v>6033</v>
      </c>
      <c r="F1843" s="293" t="s">
        <v>8007</v>
      </c>
      <c r="G1843" s="293" t="s">
        <v>5585</v>
      </c>
      <c r="H1843" s="294">
        <v>43555</v>
      </c>
      <c r="I1843" s="295">
        <v>-6872.38</v>
      </c>
    </row>
    <row r="1844" spans="1:9" x14ac:dyDescent="0.2">
      <c r="A1844" s="293" t="s">
        <v>7726</v>
      </c>
      <c r="B1844" s="293" t="s">
        <v>5666</v>
      </c>
      <c r="C1844" s="293" t="s">
        <v>6035</v>
      </c>
      <c r="D1844" s="293" t="s">
        <v>5859</v>
      </c>
      <c r="E1844" s="293" t="s">
        <v>6033</v>
      </c>
      <c r="F1844" s="293" t="s">
        <v>8007</v>
      </c>
      <c r="G1844" s="293" t="s">
        <v>5585</v>
      </c>
      <c r="H1844" s="294">
        <v>43555</v>
      </c>
      <c r="I1844" s="295">
        <v>-4630.24</v>
      </c>
    </row>
    <row r="1845" spans="1:9" x14ac:dyDescent="0.2">
      <c r="A1845" s="293" t="s">
        <v>7727</v>
      </c>
      <c r="B1845" s="293" t="s">
        <v>5666</v>
      </c>
      <c r="C1845" s="293" t="s">
        <v>6037</v>
      </c>
      <c r="D1845" s="293" t="s">
        <v>5859</v>
      </c>
      <c r="E1845" s="293" t="s">
        <v>6038</v>
      </c>
      <c r="F1845" s="293" t="s">
        <v>8007</v>
      </c>
      <c r="G1845" s="293" t="s">
        <v>5586</v>
      </c>
      <c r="H1845" s="294">
        <v>43555</v>
      </c>
      <c r="I1845" s="295">
        <v>-3059.89</v>
      </c>
    </row>
    <row r="1846" spans="1:9" x14ac:dyDescent="0.2">
      <c r="A1846" s="293" t="s">
        <v>7728</v>
      </c>
      <c r="B1846" s="293" t="s">
        <v>5666</v>
      </c>
      <c r="C1846" s="293" t="s">
        <v>6040</v>
      </c>
      <c r="D1846" s="293" t="s">
        <v>5859</v>
      </c>
      <c r="E1846" s="293" t="s">
        <v>6041</v>
      </c>
      <c r="F1846" s="293" t="s">
        <v>8007</v>
      </c>
      <c r="G1846" s="293" t="s">
        <v>5581</v>
      </c>
      <c r="H1846" s="294">
        <v>43555</v>
      </c>
      <c r="I1846" s="295">
        <v>-8058.13</v>
      </c>
    </row>
    <row r="1847" spans="1:9" x14ac:dyDescent="0.2">
      <c r="A1847" s="293" t="s">
        <v>7729</v>
      </c>
      <c r="B1847" s="293" t="s">
        <v>5666</v>
      </c>
      <c r="C1847" s="293" t="s">
        <v>6056</v>
      </c>
      <c r="D1847" s="293" t="s">
        <v>5859</v>
      </c>
      <c r="E1847" s="293" t="s">
        <v>6057</v>
      </c>
      <c r="F1847" s="293" t="s">
        <v>8007</v>
      </c>
      <c r="G1847" s="293" t="s">
        <v>5578</v>
      </c>
      <c r="H1847" s="294">
        <v>43555</v>
      </c>
      <c r="I1847" s="295">
        <v>-4399.9399999999996</v>
      </c>
    </row>
    <row r="1848" spans="1:9" x14ac:dyDescent="0.2">
      <c r="A1848" s="293" t="s">
        <v>7730</v>
      </c>
      <c r="B1848" s="293" t="s">
        <v>5666</v>
      </c>
      <c r="C1848" s="293" t="s">
        <v>6062</v>
      </c>
      <c r="D1848" s="293" t="s">
        <v>5859</v>
      </c>
      <c r="E1848" s="293" t="s">
        <v>6063</v>
      </c>
      <c r="F1848" s="293" t="s">
        <v>8007</v>
      </c>
      <c r="G1848" s="293" t="s">
        <v>5579</v>
      </c>
      <c r="H1848" s="294">
        <v>43555</v>
      </c>
      <c r="I1848" s="295">
        <v>-2351.71</v>
      </c>
    </row>
    <row r="1849" spans="1:9" x14ac:dyDescent="0.2">
      <c r="A1849" s="293" t="s">
        <v>8008</v>
      </c>
      <c r="B1849" s="293" t="s">
        <v>5666</v>
      </c>
      <c r="C1849" s="293" t="s">
        <v>6065</v>
      </c>
      <c r="D1849" s="293" t="s">
        <v>5859</v>
      </c>
      <c r="E1849" s="293" t="s">
        <v>6063</v>
      </c>
      <c r="F1849" s="293" t="s">
        <v>8007</v>
      </c>
      <c r="G1849" s="293" t="s">
        <v>5579</v>
      </c>
      <c r="H1849" s="294">
        <v>43555</v>
      </c>
      <c r="I1849" s="295">
        <v>-63.12</v>
      </c>
    </row>
    <row r="1850" spans="1:9" x14ac:dyDescent="0.2">
      <c r="A1850" s="293" t="s">
        <v>8009</v>
      </c>
      <c r="B1850" s="293" t="s">
        <v>5666</v>
      </c>
      <c r="C1850" s="293" t="s">
        <v>6471</v>
      </c>
      <c r="D1850" s="293" t="s">
        <v>5859</v>
      </c>
      <c r="E1850" s="293" t="s">
        <v>6829</v>
      </c>
      <c r="F1850" s="293" t="s">
        <v>8007</v>
      </c>
      <c r="G1850" s="293" t="s">
        <v>5589</v>
      </c>
      <c r="H1850" s="294">
        <v>43555</v>
      </c>
      <c r="I1850" s="295">
        <v>-7123.53</v>
      </c>
    </row>
    <row r="1851" spans="1:9" x14ac:dyDescent="0.2">
      <c r="A1851" s="293" t="s">
        <v>8010</v>
      </c>
      <c r="B1851" s="293" t="s">
        <v>5666</v>
      </c>
      <c r="C1851" s="293" t="s">
        <v>6473</v>
      </c>
      <c r="D1851" s="293" t="s">
        <v>5859</v>
      </c>
      <c r="E1851" s="293" t="s">
        <v>6474</v>
      </c>
      <c r="F1851" s="293" t="s">
        <v>8007</v>
      </c>
      <c r="G1851" s="293" t="s">
        <v>5593</v>
      </c>
      <c r="H1851" s="294">
        <v>43555</v>
      </c>
      <c r="I1851" s="295">
        <v>-14668.67</v>
      </c>
    </row>
    <row r="1852" spans="1:9" x14ac:dyDescent="0.2">
      <c r="A1852" s="293" t="s">
        <v>8011</v>
      </c>
      <c r="B1852" s="293" t="s">
        <v>5666</v>
      </c>
      <c r="C1852" s="293" t="s">
        <v>6920</v>
      </c>
      <c r="D1852" s="293" t="s">
        <v>5859</v>
      </c>
      <c r="E1852" s="293" t="s">
        <v>6921</v>
      </c>
      <c r="F1852" s="293" t="s">
        <v>8007</v>
      </c>
      <c r="G1852" s="293" t="s">
        <v>5754</v>
      </c>
      <c r="H1852" s="294">
        <v>43555</v>
      </c>
      <c r="I1852" s="295">
        <v>-8710.42</v>
      </c>
    </row>
    <row r="1853" spans="1:9" x14ac:dyDescent="0.2">
      <c r="A1853" s="293" t="s">
        <v>8012</v>
      </c>
      <c r="B1853" s="293" t="s">
        <v>5666</v>
      </c>
      <c r="C1853" s="293" t="s">
        <v>7219</v>
      </c>
      <c r="D1853" s="293" t="s">
        <v>5859</v>
      </c>
      <c r="E1853" s="293" t="s">
        <v>7080</v>
      </c>
      <c r="F1853" s="293" t="s">
        <v>8007</v>
      </c>
      <c r="G1853" s="293" t="s">
        <v>5755</v>
      </c>
      <c r="H1853" s="294">
        <v>43555</v>
      </c>
      <c r="I1853" s="295">
        <v>-7028.09</v>
      </c>
    </row>
    <row r="1854" spans="1:9" x14ac:dyDescent="0.2">
      <c r="A1854" s="293" t="s">
        <v>8013</v>
      </c>
      <c r="B1854" s="293" t="s">
        <v>5666</v>
      </c>
      <c r="C1854" s="293" t="s">
        <v>8001</v>
      </c>
      <c r="D1854" s="293" t="s">
        <v>5859</v>
      </c>
      <c r="E1854" s="293" t="s">
        <v>7817</v>
      </c>
      <c r="F1854" s="293" t="s">
        <v>8007</v>
      </c>
      <c r="G1854" s="293" t="s">
        <v>7245</v>
      </c>
      <c r="H1854" s="294">
        <v>43555</v>
      </c>
      <c r="I1854" s="295">
        <v>-8384.43</v>
      </c>
    </row>
    <row r="1855" spans="1:9" x14ac:dyDescent="0.2">
      <c r="A1855" s="293" t="s">
        <v>8014</v>
      </c>
      <c r="B1855" s="293" t="s">
        <v>6010</v>
      </c>
      <c r="C1855" s="293" t="s">
        <v>7107</v>
      </c>
      <c r="D1855" s="293" t="s">
        <v>5859</v>
      </c>
      <c r="E1855" s="293" t="s">
        <v>8015</v>
      </c>
      <c r="F1855" s="293" t="s">
        <v>8007</v>
      </c>
      <c r="G1855" s="293" t="s">
        <v>8006</v>
      </c>
      <c r="H1855" s="294">
        <v>43555</v>
      </c>
      <c r="I1855" s="295">
        <v>-17.010000000000002</v>
      </c>
    </row>
    <row r="1856" spans="1:9" x14ac:dyDescent="0.2">
      <c r="A1856" s="293" t="s">
        <v>8014</v>
      </c>
      <c r="B1856" s="293" t="s">
        <v>6010</v>
      </c>
      <c r="C1856" s="293" t="s">
        <v>7107</v>
      </c>
      <c r="D1856" s="293" t="s">
        <v>5859</v>
      </c>
      <c r="E1856" s="293" t="s">
        <v>8015</v>
      </c>
      <c r="F1856" s="293" t="s">
        <v>8007</v>
      </c>
      <c r="G1856" s="293" t="s">
        <v>7887</v>
      </c>
      <c r="H1856" s="294">
        <v>43555</v>
      </c>
      <c r="I1856" s="295">
        <v>17.010000000000002</v>
      </c>
    </row>
    <row r="1857" spans="1:9" x14ac:dyDescent="0.2">
      <c r="A1857" s="293" t="s">
        <v>8016</v>
      </c>
      <c r="B1857" s="293" t="s">
        <v>6010</v>
      </c>
      <c r="C1857" s="293" t="s">
        <v>7052</v>
      </c>
      <c r="D1857" s="293" t="s">
        <v>5859</v>
      </c>
      <c r="E1857" s="293" t="s">
        <v>7922</v>
      </c>
      <c r="F1857" s="293" t="s">
        <v>8007</v>
      </c>
      <c r="G1857" s="293" t="s">
        <v>7887</v>
      </c>
      <c r="H1857" s="294">
        <v>43555</v>
      </c>
      <c r="I1857" s="295">
        <v>-12705.8</v>
      </c>
    </row>
    <row r="1858" spans="1:9" x14ac:dyDescent="0.2">
      <c r="A1858" s="293" t="s">
        <v>8017</v>
      </c>
      <c r="B1858" s="293" t="s">
        <v>5666</v>
      </c>
      <c r="C1858" s="293" t="s">
        <v>6027</v>
      </c>
      <c r="D1858" s="293" t="s">
        <v>5859</v>
      </c>
      <c r="E1858" s="293" t="s">
        <v>6028</v>
      </c>
      <c r="F1858" s="293" t="s">
        <v>8018</v>
      </c>
      <c r="G1858" s="293" t="s">
        <v>5573</v>
      </c>
      <c r="H1858" s="294">
        <v>43585</v>
      </c>
      <c r="I1858" s="295">
        <v>-6400.96</v>
      </c>
    </row>
    <row r="1859" spans="1:9" x14ac:dyDescent="0.2">
      <c r="A1859" s="293" t="s">
        <v>8019</v>
      </c>
      <c r="B1859" s="293" t="s">
        <v>5666</v>
      </c>
      <c r="C1859" s="293" t="s">
        <v>6030</v>
      </c>
      <c r="D1859" s="293" t="s">
        <v>5859</v>
      </c>
      <c r="E1859" s="293" t="s">
        <v>6028</v>
      </c>
      <c r="F1859" s="293" t="s">
        <v>8018</v>
      </c>
      <c r="G1859" s="293" t="s">
        <v>5573</v>
      </c>
      <c r="H1859" s="294">
        <v>43585</v>
      </c>
      <c r="I1859" s="295">
        <v>-130.22</v>
      </c>
    </row>
    <row r="1860" spans="1:9" x14ac:dyDescent="0.2">
      <c r="A1860" s="293" t="s">
        <v>8020</v>
      </c>
      <c r="B1860" s="293" t="s">
        <v>5666</v>
      </c>
      <c r="C1860" s="293" t="s">
        <v>6032</v>
      </c>
      <c r="D1860" s="293" t="s">
        <v>5859</v>
      </c>
      <c r="E1860" s="293" t="s">
        <v>6033</v>
      </c>
      <c r="F1860" s="293" t="s">
        <v>8018</v>
      </c>
      <c r="G1860" s="293" t="s">
        <v>5585</v>
      </c>
      <c r="H1860" s="294">
        <v>43585</v>
      </c>
      <c r="I1860" s="295">
        <v>-6872.38</v>
      </c>
    </row>
    <row r="1861" spans="1:9" x14ac:dyDescent="0.2">
      <c r="A1861" s="293" t="s">
        <v>8021</v>
      </c>
      <c r="B1861" s="293" t="s">
        <v>5666</v>
      </c>
      <c r="C1861" s="293" t="s">
        <v>6035</v>
      </c>
      <c r="D1861" s="293" t="s">
        <v>5859</v>
      </c>
      <c r="E1861" s="293" t="s">
        <v>6033</v>
      </c>
      <c r="F1861" s="293" t="s">
        <v>8018</v>
      </c>
      <c r="G1861" s="293" t="s">
        <v>5585</v>
      </c>
      <c r="H1861" s="294">
        <v>43585</v>
      </c>
      <c r="I1861" s="295">
        <v>-4630.24</v>
      </c>
    </row>
    <row r="1862" spans="1:9" x14ac:dyDescent="0.2">
      <c r="A1862" s="293" t="s">
        <v>8022</v>
      </c>
      <c r="B1862" s="293" t="s">
        <v>5666</v>
      </c>
      <c r="C1862" s="293" t="s">
        <v>6037</v>
      </c>
      <c r="D1862" s="293" t="s">
        <v>5859</v>
      </c>
      <c r="E1862" s="293" t="s">
        <v>6038</v>
      </c>
      <c r="F1862" s="293" t="s">
        <v>8018</v>
      </c>
      <c r="G1862" s="293" t="s">
        <v>5586</v>
      </c>
      <c r="H1862" s="294">
        <v>43585</v>
      </c>
      <c r="I1862" s="295">
        <v>-3059.89</v>
      </c>
    </row>
    <row r="1863" spans="1:9" x14ac:dyDescent="0.2">
      <c r="A1863" s="293" t="s">
        <v>8023</v>
      </c>
      <c r="B1863" s="293" t="s">
        <v>5666</v>
      </c>
      <c r="C1863" s="293" t="s">
        <v>6040</v>
      </c>
      <c r="D1863" s="293" t="s">
        <v>5859</v>
      </c>
      <c r="E1863" s="293" t="s">
        <v>6041</v>
      </c>
      <c r="F1863" s="293" t="s">
        <v>8018</v>
      </c>
      <c r="G1863" s="293" t="s">
        <v>5581</v>
      </c>
      <c r="H1863" s="294">
        <v>43585</v>
      </c>
      <c r="I1863" s="295">
        <v>-8058.13</v>
      </c>
    </row>
    <row r="1864" spans="1:9" x14ac:dyDescent="0.2">
      <c r="A1864" s="293" t="s">
        <v>8024</v>
      </c>
      <c r="B1864" s="293" t="s">
        <v>5666</v>
      </c>
      <c r="C1864" s="293" t="s">
        <v>6056</v>
      </c>
      <c r="D1864" s="293" t="s">
        <v>5859</v>
      </c>
      <c r="E1864" s="293" t="s">
        <v>6057</v>
      </c>
      <c r="F1864" s="293" t="s">
        <v>8018</v>
      </c>
      <c r="G1864" s="293" t="s">
        <v>5578</v>
      </c>
      <c r="H1864" s="294">
        <v>43585</v>
      </c>
      <c r="I1864" s="295">
        <v>-4399.9399999999996</v>
      </c>
    </row>
    <row r="1865" spans="1:9" x14ac:dyDescent="0.2">
      <c r="A1865" s="293" t="s">
        <v>8025</v>
      </c>
      <c r="B1865" s="293" t="s">
        <v>5666</v>
      </c>
      <c r="C1865" s="293" t="s">
        <v>6062</v>
      </c>
      <c r="D1865" s="293" t="s">
        <v>5859</v>
      </c>
      <c r="E1865" s="293" t="s">
        <v>6063</v>
      </c>
      <c r="F1865" s="293" t="s">
        <v>8018</v>
      </c>
      <c r="G1865" s="293" t="s">
        <v>5579</v>
      </c>
      <c r="H1865" s="294">
        <v>43585</v>
      </c>
      <c r="I1865" s="295">
        <v>-2351.71</v>
      </c>
    </row>
    <row r="1866" spans="1:9" x14ac:dyDescent="0.2">
      <c r="A1866" s="293" t="s">
        <v>8026</v>
      </c>
      <c r="B1866" s="293" t="s">
        <v>5666</v>
      </c>
      <c r="C1866" s="293" t="s">
        <v>6065</v>
      </c>
      <c r="D1866" s="293" t="s">
        <v>5859</v>
      </c>
      <c r="E1866" s="293" t="s">
        <v>6063</v>
      </c>
      <c r="F1866" s="293" t="s">
        <v>8018</v>
      </c>
      <c r="G1866" s="293" t="s">
        <v>5579</v>
      </c>
      <c r="H1866" s="294">
        <v>43585</v>
      </c>
      <c r="I1866" s="295">
        <v>-63.12</v>
      </c>
    </row>
    <row r="1867" spans="1:9" x14ac:dyDescent="0.2">
      <c r="A1867" s="293" t="s">
        <v>8027</v>
      </c>
      <c r="B1867" s="293" t="s">
        <v>5666</v>
      </c>
      <c r="C1867" s="293" t="s">
        <v>6471</v>
      </c>
      <c r="D1867" s="293" t="s">
        <v>5859</v>
      </c>
      <c r="E1867" s="293" t="s">
        <v>6829</v>
      </c>
      <c r="F1867" s="293" t="s">
        <v>8018</v>
      </c>
      <c r="G1867" s="293" t="s">
        <v>5589</v>
      </c>
      <c r="H1867" s="294">
        <v>43585</v>
      </c>
      <c r="I1867" s="295">
        <v>-7123.53</v>
      </c>
    </row>
    <row r="1868" spans="1:9" x14ac:dyDescent="0.2">
      <c r="A1868" s="293" t="s">
        <v>8028</v>
      </c>
      <c r="B1868" s="293" t="s">
        <v>5666</v>
      </c>
      <c r="C1868" s="293" t="s">
        <v>6473</v>
      </c>
      <c r="D1868" s="293" t="s">
        <v>5859</v>
      </c>
      <c r="E1868" s="293" t="s">
        <v>6474</v>
      </c>
      <c r="F1868" s="293" t="s">
        <v>8018</v>
      </c>
      <c r="G1868" s="293" t="s">
        <v>5593</v>
      </c>
      <c r="H1868" s="294">
        <v>43585</v>
      </c>
      <c r="I1868" s="295">
        <v>-14668.67</v>
      </c>
    </row>
    <row r="1869" spans="1:9" x14ac:dyDescent="0.2">
      <c r="A1869" s="293" t="s">
        <v>8029</v>
      </c>
      <c r="B1869" s="293" t="s">
        <v>5666</v>
      </c>
      <c r="C1869" s="293" t="s">
        <v>6920</v>
      </c>
      <c r="D1869" s="293" t="s">
        <v>5859</v>
      </c>
      <c r="E1869" s="293" t="s">
        <v>6921</v>
      </c>
      <c r="F1869" s="293" t="s">
        <v>8018</v>
      </c>
      <c r="G1869" s="293" t="s">
        <v>5754</v>
      </c>
      <c r="H1869" s="294">
        <v>43585</v>
      </c>
      <c r="I1869" s="295">
        <v>-8710.42</v>
      </c>
    </row>
    <row r="1870" spans="1:9" x14ac:dyDescent="0.2">
      <c r="A1870" s="293" t="s">
        <v>8030</v>
      </c>
      <c r="B1870" s="293" t="s">
        <v>5666</v>
      </c>
      <c r="C1870" s="293" t="s">
        <v>7219</v>
      </c>
      <c r="D1870" s="293" t="s">
        <v>5859</v>
      </c>
      <c r="E1870" s="293" t="s">
        <v>7080</v>
      </c>
      <c r="F1870" s="293" t="s">
        <v>8018</v>
      </c>
      <c r="G1870" s="293" t="s">
        <v>5755</v>
      </c>
      <c r="H1870" s="294">
        <v>43585</v>
      </c>
      <c r="I1870" s="295">
        <v>-7028.09</v>
      </c>
    </row>
    <row r="1871" spans="1:9" x14ac:dyDescent="0.2">
      <c r="A1871" s="293" t="s">
        <v>8031</v>
      </c>
      <c r="B1871" s="293" t="s">
        <v>5666</v>
      </c>
      <c r="C1871" s="293" t="s">
        <v>8001</v>
      </c>
      <c r="D1871" s="293" t="s">
        <v>5859</v>
      </c>
      <c r="E1871" s="293" t="s">
        <v>7817</v>
      </c>
      <c r="F1871" s="293" t="s">
        <v>8018</v>
      </c>
      <c r="G1871" s="293" t="s">
        <v>7245</v>
      </c>
      <c r="H1871" s="294">
        <v>43585</v>
      </c>
      <c r="I1871" s="295">
        <v>-8384.43</v>
      </c>
    </row>
    <row r="1872" spans="1:9" x14ac:dyDescent="0.2">
      <c r="A1872" s="293" t="s">
        <v>8032</v>
      </c>
      <c r="B1872" s="293" t="s">
        <v>6010</v>
      </c>
      <c r="C1872" s="293" t="s">
        <v>7154</v>
      </c>
      <c r="D1872" s="293" t="s">
        <v>5859</v>
      </c>
      <c r="E1872" s="293" t="s">
        <v>7922</v>
      </c>
      <c r="F1872" s="293" t="s">
        <v>8018</v>
      </c>
      <c r="G1872" s="293" t="s">
        <v>7887</v>
      </c>
      <c r="H1872" s="294">
        <v>43585</v>
      </c>
      <c r="I1872" s="295">
        <v>-10043.23</v>
      </c>
    </row>
    <row r="1873" spans="1:9" x14ac:dyDescent="0.2">
      <c r="A1873" s="293" t="s">
        <v>8032</v>
      </c>
      <c r="B1873" s="293" t="s">
        <v>6010</v>
      </c>
      <c r="C1873" s="293" t="s">
        <v>7154</v>
      </c>
      <c r="D1873" s="293" t="s">
        <v>5859</v>
      </c>
      <c r="E1873" s="293" t="s">
        <v>8033</v>
      </c>
      <c r="F1873" s="293" t="s">
        <v>8018</v>
      </c>
      <c r="G1873" s="293" t="s">
        <v>5578</v>
      </c>
      <c r="H1873" s="294">
        <v>43585</v>
      </c>
      <c r="I1873" s="295">
        <v>-2975.87</v>
      </c>
    </row>
    <row r="1874" spans="1:9" x14ac:dyDescent="0.2">
      <c r="A1874" s="293" t="s">
        <v>8034</v>
      </c>
      <c r="B1874" s="293" t="s">
        <v>6010</v>
      </c>
      <c r="C1874" s="293" t="s">
        <v>7052</v>
      </c>
      <c r="D1874" s="293" t="s">
        <v>5859</v>
      </c>
      <c r="E1874" s="293" t="s">
        <v>8035</v>
      </c>
      <c r="F1874" s="293" t="s">
        <v>8018</v>
      </c>
      <c r="G1874" s="293" t="s">
        <v>7245</v>
      </c>
      <c r="H1874" s="294">
        <v>43585</v>
      </c>
      <c r="I1874" s="295">
        <v>-6757.46</v>
      </c>
    </row>
    <row r="1875" spans="1:9" x14ac:dyDescent="0.2">
      <c r="A1875" s="293" t="s">
        <v>8036</v>
      </c>
      <c r="B1875" s="293" t="s">
        <v>5666</v>
      </c>
      <c r="C1875" s="293" t="s">
        <v>6027</v>
      </c>
      <c r="D1875" s="293" t="s">
        <v>5859</v>
      </c>
      <c r="E1875" s="293" t="s">
        <v>6028</v>
      </c>
      <c r="F1875" s="293" t="s">
        <v>8037</v>
      </c>
      <c r="G1875" s="293" t="s">
        <v>5573</v>
      </c>
      <c r="H1875" s="294">
        <v>43616</v>
      </c>
      <c r="I1875" s="295">
        <v>-6400.96</v>
      </c>
    </row>
    <row r="1876" spans="1:9" x14ac:dyDescent="0.2">
      <c r="A1876" s="293" t="s">
        <v>8038</v>
      </c>
      <c r="B1876" s="293" t="s">
        <v>5666</v>
      </c>
      <c r="C1876" s="293" t="s">
        <v>6030</v>
      </c>
      <c r="D1876" s="293" t="s">
        <v>5859</v>
      </c>
      <c r="E1876" s="293" t="s">
        <v>6028</v>
      </c>
      <c r="F1876" s="293" t="s">
        <v>8037</v>
      </c>
      <c r="G1876" s="293" t="s">
        <v>5573</v>
      </c>
      <c r="H1876" s="294">
        <v>43616</v>
      </c>
      <c r="I1876" s="295">
        <v>-130.22</v>
      </c>
    </row>
    <row r="1877" spans="1:9" x14ac:dyDescent="0.2">
      <c r="A1877" s="293" t="s">
        <v>8039</v>
      </c>
      <c r="B1877" s="293" t="s">
        <v>5666</v>
      </c>
      <c r="C1877" s="293" t="s">
        <v>6032</v>
      </c>
      <c r="D1877" s="293" t="s">
        <v>5859</v>
      </c>
      <c r="E1877" s="293" t="s">
        <v>6033</v>
      </c>
      <c r="F1877" s="293" t="s">
        <v>8037</v>
      </c>
      <c r="G1877" s="293" t="s">
        <v>5585</v>
      </c>
      <c r="H1877" s="294">
        <v>43616</v>
      </c>
      <c r="I1877" s="295">
        <v>-6872.38</v>
      </c>
    </row>
    <row r="1878" spans="1:9" x14ac:dyDescent="0.2">
      <c r="A1878" s="293" t="s">
        <v>8040</v>
      </c>
      <c r="B1878" s="293" t="s">
        <v>5666</v>
      </c>
      <c r="C1878" s="293" t="s">
        <v>6035</v>
      </c>
      <c r="D1878" s="293" t="s">
        <v>5859</v>
      </c>
      <c r="E1878" s="293" t="s">
        <v>6033</v>
      </c>
      <c r="F1878" s="293" t="s">
        <v>8037</v>
      </c>
      <c r="G1878" s="293" t="s">
        <v>5585</v>
      </c>
      <c r="H1878" s="294">
        <v>43616</v>
      </c>
      <c r="I1878" s="295">
        <v>-4630.24</v>
      </c>
    </row>
    <row r="1879" spans="1:9" x14ac:dyDescent="0.2">
      <c r="A1879" s="293" t="s">
        <v>8041</v>
      </c>
      <c r="B1879" s="293" t="s">
        <v>5666</v>
      </c>
      <c r="C1879" s="293" t="s">
        <v>6037</v>
      </c>
      <c r="D1879" s="293" t="s">
        <v>5859</v>
      </c>
      <c r="E1879" s="293" t="s">
        <v>6038</v>
      </c>
      <c r="F1879" s="293" t="s">
        <v>8037</v>
      </c>
      <c r="G1879" s="293" t="s">
        <v>5586</v>
      </c>
      <c r="H1879" s="294">
        <v>43616</v>
      </c>
      <c r="I1879" s="295">
        <v>-3059.89</v>
      </c>
    </row>
    <row r="1880" spans="1:9" x14ac:dyDescent="0.2">
      <c r="A1880" s="293" t="s">
        <v>8042</v>
      </c>
      <c r="B1880" s="293" t="s">
        <v>5666</v>
      </c>
      <c r="C1880" s="293" t="s">
        <v>6040</v>
      </c>
      <c r="D1880" s="293" t="s">
        <v>5859</v>
      </c>
      <c r="E1880" s="293" t="s">
        <v>6041</v>
      </c>
      <c r="F1880" s="293" t="s">
        <v>8037</v>
      </c>
      <c r="G1880" s="293" t="s">
        <v>5581</v>
      </c>
      <c r="H1880" s="294">
        <v>43616</v>
      </c>
      <c r="I1880" s="295">
        <v>-8058.13</v>
      </c>
    </row>
    <row r="1881" spans="1:9" x14ac:dyDescent="0.2">
      <c r="A1881" s="293" t="s">
        <v>8043</v>
      </c>
      <c r="B1881" s="293" t="s">
        <v>5666</v>
      </c>
      <c r="C1881" s="293" t="s">
        <v>6056</v>
      </c>
      <c r="D1881" s="293" t="s">
        <v>5859</v>
      </c>
      <c r="E1881" s="293" t="s">
        <v>6057</v>
      </c>
      <c r="F1881" s="293" t="s">
        <v>8037</v>
      </c>
      <c r="G1881" s="293" t="s">
        <v>5578</v>
      </c>
      <c r="H1881" s="294">
        <v>43616</v>
      </c>
      <c r="I1881" s="295">
        <v>-4399.9399999999996</v>
      </c>
    </row>
    <row r="1882" spans="1:9" x14ac:dyDescent="0.2">
      <c r="A1882" s="293" t="s">
        <v>8044</v>
      </c>
      <c r="B1882" s="293" t="s">
        <v>5666</v>
      </c>
      <c r="C1882" s="293" t="s">
        <v>6062</v>
      </c>
      <c r="D1882" s="293" t="s">
        <v>5859</v>
      </c>
      <c r="E1882" s="293" t="s">
        <v>6063</v>
      </c>
      <c r="F1882" s="293" t="s">
        <v>8037</v>
      </c>
      <c r="G1882" s="293" t="s">
        <v>5579</v>
      </c>
      <c r="H1882" s="294">
        <v>43616</v>
      </c>
      <c r="I1882" s="295">
        <v>-2351.71</v>
      </c>
    </row>
    <row r="1883" spans="1:9" x14ac:dyDescent="0.2">
      <c r="A1883" s="293" t="s">
        <v>8045</v>
      </c>
      <c r="B1883" s="293" t="s">
        <v>5666</v>
      </c>
      <c r="C1883" s="293" t="s">
        <v>6065</v>
      </c>
      <c r="D1883" s="293" t="s">
        <v>5859</v>
      </c>
      <c r="E1883" s="293" t="s">
        <v>6063</v>
      </c>
      <c r="F1883" s="293" t="s">
        <v>8037</v>
      </c>
      <c r="G1883" s="293" t="s">
        <v>5579</v>
      </c>
      <c r="H1883" s="294">
        <v>43616</v>
      </c>
      <c r="I1883" s="295">
        <v>-63.12</v>
      </c>
    </row>
    <row r="1884" spans="1:9" x14ac:dyDescent="0.2">
      <c r="A1884" s="293" t="s">
        <v>8046</v>
      </c>
      <c r="B1884" s="293" t="s">
        <v>5666</v>
      </c>
      <c r="C1884" s="293" t="s">
        <v>6471</v>
      </c>
      <c r="D1884" s="293" t="s">
        <v>5859</v>
      </c>
      <c r="E1884" s="293" t="s">
        <v>6829</v>
      </c>
      <c r="F1884" s="293" t="s">
        <v>8037</v>
      </c>
      <c r="G1884" s="293" t="s">
        <v>5589</v>
      </c>
      <c r="H1884" s="294">
        <v>43616</v>
      </c>
      <c r="I1884" s="295">
        <v>-7123.53</v>
      </c>
    </row>
    <row r="1885" spans="1:9" x14ac:dyDescent="0.2">
      <c r="A1885" s="293" t="s">
        <v>8047</v>
      </c>
      <c r="B1885" s="293" t="s">
        <v>5666</v>
      </c>
      <c r="C1885" s="293" t="s">
        <v>6473</v>
      </c>
      <c r="D1885" s="293" t="s">
        <v>5859</v>
      </c>
      <c r="E1885" s="293" t="s">
        <v>6474</v>
      </c>
      <c r="F1885" s="293" t="s">
        <v>8037</v>
      </c>
      <c r="G1885" s="293" t="s">
        <v>5593</v>
      </c>
      <c r="H1885" s="294">
        <v>43616</v>
      </c>
      <c r="I1885" s="295">
        <v>-14668.67</v>
      </c>
    </row>
    <row r="1886" spans="1:9" x14ac:dyDescent="0.2">
      <c r="A1886" s="293" t="s">
        <v>8048</v>
      </c>
      <c r="B1886" s="293" t="s">
        <v>5666</v>
      </c>
      <c r="C1886" s="293" t="s">
        <v>6920</v>
      </c>
      <c r="D1886" s="293" t="s">
        <v>5859</v>
      </c>
      <c r="E1886" s="293" t="s">
        <v>6921</v>
      </c>
      <c r="F1886" s="293" t="s">
        <v>8037</v>
      </c>
      <c r="G1886" s="293" t="s">
        <v>5754</v>
      </c>
      <c r="H1886" s="294">
        <v>43616</v>
      </c>
      <c r="I1886" s="295">
        <v>-8710.42</v>
      </c>
    </row>
    <row r="1887" spans="1:9" x14ac:dyDescent="0.2">
      <c r="A1887" s="293" t="s">
        <v>8049</v>
      </c>
      <c r="B1887" s="293" t="s">
        <v>5666</v>
      </c>
      <c r="C1887" s="293" t="s">
        <v>7219</v>
      </c>
      <c r="D1887" s="293" t="s">
        <v>5859</v>
      </c>
      <c r="E1887" s="293" t="s">
        <v>7080</v>
      </c>
      <c r="F1887" s="293" t="s">
        <v>8037</v>
      </c>
      <c r="G1887" s="293" t="s">
        <v>5755</v>
      </c>
      <c r="H1887" s="294">
        <v>43616</v>
      </c>
      <c r="I1887" s="295">
        <v>-7028.09</v>
      </c>
    </row>
    <row r="1888" spans="1:9" x14ac:dyDescent="0.2">
      <c r="A1888" s="293" t="s">
        <v>8050</v>
      </c>
      <c r="B1888" s="293" t="s">
        <v>5666</v>
      </c>
      <c r="C1888" s="293" t="s">
        <v>8001</v>
      </c>
      <c r="D1888" s="293" t="s">
        <v>5859</v>
      </c>
      <c r="E1888" s="293" t="s">
        <v>7817</v>
      </c>
      <c r="F1888" s="293" t="s">
        <v>8037</v>
      </c>
      <c r="G1888" s="293" t="s">
        <v>7245</v>
      </c>
      <c r="H1888" s="294">
        <v>43616</v>
      </c>
      <c r="I1888" s="295">
        <v>-8384.43</v>
      </c>
    </row>
    <row r="1889" spans="1:9" x14ac:dyDescent="0.2">
      <c r="A1889" s="293" t="s">
        <v>8051</v>
      </c>
      <c r="B1889" s="293" t="s">
        <v>6010</v>
      </c>
      <c r="C1889" s="293" t="s">
        <v>7980</v>
      </c>
      <c r="D1889" s="293" t="s">
        <v>5859</v>
      </c>
      <c r="E1889" s="293" t="s">
        <v>7922</v>
      </c>
      <c r="F1889" s="293" t="s">
        <v>8037</v>
      </c>
      <c r="G1889" s="293" t="s">
        <v>7887</v>
      </c>
      <c r="H1889" s="294">
        <v>43616</v>
      </c>
      <c r="I1889" s="295">
        <v>-10043.23</v>
      </c>
    </row>
    <row r="1890" spans="1:9" x14ac:dyDescent="0.2">
      <c r="A1890" s="293" t="s">
        <v>8052</v>
      </c>
      <c r="B1890" s="293" t="s">
        <v>5666</v>
      </c>
      <c r="C1890" s="293" t="s">
        <v>6027</v>
      </c>
      <c r="D1890" s="293" t="s">
        <v>5859</v>
      </c>
      <c r="E1890" s="293" t="s">
        <v>6028</v>
      </c>
      <c r="F1890" s="293" t="s">
        <v>8053</v>
      </c>
      <c r="G1890" s="293" t="s">
        <v>5573</v>
      </c>
      <c r="H1890" s="294">
        <v>43646</v>
      </c>
      <c r="I1890" s="295">
        <v>-6400.96</v>
      </c>
    </row>
    <row r="1891" spans="1:9" x14ac:dyDescent="0.2">
      <c r="A1891" s="293" t="s">
        <v>8054</v>
      </c>
      <c r="B1891" s="293" t="s">
        <v>5666</v>
      </c>
      <c r="C1891" s="293" t="s">
        <v>6030</v>
      </c>
      <c r="D1891" s="293" t="s">
        <v>5859</v>
      </c>
      <c r="E1891" s="293" t="s">
        <v>6028</v>
      </c>
      <c r="F1891" s="293" t="s">
        <v>8053</v>
      </c>
      <c r="G1891" s="293" t="s">
        <v>5573</v>
      </c>
      <c r="H1891" s="294">
        <v>43646</v>
      </c>
      <c r="I1891" s="295">
        <v>-130.22</v>
      </c>
    </row>
    <row r="1892" spans="1:9" x14ac:dyDescent="0.2">
      <c r="A1892" s="293" t="s">
        <v>8055</v>
      </c>
      <c r="B1892" s="293" t="s">
        <v>5666</v>
      </c>
      <c r="C1892" s="293" t="s">
        <v>6032</v>
      </c>
      <c r="D1892" s="293" t="s">
        <v>5859</v>
      </c>
      <c r="E1892" s="293" t="s">
        <v>6033</v>
      </c>
      <c r="F1892" s="293" t="s">
        <v>8053</v>
      </c>
      <c r="G1892" s="293" t="s">
        <v>5585</v>
      </c>
      <c r="H1892" s="294">
        <v>43646</v>
      </c>
      <c r="I1892" s="295">
        <v>-6872.38</v>
      </c>
    </row>
    <row r="1893" spans="1:9" x14ac:dyDescent="0.2">
      <c r="A1893" s="293" t="s">
        <v>8056</v>
      </c>
      <c r="B1893" s="293" t="s">
        <v>5666</v>
      </c>
      <c r="C1893" s="293" t="s">
        <v>6035</v>
      </c>
      <c r="D1893" s="293" t="s">
        <v>5859</v>
      </c>
      <c r="E1893" s="293" t="s">
        <v>6033</v>
      </c>
      <c r="F1893" s="293" t="s">
        <v>8053</v>
      </c>
      <c r="G1893" s="293" t="s">
        <v>5585</v>
      </c>
      <c r="H1893" s="294">
        <v>43646</v>
      </c>
      <c r="I1893" s="295">
        <v>-4630.24</v>
      </c>
    </row>
    <row r="1894" spans="1:9" x14ac:dyDescent="0.2">
      <c r="A1894" s="293" t="s">
        <v>8057</v>
      </c>
      <c r="B1894" s="293" t="s">
        <v>5666</v>
      </c>
      <c r="C1894" s="293" t="s">
        <v>6037</v>
      </c>
      <c r="D1894" s="293" t="s">
        <v>5859</v>
      </c>
      <c r="E1894" s="293" t="s">
        <v>6038</v>
      </c>
      <c r="F1894" s="293" t="s">
        <v>8053</v>
      </c>
      <c r="G1894" s="293" t="s">
        <v>5586</v>
      </c>
      <c r="H1894" s="294">
        <v>43646</v>
      </c>
      <c r="I1894" s="295">
        <v>-3059.89</v>
      </c>
    </row>
    <row r="1895" spans="1:9" x14ac:dyDescent="0.2">
      <c r="A1895" s="293" t="s">
        <v>8058</v>
      </c>
      <c r="B1895" s="293" t="s">
        <v>5666</v>
      </c>
      <c r="C1895" s="293" t="s">
        <v>6040</v>
      </c>
      <c r="D1895" s="293" t="s">
        <v>5859</v>
      </c>
      <c r="E1895" s="293" t="s">
        <v>6041</v>
      </c>
      <c r="F1895" s="293" t="s">
        <v>8053</v>
      </c>
      <c r="G1895" s="293" t="s">
        <v>5581</v>
      </c>
      <c r="H1895" s="294">
        <v>43646</v>
      </c>
      <c r="I1895" s="295">
        <v>-8058.13</v>
      </c>
    </row>
    <row r="1896" spans="1:9" x14ac:dyDescent="0.2">
      <c r="A1896" s="293" t="s">
        <v>8059</v>
      </c>
      <c r="B1896" s="293" t="s">
        <v>5666</v>
      </c>
      <c r="C1896" s="293" t="s">
        <v>6056</v>
      </c>
      <c r="D1896" s="293" t="s">
        <v>5859</v>
      </c>
      <c r="E1896" s="293" t="s">
        <v>6057</v>
      </c>
      <c r="F1896" s="293" t="s">
        <v>8053</v>
      </c>
      <c r="G1896" s="293" t="s">
        <v>5578</v>
      </c>
      <c r="H1896" s="294">
        <v>43646</v>
      </c>
      <c r="I1896" s="295">
        <v>-4399.9399999999996</v>
      </c>
    </row>
    <row r="1897" spans="1:9" x14ac:dyDescent="0.2">
      <c r="A1897" s="293" t="s">
        <v>8060</v>
      </c>
      <c r="B1897" s="293" t="s">
        <v>5666</v>
      </c>
      <c r="C1897" s="293" t="s">
        <v>6062</v>
      </c>
      <c r="D1897" s="293" t="s">
        <v>5859</v>
      </c>
      <c r="E1897" s="293" t="s">
        <v>6063</v>
      </c>
      <c r="F1897" s="293" t="s">
        <v>8053</v>
      </c>
      <c r="G1897" s="293" t="s">
        <v>5579</v>
      </c>
      <c r="H1897" s="294">
        <v>43646</v>
      </c>
      <c r="I1897" s="295">
        <v>-2351.71</v>
      </c>
    </row>
    <row r="1898" spans="1:9" x14ac:dyDescent="0.2">
      <c r="A1898" s="293" t="s">
        <v>8061</v>
      </c>
      <c r="B1898" s="293" t="s">
        <v>5666</v>
      </c>
      <c r="C1898" s="293" t="s">
        <v>6065</v>
      </c>
      <c r="D1898" s="293" t="s">
        <v>5859</v>
      </c>
      <c r="E1898" s="293" t="s">
        <v>6063</v>
      </c>
      <c r="F1898" s="293" t="s">
        <v>8053</v>
      </c>
      <c r="G1898" s="293" t="s">
        <v>5579</v>
      </c>
      <c r="H1898" s="294">
        <v>43646</v>
      </c>
      <c r="I1898" s="295">
        <v>-63.12</v>
      </c>
    </row>
    <row r="1899" spans="1:9" x14ac:dyDescent="0.2">
      <c r="A1899" s="293" t="s">
        <v>8062</v>
      </c>
      <c r="B1899" s="293" t="s">
        <v>5666</v>
      </c>
      <c r="C1899" s="293" t="s">
        <v>6471</v>
      </c>
      <c r="D1899" s="293" t="s">
        <v>5859</v>
      </c>
      <c r="E1899" s="293" t="s">
        <v>6829</v>
      </c>
      <c r="F1899" s="293" t="s">
        <v>8053</v>
      </c>
      <c r="G1899" s="293" t="s">
        <v>5589</v>
      </c>
      <c r="H1899" s="294">
        <v>43646</v>
      </c>
      <c r="I1899" s="295">
        <v>-7123.53</v>
      </c>
    </row>
    <row r="1900" spans="1:9" x14ac:dyDescent="0.2">
      <c r="A1900" s="293" t="s">
        <v>8063</v>
      </c>
      <c r="B1900" s="293" t="s">
        <v>5666</v>
      </c>
      <c r="C1900" s="293" t="s">
        <v>6473</v>
      </c>
      <c r="D1900" s="293" t="s">
        <v>5859</v>
      </c>
      <c r="E1900" s="293" t="s">
        <v>6474</v>
      </c>
      <c r="F1900" s="293" t="s">
        <v>8053</v>
      </c>
      <c r="G1900" s="293" t="s">
        <v>5593</v>
      </c>
      <c r="H1900" s="294">
        <v>43646</v>
      </c>
      <c r="I1900" s="295">
        <v>-14668.67</v>
      </c>
    </row>
    <row r="1901" spans="1:9" x14ac:dyDescent="0.2">
      <c r="A1901" s="293" t="s">
        <v>8064</v>
      </c>
      <c r="B1901" s="293" t="s">
        <v>5666</v>
      </c>
      <c r="C1901" s="293" t="s">
        <v>6920</v>
      </c>
      <c r="D1901" s="293" t="s">
        <v>5859</v>
      </c>
      <c r="E1901" s="293" t="s">
        <v>6921</v>
      </c>
      <c r="F1901" s="293" t="s">
        <v>8053</v>
      </c>
      <c r="G1901" s="293" t="s">
        <v>5754</v>
      </c>
      <c r="H1901" s="294">
        <v>43646</v>
      </c>
      <c r="I1901" s="295">
        <v>-8710.42</v>
      </c>
    </row>
    <row r="1902" spans="1:9" x14ac:dyDescent="0.2">
      <c r="A1902" s="293" t="s">
        <v>8065</v>
      </c>
      <c r="B1902" s="293" t="s">
        <v>5666</v>
      </c>
      <c r="C1902" s="293" t="s">
        <v>7219</v>
      </c>
      <c r="D1902" s="293" t="s">
        <v>5859</v>
      </c>
      <c r="E1902" s="293" t="s">
        <v>7080</v>
      </c>
      <c r="F1902" s="293" t="s">
        <v>8053</v>
      </c>
      <c r="G1902" s="293" t="s">
        <v>5755</v>
      </c>
      <c r="H1902" s="294">
        <v>43646</v>
      </c>
      <c r="I1902" s="295">
        <v>-7028.09</v>
      </c>
    </row>
    <row r="1903" spans="1:9" x14ac:dyDescent="0.2">
      <c r="A1903" s="293" t="s">
        <v>8066</v>
      </c>
      <c r="B1903" s="293" t="s">
        <v>5666</v>
      </c>
      <c r="C1903" s="293" t="s">
        <v>8001</v>
      </c>
      <c r="D1903" s="293" t="s">
        <v>5859</v>
      </c>
      <c r="E1903" s="293" t="s">
        <v>7817</v>
      </c>
      <c r="F1903" s="293" t="s">
        <v>8053</v>
      </c>
      <c r="G1903" s="293" t="s">
        <v>7245</v>
      </c>
      <c r="H1903" s="294">
        <v>43646</v>
      </c>
      <c r="I1903" s="295">
        <v>-8384.43</v>
      </c>
    </row>
    <row r="1904" spans="1:9" x14ac:dyDescent="0.2">
      <c r="A1904" s="293" t="s">
        <v>8067</v>
      </c>
      <c r="B1904" s="293" t="s">
        <v>5666</v>
      </c>
      <c r="C1904" s="293" t="s">
        <v>8068</v>
      </c>
      <c r="D1904" s="293" t="s">
        <v>5859</v>
      </c>
      <c r="E1904" s="293" t="s">
        <v>7922</v>
      </c>
      <c r="F1904" s="293" t="s">
        <v>8053</v>
      </c>
      <c r="G1904" s="293" t="s">
        <v>7887</v>
      </c>
      <c r="H1904" s="294">
        <v>43646</v>
      </c>
      <c r="I1904" s="295">
        <v>-10043.23</v>
      </c>
    </row>
    <row r="1905" spans="1:9" x14ac:dyDescent="0.2">
      <c r="A1905" s="293" t="s">
        <v>8069</v>
      </c>
      <c r="B1905" s="293" t="s">
        <v>6010</v>
      </c>
      <c r="C1905" s="293" t="s">
        <v>8070</v>
      </c>
      <c r="D1905" s="293" t="s">
        <v>5859</v>
      </c>
      <c r="E1905" s="293" t="s">
        <v>8070</v>
      </c>
      <c r="F1905" s="293" t="s">
        <v>8071</v>
      </c>
      <c r="G1905" s="293" t="s">
        <v>8006</v>
      </c>
      <c r="H1905" s="294">
        <v>43676</v>
      </c>
      <c r="I1905" s="295">
        <v>6110.5</v>
      </c>
    </row>
    <row r="1906" spans="1:9" x14ac:dyDescent="0.2">
      <c r="A1906" s="293" t="s">
        <v>8072</v>
      </c>
      <c r="B1906" s="293" t="s">
        <v>6134</v>
      </c>
      <c r="C1906" s="293" t="s">
        <v>8073</v>
      </c>
      <c r="D1906" s="293" t="s">
        <v>5859</v>
      </c>
      <c r="E1906" s="293" t="s">
        <v>5088</v>
      </c>
      <c r="F1906" s="293" t="s">
        <v>8074</v>
      </c>
      <c r="G1906" s="293" t="s">
        <v>8006</v>
      </c>
      <c r="H1906" s="294">
        <v>43670</v>
      </c>
      <c r="I1906" s="295">
        <v>2406250</v>
      </c>
    </row>
    <row r="1907" spans="1:9" x14ac:dyDescent="0.2">
      <c r="A1907" s="293" t="s">
        <v>8075</v>
      </c>
      <c r="B1907" s="293" t="s">
        <v>6010</v>
      </c>
      <c r="C1907" s="293" t="s">
        <v>8076</v>
      </c>
      <c r="D1907" s="293" t="s">
        <v>5859</v>
      </c>
      <c r="E1907" s="293" t="s">
        <v>8077</v>
      </c>
      <c r="F1907" s="293" t="s">
        <v>8078</v>
      </c>
      <c r="G1907" s="293" t="s">
        <v>8006</v>
      </c>
      <c r="H1907" s="294">
        <v>43684</v>
      </c>
      <c r="I1907" s="295">
        <v>6692.83</v>
      </c>
    </row>
    <row r="1908" spans="1:9" x14ac:dyDescent="0.2">
      <c r="A1908" s="293" t="s">
        <v>8075</v>
      </c>
      <c r="B1908" s="293" t="s">
        <v>6010</v>
      </c>
      <c r="C1908" s="293" t="s">
        <v>8076</v>
      </c>
      <c r="D1908" s="293" t="s">
        <v>5859</v>
      </c>
      <c r="E1908" s="293" t="s">
        <v>8077</v>
      </c>
      <c r="F1908" s="293" t="s">
        <v>8078</v>
      </c>
      <c r="G1908" s="293" t="s">
        <v>8006</v>
      </c>
      <c r="H1908" s="294">
        <v>43684</v>
      </c>
      <c r="I1908" s="295">
        <v>608.44000000000005</v>
      </c>
    </row>
    <row r="1909" spans="1:9" x14ac:dyDescent="0.2">
      <c r="A1909" s="293" t="s">
        <v>8079</v>
      </c>
      <c r="B1909" s="293" t="s">
        <v>6010</v>
      </c>
      <c r="C1909" s="293" t="s">
        <v>8080</v>
      </c>
      <c r="D1909" s="293" t="s">
        <v>5859</v>
      </c>
      <c r="E1909" s="293" t="s">
        <v>8081</v>
      </c>
      <c r="F1909" s="293" t="s">
        <v>8078</v>
      </c>
      <c r="G1909" s="293" t="s">
        <v>8006</v>
      </c>
      <c r="H1909" s="294">
        <v>43684</v>
      </c>
      <c r="I1909" s="295">
        <v>191125</v>
      </c>
    </row>
    <row r="1910" spans="1:9" x14ac:dyDescent="0.2">
      <c r="A1910" s="293" t="s">
        <v>8082</v>
      </c>
      <c r="B1910" s="293" t="s">
        <v>6010</v>
      </c>
      <c r="C1910" s="293" t="s">
        <v>8083</v>
      </c>
      <c r="D1910" s="293" t="s">
        <v>5859</v>
      </c>
      <c r="E1910" s="293" t="s">
        <v>8084</v>
      </c>
      <c r="F1910" s="293" t="s">
        <v>8085</v>
      </c>
      <c r="G1910" s="293" t="s">
        <v>8006</v>
      </c>
      <c r="H1910" s="294">
        <v>43689</v>
      </c>
      <c r="I1910" s="295">
        <v>137500</v>
      </c>
    </row>
    <row r="1911" spans="1:9" x14ac:dyDescent="0.2">
      <c r="A1911" s="293" t="s">
        <v>8086</v>
      </c>
      <c r="B1911" s="293" t="s">
        <v>5666</v>
      </c>
      <c r="C1911" s="293" t="s">
        <v>6027</v>
      </c>
      <c r="D1911" s="293" t="s">
        <v>5859</v>
      </c>
      <c r="E1911" s="293" t="s">
        <v>6028</v>
      </c>
      <c r="F1911" s="293" t="s">
        <v>8087</v>
      </c>
      <c r="G1911" s="293" t="s">
        <v>5573</v>
      </c>
      <c r="H1911" s="294">
        <v>43677</v>
      </c>
      <c r="I1911" s="295">
        <v>-6400.96</v>
      </c>
    </row>
    <row r="1912" spans="1:9" x14ac:dyDescent="0.2">
      <c r="A1912" s="293" t="s">
        <v>8088</v>
      </c>
      <c r="B1912" s="293" t="s">
        <v>5666</v>
      </c>
      <c r="C1912" s="293" t="s">
        <v>6030</v>
      </c>
      <c r="D1912" s="293" t="s">
        <v>5859</v>
      </c>
      <c r="E1912" s="293" t="s">
        <v>6028</v>
      </c>
      <c r="F1912" s="293" t="s">
        <v>8087</v>
      </c>
      <c r="G1912" s="293" t="s">
        <v>5573</v>
      </c>
      <c r="H1912" s="294">
        <v>43677</v>
      </c>
      <c r="I1912" s="295">
        <v>-130.22</v>
      </c>
    </row>
    <row r="1913" spans="1:9" x14ac:dyDescent="0.2">
      <c r="A1913" s="293" t="s">
        <v>8089</v>
      </c>
      <c r="B1913" s="293" t="s">
        <v>5666</v>
      </c>
      <c r="C1913" s="293" t="s">
        <v>6032</v>
      </c>
      <c r="D1913" s="293" t="s">
        <v>5859</v>
      </c>
      <c r="E1913" s="293" t="s">
        <v>6033</v>
      </c>
      <c r="F1913" s="293" t="s">
        <v>8087</v>
      </c>
      <c r="G1913" s="293" t="s">
        <v>5585</v>
      </c>
      <c r="H1913" s="294">
        <v>43677</v>
      </c>
      <c r="I1913" s="295">
        <v>-6872.38</v>
      </c>
    </row>
    <row r="1914" spans="1:9" x14ac:dyDescent="0.2">
      <c r="A1914" s="293" t="s">
        <v>8090</v>
      </c>
      <c r="B1914" s="293" t="s">
        <v>5666</v>
      </c>
      <c r="C1914" s="293" t="s">
        <v>6035</v>
      </c>
      <c r="D1914" s="293" t="s">
        <v>5859</v>
      </c>
      <c r="E1914" s="293" t="s">
        <v>6033</v>
      </c>
      <c r="F1914" s="293" t="s">
        <v>8087</v>
      </c>
      <c r="G1914" s="293" t="s">
        <v>5585</v>
      </c>
      <c r="H1914" s="294">
        <v>43677</v>
      </c>
      <c r="I1914" s="295">
        <v>-4630.24</v>
      </c>
    </row>
    <row r="1915" spans="1:9" x14ac:dyDescent="0.2">
      <c r="A1915" s="293" t="s">
        <v>8091</v>
      </c>
      <c r="B1915" s="293" t="s">
        <v>5666</v>
      </c>
      <c r="C1915" s="293" t="s">
        <v>6037</v>
      </c>
      <c r="D1915" s="293" t="s">
        <v>5859</v>
      </c>
      <c r="E1915" s="293" t="s">
        <v>6038</v>
      </c>
      <c r="F1915" s="293" t="s">
        <v>8087</v>
      </c>
      <c r="G1915" s="293" t="s">
        <v>5586</v>
      </c>
      <c r="H1915" s="294">
        <v>43677</v>
      </c>
      <c r="I1915" s="295">
        <v>-3059.89</v>
      </c>
    </row>
    <row r="1916" spans="1:9" x14ac:dyDescent="0.2">
      <c r="A1916" s="293" t="s">
        <v>8092</v>
      </c>
      <c r="B1916" s="293" t="s">
        <v>5666</v>
      </c>
      <c r="C1916" s="293" t="s">
        <v>6040</v>
      </c>
      <c r="D1916" s="293" t="s">
        <v>5859</v>
      </c>
      <c r="E1916" s="293" t="s">
        <v>6041</v>
      </c>
      <c r="F1916" s="293" t="s">
        <v>8087</v>
      </c>
      <c r="G1916" s="293" t="s">
        <v>5581</v>
      </c>
      <c r="H1916" s="294">
        <v>43677</v>
      </c>
      <c r="I1916" s="295">
        <v>-8058.13</v>
      </c>
    </row>
    <row r="1917" spans="1:9" x14ac:dyDescent="0.2">
      <c r="A1917" s="293" t="s">
        <v>8093</v>
      </c>
      <c r="B1917" s="293" t="s">
        <v>5666</v>
      </c>
      <c r="C1917" s="293" t="s">
        <v>6056</v>
      </c>
      <c r="D1917" s="293" t="s">
        <v>5859</v>
      </c>
      <c r="E1917" s="293" t="s">
        <v>6057</v>
      </c>
      <c r="F1917" s="293" t="s">
        <v>8087</v>
      </c>
      <c r="G1917" s="293" t="s">
        <v>5578</v>
      </c>
      <c r="H1917" s="294">
        <v>43677</v>
      </c>
      <c r="I1917" s="295">
        <v>-4399.9399999999996</v>
      </c>
    </row>
    <row r="1918" spans="1:9" x14ac:dyDescent="0.2">
      <c r="A1918" s="293" t="s">
        <v>8094</v>
      </c>
      <c r="B1918" s="293" t="s">
        <v>5666</v>
      </c>
      <c r="C1918" s="293" t="s">
        <v>6062</v>
      </c>
      <c r="D1918" s="293" t="s">
        <v>5859</v>
      </c>
      <c r="E1918" s="293" t="s">
        <v>6063</v>
      </c>
      <c r="F1918" s="293" t="s">
        <v>8087</v>
      </c>
      <c r="G1918" s="293" t="s">
        <v>5579</v>
      </c>
      <c r="H1918" s="294">
        <v>43677</v>
      </c>
      <c r="I1918" s="295">
        <v>-2351.71</v>
      </c>
    </row>
    <row r="1919" spans="1:9" x14ac:dyDescent="0.2">
      <c r="A1919" s="293" t="s">
        <v>8095</v>
      </c>
      <c r="B1919" s="293" t="s">
        <v>5666</v>
      </c>
      <c r="C1919" s="293" t="s">
        <v>6065</v>
      </c>
      <c r="D1919" s="293" t="s">
        <v>5859</v>
      </c>
      <c r="E1919" s="293" t="s">
        <v>6063</v>
      </c>
      <c r="F1919" s="293" t="s">
        <v>8087</v>
      </c>
      <c r="G1919" s="293" t="s">
        <v>5579</v>
      </c>
      <c r="H1919" s="294">
        <v>43677</v>
      </c>
      <c r="I1919" s="295">
        <v>-63.12</v>
      </c>
    </row>
    <row r="1920" spans="1:9" x14ac:dyDescent="0.2">
      <c r="A1920" s="293" t="s">
        <v>8096</v>
      </c>
      <c r="B1920" s="293" t="s">
        <v>5666</v>
      </c>
      <c r="C1920" s="293" t="s">
        <v>6471</v>
      </c>
      <c r="D1920" s="293" t="s">
        <v>5859</v>
      </c>
      <c r="E1920" s="293" t="s">
        <v>6829</v>
      </c>
      <c r="F1920" s="293" t="s">
        <v>8087</v>
      </c>
      <c r="G1920" s="293" t="s">
        <v>5589</v>
      </c>
      <c r="H1920" s="294">
        <v>43677</v>
      </c>
      <c r="I1920" s="295">
        <v>-7123.53</v>
      </c>
    </row>
    <row r="1921" spans="1:9" x14ac:dyDescent="0.2">
      <c r="A1921" s="293" t="s">
        <v>8097</v>
      </c>
      <c r="B1921" s="293" t="s">
        <v>5666</v>
      </c>
      <c r="C1921" s="293" t="s">
        <v>6473</v>
      </c>
      <c r="D1921" s="293" t="s">
        <v>5859</v>
      </c>
      <c r="E1921" s="293" t="s">
        <v>6474</v>
      </c>
      <c r="F1921" s="293" t="s">
        <v>8087</v>
      </c>
      <c r="G1921" s="293" t="s">
        <v>5593</v>
      </c>
      <c r="H1921" s="294">
        <v>43677</v>
      </c>
      <c r="I1921" s="295">
        <v>-14668.67</v>
      </c>
    </row>
    <row r="1922" spans="1:9" x14ac:dyDescent="0.2">
      <c r="A1922" s="293" t="s">
        <v>8098</v>
      </c>
      <c r="B1922" s="293" t="s">
        <v>5666</v>
      </c>
      <c r="C1922" s="293" t="s">
        <v>6920</v>
      </c>
      <c r="D1922" s="293" t="s">
        <v>5859</v>
      </c>
      <c r="E1922" s="293" t="s">
        <v>6921</v>
      </c>
      <c r="F1922" s="293" t="s">
        <v>8087</v>
      </c>
      <c r="G1922" s="293" t="s">
        <v>5754</v>
      </c>
      <c r="H1922" s="294">
        <v>43677</v>
      </c>
      <c r="I1922" s="295">
        <v>-8710.42</v>
      </c>
    </row>
    <row r="1923" spans="1:9" x14ac:dyDescent="0.2">
      <c r="A1923" s="293" t="s">
        <v>8099</v>
      </c>
      <c r="B1923" s="293" t="s">
        <v>5666</v>
      </c>
      <c r="C1923" s="293" t="s">
        <v>7219</v>
      </c>
      <c r="D1923" s="293" t="s">
        <v>5859</v>
      </c>
      <c r="E1923" s="293" t="s">
        <v>7080</v>
      </c>
      <c r="F1923" s="293" t="s">
        <v>8087</v>
      </c>
      <c r="G1923" s="293" t="s">
        <v>5755</v>
      </c>
      <c r="H1923" s="294">
        <v>43677</v>
      </c>
      <c r="I1923" s="295">
        <v>-7028.09</v>
      </c>
    </row>
    <row r="1924" spans="1:9" x14ac:dyDescent="0.2">
      <c r="A1924" s="293" t="s">
        <v>8100</v>
      </c>
      <c r="B1924" s="293" t="s">
        <v>5666</v>
      </c>
      <c r="C1924" s="293" t="s">
        <v>8001</v>
      </c>
      <c r="D1924" s="293" t="s">
        <v>5859</v>
      </c>
      <c r="E1924" s="293" t="s">
        <v>7817</v>
      </c>
      <c r="F1924" s="293" t="s">
        <v>8087</v>
      </c>
      <c r="G1924" s="293" t="s">
        <v>7245</v>
      </c>
      <c r="H1924" s="294">
        <v>43677</v>
      </c>
      <c r="I1924" s="295">
        <v>-8384.43</v>
      </c>
    </row>
    <row r="1925" spans="1:9" x14ac:dyDescent="0.2">
      <c r="A1925" s="293" t="s">
        <v>8101</v>
      </c>
      <c r="B1925" s="293" t="s">
        <v>5666</v>
      </c>
      <c r="C1925" s="293" t="s">
        <v>8068</v>
      </c>
      <c r="D1925" s="293" t="s">
        <v>5859</v>
      </c>
      <c r="E1925" s="293" t="s">
        <v>7922</v>
      </c>
      <c r="F1925" s="293" t="s">
        <v>8087</v>
      </c>
      <c r="G1925" s="293" t="s">
        <v>7887</v>
      </c>
      <c r="H1925" s="294">
        <v>43677</v>
      </c>
      <c r="I1925" s="295">
        <v>-10043.23</v>
      </c>
    </row>
    <row r="1926" spans="1:9" x14ac:dyDescent="0.2">
      <c r="A1926" s="293" t="s">
        <v>8102</v>
      </c>
      <c r="B1926" s="293" t="s">
        <v>6010</v>
      </c>
      <c r="C1926" s="293" t="s">
        <v>8103</v>
      </c>
      <c r="D1926" s="293" t="s">
        <v>5859</v>
      </c>
      <c r="E1926" s="293" t="s">
        <v>5088</v>
      </c>
      <c r="F1926" s="293" t="s">
        <v>8087</v>
      </c>
      <c r="G1926" s="293" t="s">
        <v>8006</v>
      </c>
      <c r="H1926" s="294">
        <v>43685</v>
      </c>
      <c r="I1926" s="295">
        <v>13337.5</v>
      </c>
    </row>
    <row r="1927" spans="1:9" x14ac:dyDescent="0.2">
      <c r="A1927" s="293" t="s">
        <v>8104</v>
      </c>
      <c r="B1927" s="293" t="s">
        <v>6010</v>
      </c>
      <c r="C1927" s="293" t="s">
        <v>8105</v>
      </c>
      <c r="D1927" s="293" t="s">
        <v>5859</v>
      </c>
      <c r="E1927" s="293" t="s">
        <v>5088</v>
      </c>
      <c r="F1927" s="293" t="s">
        <v>8106</v>
      </c>
      <c r="G1927" s="293" t="s">
        <v>8006</v>
      </c>
      <c r="H1927" s="294">
        <v>43700</v>
      </c>
      <c r="I1927" s="295">
        <v>91666.67</v>
      </c>
    </row>
    <row r="1928" spans="1:9" x14ac:dyDescent="0.2">
      <c r="A1928" s="293" t="s">
        <v>8107</v>
      </c>
      <c r="B1928" s="293" t="s">
        <v>6010</v>
      </c>
      <c r="C1928" s="293" t="s">
        <v>8108</v>
      </c>
      <c r="D1928" s="293" t="s">
        <v>5859</v>
      </c>
      <c r="E1928" s="293" t="s">
        <v>5088</v>
      </c>
      <c r="F1928" s="293" t="s">
        <v>8109</v>
      </c>
      <c r="G1928" s="293" t="s">
        <v>8006</v>
      </c>
      <c r="H1928" s="294">
        <v>43700</v>
      </c>
      <c r="I1928" s="295">
        <v>53166.67</v>
      </c>
    </row>
    <row r="1929" spans="1:9" x14ac:dyDescent="0.2">
      <c r="A1929" s="293" t="s">
        <v>8110</v>
      </c>
      <c r="B1929" s="293" t="s">
        <v>7893</v>
      </c>
      <c r="C1929" s="293" t="s">
        <v>8111</v>
      </c>
      <c r="D1929" s="293" t="s">
        <v>5859</v>
      </c>
      <c r="E1929" s="293" t="s">
        <v>7895</v>
      </c>
      <c r="F1929" s="293" t="s">
        <v>8112</v>
      </c>
      <c r="G1929" s="293" t="s">
        <v>8006</v>
      </c>
      <c r="H1929" s="294">
        <v>43724</v>
      </c>
      <c r="I1929" s="295">
        <v>121015.41</v>
      </c>
    </row>
    <row r="1930" spans="1:9" x14ac:dyDescent="0.2">
      <c r="A1930" s="293" t="s">
        <v>8113</v>
      </c>
      <c r="B1930" s="293" t="s">
        <v>6010</v>
      </c>
      <c r="C1930" s="293" t="s">
        <v>8114</v>
      </c>
      <c r="D1930" s="293" t="s">
        <v>5859</v>
      </c>
      <c r="E1930" s="293" t="s">
        <v>8115</v>
      </c>
      <c r="F1930" s="293" t="s">
        <v>8116</v>
      </c>
      <c r="G1930" s="293" t="s">
        <v>8006</v>
      </c>
      <c r="H1930" s="294">
        <v>43700</v>
      </c>
      <c r="I1930" s="295">
        <v>1833.33</v>
      </c>
    </row>
    <row r="1931" spans="1:9" x14ac:dyDescent="0.2">
      <c r="A1931" s="293" t="s">
        <v>8117</v>
      </c>
      <c r="B1931" s="293" t="s">
        <v>5983</v>
      </c>
      <c r="C1931" s="293" t="s">
        <v>8118</v>
      </c>
      <c r="D1931" s="293" t="s">
        <v>5859</v>
      </c>
      <c r="E1931" s="293" t="s">
        <v>8119</v>
      </c>
      <c r="F1931" s="293" t="s">
        <v>8120</v>
      </c>
      <c r="G1931" s="293" t="s">
        <v>5637</v>
      </c>
      <c r="H1931" s="294">
        <v>43720</v>
      </c>
      <c r="I1931" s="295">
        <v>5712</v>
      </c>
    </row>
    <row r="1932" spans="1:9" x14ac:dyDescent="0.2">
      <c r="A1932" s="293" t="s">
        <v>8121</v>
      </c>
      <c r="B1932" s="293" t="s">
        <v>5983</v>
      </c>
      <c r="C1932" s="293" t="s">
        <v>8122</v>
      </c>
      <c r="D1932" s="293" t="s">
        <v>5859</v>
      </c>
      <c r="E1932" s="293" t="s">
        <v>5088</v>
      </c>
      <c r="F1932" s="293" t="s">
        <v>8123</v>
      </c>
      <c r="G1932" s="293" t="s">
        <v>5637</v>
      </c>
      <c r="H1932" s="294">
        <v>43699</v>
      </c>
      <c r="I1932" s="295">
        <v>986.9</v>
      </c>
    </row>
    <row r="1933" spans="1:9" x14ac:dyDescent="0.2">
      <c r="A1933" s="293" t="s">
        <v>8124</v>
      </c>
      <c r="B1933" s="293" t="s">
        <v>5983</v>
      </c>
      <c r="C1933" s="293" t="s">
        <v>8125</v>
      </c>
      <c r="D1933" s="293" t="s">
        <v>5859</v>
      </c>
      <c r="E1933" s="293" t="s">
        <v>8125</v>
      </c>
      <c r="F1933" s="293" t="s">
        <v>8123</v>
      </c>
      <c r="G1933" s="293" t="s">
        <v>5637</v>
      </c>
      <c r="H1933" s="294">
        <v>43700</v>
      </c>
      <c r="I1933" s="295">
        <v>242400</v>
      </c>
    </row>
    <row r="1934" spans="1:9" x14ac:dyDescent="0.2">
      <c r="A1934" s="293" t="s">
        <v>8126</v>
      </c>
      <c r="B1934" s="293" t="s">
        <v>6010</v>
      </c>
      <c r="C1934" s="293" t="s">
        <v>8127</v>
      </c>
      <c r="D1934" s="293" t="s">
        <v>5859</v>
      </c>
      <c r="E1934" s="293" t="s">
        <v>8128</v>
      </c>
      <c r="F1934" s="293" t="s">
        <v>8129</v>
      </c>
      <c r="G1934" s="293" t="s">
        <v>8006</v>
      </c>
      <c r="H1934" s="294">
        <v>43700</v>
      </c>
      <c r="I1934" s="295">
        <v>2245.83</v>
      </c>
    </row>
    <row r="1935" spans="1:9" x14ac:dyDescent="0.2">
      <c r="A1935" s="293" t="s">
        <v>8130</v>
      </c>
      <c r="B1935" s="293" t="s">
        <v>5666</v>
      </c>
      <c r="C1935" s="293" t="s">
        <v>6027</v>
      </c>
      <c r="D1935" s="293" t="s">
        <v>5859</v>
      </c>
      <c r="E1935" s="293" t="s">
        <v>6028</v>
      </c>
      <c r="F1935" s="293" t="s">
        <v>8131</v>
      </c>
      <c r="G1935" s="293" t="s">
        <v>5573</v>
      </c>
      <c r="H1935" s="294">
        <v>43708</v>
      </c>
      <c r="I1935" s="295">
        <v>-6400.96</v>
      </c>
    </row>
    <row r="1936" spans="1:9" x14ac:dyDescent="0.2">
      <c r="A1936" s="293" t="s">
        <v>8132</v>
      </c>
      <c r="B1936" s="293" t="s">
        <v>5666</v>
      </c>
      <c r="C1936" s="293" t="s">
        <v>6030</v>
      </c>
      <c r="D1936" s="293" t="s">
        <v>5859</v>
      </c>
      <c r="E1936" s="293" t="s">
        <v>6028</v>
      </c>
      <c r="F1936" s="293" t="s">
        <v>8131</v>
      </c>
      <c r="G1936" s="293" t="s">
        <v>5573</v>
      </c>
      <c r="H1936" s="294">
        <v>43708</v>
      </c>
      <c r="I1936" s="295">
        <v>-130.22</v>
      </c>
    </row>
    <row r="1937" spans="1:9" x14ac:dyDescent="0.2">
      <c r="A1937" s="293" t="s">
        <v>8133</v>
      </c>
      <c r="B1937" s="293" t="s">
        <v>5666</v>
      </c>
      <c r="C1937" s="293" t="s">
        <v>6032</v>
      </c>
      <c r="D1937" s="293" t="s">
        <v>5859</v>
      </c>
      <c r="E1937" s="293" t="s">
        <v>6033</v>
      </c>
      <c r="F1937" s="293" t="s">
        <v>8131</v>
      </c>
      <c r="G1937" s="293" t="s">
        <v>5585</v>
      </c>
      <c r="H1937" s="294">
        <v>43708</v>
      </c>
      <c r="I1937" s="295">
        <v>-6872.38</v>
      </c>
    </row>
    <row r="1938" spans="1:9" x14ac:dyDescent="0.2">
      <c r="A1938" s="293" t="s">
        <v>8134</v>
      </c>
      <c r="B1938" s="293" t="s">
        <v>5666</v>
      </c>
      <c r="C1938" s="293" t="s">
        <v>6035</v>
      </c>
      <c r="D1938" s="293" t="s">
        <v>5859</v>
      </c>
      <c r="E1938" s="293" t="s">
        <v>6033</v>
      </c>
      <c r="F1938" s="293" t="s">
        <v>8131</v>
      </c>
      <c r="G1938" s="293" t="s">
        <v>5585</v>
      </c>
      <c r="H1938" s="294">
        <v>43708</v>
      </c>
      <c r="I1938" s="295">
        <v>-4630.24</v>
      </c>
    </row>
    <row r="1939" spans="1:9" x14ac:dyDescent="0.2">
      <c r="A1939" s="293" t="s">
        <v>8135</v>
      </c>
      <c r="B1939" s="293" t="s">
        <v>5666</v>
      </c>
      <c r="C1939" s="293" t="s">
        <v>6037</v>
      </c>
      <c r="D1939" s="293" t="s">
        <v>5859</v>
      </c>
      <c r="E1939" s="293" t="s">
        <v>6038</v>
      </c>
      <c r="F1939" s="293" t="s">
        <v>8131</v>
      </c>
      <c r="G1939" s="293" t="s">
        <v>5586</v>
      </c>
      <c r="H1939" s="294">
        <v>43708</v>
      </c>
      <c r="I1939" s="295">
        <v>-3059.89</v>
      </c>
    </row>
    <row r="1940" spans="1:9" x14ac:dyDescent="0.2">
      <c r="A1940" s="293" t="s">
        <v>8136</v>
      </c>
      <c r="B1940" s="293" t="s">
        <v>5666</v>
      </c>
      <c r="C1940" s="293" t="s">
        <v>6040</v>
      </c>
      <c r="D1940" s="293" t="s">
        <v>5859</v>
      </c>
      <c r="E1940" s="293" t="s">
        <v>6041</v>
      </c>
      <c r="F1940" s="293" t="s">
        <v>8131</v>
      </c>
      <c r="G1940" s="293" t="s">
        <v>5581</v>
      </c>
      <c r="H1940" s="294">
        <v>43708</v>
      </c>
      <c r="I1940" s="295">
        <v>-8058.13</v>
      </c>
    </row>
    <row r="1941" spans="1:9" x14ac:dyDescent="0.2">
      <c r="A1941" s="293" t="s">
        <v>8137</v>
      </c>
      <c r="B1941" s="293" t="s">
        <v>5666</v>
      </c>
      <c r="C1941" s="293" t="s">
        <v>6056</v>
      </c>
      <c r="D1941" s="293" t="s">
        <v>5859</v>
      </c>
      <c r="E1941" s="293" t="s">
        <v>6057</v>
      </c>
      <c r="F1941" s="293" t="s">
        <v>8131</v>
      </c>
      <c r="G1941" s="293" t="s">
        <v>5578</v>
      </c>
      <c r="H1941" s="294">
        <v>43708</v>
      </c>
      <c r="I1941" s="295">
        <v>-4399.9399999999996</v>
      </c>
    </row>
    <row r="1942" spans="1:9" x14ac:dyDescent="0.2">
      <c r="A1942" s="293" t="s">
        <v>8138</v>
      </c>
      <c r="B1942" s="293" t="s">
        <v>5666</v>
      </c>
      <c r="C1942" s="293" t="s">
        <v>6062</v>
      </c>
      <c r="D1942" s="293" t="s">
        <v>5859</v>
      </c>
      <c r="E1942" s="293" t="s">
        <v>6063</v>
      </c>
      <c r="F1942" s="293" t="s">
        <v>8131</v>
      </c>
      <c r="G1942" s="293" t="s">
        <v>5579</v>
      </c>
      <c r="H1942" s="294">
        <v>43708</v>
      </c>
      <c r="I1942" s="295">
        <v>-2351.71</v>
      </c>
    </row>
    <row r="1943" spans="1:9" x14ac:dyDescent="0.2">
      <c r="A1943" s="293" t="s">
        <v>8139</v>
      </c>
      <c r="B1943" s="293" t="s">
        <v>5666</v>
      </c>
      <c r="C1943" s="293" t="s">
        <v>6065</v>
      </c>
      <c r="D1943" s="293" t="s">
        <v>5859</v>
      </c>
      <c r="E1943" s="293" t="s">
        <v>6063</v>
      </c>
      <c r="F1943" s="293" t="s">
        <v>8131</v>
      </c>
      <c r="G1943" s="293" t="s">
        <v>5579</v>
      </c>
      <c r="H1943" s="294">
        <v>43708</v>
      </c>
      <c r="I1943" s="295">
        <v>-63.12</v>
      </c>
    </row>
    <row r="1944" spans="1:9" x14ac:dyDescent="0.2">
      <c r="A1944" s="293" t="s">
        <v>8140</v>
      </c>
      <c r="B1944" s="293" t="s">
        <v>5666</v>
      </c>
      <c r="C1944" s="293" t="s">
        <v>6471</v>
      </c>
      <c r="D1944" s="293" t="s">
        <v>5859</v>
      </c>
      <c r="E1944" s="293" t="s">
        <v>6829</v>
      </c>
      <c r="F1944" s="293" t="s">
        <v>8131</v>
      </c>
      <c r="G1944" s="293" t="s">
        <v>5589</v>
      </c>
      <c r="H1944" s="294">
        <v>43708</v>
      </c>
      <c r="I1944" s="295">
        <v>-7123.53</v>
      </c>
    </row>
    <row r="1945" spans="1:9" x14ac:dyDescent="0.2">
      <c r="A1945" s="293" t="s">
        <v>8141</v>
      </c>
      <c r="B1945" s="293" t="s">
        <v>5666</v>
      </c>
      <c r="C1945" s="293" t="s">
        <v>6473</v>
      </c>
      <c r="D1945" s="293" t="s">
        <v>5859</v>
      </c>
      <c r="E1945" s="293" t="s">
        <v>6474</v>
      </c>
      <c r="F1945" s="293" t="s">
        <v>8131</v>
      </c>
      <c r="G1945" s="293" t="s">
        <v>5593</v>
      </c>
      <c r="H1945" s="294">
        <v>43708</v>
      </c>
      <c r="I1945" s="295">
        <v>-14668.67</v>
      </c>
    </row>
    <row r="1946" spans="1:9" x14ac:dyDescent="0.2">
      <c r="A1946" s="293" t="s">
        <v>8142</v>
      </c>
      <c r="B1946" s="293" t="s">
        <v>5666</v>
      </c>
      <c r="C1946" s="293" t="s">
        <v>6920</v>
      </c>
      <c r="D1946" s="293" t="s">
        <v>5859</v>
      </c>
      <c r="E1946" s="293" t="s">
        <v>6921</v>
      </c>
      <c r="F1946" s="293" t="s">
        <v>8131</v>
      </c>
      <c r="G1946" s="293" t="s">
        <v>5754</v>
      </c>
      <c r="H1946" s="294">
        <v>43708</v>
      </c>
      <c r="I1946" s="295">
        <v>-8710.42</v>
      </c>
    </row>
    <row r="1947" spans="1:9" x14ac:dyDescent="0.2">
      <c r="A1947" s="293" t="s">
        <v>8143</v>
      </c>
      <c r="B1947" s="293" t="s">
        <v>5666</v>
      </c>
      <c r="C1947" s="293" t="s">
        <v>7219</v>
      </c>
      <c r="D1947" s="293" t="s">
        <v>5859</v>
      </c>
      <c r="E1947" s="293" t="s">
        <v>7080</v>
      </c>
      <c r="F1947" s="293" t="s">
        <v>8131</v>
      </c>
      <c r="G1947" s="293" t="s">
        <v>5755</v>
      </c>
      <c r="H1947" s="294">
        <v>43708</v>
      </c>
      <c r="I1947" s="295">
        <v>-7028.09</v>
      </c>
    </row>
    <row r="1948" spans="1:9" x14ac:dyDescent="0.2">
      <c r="A1948" s="293" t="s">
        <v>8144</v>
      </c>
      <c r="B1948" s="293" t="s">
        <v>5666</v>
      </c>
      <c r="C1948" s="293" t="s">
        <v>8001</v>
      </c>
      <c r="D1948" s="293" t="s">
        <v>5859</v>
      </c>
      <c r="E1948" s="293" t="s">
        <v>7817</v>
      </c>
      <c r="F1948" s="293" t="s">
        <v>8131</v>
      </c>
      <c r="G1948" s="293" t="s">
        <v>7245</v>
      </c>
      <c r="H1948" s="294">
        <v>43708</v>
      </c>
      <c r="I1948" s="295">
        <v>-8384.43</v>
      </c>
    </row>
    <row r="1949" spans="1:9" x14ac:dyDescent="0.2">
      <c r="A1949" s="293" t="s">
        <v>8145</v>
      </c>
      <c r="B1949" s="293" t="s">
        <v>5666</v>
      </c>
      <c r="C1949" s="293" t="s">
        <v>8068</v>
      </c>
      <c r="D1949" s="293" t="s">
        <v>5859</v>
      </c>
      <c r="E1949" s="293" t="s">
        <v>7922</v>
      </c>
      <c r="F1949" s="293" t="s">
        <v>8131</v>
      </c>
      <c r="G1949" s="293" t="s">
        <v>7887</v>
      </c>
      <c r="H1949" s="294">
        <v>43708</v>
      </c>
      <c r="I1949" s="295">
        <v>-10043.23</v>
      </c>
    </row>
    <row r="1950" spans="1:9" x14ac:dyDescent="0.2">
      <c r="A1950" s="293" t="s">
        <v>8146</v>
      </c>
      <c r="B1950" s="293" t="s">
        <v>6010</v>
      </c>
      <c r="C1950" s="293" t="s">
        <v>7151</v>
      </c>
      <c r="D1950" s="293" t="s">
        <v>5859</v>
      </c>
      <c r="E1950" s="293" t="s">
        <v>8147</v>
      </c>
      <c r="F1950" s="293" t="s">
        <v>8131</v>
      </c>
      <c r="G1950" s="293" t="s">
        <v>8006</v>
      </c>
      <c r="H1950" s="294">
        <v>43708</v>
      </c>
      <c r="I1950" s="295">
        <v>-7845.14</v>
      </c>
    </row>
    <row r="1951" spans="1:9" x14ac:dyDescent="0.2">
      <c r="A1951" s="293" t="s">
        <v>8146</v>
      </c>
      <c r="B1951" s="293" t="s">
        <v>6010</v>
      </c>
      <c r="C1951" s="293" t="s">
        <v>7151</v>
      </c>
      <c r="D1951" s="293" t="s">
        <v>5859</v>
      </c>
      <c r="E1951" s="293" t="s">
        <v>8148</v>
      </c>
      <c r="F1951" s="293" t="s">
        <v>8131</v>
      </c>
      <c r="G1951" s="293" t="s">
        <v>8006</v>
      </c>
      <c r="H1951" s="294">
        <v>43708</v>
      </c>
      <c r="I1951" s="295">
        <v>-608.44000000000005</v>
      </c>
    </row>
    <row r="1952" spans="1:9" x14ac:dyDescent="0.2">
      <c r="A1952" s="293" t="s">
        <v>8146</v>
      </c>
      <c r="B1952" s="293" t="s">
        <v>6010</v>
      </c>
      <c r="C1952" s="293" t="s">
        <v>7151</v>
      </c>
      <c r="D1952" s="293" t="s">
        <v>5859</v>
      </c>
      <c r="E1952" s="293" t="s">
        <v>8005</v>
      </c>
      <c r="F1952" s="293" t="s">
        <v>8131</v>
      </c>
      <c r="G1952" s="293" t="s">
        <v>8006</v>
      </c>
      <c r="H1952" s="294">
        <v>43708</v>
      </c>
      <c r="I1952" s="295">
        <v>-238.06</v>
      </c>
    </row>
    <row r="1953" spans="1:9" x14ac:dyDescent="0.2">
      <c r="A1953" s="293" t="s">
        <v>8146</v>
      </c>
      <c r="B1953" s="293" t="s">
        <v>6010</v>
      </c>
      <c r="C1953" s="293" t="s">
        <v>7151</v>
      </c>
      <c r="D1953" s="293" t="s">
        <v>5859</v>
      </c>
      <c r="E1953" s="293" t="s">
        <v>8005</v>
      </c>
      <c r="F1953" s="293" t="s">
        <v>8131</v>
      </c>
      <c r="G1953" s="293" t="s">
        <v>8006</v>
      </c>
      <c r="H1953" s="294">
        <v>43708</v>
      </c>
      <c r="I1953" s="295">
        <v>233.81</v>
      </c>
    </row>
    <row r="1954" spans="1:9" x14ac:dyDescent="0.2">
      <c r="A1954" s="293" t="s">
        <v>8149</v>
      </c>
      <c r="B1954" s="293" t="s">
        <v>5983</v>
      </c>
      <c r="C1954" s="293" t="s">
        <v>8150</v>
      </c>
      <c r="D1954" s="293" t="s">
        <v>5859</v>
      </c>
      <c r="E1954" s="293" t="s">
        <v>8151</v>
      </c>
      <c r="F1954" s="293" t="s">
        <v>8152</v>
      </c>
      <c r="G1954" s="293" t="s">
        <v>5637</v>
      </c>
      <c r="H1954" s="294">
        <v>43741</v>
      </c>
      <c r="I1954" s="295">
        <v>12000</v>
      </c>
    </row>
    <row r="1955" spans="1:9" x14ac:dyDescent="0.2">
      <c r="A1955" s="293" t="s">
        <v>8153</v>
      </c>
      <c r="B1955" s="293" t="s">
        <v>7893</v>
      </c>
      <c r="C1955" s="293" t="s">
        <v>8154</v>
      </c>
      <c r="D1955" s="293" t="s">
        <v>5859</v>
      </c>
      <c r="E1955" s="293" t="s">
        <v>7895</v>
      </c>
      <c r="F1955" s="293" t="s">
        <v>8152</v>
      </c>
      <c r="G1955" s="293" t="s">
        <v>5637</v>
      </c>
      <c r="H1955" s="294">
        <v>43775</v>
      </c>
      <c r="I1955" s="295">
        <v>15271.72</v>
      </c>
    </row>
    <row r="1956" spans="1:9" x14ac:dyDescent="0.2">
      <c r="A1956" s="293" t="s">
        <v>8155</v>
      </c>
      <c r="B1956" s="293" t="s">
        <v>5983</v>
      </c>
      <c r="C1956" s="293" t="s">
        <v>8156</v>
      </c>
      <c r="D1956" s="293" t="s">
        <v>5859</v>
      </c>
      <c r="E1956" s="293" t="s">
        <v>5088</v>
      </c>
      <c r="F1956" s="293" t="s">
        <v>8157</v>
      </c>
      <c r="G1956" s="293" t="s">
        <v>5637</v>
      </c>
      <c r="H1956" s="294">
        <v>43766</v>
      </c>
      <c r="I1956" s="295">
        <v>10000</v>
      </c>
    </row>
    <row r="1957" spans="1:9" x14ac:dyDescent="0.2">
      <c r="A1957" s="293" t="s">
        <v>7094</v>
      </c>
      <c r="B1957" s="293" t="s">
        <v>5666</v>
      </c>
      <c r="C1957" s="293" t="s">
        <v>6027</v>
      </c>
      <c r="D1957" s="293" t="s">
        <v>5859</v>
      </c>
      <c r="E1957" s="293" t="s">
        <v>6028</v>
      </c>
      <c r="F1957" s="293" t="s">
        <v>8158</v>
      </c>
      <c r="G1957" s="293" t="s">
        <v>5573</v>
      </c>
      <c r="H1957" s="294">
        <v>43738</v>
      </c>
      <c r="I1957" s="295">
        <v>-6400.96</v>
      </c>
    </row>
    <row r="1958" spans="1:9" x14ac:dyDescent="0.2">
      <c r="A1958" s="293" t="s">
        <v>7095</v>
      </c>
      <c r="B1958" s="293" t="s">
        <v>5666</v>
      </c>
      <c r="C1958" s="293" t="s">
        <v>6030</v>
      </c>
      <c r="D1958" s="293" t="s">
        <v>5859</v>
      </c>
      <c r="E1958" s="293" t="s">
        <v>6028</v>
      </c>
      <c r="F1958" s="293" t="s">
        <v>8158</v>
      </c>
      <c r="G1958" s="293" t="s">
        <v>5573</v>
      </c>
      <c r="H1958" s="294">
        <v>43738</v>
      </c>
      <c r="I1958" s="295">
        <v>-130.22</v>
      </c>
    </row>
    <row r="1959" spans="1:9" x14ac:dyDescent="0.2">
      <c r="A1959" s="293" t="s">
        <v>7096</v>
      </c>
      <c r="B1959" s="293" t="s">
        <v>5666</v>
      </c>
      <c r="C1959" s="293" t="s">
        <v>6032</v>
      </c>
      <c r="D1959" s="293" t="s">
        <v>5859</v>
      </c>
      <c r="E1959" s="293" t="s">
        <v>6033</v>
      </c>
      <c r="F1959" s="293" t="s">
        <v>8158</v>
      </c>
      <c r="G1959" s="293" t="s">
        <v>5585</v>
      </c>
      <c r="H1959" s="294">
        <v>43738</v>
      </c>
      <c r="I1959" s="295">
        <v>-6872.38</v>
      </c>
    </row>
    <row r="1960" spans="1:9" x14ac:dyDescent="0.2">
      <c r="A1960" s="293" t="s">
        <v>7097</v>
      </c>
      <c r="B1960" s="293" t="s">
        <v>5666</v>
      </c>
      <c r="C1960" s="293" t="s">
        <v>6035</v>
      </c>
      <c r="D1960" s="293" t="s">
        <v>5859</v>
      </c>
      <c r="E1960" s="293" t="s">
        <v>6033</v>
      </c>
      <c r="F1960" s="293" t="s">
        <v>8158</v>
      </c>
      <c r="G1960" s="293" t="s">
        <v>5585</v>
      </c>
      <c r="H1960" s="294">
        <v>43738</v>
      </c>
      <c r="I1960" s="295">
        <v>-4630.24</v>
      </c>
    </row>
    <row r="1961" spans="1:9" x14ac:dyDescent="0.2">
      <c r="A1961" s="293" t="s">
        <v>7098</v>
      </c>
      <c r="B1961" s="293" t="s">
        <v>5666</v>
      </c>
      <c r="C1961" s="293" t="s">
        <v>6037</v>
      </c>
      <c r="D1961" s="293" t="s">
        <v>5859</v>
      </c>
      <c r="E1961" s="293" t="s">
        <v>6038</v>
      </c>
      <c r="F1961" s="293" t="s">
        <v>8158</v>
      </c>
      <c r="G1961" s="293" t="s">
        <v>5586</v>
      </c>
      <c r="H1961" s="294">
        <v>43738</v>
      </c>
      <c r="I1961" s="295">
        <v>-3059.89</v>
      </c>
    </row>
    <row r="1962" spans="1:9" x14ac:dyDescent="0.2">
      <c r="A1962" s="293" t="s">
        <v>7099</v>
      </c>
      <c r="B1962" s="293" t="s">
        <v>5666</v>
      </c>
      <c r="C1962" s="293" t="s">
        <v>6040</v>
      </c>
      <c r="D1962" s="293" t="s">
        <v>5859</v>
      </c>
      <c r="E1962" s="293" t="s">
        <v>6041</v>
      </c>
      <c r="F1962" s="293" t="s">
        <v>8158</v>
      </c>
      <c r="G1962" s="293" t="s">
        <v>5581</v>
      </c>
      <c r="H1962" s="294">
        <v>43738</v>
      </c>
      <c r="I1962" s="295">
        <v>-8058.13</v>
      </c>
    </row>
    <row r="1963" spans="1:9" x14ac:dyDescent="0.2">
      <c r="A1963" s="293" t="s">
        <v>7100</v>
      </c>
      <c r="B1963" s="293" t="s">
        <v>5666</v>
      </c>
      <c r="C1963" s="293" t="s">
        <v>6056</v>
      </c>
      <c r="D1963" s="293" t="s">
        <v>5859</v>
      </c>
      <c r="E1963" s="293" t="s">
        <v>6057</v>
      </c>
      <c r="F1963" s="293" t="s">
        <v>8158</v>
      </c>
      <c r="G1963" s="293" t="s">
        <v>5578</v>
      </c>
      <c r="H1963" s="294">
        <v>43738</v>
      </c>
      <c r="I1963" s="295">
        <v>-4399.9399999999996</v>
      </c>
    </row>
    <row r="1964" spans="1:9" x14ac:dyDescent="0.2">
      <c r="A1964" s="293" t="s">
        <v>7101</v>
      </c>
      <c r="B1964" s="293" t="s">
        <v>5666</v>
      </c>
      <c r="C1964" s="293" t="s">
        <v>6062</v>
      </c>
      <c r="D1964" s="293" t="s">
        <v>5859</v>
      </c>
      <c r="E1964" s="293" t="s">
        <v>6063</v>
      </c>
      <c r="F1964" s="293" t="s">
        <v>8158</v>
      </c>
      <c r="G1964" s="293" t="s">
        <v>5579</v>
      </c>
      <c r="H1964" s="294">
        <v>43738</v>
      </c>
      <c r="I1964" s="295">
        <v>-2351.71</v>
      </c>
    </row>
    <row r="1965" spans="1:9" x14ac:dyDescent="0.2">
      <c r="A1965" s="293" t="s">
        <v>7102</v>
      </c>
      <c r="B1965" s="293" t="s">
        <v>5666</v>
      </c>
      <c r="C1965" s="293" t="s">
        <v>6065</v>
      </c>
      <c r="D1965" s="293" t="s">
        <v>5859</v>
      </c>
      <c r="E1965" s="293" t="s">
        <v>6063</v>
      </c>
      <c r="F1965" s="293" t="s">
        <v>8158</v>
      </c>
      <c r="G1965" s="293" t="s">
        <v>5579</v>
      </c>
      <c r="H1965" s="294">
        <v>43738</v>
      </c>
      <c r="I1965" s="295">
        <v>-63.12</v>
      </c>
    </row>
    <row r="1966" spans="1:9" x14ac:dyDescent="0.2">
      <c r="A1966" s="293" t="s">
        <v>8159</v>
      </c>
      <c r="B1966" s="293" t="s">
        <v>5666</v>
      </c>
      <c r="C1966" s="293" t="s">
        <v>6471</v>
      </c>
      <c r="D1966" s="293" t="s">
        <v>5859</v>
      </c>
      <c r="E1966" s="293" t="s">
        <v>6829</v>
      </c>
      <c r="F1966" s="293" t="s">
        <v>8158</v>
      </c>
      <c r="G1966" s="293" t="s">
        <v>5589</v>
      </c>
      <c r="H1966" s="294">
        <v>43738</v>
      </c>
      <c r="I1966" s="295">
        <v>-7123.53</v>
      </c>
    </row>
    <row r="1967" spans="1:9" x14ac:dyDescent="0.2">
      <c r="A1967" s="293" t="s">
        <v>8160</v>
      </c>
      <c r="B1967" s="293" t="s">
        <v>5666</v>
      </c>
      <c r="C1967" s="293" t="s">
        <v>6473</v>
      </c>
      <c r="D1967" s="293" t="s">
        <v>5859</v>
      </c>
      <c r="E1967" s="293" t="s">
        <v>6474</v>
      </c>
      <c r="F1967" s="293" t="s">
        <v>8158</v>
      </c>
      <c r="G1967" s="293" t="s">
        <v>5593</v>
      </c>
      <c r="H1967" s="294">
        <v>43738</v>
      </c>
      <c r="I1967" s="295">
        <v>-14668.67</v>
      </c>
    </row>
    <row r="1968" spans="1:9" x14ac:dyDescent="0.2">
      <c r="A1968" s="293" t="s">
        <v>8161</v>
      </c>
      <c r="B1968" s="293" t="s">
        <v>5666</v>
      </c>
      <c r="C1968" s="293" t="s">
        <v>6920</v>
      </c>
      <c r="D1968" s="293" t="s">
        <v>5859</v>
      </c>
      <c r="E1968" s="293" t="s">
        <v>6921</v>
      </c>
      <c r="F1968" s="293" t="s">
        <v>8158</v>
      </c>
      <c r="G1968" s="293" t="s">
        <v>5754</v>
      </c>
      <c r="H1968" s="294">
        <v>43738</v>
      </c>
      <c r="I1968" s="295">
        <v>-8710.42</v>
      </c>
    </row>
    <row r="1969" spans="1:9" x14ac:dyDescent="0.2">
      <c r="A1969" s="293" t="s">
        <v>8162</v>
      </c>
      <c r="B1969" s="293" t="s">
        <v>5666</v>
      </c>
      <c r="C1969" s="293" t="s">
        <v>7219</v>
      </c>
      <c r="D1969" s="293" t="s">
        <v>5859</v>
      </c>
      <c r="E1969" s="293" t="s">
        <v>7080</v>
      </c>
      <c r="F1969" s="293" t="s">
        <v>8158</v>
      </c>
      <c r="G1969" s="293" t="s">
        <v>5755</v>
      </c>
      <c r="H1969" s="294">
        <v>43738</v>
      </c>
      <c r="I1969" s="295">
        <v>-7028.09</v>
      </c>
    </row>
    <row r="1970" spans="1:9" x14ac:dyDescent="0.2">
      <c r="A1970" s="293" t="s">
        <v>8163</v>
      </c>
      <c r="B1970" s="293" t="s">
        <v>5666</v>
      </c>
      <c r="C1970" s="293" t="s">
        <v>8001</v>
      </c>
      <c r="D1970" s="293" t="s">
        <v>5859</v>
      </c>
      <c r="E1970" s="293" t="s">
        <v>7817</v>
      </c>
      <c r="F1970" s="293" t="s">
        <v>8158</v>
      </c>
      <c r="G1970" s="293" t="s">
        <v>7245</v>
      </c>
      <c r="H1970" s="294">
        <v>43738</v>
      </c>
      <c r="I1970" s="295">
        <v>-8384.43</v>
      </c>
    </row>
    <row r="1971" spans="1:9" x14ac:dyDescent="0.2">
      <c r="A1971" s="293" t="s">
        <v>8164</v>
      </c>
      <c r="B1971" s="293" t="s">
        <v>5666</v>
      </c>
      <c r="C1971" s="293" t="s">
        <v>8068</v>
      </c>
      <c r="D1971" s="293" t="s">
        <v>5859</v>
      </c>
      <c r="E1971" s="293" t="s">
        <v>7922</v>
      </c>
      <c r="F1971" s="293" t="s">
        <v>8158</v>
      </c>
      <c r="G1971" s="293" t="s">
        <v>7887</v>
      </c>
      <c r="H1971" s="294">
        <v>43738</v>
      </c>
      <c r="I1971" s="295">
        <v>-10043.23</v>
      </c>
    </row>
    <row r="1972" spans="1:9" x14ac:dyDescent="0.2">
      <c r="A1972" s="293" t="s">
        <v>8165</v>
      </c>
      <c r="B1972" s="293" t="s">
        <v>6010</v>
      </c>
      <c r="C1972" s="293" t="s">
        <v>7154</v>
      </c>
      <c r="D1972" s="293" t="s">
        <v>5859</v>
      </c>
      <c r="E1972" s="293" t="s">
        <v>8147</v>
      </c>
      <c r="F1972" s="293" t="s">
        <v>8158</v>
      </c>
      <c r="G1972" s="293" t="s">
        <v>8006</v>
      </c>
      <c r="H1972" s="294">
        <v>43738</v>
      </c>
      <c r="I1972" s="295">
        <v>-8494.68</v>
      </c>
    </row>
    <row r="1973" spans="1:9" x14ac:dyDescent="0.2">
      <c r="A1973" s="293" t="s">
        <v>8165</v>
      </c>
      <c r="B1973" s="293" t="s">
        <v>6010</v>
      </c>
      <c r="C1973" s="293" t="s">
        <v>7154</v>
      </c>
      <c r="D1973" s="293" t="s">
        <v>5859</v>
      </c>
      <c r="E1973" s="293" t="s">
        <v>8166</v>
      </c>
      <c r="F1973" s="293" t="s">
        <v>8158</v>
      </c>
      <c r="G1973" s="293" t="s">
        <v>8006</v>
      </c>
      <c r="H1973" s="294">
        <v>43738</v>
      </c>
      <c r="I1973" s="295">
        <v>-121015.41</v>
      </c>
    </row>
    <row r="1974" spans="1:9" x14ac:dyDescent="0.2">
      <c r="A1974" s="293" t="s">
        <v>8165</v>
      </c>
      <c r="B1974" s="293" t="s">
        <v>6010</v>
      </c>
      <c r="C1974" s="293" t="s">
        <v>7154</v>
      </c>
      <c r="D1974" s="293" t="s">
        <v>5859</v>
      </c>
      <c r="E1974" s="293" t="s">
        <v>8166</v>
      </c>
      <c r="F1974" s="293" t="s">
        <v>8158</v>
      </c>
      <c r="G1974" s="293" t="s">
        <v>8006</v>
      </c>
      <c r="H1974" s="294">
        <v>43738</v>
      </c>
      <c r="I1974" s="295">
        <v>121011</v>
      </c>
    </row>
    <row r="1975" spans="1:9" x14ac:dyDescent="0.2">
      <c r="A1975" s="293" t="s">
        <v>8167</v>
      </c>
      <c r="B1975" s="293" t="s">
        <v>6010</v>
      </c>
      <c r="C1975" s="293" t="s">
        <v>7079</v>
      </c>
      <c r="D1975" s="293" t="s">
        <v>5859</v>
      </c>
      <c r="E1975" s="293" t="s">
        <v>8168</v>
      </c>
      <c r="F1975" s="293" t="s">
        <v>8169</v>
      </c>
      <c r="G1975" s="293" t="s">
        <v>5637</v>
      </c>
      <c r="H1975" s="294">
        <v>43745</v>
      </c>
      <c r="I1975" s="295">
        <v>4920</v>
      </c>
    </row>
    <row r="1976" spans="1:9" x14ac:dyDescent="0.2">
      <c r="A1976" s="293" t="s">
        <v>8170</v>
      </c>
      <c r="B1976" s="293" t="s">
        <v>5666</v>
      </c>
      <c r="C1976" s="293" t="s">
        <v>6027</v>
      </c>
      <c r="D1976" s="293" t="s">
        <v>5859</v>
      </c>
      <c r="E1976" s="293" t="s">
        <v>6028</v>
      </c>
      <c r="F1976" s="293" t="s">
        <v>8171</v>
      </c>
      <c r="G1976" s="293" t="s">
        <v>5573</v>
      </c>
      <c r="H1976" s="294">
        <v>43769</v>
      </c>
      <c r="I1976" s="295">
        <v>-6400.96</v>
      </c>
    </row>
    <row r="1977" spans="1:9" x14ac:dyDescent="0.2">
      <c r="A1977" s="293" t="s">
        <v>8172</v>
      </c>
      <c r="B1977" s="293" t="s">
        <v>5666</v>
      </c>
      <c r="C1977" s="293" t="s">
        <v>6030</v>
      </c>
      <c r="D1977" s="293" t="s">
        <v>5859</v>
      </c>
      <c r="E1977" s="293" t="s">
        <v>6028</v>
      </c>
      <c r="F1977" s="293" t="s">
        <v>8171</v>
      </c>
      <c r="G1977" s="293" t="s">
        <v>5573</v>
      </c>
      <c r="H1977" s="294">
        <v>43769</v>
      </c>
      <c r="I1977" s="295">
        <v>-130.22</v>
      </c>
    </row>
    <row r="1978" spans="1:9" x14ac:dyDescent="0.2">
      <c r="A1978" s="293" t="s">
        <v>8173</v>
      </c>
      <c r="B1978" s="293" t="s">
        <v>5666</v>
      </c>
      <c r="C1978" s="293" t="s">
        <v>6032</v>
      </c>
      <c r="D1978" s="293" t="s">
        <v>5859</v>
      </c>
      <c r="E1978" s="293" t="s">
        <v>6033</v>
      </c>
      <c r="F1978" s="293" t="s">
        <v>8171</v>
      </c>
      <c r="G1978" s="293" t="s">
        <v>5585</v>
      </c>
      <c r="H1978" s="294">
        <v>43769</v>
      </c>
      <c r="I1978" s="295">
        <v>-6872.38</v>
      </c>
    </row>
    <row r="1979" spans="1:9" x14ac:dyDescent="0.2">
      <c r="A1979" s="293" t="s">
        <v>8174</v>
      </c>
      <c r="B1979" s="293" t="s">
        <v>5666</v>
      </c>
      <c r="C1979" s="293" t="s">
        <v>6035</v>
      </c>
      <c r="D1979" s="293" t="s">
        <v>5859</v>
      </c>
      <c r="E1979" s="293" t="s">
        <v>6033</v>
      </c>
      <c r="F1979" s="293" t="s">
        <v>8171</v>
      </c>
      <c r="G1979" s="293" t="s">
        <v>5585</v>
      </c>
      <c r="H1979" s="294">
        <v>43769</v>
      </c>
      <c r="I1979" s="295">
        <v>-4630.24</v>
      </c>
    </row>
    <row r="1980" spans="1:9" x14ac:dyDescent="0.2">
      <c r="A1980" s="293" t="s">
        <v>8175</v>
      </c>
      <c r="B1980" s="293" t="s">
        <v>5666</v>
      </c>
      <c r="C1980" s="293" t="s">
        <v>6037</v>
      </c>
      <c r="D1980" s="293" t="s">
        <v>5859</v>
      </c>
      <c r="E1980" s="293" t="s">
        <v>6038</v>
      </c>
      <c r="F1980" s="293" t="s">
        <v>8171</v>
      </c>
      <c r="G1980" s="293" t="s">
        <v>5586</v>
      </c>
      <c r="H1980" s="294">
        <v>43769</v>
      </c>
      <c r="I1980" s="295">
        <v>-3059.89</v>
      </c>
    </row>
    <row r="1981" spans="1:9" x14ac:dyDescent="0.2">
      <c r="A1981" s="293" t="s">
        <v>8176</v>
      </c>
      <c r="B1981" s="293" t="s">
        <v>5666</v>
      </c>
      <c r="C1981" s="293" t="s">
        <v>6040</v>
      </c>
      <c r="D1981" s="293" t="s">
        <v>5859</v>
      </c>
      <c r="E1981" s="293" t="s">
        <v>6041</v>
      </c>
      <c r="F1981" s="293" t="s">
        <v>8171</v>
      </c>
      <c r="G1981" s="293" t="s">
        <v>5581</v>
      </c>
      <c r="H1981" s="294">
        <v>43769</v>
      </c>
      <c r="I1981" s="295">
        <v>-8058.13</v>
      </c>
    </row>
    <row r="1982" spans="1:9" x14ac:dyDescent="0.2">
      <c r="A1982" s="293" t="s">
        <v>8177</v>
      </c>
      <c r="B1982" s="293" t="s">
        <v>5666</v>
      </c>
      <c r="C1982" s="293" t="s">
        <v>6056</v>
      </c>
      <c r="D1982" s="293" t="s">
        <v>5859</v>
      </c>
      <c r="E1982" s="293" t="s">
        <v>6057</v>
      </c>
      <c r="F1982" s="293" t="s">
        <v>8171</v>
      </c>
      <c r="G1982" s="293" t="s">
        <v>5578</v>
      </c>
      <c r="H1982" s="294">
        <v>43769</v>
      </c>
      <c r="I1982" s="295">
        <v>-4399.9399999999996</v>
      </c>
    </row>
    <row r="1983" spans="1:9" x14ac:dyDescent="0.2">
      <c r="A1983" s="293" t="s">
        <v>8178</v>
      </c>
      <c r="B1983" s="293" t="s">
        <v>5666</v>
      </c>
      <c r="C1983" s="293" t="s">
        <v>6062</v>
      </c>
      <c r="D1983" s="293" t="s">
        <v>5859</v>
      </c>
      <c r="E1983" s="293" t="s">
        <v>6063</v>
      </c>
      <c r="F1983" s="293" t="s">
        <v>8171</v>
      </c>
      <c r="G1983" s="293" t="s">
        <v>5579</v>
      </c>
      <c r="H1983" s="294">
        <v>43769</v>
      </c>
      <c r="I1983" s="295">
        <v>-2351.71</v>
      </c>
    </row>
    <row r="1984" spans="1:9" x14ac:dyDescent="0.2">
      <c r="A1984" s="293" t="s">
        <v>8179</v>
      </c>
      <c r="B1984" s="293" t="s">
        <v>5666</v>
      </c>
      <c r="C1984" s="293" t="s">
        <v>6065</v>
      </c>
      <c r="D1984" s="293" t="s">
        <v>5859</v>
      </c>
      <c r="E1984" s="293" t="s">
        <v>6063</v>
      </c>
      <c r="F1984" s="293" t="s">
        <v>8171</v>
      </c>
      <c r="G1984" s="293" t="s">
        <v>5579</v>
      </c>
      <c r="H1984" s="294">
        <v>43769</v>
      </c>
      <c r="I1984" s="295">
        <v>-63.12</v>
      </c>
    </row>
    <row r="1985" spans="1:9" x14ac:dyDescent="0.2">
      <c r="A1985" s="293" t="s">
        <v>8180</v>
      </c>
      <c r="B1985" s="293" t="s">
        <v>5666</v>
      </c>
      <c r="C1985" s="293" t="s">
        <v>6471</v>
      </c>
      <c r="D1985" s="293" t="s">
        <v>5859</v>
      </c>
      <c r="E1985" s="293" t="s">
        <v>6829</v>
      </c>
      <c r="F1985" s="293" t="s">
        <v>8171</v>
      </c>
      <c r="G1985" s="293" t="s">
        <v>5589</v>
      </c>
      <c r="H1985" s="294">
        <v>43769</v>
      </c>
      <c r="I1985" s="295">
        <v>-7123.53</v>
      </c>
    </row>
    <row r="1986" spans="1:9" x14ac:dyDescent="0.2">
      <c r="A1986" s="293" t="s">
        <v>8181</v>
      </c>
      <c r="B1986" s="293" t="s">
        <v>5666</v>
      </c>
      <c r="C1986" s="293" t="s">
        <v>6473</v>
      </c>
      <c r="D1986" s="293" t="s">
        <v>5859</v>
      </c>
      <c r="E1986" s="293" t="s">
        <v>6474</v>
      </c>
      <c r="F1986" s="293" t="s">
        <v>8171</v>
      </c>
      <c r="G1986" s="293" t="s">
        <v>5593</v>
      </c>
      <c r="H1986" s="294">
        <v>43769</v>
      </c>
      <c r="I1986" s="295">
        <v>-14668.67</v>
      </c>
    </row>
    <row r="1987" spans="1:9" x14ac:dyDescent="0.2">
      <c r="A1987" s="293" t="s">
        <v>8182</v>
      </c>
      <c r="B1987" s="293" t="s">
        <v>5666</v>
      </c>
      <c r="C1987" s="293" t="s">
        <v>6920</v>
      </c>
      <c r="D1987" s="293" t="s">
        <v>5859</v>
      </c>
      <c r="E1987" s="293" t="s">
        <v>6921</v>
      </c>
      <c r="F1987" s="293" t="s">
        <v>8171</v>
      </c>
      <c r="G1987" s="293" t="s">
        <v>5754</v>
      </c>
      <c r="H1987" s="294">
        <v>43769</v>
      </c>
      <c r="I1987" s="295">
        <v>-8710.42</v>
      </c>
    </row>
    <row r="1988" spans="1:9" x14ac:dyDescent="0.2">
      <c r="A1988" s="293" t="s">
        <v>8183</v>
      </c>
      <c r="B1988" s="293" t="s">
        <v>5666</v>
      </c>
      <c r="C1988" s="293" t="s">
        <v>7219</v>
      </c>
      <c r="D1988" s="293" t="s">
        <v>5859</v>
      </c>
      <c r="E1988" s="293" t="s">
        <v>7080</v>
      </c>
      <c r="F1988" s="293" t="s">
        <v>8171</v>
      </c>
      <c r="G1988" s="293" t="s">
        <v>5755</v>
      </c>
      <c r="H1988" s="294">
        <v>43769</v>
      </c>
      <c r="I1988" s="295">
        <v>-7028.09</v>
      </c>
    </row>
    <row r="1989" spans="1:9" x14ac:dyDescent="0.2">
      <c r="A1989" s="293" t="s">
        <v>8184</v>
      </c>
      <c r="B1989" s="293" t="s">
        <v>5666</v>
      </c>
      <c r="C1989" s="293" t="s">
        <v>8001</v>
      </c>
      <c r="D1989" s="293" t="s">
        <v>5859</v>
      </c>
      <c r="E1989" s="293" t="s">
        <v>7817</v>
      </c>
      <c r="F1989" s="293" t="s">
        <v>8171</v>
      </c>
      <c r="G1989" s="293" t="s">
        <v>7245</v>
      </c>
      <c r="H1989" s="294">
        <v>43769</v>
      </c>
      <c r="I1989" s="295">
        <v>-8384.43</v>
      </c>
    </row>
    <row r="1990" spans="1:9" x14ac:dyDescent="0.2">
      <c r="A1990" s="293" t="s">
        <v>8185</v>
      </c>
      <c r="B1990" s="293" t="s">
        <v>5666</v>
      </c>
      <c r="C1990" s="293" t="s">
        <v>8068</v>
      </c>
      <c r="D1990" s="293" t="s">
        <v>5859</v>
      </c>
      <c r="E1990" s="293" t="s">
        <v>7922</v>
      </c>
      <c r="F1990" s="293" t="s">
        <v>8171</v>
      </c>
      <c r="G1990" s="293" t="s">
        <v>7887</v>
      </c>
      <c r="H1990" s="294">
        <v>43769</v>
      </c>
      <c r="I1990" s="295">
        <v>-10043.23</v>
      </c>
    </row>
    <row r="1991" spans="1:9" x14ac:dyDescent="0.2">
      <c r="A1991" s="293" t="s">
        <v>8186</v>
      </c>
      <c r="B1991" s="293" t="s">
        <v>6010</v>
      </c>
      <c r="C1991" s="293" t="s">
        <v>7154</v>
      </c>
      <c r="D1991" s="293" t="s">
        <v>5859</v>
      </c>
      <c r="E1991" s="293" t="s">
        <v>8147</v>
      </c>
      <c r="F1991" s="293" t="s">
        <v>8171</v>
      </c>
      <c r="G1991" s="293" t="s">
        <v>8006</v>
      </c>
      <c r="H1991" s="294">
        <v>43769</v>
      </c>
      <c r="I1991" s="295">
        <v>-8170.28</v>
      </c>
    </row>
    <row r="1992" spans="1:9" x14ac:dyDescent="0.2">
      <c r="A1992" s="293" t="s">
        <v>8187</v>
      </c>
      <c r="B1992" s="293" t="s">
        <v>5666</v>
      </c>
      <c r="C1992" s="293" t="s">
        <v>6027</v>
      </c>
      <c r="D1992" s="293" t="s">
        <v>5859</v>
      </c>
      <c r="E1992" s="293" t="s">
        <v>6028</v>
      </c>
      <c r="F1992" s="293" t="s">
        <v>8188</v>
      </c>
      <c r="G1992" s="293" t="s">
        <v>5573</v>
      </c>
      <c r="H1992" s="294">
        <v>43799</v>
      </c>
      <c r="I1992" s="295">
        <v>-6400.96</v>
      </c>
    </row>
    <row r="1993" spans="1:9" x14ac:dyDescent="0.2">
      <c r="A1993" s="293" t="s">
        <v>8189</v>
      </c>
      <c r="B1993" s="293" t="s">
        <v>5666</v>
      </c>
      <c r="C1993" s="293" t="s">
        <v>6030</v>
      </c>
      <c r="D1993" s="293" t="s">
        <v>5859</v>
      </c>
      <c r="E1993" s="293" t="s">
        <v>6028</v>
      </c>
      <c r="F1993" s="293" t="s">
        <v>8188</v>
      </c>
      <c r="G1993" s="293" t="s">
        <v>5573</v>
      </c>
      <c r="H1993" s="294">
        <v>43799</v>
      </c>
      <c r="I1993" s="295">
        <v>-130.22</v>
      </c>
    </row>
    <row r="1994" spans="1:9" x14ac:dyDescent="0.2">
      <c r="A1994" s="293" t="s">
        <v>8190</v>
      </c>
      <c r="B1994" s="293" t="s">
        <v>5666</v>
      </c>
      <c r="C1994" s="293" t="s">
        <v>6032</v>
      </c>
      <c r="D1994" s="293" t="s">
        <v>5859</v>
      </c>
      <c r="E1994" s="293" t="s">
        <v>6033</v>
      </c>
      <c r="F1994" s="293" t="s">
        <v>8188</v>
      </c>
      <c r="G1994" s="293" t="s">
        <v>5585</v>
      </c>
      <c r="H1994" s="294">
        <v>43799</v>
      </c>
      <c r="I1994" s="295">
        <v>-6872.38</v>
      </c>
    </row>
    <row r="1995" spans="1:9" x14ac:dyDescent="0.2">
      <c r="A1995" s="293" t="s">
        <v>8191</v>
      </c>
      <c r="B1995" s="293" t="s">
        <v>5666</v>
      </c>
      <c r="C1995" s="293" t="s">
        <v>6035</v>
      </c>
      <c r="D1995" s="293" t="s">
        <v>5859</v>
      </c>
      <c r="E1995" s="293" t="s">
        <v>6033</v>
      </c>
      <c r="F1995" s="293" t="s">
        <v>8188</v>
      </c>
      <c r="G1995" s="293" t="s">
        <v>5585</v>
      </c>
      <c r="H1995" s="294">
        <v>43799</v>
      </c>
      <c r="I1995" s="295">
        <v>-4630.24</v>
      </c>
    </row>
    <row r="1996" spans="1:9" x14ac:dyDescent="0.2">
      <c r="A1996" s="293" t="s">
        <v>7363</v>
      </c>
      <c r="B1996" s="293" t="s">
        <v>5666</v>
      </c>
      <c r="C1996" s="293" t="s">
        <v>6037</v>
      </c>
      <c r="D1996" s="293" t="s">
        <v>5859</v>
      </c>
      <c r="E1996" s="293" t="s">
        <v>6038</v>
      </c>
      <c r="F1996" s="293" t="s">
        <v>8188</v>
      </c>
      <c r="G1996" s="293" t="s">
        <v>5586</v>
      </c>
      <c r="H1996" s="294">
        <v>43799</v>
      </c>
      <c r="I1996" s="295">
        <v>-3059.89</v>
      </c>
    </row>
    <row r="1997" spans="1:9" x14ac:dyDescent="0.2">
      <c r="A1997" s="293" t="s">
        <v>8192</v>
      </c>
      <c r="B1997" s="293" t="s">
        <v>5666</v>
      </c>
      <c r="C1997" s="293" t="s">
        <v>6040</v>
      </c>
      <c r="D1997" s="293" t="s">
        <v>5859</v>
      </c>
      <c r="E1997" s="293" t="s">
        <v>6041</v>
      </c>
      <c r="F1997" s="293" t="s">
        <v>8188</v>
      </c>
      <c r="G1997" s="293" t="s">
        <v>5581</v>
      </c>
      <c r="H1997" s="294">
        <v>43799</v>
      </c>
      <c r="I1997" s="295">
        <v>-8058.13</v>
      </c>
    </row>
    <row r="1998" spans="1:9" x14ac:dyDescent="0.2">
      <c r="A1998" s="293" t="s">
        <v>8193</v>
      </c>
      <c r="B1998" s="293" t="s">
        <v>5666</v>
      </c>
      <c r="C1998" s="293" t="s">
        <v>6056</v>
      </c>
      <c r="D1998" s="293" t="s">
        <v>5859</v>
      </c>
      <c r="E1998" s="293" t="s">
        <v>6057</v>
      </c>
      <c r="F1998" s="293" t="s">
        <v>8188</v>
      </c>
      <c r="G1998" s="293" t="s">
        <v>5578</v>
      </c>
      <c r="H1998" s="294">
        <v>43799</v>
      </c>
      <c r="I1998" s="295">
        <v>-4399.9399999999996</v>
      </c>
    </row>
    <row r="1999" spans="1:9" x14ac:dyDescent="0.2">
      <c r="A1999" s="293" t="s">
        <v>8194</v>
      </c>
      <c r="B1999" s="293" t="s">
        <v>5666</v>
      </c>
      <c r="C1999" s="293" t="s">
        <v>6062</v>
      </c>
      <c r="D1999" s="293" t="s">
        <v>5859</v>
      </c>
      <c r="E1999" s="293" t="s">
        <v>6063</v>
      </c>
      <c r="F1999" s="293" t="s">
        <v>8188</v>
      </c>
      <c r="G1999" s="293" t="s">
        <v>5579</v>
      </c>
      <c r="H1999" s="294">
        <v>43799</v>
      </c>
      <c r="I1999" s="295">
        <v>-2351.71</v>
      </c>
    </row>
    <row r="2000" spans="1:9" x14ac:dyDescent="0.2">
      <c r="A2000" s="293" t="s">
        <v>8195</v>
      </c>
      <c r="B2000" s="293" t="s">
        <v>5666</v>
      </c>
      <c r="C2000" s="293" t="s">
        <v>6065</v>
      </c>
      <c r="D2000" s="293" t="s">
        <v>5859</v>
      </c>
      <c r="E2000" s="293" t="s">
        <v>6063</v>
      </c>
      <c r="F2000" s="293" t="s">
        <v>8188</v>
      </c>
      <c r="G2000" s="293" t="s">
        <v>5579</v>
      </c>
      <c r="H2000" s="294">
        <v>43799</v>
      </c>
      <c r="I2000" s="295">
        <v>-63.12</v>
      </c>
    </row>
    <row r="2001" spans="1:9" x14ac:dyDescent="0.2">
      <c r="A2001" s="293" t="s">
        <v>8196</v>
      </c>
      <c r="B2001" s="293" t="s">
        <v>5666</v>
      </c>
      <c r="C2001" s="293" t="s">
        <v>6471</v>
      </c>
      <c r="D2001" s="293" t="s">
        <v>5859</v>
      </c>
      <c r="E2001" s="293" t="s">
        <v>6829</v>
      </c>
      <c r="F2001" s="293" t="s">
        <v>8188</v>
      </c>
      <c r="G2001" s="293" t="s">
        <v>5589</v>
      </c>
      <c r="H2001" s="294">
        <v>43799</v>
      </c>
      <c r="I2001" s="295">
        <v>-7123.53</v>
      </c>
    </row>
    <row r="2002" spans="1:9" x14ac:dyDescent="0.2">
      <c r="A2002" s="293" t="s">
        <v>8197</v>
      </c>
      <c r="B2002" s="293" t="s">
        <v>5666</v>
      </c>
      <c r="C2002" s="293" t="s">
        <v>6473</v>
      </c>
      <c r="D2002" s="293" t="s">
        <v>5859</v>
      </c>
      <c r="E2002" s="293" t="s">
        <v>6474</v>
      </c>
      <c r="F2002" s="293" t="s">
        <v>8188</v>
      </c>
      <c r="G2002" s="293" t="s">
        <v>5593</v>
      </c>
      <c r="H2002" s="294">
        <v>43799</v>
      </c>
      <c r="I2002" s="295">
        <v>-14668.67</v>
      </c>
    </row>
    <row r="2003" spans="1:9" x14ac:dyDescent="0.2">
      <c r="A2003" s="293" t="s">
        <v>8198</v>
      </c>
      <c r="B2003" s="293" t="s">
        <v>5666</v>
      </c>
      <c r="C2003" s="293" t="s">
        <v>6920</v>
      </c>
      <c r="D2003" s="293" t="s">
        <v>5859</v>
      </c>
      <c r="E2003" s="293" t="s">
        <v>6921</v>
      </c>
      <c r="F2003" s="293" t="s">
        <v>8188</v>
      </c>
      <c r="G2003" s="293" t="s">
        <v>5754</v>
      </c>
      <c r="H2003" s="294">
        <v>43799</v>
      </c>
      <c r="I2003" s="295">
        <v>-8710.42</v>
      </c>
    </row>
    <row r="2004" spans="1:9" x14ac:dyDescent="0.2">
      <c r="A2004" s="293" t="s">
        <v>8199</v>
      </c>
      <c r="B2004" s="293" t="s">
        <v>5666</v>
      </c>
      <c r="C2004" s="293" t="s">
        <v>7219</v>
      </c>
      <c r="D2004" s="293" t="s">
        <v>5859</v>
      </c>
      <c r="E2004" s="293" t="s">
        <v>7080</v>
      </c>
      <c r="F2004" s="293" t="s">
        <v>8188</v>
      </c>
      <c r="G2004" s="293" t="s">
        <v>5755</v>
      </c>
      <c r="H2004" s="294">
        <v>43799</v>
      </c>
      <c r="I2004" s="295">
        <v>-7028.09</v>
      </c>
    </row>
    <row r="2005" spans="1:9" x14ac:dyDescent="0.2">
      <c r="A2005" s="293" t="s">
        <v>8200</v>
      </c>
      <c r="B2005" s="293" t="s">
        <v>5666</v>
      </c>
      <c r="C2005" s="293" t="s">
        <v>8001</v>
      </c>
      <c r="D2005" s="293" t="s">
        <v>5859</v>
      </c>
      <c r="E2005" s="293" t="s">
        <v>7817</v>
      </c>
      <c r="F2005" s="293" t="s">
        <v>8188</v>
      </c>
      <c r="G2005" s="293" t="s">
        <v>7245</v>
      </c>
      <c r="H2005" s="294">
        <v>43799</v>
      </c>
      <c r="I2005" s="295">
        <v>-8384.43</v>
      </c>
    </row>
    <row r="2006" spans="1:9" x14ac:dyDescent="0.2">
      <c r="A2006" s="293" t="s">
        <v>8201</v>
      </c>
      <c r="B2006" s="293" t="s">
        <v>5666</v>
      </c>
      <c r="C2006" s="293" t="s">
        <v>8068</v>
      </c>
      <c r="D2006" s="293" t="s">
        <v>5859</v>
      </c>
      <c r="E2006" s="293" t="s">
        <v>7922</v>
      </c>
      <c r="F2006" s="293" t="s">
        <v>8188</v>
      </c>
      <c r="G2006" s="293" t="s">
        <v>7887</v>
      </c>
      <c r="H2006" s="294">
        <v>43799</v>
      </c>
      <c r="I2006" s="295">
        <v>-10043.23</v>
      </c>
    </row>
    <row r="2007" spans="1:9" x14ac:dyDescent="0.2">
      <c r="A2007" s="293" t="s">
        <v>8202</v>
      </c>
      <c r="B2007" s="293" t="s">
        <v>6010</v>
      </c>
      <c r="C2007" s="293" t="s">
        <v>7840</v>
      </c>
      <c r="D2007" s="293" t="s">
        <v>5859</v>
      </c>
      <c r="E2007" s="293" t="s">
        <v>8147</v>
      </c>
      <c r="F2007" s="293" t="s">
        <v>8188</v>
      </c>
      <c r="G2007" s="293" t="s">
        <v>8006</v>
      </c>
      <c r="H2007" s="294">
        <v>43799</v>
      </c>
      <c r="I2007" s="295">
        <v>-8170.28</v>
      </c>
    </row>
    <row r="2008" spans="1:9" x14ac:dyDescent="0.2">
      <c r="A2008" s="293" t="s">
        <v>8203</v>
      </c>
      <c r="B2008" s="293" t="s">
        <v>5666</v>
      </c>
      <c r="C2008" s="293" t="s">
        <v>6027</v>
      </c>
      <c r="D2008" s="293" t="s">
        <v>5859</v>
      </c>
      <c r="E2008" s="293" t="s">
        <v>6028</v>
      </c>
      <c r="F2008" s="293" t="s">
        <v>8204</v>
      </c>
      <c r="G2008" s="293" t="s">
        <v>5573</v>
      </c>
      <c r="H2008" s="294">
        <v>43830</v>
      </c>
      <c r="I2008" s="295">
        <v>-6400.96</v>
      </c>
    </row>
    <row r="2009" spans="1:9" x14ac:dyDescent="0.2">
      <c r="A2009" s="293" t="s">
        <v>8205</v>
      </c>
      <c r="B2009" s="293" t="s">
        <v>5666</v>
      </c>
      <c r="C2009" s="293" t="s">
        <v>6030</v>
      </c>
      <c r="D2009" s="293" t="s">
        <v>5859</v>
      </c>
      <c r="E2009" s="293" t="s">
        <v>6028</v>
      </c>
      <c r="F2009" s="293" t="s">
        <v>8204</v>
      </c>
      <c r="G2009" s="293" t="s">
        <v>5573</v>
      </c>
      <c r="H2009" s="294">
        <v>43830</v>
      </c>
      <c r="I2009" s="295">
        <v>-130.22</v>
      </c>
    </row>
    <row r="2010" spans="1:9" x14ac:dyDescent="0.2">
      <c r="A2010" s="293" t="s">
        <v>8206</v>
      </c>
      <c r="B2010" s="293" t="s">
        <v>5666</v>
      </c>
      <c r="C2010" s="293" t="s">
        <v>6032</v>
      </c>
      <c r="D2010" s="293" t="s">
        <v>5859</v>
      </c>
      <c r="E2010" s="293" t="s">
        <v>6033</v>
      </c>
      <c r="F2010" s="293" t="s">
        <v>8204</v>
      </c>
      <c r="G2010" s="293" t="s">
        <v>5585</v>
      </c>
      <c r="H2010" s="294">
        <v>43830</v>
      </c>
      <c r="I2010" s="295">
        <v>-6872.38</v>
      </c>
    </row>
    <row r="2011" spans="1:9" x14ac:dyDescent="0.2">
      <c r="A2011" s="293" t="s">
        <v>8207</v>
      </c>
      <c r="B2011" s="293" t="s">
        <v>5666</v>
      </c>
      <c r="C2011" s="293" t="s">
        <v>6035</v>
      </c>
      <c r="D2011" s="293" t="s">
        <v>5859</v>
      </c>
      <c r="E2011" s="293" t="s">
        <v>6033</v>
      </c>
      <c r="F2011" s="293" t="s">
        <v>8204</v>
      </c>
      <c r="G2011" s="293" t="s">
        <v>5585</v>
      </c>
      <c r="H2011" s="294">
        <v>43830</v>
      </c>
      <c r="I2011" s="295">
        <v>-4630.24</v>
      </c>
    </row>
    <row r="2012" spans="1:9" x14ac:dyDescent="0.2">
      <c r="A2012" s="293" t="s">
        <v>8208</v>
      </c>
      <c r="B2012" s="293" t="s">
        <v>5666</v>
      </c>
      <c r="C2012" s="293" t="s">
        <v>6037</v>
      </c>
      <c r="D2012" s="293" t="s">
        <v>5859</v>
      </c>
      <c r="E2012" s="293" t="s">
        <v>6038</v>
      </c>
      <c r="F2012" s="293" t="s">
        <v>8204</v>
      </c>
      <c r="G2012" s="293" t="s">
        <v>5586</v>
      </c>
      <c r="H2012" s="294">
        <v>43830</v>
      </c>
      <c r="I2012" s="295">
        <v>-3059.89</v>
      </c>
    </row>
    <row r="2013" spans="1:9" x14ac:dyDescent="0.2">
      <c r="A2013" s="293" t="s">
        <v>8209</v>
      </c>
      <c r="B2013" s="293" t="s">
        <v>5666</v>
      </c>
      <c r="C2013" s="293" t="s">
        <v>6040</v>
      </c>
      <c r="D2013" s="293" t="s">
        <v>5859</v>
      </c>
      <c r="E2013" s="293" t="s">
        <v>6041</v>
      </c>
      <c r="F2013" s="293" t="s">
        <v>8204</v>
      </c>
      <c r="G2013" s="293" t="s">
        <v>5581</v>
      </c>
      <c r="H2013" s="294">
        <v>43830</v>
      </c>
      <c r="I2013" s="295">
        <v>-8058.13</v>
      </c>
    </row>
    <row r="2014" spans="1:9" x14ac:dyDescent="0.2">
      <c r="A2014" s="293" t="s">
        <v>8210</v>
      </c>
      <c r="B2014" s="293" t="s">
        <v>5666</v>
      </c>
      <c r="C2014" s="293" t="s">
        <v>6056</v>
      </c>
      <c r="D2014" s="293" t="s">
        <v>5859</v>
      </c>
      <c r="E2014" s="293" t="s">
        <v>6057</v>
      </c>
      <c r="F2014" s="293" t="s">
        <v>8204</v>
      </c>
      <c r="G2014" s="293" t="s">
        <v>5578</v>
      </c>
      <c r="H2014" s="294">
        <v>43830</v>
      </c>
      <c r="I2014" s="295">
        <v>-4399.9399999999996</v>
      </c>
    </row>
    <row r="2015" spans="1:9" x14ac:dyDescent="0.2">
      <c r="A2015" s="293" t="s">
        <v>8211</v>
      </c>
      <c r="B2015" s="293" t="s">
        <v>5666</v>
      </c>
      <c r="C2015" s="293" t="s">
        <v>6062</v>
      </c>
      <c r="D2015" s="293" t="s">
        <v>5859</v>
      </c>
      <c r="E2015" s="293" t="s">
        <v>6063</v>
      </c>
      <c r="F2015" s="293" t="s">
        <v>8204</v>
      </c>
      <c r="G2015" s="293" t="s">
        <v>5579</v>
      </c>
      <c r="H2015" s="294">
        <v>43830</v>
      </c>
      <c r="I2015" s="295">
        <v>-2351.71</v>
      </c>
    </row>
    <row r="2016" spans="1:9" x14ac:dyDescent="0.2">
      <c r="A2016" s="293" t="s">
        <v>8212</v>
      </c>
      <c r="B2016" s="293" t="s">
        <v>5666</v>
      </c>
      <c r="C2016" s="293" t="s">
        <v>6065</v>
      </c>
      <c r="D2016" s="293" t="s">
        <v>5859</v>
      </c>
      <c r="E2016" s="293" t="s">
        <v>6063</v>
      </c>
      <c r="F2016" s="293" t="s">
        <v>8204</v>
      </c>
      <c r="G2016" s="293" t="s">
        <v>5579</v>
      </c>
      <c r="H2016" s="294">
        <v>43830</v>
      </c>
      <c r="I2016" s="295">
        <v>-63.12</v>
      </c>
    </row>
    <row r="2017" spans="1:9" x14ac:dyDescent="0.2">
      <c r="A2017" s="293" t="s">
        <v>8213</v>
      </c>
      <c r="B2017" s="293" t="s">
        <v>5666</v>
      </c>
      <c r="C2017" s="293" t="s">
        <v>6471</v>
      </c>
      <c r="D2017" s="293" t="s">
        <v>5859</v>
      </c>
      <c r="E2017" s="293" t="s">
        <v>6829</v>
      </c>
      <c r="F2017" s="293" t="s">
        <v>8204</v>
      </c>
      <c r="G2017" s="293" t="s">
        <v>5589</v>
      </c>
      <c r="H2017" s="294">
        <v>43830</v>
      </c>
      <c r="I2017" s="295">
        <v>-7123.53</v>
      </c>
    </row>
    <row r="2018" spans="1:9" x14ac:dyDescent="0.2">
      <c r="A2018" s="293" t="s">
        <v>8214</v>
      </c>
      <c r="B2018" s="293" t="s">
        <v>5666</v>
      </c>
      <c r="C2018" s="293" t="s">
        <v>6473</v>
      </c>
      <c r="D2018" s="293" t="s">
        <v>5859</v>
      </c>
      <c r="E2018" s="293" t="s">
        <v>6474</v>
      </c>
      <c r="F2018" s="293" t="s">
        <v>8204</v>
      </c>
      <c r="G2018" s="293" t="s">
        <v>5593</v>
      </c>
      <c r="H2018" s="294">
        <v>43830</v>
      </c>
      <c r="I2018" s="295">
        <v>-14668.67</v>
      </c>
    </row>
    <row r="2019" spans="1:9" x14ac:dyDescent="0.2">
      <c r="A2019" s="293" t="s">
        <v>8215</v>
      </c>
      <c r="B2019" s="293" t="s">
        <v>5666</v>
      </c>
      <c r="C2019" s="293" t="s">
        <v>6920</v>
      </c>
      <c r="D2019" s="293" t="s">
        <v>5859</v>
      </c>
      <c r="E2019" s="293" t="s">
        <v>6921</v>
      </c>
      <c r="F2019" s="293" t="s">
        <v>8204</v>
      </c>
      <c r="G2019" s="293" t="s">
        <v>5754</v>
      </c>
      <c r="H2019" s="294">
        <v>43830</v>
      </c>
      <c r="I2019" s="295">
        <v>-8710.42</v>
      </c>
    </row>
    <row r="2020" spans="1:9" x14ac:dyDescent="0.2">
      <c r="A2020" s="293" t="s">
        <v>8216</v>
      </c>
      <c r="B2020" s="293" t="s">
        <v>5666</v>
      </c>
      <c r="C2020" s="293" t="s">
        <v>7219</v>
      </c>
      <c r="D2020" s="293" t="s">
        <v>5859</v>
      </c>
      <c r="E2020" s="293" t="s">
        <v>7080</v>
      </c>
      <c r="F2020" s="293" t="s">
        <v>8204</v>
      </c>
      <c r="G2020" s="293" t="s">
        <v>5755</v>
      </c>
      <c r="H2020" s="294">
        <v>43830</v>
      </c>
      <c r="I2020" s="295">
        <v>-7028.09</v>
      </c>
    </row>
    <row r="2021" spans="1:9" x14ac:dyDescent="0.2">
      <c r="A2021" s="293" t="s">
        <v>8217</v>
      </c>
      <c r="B2021" s="293" t="s">
        <v>5666</v>
      </c>
      <c r="C2021" s="293" t="s">
        <v>8001</v>
      </c>
      <c r="D2021" s="293" t="s">
        <v>5859</v>
      </c>
      <c r="E2021" s="293" t="s">
        <v>7817</v>
      </c>
      <c r="F2021" s="293" t="s">
        <v>8204</v>
      </c>
      <c r="G2021" s="293" t="s">
        <v>7245</v>
      </c>
      <c r="H2021" s="294">
        <v>43830</v>
      </c>
      <c r="I2021" s="295">
        <v>-8384.43</v>
      </c>
    </row>
    <row r="2022" spans="1:9" x14ac:dyDescent="0.2">
      <c r="A2022" s="293" t="s">
        <v>8218</v>
      </c>
      <c r="B2022" s="293" t="s">
        <v>5666</v>
      </c>
      <c r="C2022" s="293" t="s">
        <v>8068</v>
      </c>
      <c r="D2022" s="293" t="s">
        <v>5859</v>
      </c>
      <c r="E2022" s="293" t="s">
        <v>7922</v>
      </c>
      <c r="F2022" s="293" t="s">
        <v>8204</v>
      </c>
      <c r="G2022" s="293" t="s">
        <v>7887</v>
      </c>
      <c r="H2022" s="294">
        <v>43830</v>
      </c>
      <c r="I2022" s="295">
        <v>-10043.23</v>
      </c>
    </row>
    <row r="2023" spans="1:9" x14ac:dyDescent="0.2">
      <c r="A2023" s="293" t="s">
        <v>8219</v>
      </c>
      <c r="B2023" s="293" t="s">
        <v>6010</v>
      </c>
      <c r="C2023" s="293" t="s">
        <v>8220</v>
      </c>
      <c r="D2023" s="293" t="s">
        <v>5859</v>
      </c>
      <c r="E2023" s="293" t="s">
        <v>8147</v>
      </c>
      <c r="F2023" s="293" t="s">
        <v>8204</v>
      </c>
      <c r="G2023" s="293" t="s">
        <v>8006</v>
      </c>
      <c r="H2023" s="294">
        <v>43830</v>
      </c>
      <c r="I2023" s="295">
        <v>-10374.64</v>
      </c>
    </row>
    <row r="2024" spans="1:9" x14ac:dyDescent="0.2">
      <c r="A2024" s="293" t="s">
        <v>8219</v>
      </c>
      <c r="B2024" s="293" t="s">
        <v>6010</v>
      </c>
      <c r="C2024" s="293" t="s">
        <v>8220</v>
      </c>
      <c r="D2024" s="293" t="s">
        <v>5859</v>
      </c>
      <c r="E2024" s="293" t="s">
        <v>8221</v>
      </c>
      <c r="F2024" s="293" t="s">
        <v>8204</v>
      </c>
      <c r="G2024" s="293" t="s">
        <v>8006</v>
      </c>
      <c r="H2024" s="294">
        <v>43830</v>
      </c>
      <c r="I2024" s="295">
        <v>163625</v>
      </c>
    </row>
    <row r="2025" spans="1:9" x14ac:dyDescent="0.2">
      <c r="A2025" s="293" t="s">
        <v>5875</v>
      </c>
      <c r="B2025" s="293" t="s">
        <v>5666</v>
      </c>
      <c r="C2025" s="293" t="s">
        <v>5876</v>
      </c>
      <c r="D2025" s="293" t="s">
        <v>5877</v>
      </c>
      <c r="E2025" s="293" t="s">
        <v>5088</v>
      </c>
      <c r="F2025" s="293" t="s">
        <v>5776</v>
      </c>
      <c r="G2025" s="293" t="s">
        <v>5637</v>
      </c>
      <c r="H2025" s="294">
        <v>40543</v>
      </c>
      <c r="I2025" s="295">
        <v>3806202.24</v>
      </c>
    </row>
    <row r="2026" spans="1:9" x14ac:dyDescent="0.2">
      <c r="A2026" s="293" t="s">
        <v>5926</v>
      </c>
      <c r="B2026" s="293" t="s">
        <v>5666</v>
      </c>
      <c r="C2026" s="293" t="s">
        <v>5088</v>
      </c>
      <c r="D2026" s="293" t="s">
        <v>5877</v>
      </c>
      <c r="E2026" s="293" t="s">
        <v>5088</v>
      </c>
      <c r="F2026" s="293" t="s">
        <v>5927</v>
      </c>
      <c r="G2026" s="293" t="s">
        <v>5637</v>
      </c>
      <c r="H2026" s="294">
        <v>40574</v>
      </c>
      <c r="I2026" s="295">
        <v>3791478.75</v>
      </c>
    </row>
    <row r="2027" spans="1:9" x14ac:dyDescent="0.2">
      <c r="A2027" s="293" t="s">
        <v>5926</v>
      </c>
      <c r="B2027" s="293" t="s">
        <v>5666</v>
      </c>
      <c r="C2027" s="293" t="s">
        <v>5088</v>
      </c>
      <c r="D2027" s="293" t="s">
        <v>5877</v>
      </c>
      <c r="E2027" s="293" t="s">
        <v>5088</v>
      </c>
      <c r="F2027" s="293" t="s">
        <v>5927</v>
      </c>
      <c r="G2027" s="293" t="s">
        <v>5637</v>
      </c>
      <c r="H2027" s="294">
        <v>40574</v>
      </c>
      <c r="I2027" s="295">
        <v>-3806202.24</v>
      </c>
    </row>
    <row r="2028" spans="1:9" x14ac:dyDescent="0.2">
      <c r="A2028" s="293" t="s">
        <v>5951</v>
      </c>
      <c r="B2028" s="293" t="s">
        <v>5666</v>
      </c>
      <c r="C2028" s="293" t="s">
        <v>5088</v>
      </c>
      <c r="D2028" s="293" t="s">
        <v>5877</v>
      </c>
      <c r="E2028" s="293" t="s">
        <v>5088</v>
      </c>
      <c r="F2028" s="293" t="s">
        <v>5952</v>
      </c>
      <c r="G2028" s="293" t="s">
        <v>5637</v>
      </c>
      <c r="H2028" s="294">
        <v>40602</v>
      </c>
      <c r="I2028" s="295">
        <v>-3791478.75</v>
      </c>
    </row>
    <row r="2029" spans="1:9" x14ac:dyDescent="0.2">
      <c r="A2029" s="293" t="s">
        <v>5951</v>
      </c>
      <c r="B2029" s="293" t="s">
        <v>5666</v>
      </c>
      <c r="C2029" s="293" t="s">
        <v>5088</v>
      </c>
      <c r="D2029" s="293" t="s">
        <v>5877</v>
      </c>
      <c r="E2029" s="293" t="s">
        <v>5088</v>
      </c>
      <c r="F2029" s="293" t="s">
        <v>5952</v>
      </c>
      <c r="G2029" s="293" t="s">
        <v>5637</v>
      </c>
      <c r="H2029" s="294">
        <v>40602</v>
      </c>
      <c r="I2029" s="295">
        <v>3779261.65</v>
      </c>
    </row>
    <row r="2030" spans="1:9" x14ac:dyDescent="0.2">
      <c r="A2030" s="293" t="s">
        <v>5953</v>
      </c>
      <c r="B2030" s="293" t="s">
        <v>5666</v>
      </c>
      <c r="C2030" s="293" t="s">
        <v>5088</v>
      </c>
      <c r="D2030" s="293" t="s">
        <v>5877</v>
      </c>
      <c r="E2030" s="293" t="s">
        <v>5088</v>
      </c>
      <c r="F2030" s="293" t="s">
        <v>5954</v>
      </c>
      <c r="G2030" s="293" t="s">
        <v>5637</v>
      </c>
      <c r="H2030" s="294">
        <v>40633</v>
      </c>
      <c r="I2030" s="295">
        <v>-3779261.65</v>
      </c>
    </row>
    <row r="2031" spans="1:9" x14ac:dyDescent="0.2">
      <c r="A2031" s="293" t="s">
        <v>5953</v>
      </c>
      <c r="B2031" s="293" t="s">
        <v>5666</v>
      </c>
      <c r="C2031" s="293" t="s">
        <v>5088</v>
      </c>
      <c r="D2031" s="293" t="s">
        <v>5877</v>
      </c>
      <c r="E2031" s="293" t="s">
        <v>5088</v>
      </c>
      <c r="F2031" s="293" t="s">
        <v>5954</v>
      </c>
      <c r="G2031" s="293" t="s">
        <v>5637</v>
      </c>
      <c r="H2031" s="294">
        <v>40633</v>
      </c>
      <c r="I2031" s="295">
        <v>3767044.55</v>
      </c>
    </row>
    <row r="2032" spans="1:9" x14ac:dyDescent="0.2">
      <c r="A2032" s="293" t="s">
        <v>5955</v>
      </c>
      <c r="B2032" s="293" t="s">
        <v>5666</v>
      </c>
      <c r="C2032" s="293" t="s">
        <v>5088</v>
      </c>
      <c r="D2032" s="293" t="s">
        <v>5877</v>
      </c>
      <c r="E2032" s="293" t="s">
        <v>5088</v>
      </c>
      <c r="F2032" s="293" t="s">
        <v>5956</v>
      </c>
      <c r="G2032" s="293" t="s">
        <v>5637</v>
      </c>
      <c r="H2032" s="294">
        <v>40663</v>
      </c>
      <c r="I2032" s="295">
        <v>-3767044.55</v>
      </c>
    </row>
    <row r="2033" spans="1:9" x14ac:dyDescent="0.2">
      <c r="A2033" s="293" t="s">
        <v>5955</v>
      </c>
      <c r="B2033" s="293" t="s">
        <v>5666</v>
      </c>
      <c r="C2033" s="293" t="s">
        <v>5088</v>
      </c>
      <c r="D2033" s="293" t="s">
        <v>5877</v>
      </c>
      <c r="E2033" s="293" t="s">
        <v>5088</v>
      </c>
      <c r="F2033" s="293" t="s">
        <v>5956</v>
      </c>
      <c r="G2033" s="293" t="s">
        <v>5637</v>
      </c>
      <c r="H2033" s="294">
        <v>40663</v>
      </c>
      <c r="I2033" s="295">
        <v>3754839.21</v>
      </c>
    </row>
    <row r="2034" spans="1:9" x14ac:dyDescent="0.2">
      <c r="A2034" s="293" t="s">
        <v>5957</v>
      </c>
      <c r="B2034" s="293" t="s">
        <v>5666</v>
      </c>
      <c r="C2034" s="293" t="s">
        <v>5088</v>
      </c>
      <c r="D2034" s="293" t="s">
        <v>5877</v>
      </c>
      <c r="E2034" s="293" t="s">
        <v>5088</v>
      </c>
      <c r="F2034" s="293" t="s">
        <v>5958</v>
      </c>
      <c r="G2034" s="293" t="s">
        <v>5637</v>
      </c>
      <c r="H2034" s="294">
        <v>40694</v>
      </c>
      <c r="I2034" s="295">
        <v>-3754839.21</v>
      </c>
    </row>
    <row r="2035" spans="1:9" x14ac:dyDescent="0.2">
      <c r="A2035" s="293" t="s">
        <v>5957</v>
      </c>
      <c r="B2035" s="293" t="s">
        <v>5666</v>
      </c>
      <c r="C2035" s="293" t="s">
        <v>5088</v>
      </c>
      <c r="D2035" s="293" t="s">
        <v>5877</v>
      </c>
      <c r="E2035" s="293" t="s">
        <v>5088</v>
      </c>
      <c r="F2035" s="293" t="s">
        <v>5958</v>
      </c>
      <c r="G2035" s="293" t="s">
        <v>5637</v>
      </c>
      <c r="H2035" s="294">
        <v>40694</v>
      </c>
      <c r="I2035" s="295">
        <v>3705568.21</v>
      </c>
    </row>
    <row r="2036" spans="1:9" x14ac:dyDescent="0.2">
      <c r="A2036" s="293" t="s">
        <v>5959</v>
      </c>
      <c r="B2036" s="293" t="s">
        <v>5666</v>
      </c>
      <c r="C2036" s="293" t="s">
        <v>5088</v>
      </c>
      <c r="D2036" s="293" t="s">
        <v>5877</v>
      </c>
      <c r="E2036" s="293" t="s">
        <v>5088</v>
      </c>
      <c r="F2036" s="293" t="s">
        <v>5960</v>
      </c>
      <c r="G2036" s="293" t="s">
        <v>5637</v>
      </c>
      <c r="H2036" s="294">
        <v>40724</v>
      </c>
      <c r="I2036" s="295">
        <v>-3705568.21</v>
      </c>
    </row>
    <row r="2037" spans="1:9" x14ac:dyDescent="0.2">
      <c r="A2037" s="293" t="s">
        <v>5959</v>
      </c>
      <c r="B2037" s="293" t="s">
        <v>5666</v>
      </c>
      <c r="C2037" s="293" t="s">
        <v>5088</v>
      </c>
      <c r="D2037" s="293" t="s">
        <v>5877</v>
      </c>
      <c r="E2037" s="293" t="s">
        <v>5088</v>
      </c>
      <c r="F2037" s="293" t="s">
        <v>5960</v>
      </c>
      <c r="G2037" s="293" t="s">
        <v>5637</v>
      </c>
      <c r="H2037" s="294">
        <v>40724</v>
      </c>
      <c r="I2037" s="295">
        <v>3655097.44</v>
      </c>
    </row>
    <row r="2038" spans="1:9" x14ac:dyDescent="0.2">
      <c r="A2038" s="293" t="s">
        <v>5961</v>
      </c>
      <c r="B2038" s="293" t="s">
        <v>5666</v>
      </c>
      <c r="C2038" s="293" t="s">
        <v>5088</v>
      </c>
      <c r="D2038" s="293" t="s">
        <v>5877</v>
      </c>
      <c r="E2038" s="293" t="s">
        <v>5088</v>
      </c>
      <c r="F2038" s="293" t="s">
        <v>5962</v>
      </c>
      <c r="G2038" s="293" t="s">
        <v>5637</v>
      </c>
      <c r="H2038" s="294">
        <v>40755</v>
      </c>
      <c r="I2038" s="295">
        <v>-3655097.44</v>
      </c>
    </row>
    <row r="2039" spans="1:9" x14ac:dyDescent="0.2">
      <c r="A2039" s="293" t="s">
        <v>5961</v>
      </c>
      <c r="B2039" s="293" t="s">
        <v>5666</v>
      </c>
      <c r="C2039" s="293" t="s">
        <v>5088</v>
      </c>
      <c r="D2039" s="293" t="s">
        <v>5877</v>
      </c>
      <c r="E2039" s="293" t="s">
        <v>5088</v>
      </c>
      <c r="F2039" s="293" t="s">
        <v>5962</v>
      </c>
      <c r="G2039" s="293" t="s">
        <v>5637</v>
      </c>
      <c r="H2039" s="294">
        <v>40755</v>
      </c>
      <c r="I2039" s="295">
        <v>3601819.28</v>
      </c>
    </row>
    <row r="2040" spans="1:9" x14ac:dyDescent="0.2">
      <c r="A2040" s="293" t="s">
        <v>5963</v>
      </c>
      <c r="B2040" s="293" t="s">
        <v>5666</v>
      </c>
      <c r="C2040" s="293" t="s">
        <v>5088</v>
      </c>
      <c r="D2040" s="293" t="s">
        <v>5877</v>
      </c>
      <c r="E2040" s="293" t="s">
        <v>5088</v>
      </c>
      <c r="F2040" s="293" t="s">
        <v>5964</v>
      </c>
      <c r="G2040" s="293" t="s">
        <v>5637</v>
      </c>
      <c r="H2040" s="294">
        <v>40786</v>
      </c>
      <c r="I2040" s="295">
        <v>-3601819.28</v>
      </c>
    </row>
    <row r="2041" spans="1:9" x14ac:dyDescent="0.2">
      <c r="A2041" s="293" t="s">
        <v>5963</v>
      </c>
      <c r="B2041" s="293" t="s">
        <v>5666</v>
      </c>
      <c r="C2041" s="293" t="s">
        <v>5088</v>
      </c>
      <c r="D2041" s="293" t="s">
        <v>5877</v>
      </c>
      <c r="E2041" s="293" t="s">
        <v>5088</v>
      </c>
      <c r="F2041" s="293" t="s">
        <v>5964</v>
      </c>
      <c r="G2041" s="293" t="s">
        <v>5637</v>
      </c>
      <c r="H2041" s="294">
        <v>40786</v>
      </c>
      <c r="I2041" s="295">
        <v>3464317.98</v>
      </c>
    </row>
    <row r="2042" spans="1:9" x14ac:dyDescent="0.2">
      <c r="A2042" s="293" t="s">
        <v>5965</v>
      </c>
      <c r="B2042" s="293" t="s">
        <v>5666</v>
      </c>
      <c r="C2042" s="293" t="s">
        <v>5088</v>
      </c>
      <c r="D2042" s="293" t="s">
        <v>5877</v>
      </c>
      <c r="E2042" s="293" t="s">
        <v>5088</v>
      </c>
      <c r="F2042" s="293" t="s">
        <v>5966</v>
      </c>
      <c r="G2042" s="293" t="s">
        <v>5637</v>
      </c>
      <c r="H2042" s="294">
        <v>40816</v>
      </c>
      <c r="I2042" s="295">
        <v>-3464317.98</v>
      </c>
    </row>
    <row r="2043" spans="1:9" x14ac:dyDescent="0.2">
      <c r="A2043" s="293" t="s">
        <v>5965</v>
      </c>
      <c r="B2043" s="293" t="s">
        <v>5666</v>
      </c>
      <c r="C2043" s="293" t="s">
        <v>5088</v>
      </c>
      <c r="D2043" s="293" t="s">
        <v>5877</v>
      </c>
      <c r="E2043" s="293" t="s">
        <v>5088</v>
      </c>
      <c r="F2043" s="293" t="s">
        <v>5966</v>
      </c>
      <c r="G2043" s="293" t="s">
        <v>5637</v>
      </c>
      <c r="H2043" s="294">
        <v>40816</v>
      </c>
      <c r="I2043" s="295">
        <v>3245825.22</v>
      </c>
    </row>
    <row r="2044" spans="1:9" x14ac:dyDescent="0.2">
      <c r="A2044" s="293" t="s">
        <v>5967</v>
      </c>
      <c r="B2044" s="293" t="s">
        <v>5666</v>
      </c>
      <c r="C2044" s="293" t="s">
        <v>5088</v>
      </c>
      <c r="D2044" s="293" t="s">
        <v>5877</v>
      </c>
      <c r="E2044" s="293" t="s">
        <v>5088</v>
      </c>
      <c r="F2044" s="293" t="s">
        <v>5968</v>
      </c>
      <c r="G2044" s="293" t="s">
        <v>5637</v>
      </c>
      <c r="H2044" s="294">
        <v>40847</v>
      </c>
      <c r="I2044" s="295">
        <v>-3245825.22</v>
      </c>
    </row>
    <row r="2045" spans="1:9" x14ac:dyDescent="0.2">
      <c r="A2045" s="293" t="s">
        <v>5967</v>
      </c>
      <c r="B2045" s="293" t="s">
        <v>5666</v>
      </c>
      <c r="C2045" s="293" t="s">
        <v>5088</v>
      </c>
      <c r="D2045" s="293" t="s">
        <v>5877</v>
      </c>
      <c r="E2045" s="293" t="s">
        <v>5088</v>
      </c>
      <c r="F2045" s="293" t="s">
        <v>5968</v>
      </c>
      <c r="G2045" s="293" t="s">
        <v>5637</v>
      </c>
      <c r="H2045" s="294">
        <v>40847</v>
      </c>
      <c r="I2045" s="295">
        <v>3027332.46</v>
      </c>
    </row>
    <row r="2046" spans="1:9" x14ac:dyDescent="0.2">
      <c r="A2046" s="293" t="s">
        <v>5969</v>
      </c>
      <c r="B2046" s="293" t="s">
        <v>5666</v>
      </c>
      <c r="C2046" s="293" t="s">
        <v>5088</v>
      </c>
      <c r="D2046" s="293" t="s">
        <v>5877</v>
      </c>
      <c r="E2046" s="293" t="s">
        <v>5088</v>
      </c>
      <c r="F2046" s="293" t="s">
        <v>5970</v>
      </c>
      <c r="G2046" s="293" t="s">
        <v>5637</v>
      </c>
      <c r="H2046" s="294">
        <v>40877</v>
      </c>
      <c r="I2046" s="295">
        <v>-3027332.46</v>
      </c>
    </row>
    <row r="2047" spans="1:9" x14ac:dyDescent="0.2">
      <c r="A2047" s="293" t="s">
        <v>5969</v>
      </c>
      <c r="B2047" s="293" t="s">
        <v>5666</v>
      </c>
      <c r="C2047" s="293" t="s">
        <v>5088</v>
      </c>
      <c r="D2047" s="293" t="s">
        <v>5877</v>
      </c>
      <c r="E2047" s="293" t="s">
        <v>5088</v>
      </c>
      <c r="F2047" s="293" t="s">
        <v>5970</v>
      </c>
      <c r="G2047" s="293" t="s">
        <v>5637</v>
      </c>
      <c r="H2047" s="294">
        <v>40877</v>
      </c>
      <c r="I2047" s="295">
        <v>2808839.7</v>
      </c>
    </row>
    <row r="2048" spans="1:9" x14ac:dyDescent="0.2">
      <c r="A2048" s="293" t="s">
        <v>5971</v>
      </c>
      <c r="B2048" s="293" t="s">
        <v>5666</v>
      </c>
      <c r="C2048" s="293" t="s">
        <v>5088</v>
      </c>
      <c r="D2048" s="293" t="s">
        <v>5877</v>
      </c>
      <c r="E2048" s="293" t="s">
        <v>5088</v>
      </c>
      <c r="F2048" s="293" t="s">
        <v>5972</v>
      </c>
      <c r="G2048" s="293" t="s">
        <v>5637</v>
      </c>
      <c r="H2048" s="294">
        <v>40908</v>
      </c>
      <c r="I2048" s="295">
        <v>-2808839.7</v>
      </c>
    </row>
    <row r="2049" spans="1:9" x14ac:dyDescent="0.2">
      <c r="A2049" s="293" t="s">
        <v>5971</v>
      </c>
      <c r="B2049" s="293" t="s">
        <v>5666</v>
      </c>
      <c r="C2049" s="293" t="s">
        <v>5088</v>
      </c>
      <c r="D2049" s="293" t="s">
        <v>5877</v>
      </c>
      <c r="E2049" s="293" t="s">
        <v>5088</v>
      </c>
      <c r="F2049" s="293" t="s">
        <v>5972</v>
      </c>
      <c r="G2049" s="293" t="s">
        <v>5637</v>
      </c>
      <c r="H2049" s="294">
        <v>40908</v>
      </c>
      <c r="I2049" s="295">
        <v>2590346.94</v>
      </c>
    </row>
    <row r="2050" spans="1:9" x14ac:dyDescent="0.2">
      <c r="A2050" s="293" t="s">
        <v>5973</v>
      </c>
      <c r="B2050" s="293" t="s">
        <v>5666</v>
      </c>
      <c r="C2050" s="293" t="s">
        <v>5088</v>
      </c>
      <c r="D2050" s="293" t="s">
        <v>5877</v>
      </c>
      <c r="E2050" s="293" t="s">
        <v>5088</v>
      </c>
      <c r="F2050" s="293" t="s">
        <v>5974</v>
      </c>
      <c r="G2050" s="293" t="s">
        <v>5637</v>
      </c>
      <c r="H2050" s="294">
        <v>40939</v>
      </c>
      <c r="I2050" s="295">
        <v>-2590346.94</v>
      </c>
    </row>
    <row r="2051" spans="1:9" x14ac:dyDescent="0.2">
      <c r="A2051" s="293" t="s">
        <v>5973</v>
      </c>
      <c r="B2051" s="293" t="s">
        <v>5666</v>
      </c>
      <c r="C2051" s="293" t="s">
        <v>5088</v>
      </c>
      <c r="D2051" s="293" t="s">
        <v>5877</v>
      </c>
      <c r="E2051" s="293" t="s">
        <v>5088</v>
      </c>
      <c r="F2051" s="293" t="s">
        <v>5974</v>
      </c>
      <c r="G2051" s="293" t="s">
        <v>5637</v>
      </c>
      <c r="H2051" s="294">
        <v>40939</v>
      </c>
      <c r="I2051" s="295">
        <v>2371854.1800000002</v>
      </c>
    </row>
    <row r="2052" spans="1:9" x14ac:dyDescent="0.2">
      <c r="A2052" s="293" t="s">
        <v>5953</v>
      </c>
      <c r="B2052" s="293" t="s">
        <v>5666</v>
      </c>
      <c r="C2052" s="293" t="s">
        <v>5088</v>
      </c>
      <c r="D2052" s="293" t="s">
        <v>5877</v>
      </c>
      <c r="E2052" s="293" t="s">
        <v>5088</v>
      </c>
      <c r="F2052" s="293" t="s">
        <v>5975</v>
      </c>
      <c r="G2052" s="293" t="s">
        <v>5637</v>
      </c>
      <c r="H2052" s="294">
        <v>40968</v>
      </c>
      <c r="I2052" s="295">
        <v>-2371854.1800000002</v>
      </c>
    </row>
    <row r="2053" spans="1:9" x14ac:dyDescent="0.2">
      <c r="A2053" s="293" t="s">
        <v>5953</v>
      </c>
      <c r="B2053" s="293" t="s">
        <v>5666</v>
      </c>
      <c r="C2053" s="293" t="s">
        <v>5088</v>
      </c>
      <c r="D2053" s="293" t="s">
        <v>5877</v>
      </c>
      <c r="E2053" s="293" t="s">
        <v>5088</v>
      </c>
      <c r="F2053" s="293" t="s">
        <v>5975</v>
      </c>
      <c r="G2053" s="293" t="s">
        <v>5637</v>
      </c>
      <c r="H2053" s="294">
        <v>40968</v>
      </c>
      <c r="I2053" s="295">
        <v>2153361.42</v>
      </c>
    </row>
    <row r="2054" spans="1:9" x14ac:dyDescent="0.2">
      <c r="A2054" s="293" t="s">
        <v>5955</v>
      </c>
      <c r="B2054" s="293" t="s">
        <v>5666</v>
      </c>
      <c r="C2054" s="293" t="s">
        <v>5088</v>
      </c>
      <c r="D2054" s="293" t="s">
        <v>5877</v>
      </c>
      <c r="E2054" s="293" t="s">
        <v>5088</v>
      </c>
      <c r="F2054" s="293" t="s">
        <v>5976</v>
      </c>
      <c r="G2054" s="293" t="s">
        <v>5637</v>
      </c>
      <c r="H2054" s="294">
        <v>40999</v>
      </c>
      <c r="I2054" s="295">
        <v>-2153361.42</v>
      </c>
    </row>
    <row r="2055" spans="1:9" x14ac:dyDescent="0.2">
      <c r="A2055" s="293" t="s">
        <v>5955</v>
      </c>
      <c r="B2055" s="293" t="s">
        <v>5666</v>
      </c>
      <c r="C2055" s="293" t="s">
        <v>5088</v>
      </c>
      <c r="D2055" s="293" t="s">
        <v>5877</v>
      </c>
      <c r="E2055" s="293" t="s">
        <v>5088</v>
      </c>
      <c r="F2055" s="293" t="s">
        <v>5976</v>
      </c>
      <c r="G2055" s="293" t="s">
        <v>5637</v>
      </c>
      <c r="H2055" s="294">
        <v>40999</v>
      </c>
      <c r="I2055" s="295">
        <v>1934868.66</v>
      </c>
    </row>
    <row r="2056" spans="1:9" x14ac:dyDescent="0.2">
      <c r="A2056" s="293" t="s">
        <v>5957</v>
      </c>
      <c r="B2056" s="293" t="s">
        <v>5666</v>
      </c>
      <c r="C2056" s="293" t="s">
        <v>5088</v>
      </c>
      <c r="D2056" s="293" t="s">
        <v>5877</v>
      </c>
      <c r="E2056" s="293" t="s">
        <v>5088</v>
      </c>
      <c r="F2056" s="293" t="s">
        <v>5977</v>
      </c>
      <c r="G2056" s="293" t="s">
        <v>5637</v>
      </c>
      <c r="H2056" s="294">
        <v>41029</v>
      </c>
      <c r="I2056" s="295">
        <v>-1934868.66</v>
      </c>
    </row>
    <row r="2057" spans="1:9" x14ac:dyDescent="0.2">
      <c r="A2057" s="293" t="s">
        <v>5957</v>
      </c>
      <c r="B2057" s="293" t="s">
        <v>5666</v>
      </c>
      <c r="C2057" s="293" t="s">
        <v>5088</v>
      </c>
      <c r="D2057" s="293" t="s">
        <v>5877</v>
      </c>
      <c r="E2057" s="293" t="s">
        <v>5088</v>
      </c>
      <c r="F2057" s="293" t="s">
        <v>5977</v>
      </c>
      <c r="G2057" s="293" t="s">
        <v>5637</v>
      </c>
      <c r="H2057" s="294">
        <v>41029</v>
      </c>
      <c r="I2057" s="295">
        <v>1716364.14</v>
      </c>
    </row>
    <row r="2058" spans="1:9" x14ac:dyDescent="0.2">
      <c r="A2058" s="293" t="s">
        <v>5959</v>
      </c>
      <c r="B2058" s="293" t="s">
        <v>5666</v>
      </c>
      <c r="C2058" s="293" t="s">
        <v>5088</v>
      </c>
      <c r="D2058" s="293" t="s">
        <v>5877</v>
      </c>
      <c r="E2058" s="293" t="s">
        <v>5088</v>
      </c>
      <c r="F2058" s="293" t="s">
        <v>5978</v>
      </c>
      <c r="G2058" s="293" t="s">
        <v>5637</v>
      </c>
      <c r="H2058" s="294">
        <v>41060</v>
      </c>
      <c r="I2058" s="295">
        <v>-1716364.14</v>
      </c>
    </row>
    <row r="2059" spans="1:9" x14ac:dyDescent="0.2">
      <c r="A2059" s="293" t="s">
        <v>5959</v>
      </c>
      <c r="B2059" s="293" t="s">
        <v>5666</v>
      </c>
      <c r="C2059" s="293" t="s">
        <v>5088</v>
      </c>
      <c r="D2059" s="293" t="s">
        <v>5877</v>
      </c>
      <c r="E2059" s="293" t="s">
        <v>5088</v>
      </c>
      <c r="F2059" s="293" t="s">
        <v>5978</v>
      </c>
      <c r="G2059" s="293" t="s">
        <v>5637</v>
      </c>
      <c r="H2059" s="294">
        <v>41060</v>
      </c>
      <c r="I2059" s="295">
        <v>1536775.06</v>
      </c>
    </row>
    <row r="2060" spans="1:9" x14ac:dyDescent="0.2">
      <c r="A2060" s="293" t="s">
        <v>5980</v>
      </c>
      <c r="B2060" s="293" t="s">
        <v>5666</v>
      </c>
      <c r="C2060" s="293" t="s">
        <v>5088</v>
      </c>
      <c r="D2060" s="293" t="s">
        <v>5877</v>
      </c>
      <c r="E2060" s="293" t="s">
        <v>5088</v>
      </c>
      <c r="F2060" s="293" t="s">
        <v>5981</v>
      </c>
      <c r="G2060" s="293" t="s">
        <v>5637</v>
      </c>
      <c r="H2060" s="294">
        <v>41090</v>
      </c>
      <c r="I2060" s="295">
        <v>-1536775.06</v>
      </c>
    </row>
    <row r="2061" spans="1:9" x14ac:dyDescent="0.2">
      <c r="A2061" s="293" t="s">
        <v>5980</v>
      </c>
      <c r="B2061" s="293" t="s">
        <v>5666</v>
      </c>
      <c r="C2061" s="293" t="s">
        <v>5088</v>
      </c>
      <c r="D2061" s="293" t="s">
        <v>5877</v>
      </c>
      <c r="E2061" s="293" t="s">
        <v>5088</v>
      </c>
      <c r="F2061" s="293" t="s">
        <v>5981</v>
      </c>
      <c r="G2061" s="293" t="s">
        <v>5637</v>
      </c>
      <c r="H2061" s="294">
        <v>41090</v>
      </c>
      <c r="I2061" s="295">
        <v>1358385.75</v>
      </c>
    </row>
    <row r="2062" spans="1:9" x14ac:dyDescent="0.2">
      <c r="A2062" s="293" t="s">
        <v>5986</v>
      </c>
      <c r="B2062" s="293" t="s">
        <v>5666</v>
      </c>
      <c r="C2062" s="293" t="s">
        <v>5987</v>
      </c>
      <c r="D2062" s="293" t="s">
        <v>5877</v>
      </c>
      <c r="E2062" s="293" t="s">
        <v>6003</v>
      </c>
      <c r="F2062" s="293" t="s">
        <v>5989</v>
      </c>
      <c r="G2062" s="293" t="s">
        <v>5580</v>
      </c>
      <c r="H2062" s="294">
        <v>41120</v>
      </c>
      <c r="I2062" s="295">
        <v>1184794.3</v>
      </c>
    </row>
    <row r="2063" spans="1:9" x14ac:dyDescent="0.2">
      <c r="A2063" s="293" t="s">
        <v>5986</v>
      </c>
      <c r="B2063" s="293" t="s">
        <v>5666</v>
      </c>
      <c r="C2063" s="293" t="s">
        <v>5987</v>
      </c>
      <c r="D2063" s="293" t="s">
        <v>5877</v>
      </c>
      <c r="E2063" s="293" t="s">
        <v>6004</v>
      </c>
      <c r="F2063" s="293" t="s">
        <v>5989</v>
      </c>
      <c r="G2063" s="293" t="s">
        <v>5580</v>
      </c>
      <c r="H2063" s="294">
        <v>41120</v>
      </c>
      <c r="I2063" s="295">
        <v>-1358385.75</v>
      </c>
    </row>
    <row r="2064" spans="1:9" x14ac:dyDescent="0.2">
      <c r="A2064" s="293" t="s">
        <v>6070</v>
      </c>
      <c r="B2064" s="293" t="s">
        <v>5666</v>
      </c>
      <c r="C2064" s="293" t="s">
        <v>5987</v>
      </c>
      <c r="D2064" s="293" t="s">
        <v>5877</v>
      </c>
      <c r="E2064" s="293" t="s">
        <v>6077</v>
      </c>
      <c r="F2064" s="293" t="s">
        <v>6072</v>
      </c>
      <c r="G2064" s="293" t="s">
        <v>5580</v>
      </c>
      <c r="H2064" s="294">
        <v>41152</v>
      </c>
      <c r="I2064" s="295">
        <v>-1184794.3</v>
      </c>
    </row>
    <row r="2065" spans="1:9" x14ac:dyDescent="0.2">
      <c r="A2065" s="293" t="s">
        <v>6070</v>
      </c>
      <c r="B2065" s="293" t="s">
        <v>5666</v>
      </c>
      <c r="C2065" s="293" t="s">
        <v>5987</v>
      </c>
      <c r="D2065" s="293" t="s">
        <v>5877</v>
      </c>
      <c r="E2065" s="293" t="s">
        <v>6078</v>
      </c>
      <c r="F2065" s="293" t="s">
        <v>6072</v>
      </c>
      <c r="G2065" s="293" t="s">
        <v>5580</v>
      </c>
      <c r="H2065" s="294">
        <v>41152</v>
      </c>
      <c r="I2065" s="295">
        <v>1103802.8400000001</v>
      </c>
    </row>
    <row r="2066" spans="1:9" x14ac:dyDescent="0.2">
      <c r="A2066" s="293" t="s">
        <v>6195</v>
      </c>
      <c r="B2066" s="293" t="s">
        <v>5666</v>
      </c>
      <c r="C2066" s="293" t="s">
        <v>5987</v>
      </c>
      <c r="D2066" s="293" t="s">
        <v>5877</v>
      </c>
      <c r="E2066" s="293" t="s">
        <v>5601</v>
      </c>
      <c r="F2066" s="293" t="s">
        <v>5680</v>
      </c>
      <c r="G2066" s="293" t="s">
        <v>5576</v>
      </c>
      <c r="H2066" s="294">
        <v>41213</v>
      </c>
      <c r="I2066" s="295">
        <v>40089.360000000001</v>
      </c>
    </row>
    <row r="2067" spans="1:9" x14ac:dyDescent="0.2">
      <c r="A2067" s="293" t="s">
        <v>6195</v>
      </c>
      <c r="B2067" s="293" t="s">
        <v>5666</v>
      </c>
      <c r="C2067" s="293" t="s">
        <v>5987</v>
      </c>
      <c r="D2067" s="293" t="s">
        <v>5877</v>
      </c>
      <c r="E2067" s="293" t="s">
        <v>5601</v>
      </c>
      <c r="F2067" s="293" t="s">
        <v>5680</v>
      </c>
      <c r="G2067" s="293" t="s">
        <v>5582</v>
      </c>
      <c r="H2067" s="294">
        <v>41213</v>
      </c>
      <c r="I2067" s="295">
        <v>-94310.76</v>
      </c>
    </row>
    <row r="2068" spans="1:9" x14ac:dyDescent="0.2">
      <c r="A2068" s="293" t="s">
        <v>6195</v>
      </c>
      <c r="B2068" s="293" t="s">
        <v>5666</v>
      </c>
      <c r="C2068" s="293" t="s">
        <v>5987</v>
      </c>
      <c r="D2068" s="293" t="s">
        <v>5877</v>
      </c>
      <c r="E2068" s="293" t="s">
        <v>5601</v>
      </c>
      <c r="F2068" s="293" t="s">
        <v>5680</v>
      </c>
      <c r="G2068" s="293" t="s">
        <v>5576</v>
      </c>
      <c r="H2068" s="294">
        <v>41213</v>
      </c>
      <c r="I2068" s="295">
        <v>50488.2</v>
      </c>
    </row>
    <row r="2069" spans="1:9" x14ac:dyDescent="0.2">
      <c r="A2069" s="293" t="s">
        <v>6195</v>
      </c>
      <c r="B2069" s="293" t="s">
        <v>5666</v>
      </c>
      <c r="C2069" s="293" t="s">
        <v>5987</v>
      </c>
      <c r="D2069" s="293" t="s">
        <v>5877</v>
      </c>
      <c r="E2069" s="293" t="s">
        <v>6222</v>
      </c>
      <c r="F2069" s="293" t="s">
        <v>5680</v>
      </c>
      <c r="G2069" s="293" t="s">
        <v>5637</v>
      </c>
      <c r="H2069" s="294">
        <v>41213</v>
      </c>
      <c r="I2069" s="295">
        <v>-1358385.75</v>
      </c>
    </row>
    <row r="2070" spans="1:9" x14ac:dyDescent="0.2">
      <c r="A2070" s="293" t="s">
        <v>6195</v>
      </c>
      <c r="B2070" s="293" t="s">
        <v>5666</v>
      </c>
      <c r="C2070" s="293" t="s">
        <v>5987</v>
      </c>
      <c r="D2070" s="293" t="s">
        <v>5877</v>
      </c>
      <c r="E2070" s="293" t="s">
        <v>6222</v>
      </c>
      <c r="F2070" s="293" t="s">
        <v>5680</v>
      </c>
      <c r="G2070" s="293" t="s">
        <v>5577</v>
      </c>
      <c r="H2070" s="294">
        <v>41213</v>
      </c>
      <c r="I2070" s="295">
        <v>14150.52</v>
      </c>
    </row>
    <row r="2071" spans="1:9" x14ac:dyDescent="0.2">
      <c r="A2071" s="293" t="s">
        <v>6195</v>
      </c>
      <c r="B2071" s="293" t="s">
        <v>5666</v>
      </c>
      <c r="C2071" s="293" t="s">
        <v>5987</v>
      </c>
      <c r="D2071" s="293" t="s">
        <v>5877</v>
      </c>
      <c r="E2071" s="293" t="s">
        <v>6222</v>
      </c>
      <c r="F2071" s="293" t="s">
        <v>5680</v>
      </c>
      <c r="G2071" s="293" t="s">
        <v>5578</v>
      </c>
      <c r="H2071" s="294">
        <v>41213</v>
      </c>
      <c r="I2071" s="295">
        <v>12231.96</v>
      </c>
    </row>
    <row r="2072" spans="1:9" x14ac:dyDescent="0.2">
      <c r="A2072" s="293" t="s">
        <v>6195</v>
      </c>
      <c r="B2072" s="293" t="s">
        <v>5666</v>
      </c>
      <c r="C2072" s="293" t="s">
        <v>5987</v>
      </c>
      <c r="D2072" s="293" t="s">
        <v>5877</v>
      </c>
      <c r="E2072" s="293" t="s">
        <v>6222</v>
      </c>
      <c r="F2072" s="293" t="s">
        <v>5680</v>
      </c>
      <c r="G2072" s="293" t="s">
        <v>5573</v>
      </c>
      <c r="H2072" s="294">
        <v>41213</v>
      </c>
      <c r="I2072" s="295">
        <v>297255.24</v>
      </c>
    </row>
    <row r="2073" spans="1:9" x14ac:dyDescent="0.2">
      <c r="A2073" s="293" t="s">
        <v>6195</v>
      </c>
      <c r="B2073" s="293" t="s">
        <v>5666</v>
      </c>
      <c r="C2073" s="293" t="s">
        <v>5987</v>
      </c>
      <c r="D2073" s="293" t="s">
        <v>5877</v>
      </c>
      <c r="E2073" s="293" t="s">
        <v>6222</v>
      </c>
      <c r="F2073" s="293" t="s">
        <v>5680</v>
      </c>
      <c r="G2073" s="293" t="s">
        <v>5581</v>
      </c>
      <c r="H2073" s="294">
        <v>41213</v>
      </c>
      <c r="I2073" s="295">
        <v>489603.24</v>
      </c>
    </row>
    <row r="2074" spans="1:9" x14ac:dyDescent="0.2">
      <c r="A2074" s="293" t="s">
        <v>6195</v>
      </c>
      <c r="B2074" s="293" t="s">
        <v>5666</v>
      </c>
      <c r="C2074" s="293" t="s">
        <v>5987</v>
      </c>
      <c r="D2074" s="293" t="s">
        <v>5877</v>
      </c>
      <c r="E2074" s="293" t="s">
        <v>6222</v>
      </c>
      <c r="F2074" s="293" t="s">
        <v>5680</v>
      </c>
      <c r="G2074" s="293" t="s">
        <v>5579</v>
      </c>
      <c r="H2074" s="294">
        <v>41213</v>
      </c>
      <c r="I2074" s="295">
        <v>57476.4</v>
      </c>
    </row>
    <row r="2075" spans="1:9" x14ac:dyDescent="0.2">
      <c r="A2075" s="293" t="s">
        <v>6195</v>
      </c>
      <c r="B2075" s="293" t="s">
        <v>5666</v>
      </c>
      <c r="C2075" s="293" t="s">
        <v>5987</v>
      </c>
      <c r="D2075" s="293" t="s">
        <v>5877</v>
      </c>
      <c r="E2075" s="293" t="s">
        <v>6222</v>
      </c>
      <c r="F2075" s="293" t="s">
        <v>5680</v>
      </c>
      <c r="G2075" s="293" t="s">
        <v>5580</v>
      </c>
      <c r="H2075" s="294">
        <v>41213</v>
      </c>
      <c r="I2075" s="295">
        <v>487668.39</v>
      </c>
    </row>
    <row r="2076" spans="1:9" x14ac:dyDescent="0.2">
      <c r="A2076" s="293" t="s">
        <v>6223</v>
      </c>
      <c r="B2076" s="293" t="s">
        <v>5666</v>
      </c>
      <c r="C2076" s="293" t="s">
        <v>6224</v>
      </c>
      <c r="D2076" s="293" t="s">
        <v>5877</v>
      </c>
      <c r="E2076" s="293" t="s">
        <v>6225</v>
      </c>
      <c r="F2076" s="293" t="s">
        <v>5822</v>
      </c>
      <c r="G2076" s="293" t="s">
        <v>5591</v>
      </c>
      <c r="H2076" s="294">
        <v>41213</v>
      </c>
      <c r="I2076" s="295">
        <v>-4422.05</v>
      </c>
    </row>
    <row r="2077" spans="1:9" x14ac:dyDescent="0.2">
      <c r="A2077" s="293" t="s">
        <v>6226</v>
      </c>
      <c r="B2077" s="293" t="s">
        <v>5666</v>
      </c>
      <c r="C2077" s="293" t="s">
        <v>6227</v>
      </c>
      <c r="D2077" s="293" t="s">
        <v>5877</v>
      </c>
      <c r="E2077" s="293" t="s">
        <v>6228</v>
      </c>
      <c r="F2077" s="293" t="s">
        <v>5822</v>
      </c>
      <c r="G2077" s="293" t="s">
        <v>5582</v>
      </c>
      <c r="H2077" s="294">
        <v>41213</v>
      </c>
      <c r="I2077" s="295">
        <v>7859.23</v>
      </c>
    </row>
    <row r="2078" spans="1:9" x14ac:dyDescent="0.2">
      <c r="A2078" s="293" t="s">
        <v>6319</v>
      </c>
      <c r="B2078" s="293" t="s">
        <v>5666</v>
      </c>
      <c r="C2078" s="293" t="s">
        <v>5987</v>
      </c>
      <c r="D2078" s="293" t="s">
        <v>5877</v>
      </c>
      <c r="E2078" s="293" t="s">
        <v>5088</v>
      </c>
      <c r="F2078" s="293" t="s">
        <v>5684</v>
      </c>
      <c r="G2078" s="293" t="s">
        <v>5591</v>
      </c>
      <c r="H2078" s="294">
        <v>41243</v>
      </c>
      <c r="I2078" s="295">
        <v>4422.05</v>
      </c>
    </row>
    <row r="2079" spans="1:9" x14ac:dyDescent="0.2">
      <c r="A2079" s="293" t="s">
        <v>6319</v>
      </c>
      <c r="B2079" s="293" t="s">
        <v>5666</v>
      </c>
      <c r="C2079" s="293" t="s">
        <v>5987</v>
      </c>
      <c r="D2079" s="293" t="s">
        <v>5877</v>
      </c>
      <c r="E2079" s="293" t="s">
        <v>5088</v>
      </c>
      <c r="F2079" s="293" t="s">
        <v>5684</v>
      </c>
      <c r="G2079" s="293" t="s">
        <v>5582</v>
      </c>
      <c r="H2079" s="294">
        <v>41243</v>
      </c>
      <c r="I2079" s="295">
        <v>53064.98</v>
      </c>
    </row>
    <row r="2080" spans="1:9" x14ac:dyDescent="0.2">
      <c r="A2080" s="293" t="s">
        <v>6319</v>
      </c>
      <c r="B2080" s="293" t="s">
        <v>5666</v>
      </c>
      <c r="C2080" s="293" t="s">
        <v>5987</v>
      </c>
      <c r="D2080" s="293" t="s">
        <v>5877</v>
      </c>
      <c r="E2080" s="293" t="s">
        <v>5088</v>
      </c>
      <c r="F2080" s="293" t="s">
        <v>5684</v>
      </c>
      <c r="G2080" s="293" t="s">
        <v>5582</v>
      </c>
      <c r="H2080" s="294">
        <v>41243</v>
      </c>
      <c r="I2080" s="295">
        <v>-4422.05</v>
      </c>
    </row>
    <row r="2081" spans="1:9" x14ac:dyDescent="0.2">
      <c r="A2081" s="293" t="s">
        <v>6335</v>
      </c>
      <c r="B2081" s="293" t="s">
        <v>5666</v>
      </c>
      <c r="C2081" s="293" t="s">
        <v>6227</v>
      </c>
      <c r="D2081" s="293" t="s">
        <v>5877</v>
      </c>
      <c r="E2081" s="293" t="s">
        <v>6228</v>
      </c>
      <c r="F2081" s="293" t="s">
        <v>5832</v>
      </c>
      <c r="G2081" s="293" t="s">
        <v>5582</v>
      </c>
      <c r="H2081" s="294">
        <v>41243</v>
      </c>
      <c r="I2081" s="295">
        <v>7859.23</v>
      </c>
    </row>
    <row r="2082" spans="1:9" x14ac:dyDescent="0.2">
      <c r="A2082" s="293" t="s">
        <v>6336</v>
      </c>
      <c r="B2082" s="293" t="s">
        <v>5666</v>
      </c>
      <c r="C2082" s="293" t="s">
        <v>6224</v>
      </c>
      <c r="D2082" s="293" t="s">
        <v>5877</v>
      </c>
      <c r="E2082" s="293" t="s">
        <v>6228</v>
      </c>
      <c r="F2082" s="293" t="s">
        <v>5832</v>
      </c>
      <c r="G2082" s="293" t="s">
        <v>5582</v>
      </c>
      <c r="H2082" s="294">
        <v>41243</v>
      </c>
      <c r="I2082" s="295">
        <v>-4422.05</v>
      </c>
    </row>
    <row r="2083" spans="1:9" x14ac:dyDescent="0.2">
      <c r="A2083" s="293" t="s">
        <v>6391</v>
      </c>
      <c r="B2083" s="293" t="s">
        <v>5666</v>
      </c>
      <c r="C2083" s="293" t="s">
        <v>6227</v>
      </c>
      <c r="D2083" s="293" t="s">
        <v>5877</v>
      </c>
      <c r="E2083" s="293" t="s">
        <v>6228</v>
      </c>
      <c r="F2083" s="293" t="s">
        <v>5837</v>
      </c>
      <c r="G2083" s="293" t="s">
        <v>5582</v>
      </c>
      <c r="H2083" s="294">
        <v>41274</v>
      </c>
      <c r="I2083" s="295">
        <v>7859.23</v>
      </c>
    </row>
    <row r="2084" spans="1:9" x14ac:dyDescent="0.2">
      <c r="A2084" s="293" t="s">
        <v>6392</v>
      </c>
      <c r="B2084" s="293" t="s">
        <v>5666</v>
      </c>
      <c r="C2084" s="293" t="s">
        <v>6224</v>
      </c>
      <c r="D2084" s="293" t="s">
        <v>5877</v>
      </c>
      <c r="E2084" s="293" t="s">
        <v>6228</v>
      </c>
      <c r="F2084" s="293" t="s">
        <v>5837</v>
      </c>
      <c r="G2084" s="293" t="s">
        <v>5582</v>
      </c>
      <c r="H2084" s="294">
        <v>41274</v>
      </c>
      <c r="I2084" s="295">
        <v>-4422.05</v>
      </c>
    </row>
    <row r="2085" spans="1:9" x14ac:dyDescent="0.2">
      <c r="A2085" s="293" t="s">
        <v>8222</v>
      </c>
      <c r="B2085" s="293" t="s">
        <v>5666</v>
      </c>
      <c r="C2085" s="293" t="s">
        <v>6532</v>
      </c>
      <c r="D2085" s="293" t="s">
        <v>5877</v>
      </c>
      <c r="E2085" s="293" t="s">
        <v>5088</v>
      </c>
      <c r="F2085" s="293" t="s">
        <v>6434</v>
      </c>
      <c r="G2085" s="293" t="s">
        <v>5581</v>
      </c>
      <c r="H2085" s="294">
        <v>41305</v>
      </c>
      <c r="I2085" s="295">
        <v>-60</v>
      </c>
    </row>
    <row r="2086" spans="1:9" x14ac:dyDescent="0.2">
      <c r="A2086" s="293" t="s">
        <v>8223</v>
      </c>
      <c r="B2086" s="293" t="s">
        <v>5666</v>
      </c>
      <c r="C2086" s="293" t="s">
        <v>6227</v>
      </c>
      <c r="D2086" s="293" t="s">
        <v>5877</v>
      </c>
      <c r="E2086" s="293" t="s">
        <v>6228</v>
      </c>
      <c r="F2086" s="293" t="s">
        <v>6436</v>
      </c>
      <c r="G2086" s="293" t="s">
        <v>5582</v>
      </c>
      <c r="H2086" s="294">
        <v>41305</v>
      </c>
      <c r="I2086" s="295">
        <v>7859.23</v>
      </c>
    </row>
    <row r="2087" spans="1:9" x14ac:dyDescent="0.2">
      <c r="A2087" s="293" t="s">
        <v>8224</v>
      </c>
      <c r="B2087" s="293" t="s">
        <v>5666</v>
      </c>
      <c r="C2087" s="293" t="s">
        <v>6224</v>
      </c>
      <c r="D2087" s="293" t="s">
        <v>5877</v>
      </c>
      <c r="E2087" s="293" t="s">
        <v>6228</v>
      </c>
      <c r="F2087" s="293" t="s">
        <v>6436</v>
      </c>
      <c r="G2087" s="293" t="s">
        <v>5582</v>
      </c>
      <c r="H2087" s="294">
        <v>41305</v>
      </c>
      <c r="I2087" s="295">
        <v>-4422.05</v>
      </c>
    </row>
    <row r="2088" spans="1:9" x14ac:dyDescent="0.2">
      <c r="A2088" s="293" t="s">
        <v>6451</v>
      </c>
      <c r="B2088" s="293" t="s">
        <v>5666</v>
      </c>
      <c r="C2088" s="293" t="s">
        <v>6452</v>
      </c>
      <c r="D2088" s="293" t="s">
        <v>5877</v>
      </c>
      <c r="E2088" s="293" t="s">
        <v>5088</v>
      </c>
      <c r="F2088" s="293" t="s">
        <v>6453</v>
      </c>
      <c r="G2088" s="293" t="s">
        <v>5582</v>
      </c>
      <c r="H2088" s="294">
        <v>41333</v>
      </c>
      <c r="I2088" s="295">
        <v>-0.38</v>
      </c>
    </row>
    <row r="2089" spans="1:9" x14ac:dyDescent="0.2">
      <c r="A2089" s="293" t="s">
        <v>7235</v>
      </c>
      <c r="B2089" s="293" t="s">
        <v>5666</v>
      </c>
      <c r="C2089" s="293" t="s">
        <v>6227</v>
      </c>
      <c r="D2089" s="293" t="s">
        <v>5877</v>
      </c>
      <c r="E2089" s="293" t="s">
        <v>6228</v>
      </c>
      <c r="F2089" s="293" t="s">
        <v>6455</v>
      </c>
      <c r="G2089" s="293" t="s">
        <v>5582</v>
      </c>
      <c r="H2089" s="294">
        <v>41333</v>
      </c>
      <c r="I2089" s="295">
        <v>7859.23</v>
      </c>
    </row>
    <row r="2090" spans="1:9" x14ac:dyDescent="0.2">
      <c r="A2090" s="293" t="s">
        <v>8225</v>
      </c>
      <c r="B2090" s="293" t="s">
        <v>5666</v>
      </c>
      <c r="C2090" s="293" t="s">
        <v>6117</v>
      </c>
      <c r="D2090" s="293" t="s">
        <v>5877</v>
      </c>
      <c r="E2090" s="293" t="s">
        <v>8226</v>
      </c>
      <c r="F2090" s="293" t="s">
        <v>6455</v>
      </c>
      <c r="G2090" s="293" t="s">
        <v>5581</v>
      </c>
      <c r="H2090" s="294">
        <v>41333</v>
      </c>
      <c r="I2090" s="295">
        <v>-9993</v>
      </c>
    </row>
    <row r="2091" spans="1:9" x14ac:dyDescent="0.2">
      <c r="A2091" s="293" t="s">
        <v>8227</v>
      </c>
      <c r="B2091" s="293" t="s">
        <v>5666</v>
      </c>
      <c r="C2091" s="293" t="s">
        <v>6224</v>
      </c>
      <c r="D2091" s="293" t="s">
        <v>5877</v>
      </c>
      <c r="E2091" s="293" t="s">
        <v>6228</v>
      </c>
      <c r="F2091" s="293" t="s">
        <v>6455</v>
      </c>
      <c r="G2091" s="293" t="s">
        <v>5582</v>
      </c>
      <c r="H2091" s="294">
        <v>41333</v>
      </c>
      <c r="I2091" s="295">
        <v>-4422.05</v>
      </c>
    </row>
    <row r="2092" spans="1:9" x14ac:dyDescent="0.2">
      <c r="A2092" s="293" t="s">
        <v>8228</v>
      </c>
      <c r="B2092" s="293" t="s">
        <v>5666</v>
      </c>
      <c r="C2092" s="293" t="s">
        <v>8229</v>
      </c>
      <c r="D2092" s="293" t="s">
        <v>5877</v>
      </c>
      <c r="E2092" s="293" t="s">
        <v>8230</v>
      </c>
      <c r="F2092" s="293" t="s">
        <v>6455</v>
      </c>
      <c r="G2092" s="293" t="s">
        <v>5581</v>
      </c>
      <c r="H2092" s="294">
        <v>41333</v>
      </c>
      <c r="I2092" s="295">
        <v>-18392</v>
      </c>
    </row>
    <row r="2093" spans="1:9" x14ac:dyDescent="0.2">
      <c r="A2093" s="293" t="s">
        <v>8231</v>
      </c>
      <c r="B2093" s="293" t="s">
        <v>5666</v>
      </c>
      <c r="C2093" s="293" t="s">
        <v>8229</v>
      </c>
      <c r="D2093" s="293" t="s">
        <v>5877</v>
      </c>
      <c r="E2093" s="293" t="s">
        <v>8230</v>
      </c>
      <c r="F2093" s="293" t="s">
        <v>6476</v>
      </c>
      <c r="G2093" s="293" t="s">
        <v>5581</v>
      </c>
      <c r="H2093" s="294">
        <v>41364</v>
      </c>
      <c r="I2093" s="295">
        <v>-18392</v>
      </c>
    </row>
    <row r="2094" spans="1:9" x14ac:dyDescent="0.2">
      <c r="A2094" s="293" t="s">
        <v>8232</v>
      </c>
      <c r="B2094" s="293" t="s">
        <v>5666</v>
      </c>
      <c r="C2094" s="293" t="s">
        <v>6088</v>
      </c>
      <c r="D2094" s="293" t="s">
        <v>5877</v>
      </c>
      <c r="E2094" s="293" t="s">
        <v>8233</v>
      </c>
      <c r="F2094" s="293" t="s">
        <v>6476</v>
      </c>
      <c r="G2094" s="293" t="s">
        <v>5581</v>
      </c>
      <c r="H2094" s="294">
        <v>41364</v>
      </c>
      <c r="I2094" s="295">
        <v>-603.13</v>
      </c>
    </row>
    <row r="2095" spans="1:9" x14ac:dyDescent="0.2">
      <c r="A2095" s="293" t="s">
        <v>8234</v>
      </c>
      <c r="B2095" s="293" t="s">
        <v>5666</v>
      </c>
      <c r="C2095" s="293" t="s">
        <v>6120</v>
      </c>
      <c r="D2095" s="293" t="s">
        <v>5877</v>
      </c>
      <c r="E2095" s="293" t="s">
        <v>8235</v>
      </c>
      <c r="F2095" s="293" t="s">
        <v>6476</v>
      </c>
      <c r="G2095" s="293" t="s">
        <v>5581</v>
      </c>
      <c r="H2095" s="294">
        <v>41364</v>
      </c>
      <c r="I2095" s="295">
        <v>-7091.09</v>
      </c>
    </row>
    <row r="2096" spans="1:9" x14ac:dyDescent="0.2">
      <c r="A2096" s="293" t="s">
        <v>8236</v>
      </c>
      <c r="B2096" s="293" t="s">
        <v>5666</v>
      </c>
      <c r="C2096" s="293" t="s">
        <v>6117</v>
      </c>
      <c r="D2096" s="293" t="s">
        <v>5877</v>
      </c>
      <c r="E2096" s="293" t="s">
        <v>8226</v>
      </c>
      <c r="F2096" s="293" t="s">
        <v>6476</v>
      </c>
      <c r="G2096" s="293" t="s">
        <v>5581</v>
      </c>
      <c r="H2096" s="294">
        <v>41364</v>
      </c>
      <c r="I2096" s="295">
        <v>-9993</v>
      </c>
    </row>
    <row r="2097" spans="1:9" x14ac:dyDescent="0.2">
      <c r="A2097" s="293" t="s">
        <v>8237</v>
      </c>
      <c r="B2097" s="293" t="s">
        <v>5666</v>
      </c>
      <c r="C2097" s="293" t="s">
        <v>6224</v>
      </c>
      <c r="D2097" s="293" t="s">
        <v>5877</v>
      </c>
      <c r="E2097" s="293" t="s">
        <v>6228</v>
      </c>
      <c r="F2097" s="293" t="s">
        <v>6476</v>
      </c>
      <c r="G2097" s="293" t="s">
        <v>5582</v>
      </c>
      <c r="H2097" s="294">
        <v>41364</v>
      </c>
      <c r="I2097" s="295">
        <v>-4422.05</v>
      </c>
    </row>
    <row r="2098" spans="1:9" x14ac:dyDescent="0.2">
      <c r="A2098" s="293" t="s">
        <v>8238</v>
      </c>
      <c r="B2098" s="293" t="s">
        <v>5666</v>
      </c>
      <c r="C2098" s="293" t="s">
        <v>6227</v>
      </c>
      <c r="D2098" s="293" t="s">
        <v>5877</v>
      </c>
      <c r="E2098" s="293" t="s">
        <v>6228</v>
      </c>
      <c r="F2098" s="293" t="s">
        <v>6476</v>
      </c>
      <c r="G2098" s="293" t="s">
        <v>5582</v>
      </c>
      <c r="H2098" s="294">
        <v>41364</v>
      </c>
      <c r="I2098" s="295">
        <v>7859.23</v>
      </c>
    </row>
    <row r="2099" spans="1:9" x14ac:dyDescent="0.2">
      <c r="A2099" s="293" t="s">
        <v>8239</v>
      </c>
      <c r="B2099" s="293" t="s">
        <v>5666</v>
      </c>
      <c r="C2099" s="293" t="s">
        <v>8229</v>
      </c>
      <c r="D2099" s="293" t="s">
        <v>5877</v>
      </c>
      <c r="E2099" s="293" t="s">
        <v>8230</v>
      </c>
      <c r="F2099" s="293" t="s">
        <v>6496</v>
      </c>
      <c r="G2099" s="293" t="s">
        <v>5581</v>
      </c>
      <c r="H2099" s="294">
        <v>41394</v>
      </c>
      <c r="I2099" s="295">
        <v>-18392</v>
      </c>
    </row>
    <row r="2100" spans="1:9" x14ac:dyDescent="0.2">
      <c r="A2100" s="293" t="s">
        <v>8240</v>
      </c>
      <c r="B2100" s="293" t="s">
        <v>5666</v>
      </c>
      <c r="C2100" s="293" t="s">
        <v>6088</v>
      </c>
      <c r="D2100" s="293" t="s">
        <v>5877</v>
      </c>
      <c r="E2100" s="293" t="s">
        <v>8233</v>
      </c>
      <c r="F2100" s="293" t="s">
        <v>6496</v>
      </c>
      <c r="G2100" s="293" t="s">
        <v>5581</v>
      </c>
      <c r="H2100" s="294">
        <v>41394</v>
      </c>
      <c r="I2100" s="295">
        <v>-603.13</v>
      </c>
    </row>
    <row r="2101" spans="1:9" x14ac:dyDescent="0.2">
      <c r="A2101" s="293" t="s">
        <v>8241</v>
      </c>
      <c r="B2101" s="293" t="s">
        <v>5666</v>
      </c>
      <c r="C2101" s="293" t="s">
        <v>6120</v>
      </c>
      <c r="D2101" s="293" t="s">
        <v>5877</v>
      </c>
      <c r="E2101" s="293" t="s">
        <v>8235</v>
      </c>
      <c r="F2101" s="293" t="s">
        <v>6496</v>
      </c>
      <c r="G2101" s="293" t="s">
        <v>5581</v>
      </c>
      <c r="H2101" s="294">
        <v>41394</v>
      </c>
      <c r="I2101" s="295">
        <v>-7091.09</v>
      </c>
    </row>
    <row r="2102" spans="1:9" x14ac:dyDescent="0.2">
      <c r="A2102" s="293" t="s">
        <v>8242</v>
      </c>
      <c r="B2102" s="293" t="s">
        <v>5666</v>
      </c>
      <c r="C2102" s="293" t="s">
        <v>6117</v>
      </c>
      <c r="D2102" s="293" t="s">
        <v>5877</v>
      </c>
      <c r="E2102" s="293" t="s">
        <v>8226</v>
      </c>
      <c r="F2102" s="293" t="s">
        <v>6496</v>
      </c>
      <c r="G2102" s="293" t="s">
        <v>5581</v>
      </c>
      <c r="H2102" s="294">
        <v>41394</v>
      </c>
      <c r="I2102" s="295">
        <v>-9993</v>
      </c>
    </row>
    <row r="2103" spans="1:9" x14ac:dyDescent="0.2">
      <c r="A2103" s="293" t="s">
        <v>8243</v>
      </c>
      <c r="B2103" s="293" t="s">
        <v>5666</v>
      </c>
      <c r="C2103" s="293" t="s">
        <v>6224</v>
      </c>
      <c r="D2103" s="293" t="s">
        <v>5877</v>
      </c>
      <c r="E2103" s="293" t="s">
        <v>6228</v>
      </c>
      <c r="F2103" s="293" t="s">
        <v>6496</v>
      </c>
      <c r="G2103" s="293" t="s">
        <v>5582</v>
      </c>
      <c r="H2103" s="294">
        <v>41394</v>
      </c>
      <c r="I2103" s="295">
        <v>-4422.05</v>
      </c>
    </row>
    <row r="2104" spans="1:9" x14ac:dyDescent="0.2">
      <c r="A2104" s="293" t="s">
        <v>8244</v>
      </c>
      <c r="B2104" s="293" t="s">
        <v>5666</v>
      </c>
      <c r="C2104" s="293" t="s">
        <v>6227</v>
      </c>
      <c r="D2104" s="293" t="s">
        <v>5877</v>
      </c>
      <c r="E2104" s="293" t="s">
        <v>6228</v>
      </c>
      <c r="F2104" s="293" t="s">
        <v>6496</v>
      </c>
      <c r="G2104" s="293" t="s">
        <v>5582</v>
      </c>
      <c r="H2104" s="294">
        <v>41394</v>
      </c>
      <c r="I2104" s="295">
        <v>7859.23</v>
      </c>
    </row>
    <row r="2105" spans="1:9" x14ac:dyDescent="0.2">
      <c r="A2105" s="293" t="s">
        <v>8245</v>
      </c>
      <c r="B2105" s="293" t="s">
        <v>5666</v>
      </c>
      <c r="C2105" s="293" t="s">
        <v>8229</v>
      </c>
      <c r="D2105" s="293" t="s">
        <v>5877</v>
      </c>
      <c r="E2105" s="293" t="s">
        <v>8230</v>
      </c>
      <c r="F2105" s="293" t="s">
        <v>6514</v>
      </c>
      <c r="G2105" s="293" t="s">
        <v>5581</v>
      </c>
      <c r="H2105" s="294">
        <v>41425</v>
      </c>
      <c r="I2105" s="295">
        <v>-18392</v>
      </c>
    </row>
    <row r="2106" spans="1:9" x14ac:dyDescent="0.2">
      <c r="A2106" s="293" t="s">
        <v>8246</v>
      </c>
      <c r="B2106" s="293" t="s">
        <v>5666</v>
      </c>
      <c r="C2106" s="293" t="s">
        <v>6088</v>
      </c>
      <c r="D2106" s="293" t="s">
        <v>5877</v>
      </c>
      <c r="E2106" s="293" t="s">
        <v>8233</v>
      </c>
      <c r="F2106" s="293" t="s">
        <v>6514</v>
      </c>
      <c r="G2106" s="293" t="s">
        <v>5581</v>
      </c>
      <c r="H2106" s="294">
        <v>41425</v>
      </c>
      <c r="I2106" s="295">
        <v>-603.13</v>
      </c>
    </row>
    <row r="2107" spans="1:9" x14ac:dyDescent="0.2">
      <c r="A2107" s="293" t="s">
        <v>8247</v>
      </c>
      <c r="B2107" s="293" t="s">
        <v>5666</v>
      </c>
      <c r="C2107" s="293" t="s">
        <v>6120</v>
      </c>
      <c r="D2107" s="293" t="s">
        <v>5877</v>
      </c>
      <c r="E2107" s="293" t="s">
        <v>8235</v>
      </c>
      <c r="F2107" s="293" t="s">
        <v>6514</v>
      </c>
      <c r="G2107" s="293" t="s">
        <v>5581</v>
      </c>
      <c r="H2107" s="294">
        <v>41425</v>
      </c>
      <c r="I2107" s="295">
        <v>-7091.09</v>
      </c>
    </row>
    <row r="2108" spans="1:9" x14ac:dyDescent="0.2">
      <c r="A2108" s="293" t="s">
        <v>8248</v>
      </c>
      <c r="B2108" s="293" t="s">
        <v>5666</v>
      </c>
      <c r="C2108" s="293" t="s">
        <v>6117</v>
      </c>
      <c r="D2108" s="293" t="s">
        <v>5877</v>
      </c>
      <c r="E2108" s="293" t="s">
        <v>8226</v>
      </c>
      <c r="F2108" s="293" t="s">
        <v>6514</v>
      </c>
      <c r="G2108" s="293" t="s">
        <v>5581</v>
      </c>
      <c r="H2108" s="294">
        <v>41425</v>
      </c>
      <c r="I2108" s="295">
        <v>-9993</v>
      </c>
    </row>
    <row r="2109" spans="1:9" x14ac:dyDescent="0.2">
      <c r="A2109" s="293" t="s">
        <v>8249</v>
      </c>
      <c r="B2109" s="293" t="s">
        <v>5666</v>
      </c>
      <c r="C2109" s="293" t="s">
        <v>6227</v>
      </c>
      <c r="D2109" s="293" t="s">
        <v>5877</v>
      </c>
      <c r="E2109" s="293" t="s">
        <v>6228</v>
      </c>
      <c r="F2109" s="293" t="s">
        <v>6514</v>
      </c>
      <c r="G2109" s="293" t="s">
        <v>5582</v>
      </c>
      <c r="H2109" s="294">
        <v>41425</v>
      </c>
      <c r="I2109" s="295">
        <v>7859.23</v>
      </c>
    </row>
    <row r="2110" spans="1:9" x14ac:dyDescent="0.2">
      <c r="A2110" s="293" t="s">
        <v>8250</v>
      </c>
      <c r="B2110" s="293" t="s">
        <v>5666</v>
      </c>
      <c r="C2110" s="293" t="s">
        <v>6224</v>
      </c>
      <c r="D2110" s="293" t="s">
        <v>5877</v>
      </c>
      <c r="E2110" s="293" t="s">
        <v>6225</v>
      </c>
      <c r="F2110" s="293" t="s">
        <v>6514</v>
      </c>
      <c r="G2110" s="293" t="s">
        <v>5582</v>
      </c>
      <c r="H2110" s="294">
        <v>41425</v>
      </c>
      <c r="I2110" s="295">
        <v>-4422.05</v>
      </c>
    </row>
    <row r="2111" spans="1:9" x14ac:dyDescent="0.2">
      <c r="A2111" s="293" t="s">
        <v>6531</v>
      </c>
      <c r="B2111" s="293" t="s">
        <v>5666</v>
      </c>
      <c r="C2111" s="293" t="s">
        <v>6532</v>
      </c>
      <c r="D2111" s="293" t="s">
        <v>5877</v>
      </c>
      <c r="E2111" s="293" t="s">
        <v>8226</v>
      </c>
      <c r="F2111" s="293" t="s">
        <v>6533</v>
      </c>
      <c r="G2111" s="293" t="s">
        <v>5581</v>
      </c>
      <c r="H2111" s="294">
        <v>41455</v>
      </c>
      <c r="I2111" s="295">
        <v>35.22</v>
      </c>
    </row>
    <row r="2112" spans="1:9" x14ac:dyDescent="0.2">
      <c r="A2112" s="293" t="s">
        <v>8251</v>
      </c>
      <c r="B2112" s="293" t="s">
        <v>5666</v>
      </c>
      <c r="C2112" s="293" t="s">
        <v>8229</v>
      </c>
      <c r="D2112" s="293" t="s">
        <v>5877</v>
      </c>
      <c r="E2112" s="293" t="s">
        <v>8230</v>
      </c>
      <c r="F2112" s="293" t="s">
        <v>6537</v>
      </c>
      <c r="G2112" s="293" t="s">
        <v>5581</v>
      </c>
      <c r="H2112" s="294">
        <v>41455</v>
      </c>
      <c r="I2112" s="295">
        <v>-18392</v>
      </c>
    </row>
    <row r="2113" spans="1:9" x14ac:dyDescent="0.2">
      <c r="A2113" s="293" t="s">
        <v>8252</v>
      </c>
      <c r="B2113" s="293" t="s">
        <v>5666</v>
      </c>
      <c r="C2113" s="293" t="s">
        <v>6088</v>
      </c>
      <c r="D2113" s="293" t="s">
        <v>5877</v>
      </c>
      <c r="E2113" s="293" t="s">
        <v>8233</v>
      </c>
      <c r="F2113" s="293" t="s">
        <v>6537</v>
      </c>
      <c r="G2113" s="293" t="s">
        <v>5581</v>
      </c>
      <c r="H2113" s="294">
        <v>41455</v>
      </c>
      <c r="I2113" s="295">
        <v>-603.13</v>
      </c>
    </row>
    <row r="2114" spans="1:9" x14ac:dyDescent="0.2">
      <c r="A2114" s="293" t="s">
        <v>8253</v>
      </c>
      <c r="B2114" s="293" t="s">
        <v>5666</v>
      </c>
      <c r="C2114" s="293" t="s">
        <v>6120</v>
      </c>
      <c r="D2114" s="293" t="s">
        <v>5877</v>
      </c>
      <c r="E2114" s="293" t="s">
        <v>8235</v>
      </c>
      <c r="F2114" s="293" t="s">
        <v>6537</v>
      </c>
      <c r="G2114" s="293" t="s">
        <v>5581</v>
      </c>
      <c r="H2114" s="294">
        <v>41455</v>
      </c>
      <c r="I2114" s="295">
        <v>-7091.09</v>
      </c>
    </row>
    <row r="2115" spans="1:9" x14ac:dyDescent="0.2">
      <c r="A2115" s="293" t="s">
        <v>8254</v>
      </c>
      <c r="B2115" s="293" t="s">
        <v>5666</v>
      </c>
      <c r="C2115" s="293" t="s">
        <v>6117</v>
      </c>
      <c r="D2115" s="293" t="s">
        <v>5877</v>
      </c>
      <c r="E2115" s="293" t="s">
        <v>8226</v>
      </c>
      <c r="F2115" s="293" t="s">
        <v>6537</v>
      </c>
      <c r="G2115" s="293" t="s">
        <v>5581</v>
      </c>
      <c r="H2115" s="294">
        <v>41455</v>
      </c>
      <c r="I2115" s="295">
        <v>-9993</v>
      </c>
    </row>
    <row r="2116" spans="1:9" x14ac:dyDescent="0.2">
      <c r="A2116" s="293" t="s">
        <v>8255</v>
      </c>
      <c r="B2116" s="293" t="s">
        <v>5666</v>
      </c>
      <c r="C2116" s="293" t="s">
        <v>6227</v>
      </c>
      <c r="D2116" s="293" t="s">
        <v>5877</v>
      </c>
      <c r="E2116" s="293" t="s">
        <v>6228</v>
      </c>
      <c r="F2116" s="293" t="s">
        <v>6537</v>
      </c>
      <c r="G2116" s="293" t="s">
        <v>5582</v>
      </c>
      <c r="H2116" s="294">
        <v>41455</v>
      </c>
      <c r="I2116" s="295">
        <v>7859.23</v>
      </c>
    </row>
    <row r="2117" spans="1:9" x14ac:dyDescent="0.2">
      <c r="A2117" s="293" t="s">
        <v>8256</v>
      </c>
      <c r="B2117" s="293" t="s">
        <v>5666</v>
      </c>
      <c r="C2117" s="293" t="s">
        <v>6224</v>
      </c>
      <c r="D2117" s="293" t="s">
        <v>5877</v>
      </c>
      <c r="E2117" s="293" t="s">
        <v>6225</v>
      </c>
      <c r="F2117" s="293" t="s">
        <v>6537</v>
      </c>
      <c r="G2117" s="293" t="s">
        <v>5582</v>
      </c>
      <c r="H2117" s="294">
        <v>41455</v>
      </c>
      <c r="I2117" s="295">
        <v>-4422.05</v>
      </c>
    </row>
    <row r="2118" spans="1:9" x14ac:dyDescent="0.2">
      <c r="A2118" s="293" t="s">
        <v>8257</v>
      </c>
      <c r="B2118" s="293" t="s">
        <v>5666</v>
      </c>
      <c r="C2118" s="293" t="s">
        <v>8229</v>
      </c>
      <c r="D2118" s="293" t="s">
        <v>5877</v>
      </c>
      <c r="E2118" s="293" t="s">
        <v>8230</v>
      </c>
      <c r="F2118" s="293" t="s">
        <v>6561</v>
      </c>
      <c r="G2118" s="293" t="s">
        <v>5581</v>
      </c>
      <c r="H2118" s="294">
        <v>41486</v>
      </c>
      <c r="I2118" s="295">
        <v>-18392</v>
      </c>
    </row>
    <row r="2119" spans="1:9" x14ac:dyDescent="0.2">
      <c r="A2119" s="293" t="s">
        <v>8258</v>
      </c>
      <c r="B2119" s="293" t="s">
        <v>5666</v>
      </c>
      <c r="C2119" s="293" t="s">
        <v>6088</v>
      </c>
      <c r="D2119" s="293" t="s">
        <v>5877</v>
      </c>
      <c r="E2119" s="293" t="s">
        <v>8233</v>
      </c>
      <c r="F2119" s="293" t="s">
        <v>6561</v>
      </c>
      <c r="G2119" s="293" t="s">
        <v>5581</v>
      </c>
      <c r="H2119" s="294">
        <v>41486</v>
      </c>
      <c r="I2119" s="295">
        <v>-603.13</v>
      </c>
    </row>
    <row r="2120" spans="1:9" x14ac:dyDescent="0.2">
      <c r="A2120" s="293" t="s">
        <v>8259</v>
      </c>
      <c r="B2120" s="293" t="s">
        <v>5666</v>
      </c>
      <c r="C2120" s="293" t="s">
        <v>6120</v>
      </c>
      <c r="D2120" s="293" t="s">
        <v>5877</v>
      </c>
      <c r="E2120" s="293" t="s">
        <v>8235</v>
      </c>
      <c r="F2120" s="293" t="s">
        <v>6561</v>
      </c>
      <c r="G2120" s="293" t="s">
        <v>5581</v>
      </c>
      <c r="H2120" s="294">
        <v>41486</v>
      </c>
      <c r="I2120" s="295">
        <v>-7091.09</v>
      </c>
    </row>
    <row r="2121" spans="1:9" x14ac:dyDescent="0.2">
      <c r="A2121" s="293" t="s">
        <v>8260</v>
      </c>
      <c r="B2121" s="293" t="s">
        <v>5666</v>
      </c>
      <c r="C2121" s="293" t="s">
        <v>6117</v>
      </c>
      <c r="D2121" s="293" t="s">
        <v>5877</v>
      </c>
      <c r="E2121" s="293" t="s">
        <v>8226</v>
      </c>
      <c r="F2121" s="293" t="s">
        <v>6561</v>
      </c>
      <c r="G2121" s="293" t="s">
        <v>5581</v>
      </c>
      <c r="H2121" s="294">
        <v>41486</v>
      </c>
      <c r="I2121" s="295">
        <v>-9993</v>
      </c>
    </row>
    <row r="2122" spans="1:9" x14ac:dyDescent="0.2">
      <c r="A2122" s="293" t="s">
        <v>8261</v>
      </c>
      <c r="B2122" s="293" t="s">
        <v>5666</v>
      </c>
      <c r="C2122" s="293" t="s">
        <v>6227</v>
      </c>
      <c r="D2122" s="293" t="s">
        <v>5877</v>
      </c>
      <c r="E2122" s="293" t="s">
        <v>6228</v>
      </c>
      <c r="F2122" s="293" t="s">
        <v>6561</v>
      </c>
      <c r="G2122" s="293" t="s">
        <v>5582</v>
      </c>
      <c r="H2122" s="294">
        <v>41486</v>
      </c>
      <c r="I2122" s="295">
        <v>7859.23</v>
      </c>
    </row>
    <row r="2123" spans="1:9" x14ac:dyDescent="0.2">
      <c r="A2123" s="293" t="s">
        <v>8262</v>
      </c>
      <c r="B2123" s="293" t="s">
        <v>5666</v>
      </c>
      <c r="C2123" s="293" t="s">
        <v>6224</v>
      </c>
      <c r="D2123" s="293" t="s">
        <v>5877</v>
      </c>
      <c r="E2123" s="293" t="s">
        <v>6225</v>
      </c>
      <c r="F2123" s="293" t="s">
        <v>6561</v>
      </c>
      <c r="G2123" s="293" t="s">
        <v>5582</v>
      </c>
      <c r="H2123" s="294">
        <v>41486</v>
      </c>
      <c r="I2123" s="295">
        <v>-4422.05</v>
      </c>
    </row>
    <row r="2124" spans="1:9" x14ac:dyDescent="0.2">
      <c r="A2124" s="293" t="s">
        <v>8263</v>
      </c>
      <c r="B2124" s="293" t="s">
        <v>5666</v>
      </c>
      <c r="C2124" s="293" t="s">
        <v>8229</v>
      </c>
      <c r="D2124" s="293" t="s">
        <v>5877</v>
      </c>
      <c r="E2124" s="293" t="s">
        <v>8230</v>
      </c>
      <c r="F2124" s="293" t="s">
        <v>6579</v>
      </c>
      <c r="G2124" s="293" t="s">
        <v>5581</v>
      </c>
      <c r="H2124" s="294">
        <v>41517</v>
      </c>
      <c r="I2124" s="295">
        <v>-18392</v>
      </c>
    </row>
    <row r="2125" spans="1:9" x14ac:dyDescent="0.2">
      <c r="A2125" s="293" t="s">
        <v>8264</v>
      </c>
      <c r="B2125" s="293" t="s">
        <v>5666</v>
      </c>
      <c r="C2125" s="293" t="s">
        <v>6088</v>
      </c>
      <c r="D2125" s="293" t="s">
        <v>5877</v>
      </c>
      <c r="E2125" s="293" t="s">
        <v>8233</v>
      </c>
      <c r="F2125" s="293" t="s">
        <v>6579</v>
      </c>
      <c r="G2125" s="293" t="s">
        <v>5581</v>
      </c>
      <c r="H2125" s="294">
        <v>41517</v>
      </c>
      <c r="I2125" s="295">
        <v>-603.13</v>
      </c>
    </row>
    <row r="2126" spans="1:9" x14ac:dyDescent="0.2">
      <c r="A2126" s="293" t="s">
        <v>8265</v>
      </c>
      <c r="B2126" s="293" t="s">
        <v>5666</v>
      </c>
      <c r="C2126" s="293" t="s">
        <v>6120</v>
      </c>
      <c r="D2126" s="293" t="s">
        <v>5877</v>
      </c>
      <c r="E2126" s="293" t="s">
        <v>8235</v>
      </c>
      <c r="F2126" s="293" t="s">
        <v>6579</v>
      </c>
      <c r="G2126" s="293" t="s">
        <v>5581</v>
      </c>
      <c r="H2126" s="294">
        <v>41517</v>
      </c>
      <c r="I2126" s="295">
        <v>-7091.09</v>
      </c>
    </row>
    <row r="2127" spans="1:9" x14ac:dyDescent="0.2">
      <c r="A2127" s="293" t="s">
        <v>8266</v>
      </c>
      <c r="B2127" s="293" t="s">
        <v>5666</v>
      </c>
      <c r="C2127" s="293" t="s">
        <v>6117</v>
      </c>
      <c r="D2127" s="293" t="s">
        <v>5877</v>
      </c>
      <c r="E2127" s="293" t="s">
        <v>8226</v>
      </c>
      <c r="F2127" s="293" t="s">
        <v>6579</v>
      </c>
      <c r="G2127" s="293" t="s">
        <v>5581</v>
      </c>
      <c r="H2127" s="294">
        <v>41517</v>
      </c>
      <c r="I2127" s="295">
        <v>-9993</v>
      </c>
    </row>
    <row r="2128" spans="1:9" x14ac:dyDescent="0.2">
      <c r="A2128" s="293" t="s">
        <v>8267</v>
      </c>
      <c r="B2128" s="293" t="s">
        <v>5666</v>
      </c>
      <c r="C2128" s="293" t="s">
        <v>6227</v>
      </c>
      <c r="D2128" s="293" t="s">
        <v>5877</v>
      </c>
      <c r="E2128" s="293" t="s">
        <v>6228</v>
      </c>
      <c r="F2128" s="293" t="s">
        <v>6579</v>
      </c>
      <c r="G2128" s="293" t="s">
        <v>5582</v>
      </c>
      <c r="H2128" s="294">
        <v>41517</v>
      </c>
      <c r="I2128" s="295">
        <v>7859.23</v>
      </c>
    </row>
    <row r="2129" spans="1:9" x14ac:dyDescent="0.2">
      <c r="A2129" s="293" t="s">
        <v>8268</v>
      </c>
      <c r="B2129" s="293" t="s">
        <v>5666</v>
      </c>
      <c r="C2129" s="293" t="s">
        <v>6224</v>
      </c>
      <c r="D2129" s="293" t="s">
        <v>5877</v>
      </c>
      <c r="E2129" s="293" t="s">
        <v>6225</v>
      </c>
      <c r="F2129" s="293" t="s">
        <v>6579</v>
      </c>
      <c r="G2129" s="293" t="s">
        <v>5582</v>
      </c>
      <c r="H2129" s="294">
        <v>41517</v>
      </c>
      <c r="I2129" s="295">
        <v>-4422.05</v>
      </c>
    </row>
    <row r="2130" spans="1:9" x14ac:dyDescent="0.2">
      <c r="A2130" s="293" t="s">
        <v>8269</v>
      </c>
      <c r="B2130" s="293" t="s">
        <v>5666</v>
      </c>
      <c r="C2130" s="293" t="s">
        <v>8229</v>
      </c>
      <c r="D2130" s="293" t="s">
        <v>5877</v>
      </c>
      <c r="E2130" s="293" t="s">
        <v>8230</v>
      </c>
      <c r="F2130" s="293" t="s">
        <v>6601</v>
      </c>
      <c r="G2130" s="293" t="s">
        <v>5581</v>
      </c>
      <c r="H2130" s="294">
        <v>41547</v>
      </c>
      <c r="I2130" s="295">
        <v>-18392</v>
      </c>
    </row>
    <row r="2131" spans="1:9" x14ac:dyDescent="0.2">
      <c r="A2131" s="293" t="s">
        <v>8270</v>
      </c>
      <c r="B2131" s="293" t="s">
        <v>5666</v>
      </c>
      <c r="C2131" s="293" t="s">
        <v>6088</v>
      </c>
      <c r="D2131" s="293" t="s">
        <v>5877</v>
      </c>
      <c r="E2131" s="293" t="s">
        <v>8233</v>
      </c>
      <c r="F2131" s="293" t="s">
        <v>6601</v>
      </c>
      <c r="G2131" s="293" t="s">
        <v>5581</v>
      </c>
      <c r="H2131" s="294">
        <v>41547</v>
      </c>
      <c r="I2131" s="295">
        <v>-603.13</v>
      </c>
    </row>
    <row r="2132" spans="1:9" x14ac:dyDescent="0.2">
      <c r="A2132" s="293" t="s">
        <v>8271</v>
      </c>
      <c r="B2132" s="293" t="s">
        <v>5666</v>
      </c>
      <c r="C2132" s="293" t="s">
        <v>6120</v>
      </c>
      <c r="D2132" s="293" t="s">
        <v>5877</v>
      </c>
      <c r="E2132" s="293" t="s">
        <v>8235</v>
      </c>
      <c r="F2132" s="293" t="s">
        <v>6601</v>
      </c>
      <c r="G2132" s="293" t="s">
        <v>5581</v>
      </c>
      <c r="H2132" s="294">
        <v>41547</v>
      </c>
      <c r="I2132" s="295">
        <v>-7091.09</v>
      </c>
    </row>
    <row r="2133" spans="1:9" x14ac:dyDescent="0.2">
      <c r="A2133" s="293" t="s">
        <v>8272</v>
      </c>
      <c r="B2133" s="293" t="s">
        <v>5666</v>
      </c>
      <c r="C2133" s="293" t="s">
        <v>6117</v>
      </c>
      <c r="D2133" s="293" t="s">
        <v>5877</v>
      </c>
      <c r="E2133" s="293" t="s">
        <v>8226</v>
      </c>
      <c r="F2133" s="293" t="s">
        <v>6601</v>
      </c>
      <c r="G2133" s="293" t="s">
        <v>5581</v>
      </c>
      <c r="H2133" s="294">
        <v>41547</v>
      </c>
      <c r="I2133" s="295">
        <v>-9993</v>
      </c>
    </row>
    <row r="2134" spans="1:9" x14ac:dyDescent="0.2">
      <c r="A2134" s="293" t="s">
        <v>8273</v>
      </c>
      <c r="B2134" s="293" t="s">
        <v>5666</v>
      </c>
      <c r="C2134" s="293" t="s">
        <v>6227</v>
      </c>
      <c r="D2134" s="293" t="s">
        <v>5877</v>
      </c>
      <c r="E2134" s="293" t="s">
        <v>6228</v>
      </c>
      <c r="F2134" s="293" t="s">
        <v>6601</v>
      </c>
      <c r="G2134" s="293" t="s">
        <v>5582</v>
      </c>
      <c r="H2134" s="294">
        <v>41547</v>
      </c>
      <c r="I2134" s="295">
        <v>7859.23</v>
      </c>
    </row>
    <row r="2135" spans="1:9" x14ac:dyDescent="0.2">
      <c r="A2135" s="293" t="s">
        <v>8274</v>
      </c>
      <c r="B2135" s="293" t="s">
        <v>5666</v>
      </c>
      <c r="C2135" s="293" t="s">
        <v>6224</v>
      </c>
      <c r="D2135" s="293" t="s">
        <v>5877</v>
      </c>
      <c r="E2135" s="293" t="s">
        <v>6225</v>
      </c>
      <c r="F2135" s="293" t="s">
        <v>6601</v>
      </c>
      <c r="G2135" s="293" t="s">
        <v>5582</v>
      </c>
      <c r="H2135" s="294">
        <v>41547</v>
      </c>
      <c r="I2135" s="295">
        <v>-4422.05</v>
      </c>
    </row>
    <row r="2136" spans="1:9" x14ac:dyDescent="0.2">
      <c r="A2136" s="293" t="s">
        <v>8275</v>
      </c>
      <c r="B2136" s="293" t="s">
        <v>5666</v>
      </c>
      <c r="C2136" s="293" t="s">
        <v>8229</v>
      </c>
      <c r="D2136" s="293" t="s">
        <v>5877</v>
      </c>
      <c r="E2136" s="293" t="s">
        <v>8230</v>
      </c>
      <c r="F2136" s="293" t="s">
        <v>6621</v>
      </c>
      <c r="G2136" s="293" t="s">
        <v>5581</v>
      </c>
      <c r="H2136" s="294">
        <v>41578</v>
      </c>
      <c r="I2136" s="295">
        <v>-18392</v>
      </c>
    </row>
    <row r="2137" spans="1:9" x14ac:dyDescent="0.2">
      <c r="A2137" s="293" t="s">
        <v>8276</v>
      </c>
      <c r="B2137" s="293" t="s">
        <v>5666</v>
      </c>
      <c r="C2137" s="293" t="s">
        <v>6088</v>
      </c>
      <c r="D2137" s="293" t="s">
        <v>5877</v>
      </c>
      <c r="E2137" s="293" t="s">
        <v>8233</v>
      </c>
      <c r="F2137" s="293" t="s">
        <v>6621</v>
      </c>
      <c r="G2137" s="293" t="s">
        <v>5581</v>
      </c>
      <c r="H2137" s="294">
        <v>41578</v>
      </c>
      <c r="I2137" s="295">
        <v>-603.13</v>
      </c>
    </row>
    <row r="2138" spans="1:9" x14ac:dyDescent="0.2">
      <c r="A2138" s="293" t="s">
        <v>8277</v>
      </c>
      <c r="B2138" s="293" t="s">
        <v>5666</v>
      </c>
      <c r="C2138" s="293" t="s">
        <v>6120</v>
      </c>
      <c r="D2138" s="293" t="s">
        <v>5877</v>
      </c>
      <c r="E2138" s="293" t="s">
        <v>8235</v>
      </c>
      <c r="F2138" s="293" t="s">
        <v>6621</v>
      </c>
      <c r="G2138" s="293" t="s">
        <v>5581</v>
      </c>
      <c r="H2138" s="294">
        <v>41578</v>
      </c>
      <c r="I2138" s="295">
        <v>-7091.09</v>
      </c>
    </row>
    <row r="2139" spans="1:9" x14ac:dyDescent="0.2">
      <c r="A2139" s="293" t="s">
        <v>8278</v>
      </c>
      <c r="B2139" s="293" t="s">
        <v>5666</v>
      </c>
      <c r="C2139" s="293" t="s">
        <v>6117</v>
      </c>
      <c r="D2139" s="293" t="s">
        <v>5877</v>
      </c>
      <c r="E2139" s="293" t="s">
        <v>8226</v>
      </c>
      <c r="F2139" s="293" t="s">
        <v>6621</v>
      </c>
      <c r="G2139" s="293" t="s">
        <v>5581</v>
      </c>
      <c r="H2139" s="294">
        <v>41578</v>
      </c>
      <c r="I2139" s="295">
        <v>-9993</v>
      </c>
    </row>
    <row r="2140" spans="1:9" x14ac:dyDescent="0.2">
      <c r="A2140" s="293" t="s">
        <v>8279</v>
      </c>
      <c r="B2140" s="293" t="s">
        <v>5666</v>
      </c>
      <c r="C2140" s="293" t="s">
        <v>8229</v>
      </c>
      <c r="D2140" s="293" t="s">
        <v>5877</v>
      </c>
      <c r="E2140" s="293" t="s">
        <v>8230</v>
      </c>
      <c r="F2140" s="293" t="s">
        <v>6640</v>
      </c>
      <c r="G2140" s="293" t="s">
        <v>5581</v>
      </c>
      <c r="H2140" s="294">
        <v>41608</v>
      </c>
      <c r="I2140" s="295">
        <v>-18392</v>
      </c>
    </row>
    <row r="2141" spans="1:9" x14ac:dyDescent="0.2">
      <c r="A2141" s="293" t="s">
        <v>8280</v>
      </c>
      <c r="B2141" s="293" t="s">
        <v>5666</v>
      </c>
      <c r="C2141" s="293" t="s">
        <v>6088</v>
      </c>
      <c r="D2141" s="293" t="s">
        <v>5877</v>
      </c>
      <c r="E2141" s="293" t="s">
        <v>8233</v>
      </c>
      <c r="F2141" s="293" t="s">
        <v>6640</v>
      </c>
      <c r="G2141" s="293" t="s">
        <v>5581</v>
      </c>
      <c r="H2141" s="294">
        <v>41608</v>
      </c>
      <c r="I2141" s="295">
        <v>-603.13</v>
      </c>
    </row>
    <row r="2142" spans="1:9" x14ac:dyDescent="0.2">
      <c r="A2142" s="293" t="s">
        <v>8281</v>
      </c>
      <c r="B2142" s="293" t="s">
        <v>5666</v>
      </c>
      <c r="C2142" s="293" t="s">
        <v>6120</v>
      </c>
      <c r="D2142" s="293" t="s">
        <v>5877</v>
      </c>
      <c r="E2142" s="293" t="s">
        <v>8235</v>
      </c>
      <c r="F2142" s="293" t="s">
        <v>6640</v>
      </c>
      <c r="G2142" s="293" t="s">
        <v>5581</v>
      </c>
      <c r="H2142" s="294">
        <v>41608</v>
      </c>
      <c r="I2142" s="295">
        <v>-7091.09</v>
      </c>
    </row>
    <row r="2143" spans="1:9" x14ac:dyDescent="0.2">
      <c r="A2143" s="293" t="s">
        <v>8282</v>
      </c>
      <c r="B2143" s="293" t="s">
        <v>5666</v>
      </c>
      <c r="C2143" s="293" t="s">
        <v>6117</v>
      </c>
      <c r="D2143" s="293" t="s">
        <v>5877</v>
      </c>
      <c r="E2143" s="293" t="s">
        <v>8226</v>
      </c>
      <c r="F2143" s="293" t="s">
        <v>6640</v>
      </c>
      <c r="G2143" s="293" t="s">
        <v>5581</v>
      </c>
      <c r="H2143" s="294">
        <v>41608</v>
      </c>
      <c r="I2143" s="295">
        <v>-9993</v>
      </c>
    </row>
    <row r="2144" spans="1:9" x14ac:dyDescent="0.2">
      <c r="A2144" s="293" t="s">
        <v>8283</v>
      </c>
      <c r="B2144" s="293" t="s">
        <v>5666</v>
      </c>
      <c r="C2144" s="293" t="s">
        <v>8229</v>
      </c>
      <c r="D2144" s="293" t="s">
        <v>5877</v>
      </c>
      <c r="E2144" s="293" t="s">
        <v>8230</v>
      </c>
      <c r="F2144" s="293" t="s">
        <v>6657</v>
      </c>
      <c r="G2144" s="293" t="s">
        <v>5581</v>
      </c>
      <c r="H2144" s="294">
        <v>41639</v>
      </c>
      <c r="I2144" s="295">
        <v>-18392</v>
      </c>
    </row>
    <row r="2145" spans="1:9" x14ac:dyDescent="0.2">
      <c r="A2145" s="293" t="s">
        <v>8284</v>
      </c>
      <c r="B2145" s="293" t="s">
        <v>5666</v>
      </c>
      <c r="C2145" s="293" t="s">
        <v>6088</v>
      </c>
      <c r="D2145" s="293" t="s">
        <v>5877</v>
      </c>
      <c r="E2145" s="293" t="s">
        <v>8233</v>
      </c>
      <c r="F2145" s="293" t="s">
        <v>6657</v>
      </c>
      <c r="G2145" s="293" t="s">
        <v>5581</v>
      </c>
      <c r="H2145" s="294">
        <v>41639</v>
      </c>
      <c r="I2145" s="295">
        <v>-603.13</v>
      </c>
    </row>
    <row r="2146" spans="1:9" x14ac:dyDescent="0.2">
      <c r="A2146" s="293" t="s">
        <v>8285</v>
      </c>
      <c r="B2146" s="293" t="s">
        <v>5666</v>
      </c>
      <c r="C2146" s="293" t="s">
        <v>6120</v>
      </c>
      <c r="D2146" s="293" t="s">
        <v>5877</v>
      </c>
      <c r="E2146" s="293" t="s">
        <v>8235</v>
      </c>
      <c r="F2146" s="293" t="s">
        <v>6657</v>
      </c>
      <c r="G2146" s="293" t="s">
        <v>5581</v>
      </c>
      <c r="H2146" s="294">
        <v>41639</v>
      </c>
      <c r="I2146" s="295">
        <v>-7091.09</v>
      </c>
    </row>
    <row r="2147" spans="1:9" x14ac:dyDescent="0.2">
      <c r="A2147" s="293" t="s">
        <v>8286</v>
      </c>
      <c r="B2147" s="293" t="s">
        <v>5666</v>
      </c>
      <c r="C2147" s="293" t="s">
        <v>6117</v>
      </c>
      <c r="D2147" s="293" t="s">
        <v>5877</v>
      </c>
      <c r="E2147" s="293" t="s">
        <v>8226</v>
      </c>
      <c r="F2147" s="293" t="s">
        <v>6657</v>
      </c>
      <c r="G2147" s="293" t="s">
        <v>5581</v>
      </c>
      <c r="H2147" s="294">
        <v>41639</v>
      </c>
      <c r="I2147" s="295">
        <v>-9993</v>
      </c>
    </row>
    <row r="2148" spans="1:9" x14ac:dyDescent="0.2">
      <c r="A2148" s="293" t="s">
        <v>8287</v>
      </c>
      <c r="B2148" s="293" t="s">
        <v>5666</v>
      </c>
      <c r="C2148" s="293" t="s">
        <v>8229</v>
      </c>
      <c r="D2148" s="293" t="s">
        <v>5877</v>
      </c>
      <c r="E2148" s="293" t="s">
        <v>8230</v>
      </c>
      <c r="F2148" s="293" t="s">
        <v>6677</v>
      </c>
      <c r="G2148" s="293" t="s">
        <v>5581</v>
      </c>
      <c r="H2148" s="294">
        <v>41670</v>
      </c>
      <c r="I2148" s="295">
        <v>-18332</v>
      </c>
    </row>
    <row r="2149" spans="1:9" x14ac:dyDescent="0.2">
      <c r="A2149" s="293" t="s">
        <v>8288</v>
      </c>
      <c r="B2149" s="293" t="s">
        <v>5666</v>
      </c>
      <c r="C2149" s="293" t="s">
        <v>6088</v>
      </c>
      <c r="D2149" s="293" t="s">
        <v>5877</v>
      </c>
      <c r="E2149" s="293" t="s">
        <v>8233</v>
      </c>
      <c r="F2149" s="293" t="s">
        <v>6677</v>
      </c>
      <c r="G2149" s="293" t="s">
        <v>5581</v>
      </c>
      <c r="H2149" s="294">
        <v>41670</v>
      </c>
      <c r="I2149" s="295">
        <v>-603.13</v>
      </c>
    </row>
    <row r="2150" spans="1:9" x14ac:dyDescent="0.2">
      <c r="A2150" s="293" t="s">
        <v>8289</v>
      </c>
      <c r="B2150" s="293" t="s">
        <v>5666</v>
      </c>
      <c r="C2150" s="293" t="s">
        <v>6120</v>
      </c>
      <c r="D2150" s="293" t="s">
        <v>5877</v>
      </c>
      <c r="E2150" s="293" t="s">
        <v>8235</v>
      </c>
      <c r="F2150" s="293" t="s">
        <v>6677</v>
      </c>
      <c r="G2150" s="293" t="s">
        <v>5581</v>
      </c>
      <c r="H2150" s="294">
        <v>41670</v>
      </c>
      <c r="I2150" s="295">
        <v>-7091.09</v>
      </c>
    </row>
    <row r="2151" spans="1:9" x14ac:dyDescent="0.2">
      <c r="A2151" s="293" t="s">
        <v>8290</v>
      </c>
      <c r="B2151" s="293" t="s">
        <v>5666</v>
      </c>
      <c r="C2151" s="293" t="s">
        <v>6117</v>
      </c>
      <c r="D2151" s="293" t="s">
        <v>5877</v>
      </c>
      <c r="E2151" s="293" t="s">
        <v>8226</v>
      </c>
      <c r="F2151" s="293" t="s">
        <v>6677</v>
      </c>
      <c r="G2151" s="293" t="s">
        <v>5581</v>
      </c>
      <c r="H2151" s="294">
        <v>41670</v>
      </c>
      <c r="I2151" s="295">
        <v>-9993</v>
      </c>
    </row>
    <row r="2152" spans="1:9" x14ac:dyDescent="0.2">
      <c r="A2152" s="293" t="s">
        <v>8291</v>
      </c>
      <c r="B2152" s="293" t="s">
        <v>5666</v>
      </c>
      <c r="C2152" s="293" t="s">
        <v>6088</v>
      </c>
      <c r="D2152" s="293" t="s">
        <v>5877</v>
      </c>
      <c r="E2152" s="293" t="s">
        <v>8233</v>
      </c>
      <c r="F2152" s="293" t="s">
        <v>6694</v>
      </c>
      <c r="G2152" s="293" t="s">
        <v>5581</v>
      </c>
      <c r="H2152" s="294">
        <v>41698</v>
      </c>
      <c r="I2152" s="295">
        <v>-603.13</v>
      </c>
    </row>
    <row r="2153" spans="1:9" x14ac:dyDescent="0.2">
      <c r="A2153" s="293" t="s">
        <v>8292</v>
      </c>
      <c r="B2153" s="293" t="s">
        <v>5666</v>
      </c>
      <c r="C2153" s="293" t="s">
        <v>6120</v>
      </c>
      <c r="D2153" s="293" t="s">
        <v>5877</v>
      </c>
      <c r="E2153" s="293" t="s">
        <v>8235</v>
      </c>
      <c r="F2153" s="293" t="s">
        <v>6694</v>
      </c>
      <c r="G2153" s="293" t="s">
        <v>5581</v>
      </c>
      <c r="H2153" s="294">
        <v>41698</v>
      </c>
      <c r="I2153" s="295">
        <v>-7091.09</v>
      </c>
    </row>
    <row r="2154" spans="1:9" x14ac:dyDescent="0.2">
      <c r="A2154" s="293" t="s">
        <v>6727</v>
      </c>
      <c r="B2154" s="293" t="s">
        <v>5666</v>
      </c>
      <c r="C2154" s="293" t="s">
        <v>6728</v>
      </c>
      <c r="D2154" s="293" t="s">
        <v>5877</v>
      </c>
      <c r="E2154" s="293" t="s">
        <v>5088</v>
      </c>
      <c r="F2154" s="293" t="s">
        <v>6729</v>
      </c>
      <c r="G2154" s="293" t="s">
        <v>5581</v>
      </c>
      <c r="H2154" s="294">
        <v>41729</v>
      </c>
      <c r="I2154" s="295">
        <v>-36</v>
      </c>
    </row>
    <row r="2155" spans="1:9" x14ac:dyDescent="0.2">
      <c r="A2155" s="293" t="s">
        <v>6727</v>
      </c>
      <c r="B2155" s="293" t="s">
        <v>5666</v>
      </c>
      <c r="C2155" s="293" t="s">
        <v>6728</v>
      </c>
      <c r="D2155" s="293" t="s">
        <v>5877</v>
      </c>
      <c r="E2155" s="293" t="s">
        <v>5088</v>
      </c>
      <c r="F2155" s="293" t="s">
        <v>6729</v>
      </c>
      <c r="G2155" s="293" t="s">
        <v>5581</v>
      </c>
      <c r="H2155" s="294">
        <v>41729</v>
      </c>
      <c r="I2155" s="295">
        <v>0.1</v>
      </c>
    </row>
    <row r="2156" spans="1:9" x14ac:dyDescent="0.2">
      <c r="A2156" s="293" t="s">
        <v>6727</v>
      </c>
      <c r="B2156" s="293" t="s">
        <v>5666</v>
      </c>
      <c r="C2156" s="293" t="s">
        <v>6728</v>
      </c>
      <c r="D2156" s="293" t="s">
        <v>5877</v>
      </c>
      <c r="E2156" s="293" t="s">
        <v>5088</v>
      </c>
      <c r="F2156" s="293" t="s">
        <v>6729</v>
      </c>
      <c r="G2156" s="293" t="s">
        <v>5581</v>
      </c>
      <c r="H2156" s="294">
        <v>41729</v>
      </c>
      <c r="I2156" s="295">
        <v>0.68</v>
      </c>
    </row>
    <row r="2157" spans="1:9" x14ac:dyDescent="0.2">
      <c r="A2157" s="293" t="s">
        <v>8293</v>
      </c>
      <c r="B2157" s="293" t="s">
        <v>5666</v>
      </c>
      <c r="C2157" s="293" t="s">
        <v>6122</v>
      </c>
      <c r="D2157" s="293" t="s">
        <v>5877</v>
      </c>
      <c r="E2157" s="293" t="s">
        <v>8294</v>
      </c>
      <c r="F2157" s="293" t="s">
        <v>7534</v>
      </c>
      <c r="G2157" s="293" t="s">
        <v>5577</v>
      </c>
      <c r="H2157" s="294">
        <v>43131</v>
      </c>
      <c r="I2157" s="295">
        <v>-1179.21</v>
      </c>
    </row>
    <row r="2158" spans="1:9" x14ac:dyDescent="0.2">
      <c r="A2158" s="293" t="s">
        <v>8295</v>
      </c>
      <c r="B2158" s="293" t="s">
        <v>5666</v>
      </c>
      <c r="C2158" s="293" t="s">
        <v>6122</v>
      </c>
      <c r="D2158" s="293" t="s">
        <v>5877</v>
      </c>
      <c r="E2158" s="293" t="s">
        <v>8294</v>
      </c>
      <c r="F2158" s="293" t="s">
        <v>7534</v>
      </c>
      <c r="G2158" s="293" t="s">
        <v>5577</v>
      </c>
      <c r="H2158" s="294">
        <v>43159</v>
      </c>
      <c r="I2158" s="295">
        <v>-1179.21</v>
      </c>
    </row>
    <row r="2159" spans="1:9" x14ac:dyDescent="0.2">
      <c r="A2159" s="293" t="s">
        <v>8296</v>
      </c>
      <c r="B2159" s="293" t="s">
        <v>5666</v>
      </c>
      <c r="C2159" s="293" t="s">
        <v>6122</v>
      </c>
      <c r="D2159" s="293" t="s">
        <v>5877</v>
      </c>
      <c r="E2159" s="293" t="s">
        <v>8294</v>
      </c>
      <c r="F2159" s="293" t="s">
        <v>7534</v>
      </c>
      <c r="G2159" s="293" t="s">
        <v>5577</v>
      </c>
      <c r="H2159" s="294">
        <v>43190</v>
      </c>
      <c r="I2159" s="295">
        <v>-1179.21</v>
      </c>
    </row>
    <row r="2160" spans="1:9" x14ac:dyDescent="0.2">
      <c r="A2160" s="293" t="s">
        <v>8297</v>
      </c>
      <c r="B2160" s="293" t="s">
        <v>5666</v>
      </c>
      <c r="C2160" s="293" t="s">
        <v>6122</v>
      </c>
      <c r="D2160" s="293" t="s">
        <v>5877</v>
      </c>
      <c r="E2160" s="293" t="s">
        <v>8294</v>
      </c>
      <c r="F2160" s="293" t="s">
        <v>7534</v>
      </c>
      <c r="G2160" s="293" t="s">
        <v>5577</v>
      </c>
      <c r="H2160" s="294">
        <v>43220</v>
      </c>
      <c r="I2160" s="295">
        <v>-1179.21</v>
      </c>
    </row>
    <row r="2161" spans="1:9" x14ac:dyDescent="0.2">
      <c r="A2161" s="293" t="s">
        <v>8298</v>
      </c>
      <c r="B2161" s="293" t="s">
        <v>5666</v>
      </c>
      <c r="C2161" s="293" t="s">
        <v>6122</v>
      </c>
      <c r="D2161" s="293" t="s">
        <v>5877</v>
      </c>
      <c r="E2161" s="293" t="s">
        <v>8294</v>
      </c>
      <c r="F2161" s="293" t="s">
        <v>7534</v>
      </c>
      <c r="G2161" s="293" t="s">
        <v>5577</v>
      </c>
      <c r="H2161" s="294">
        <v>43251</v>
      </c>
      <c r="I2161" s="295">
        <v>-1179.83</v>
      </c>
    </row>
    <row r="2162" spans="1:9" x14ac:dyDescent="0.2">
      <c r="A2162" s="293" t="s">
        <v>8299</v>
      </c>
      <c r="B2162" s="293" t="s">
        <v>5666</v>
      </c>
      <c r="C2162" s="293" t="s">
        <v>6122</v>
      </c>
      <c r="D2162" s="293" t="s">
        <v>5877</v>
      </c>
      <c r="E2162" s="293" t="s">
        <v>8294</v>
      </c>
      <c r="F2162" s="293" t="s">
        <v>7534</v>
      </c>
      <c r="G2162" s="293" t="s">
        <v>5577</v>
      </c>
      <c r="H2162" s="294">
        <v>42916</v>
      </c>
      <c r="I2162" s="295">
        <v>-1179.21</v>
      </c>
    </row>
    <row r="2163" spans="1:9" x14ac:dyDescent="0.2">
      <c r="A2163" s="293" t="s">
        <v>8300</v>
      </c>
      <c r="B2163" s="293" t="s">
        <v>5666</v>
      </c>
      <c r="C2163" s="293" t="s">
        <v>6122</v>
      </c>
      <c r="D2163" s="293" t="s">
        <v>5877</v>
      </c>
      <c r="E2163" s="293" t="s">
        <v>8294</v>
      </c>
      <c r="F2163" s="293" t="s">
        <v>7534</v>
      </c>
      <c r="G2163" s="293" t="s">
        <v>5577</v>
      </c>
      <c r="H2163" s="294">
        <v>42947</v>
      </c>
      <c r="I2163" s="295">
        <v>-1179.21</v>
      </c>
    </row>
    <row r="2164" spans="1:9" x14ac:dyDescent="0.2">
      <c r="A2164" s="293" t="s">
        <v>8301</v>
      </c>
      <c r="B2164" s="293" t="s">
        <v>5666</v>
      </c>
      <c r="C2164" s="293" t="s">
        <v>6122</v>
      </c>
      <c r="D2164" s="293" t="s">
        <v>5877</v>
      </c>
      <c r="E2164" s="293" t="s">
        <v>8294</v>
      </c>
      <c r="F2164" s="293" t="s">
        <v>7534</v>
      </c>
      <c r="G2164" s="293" t="s">
        <v>5577</v>
      </c>
      <c r="H2164" s="294">
        <v>42978</v>
      </c>
      <c r="I2164" s="295">
        <v>-1179.21</v>
      </c>
    </row>
    <row r="2165" spans="1:9" x14ac:dyDescent="0.2">
      <c r="A2165" s="293" t="s">
        <v>8302</v>
      </c>
      <c r="B2165" s="293" t="s">
        <v>5666</v>
      </c>
      <c r="C2165" s="293" t="s">
        <v>6122</v>
      </c>
      <c r="D2165" s="293" t="s">
        <v>5877</v>
      </c>
      <c r="E2165" s="293" t="s">
        <v>8294</v>
      </c>
      <c r="F2165" s="293" t="s">
        <v>7534</v>
      </c>
      <c r="G2165" s="293" t="s">
        <v>5577</v>
      </c>
      <c r="H2165" s="294">
        <v>43008</v>
      </c>
      <c r="I2165" s="295">
        <v>-1179.21</v>
      </c>
    </row>
    <row r="2166" spans="1:9" x14ac:dyDescent="0.2">
      <c r="A2166" s="293" t="s">
        <v>8303</v>
      </c>
      <c r="B2166" s="293" t="s">
        <v>5666</v>
      </c>
      <c r="C2166" s="293" t="s">
        <v>6122</v>
      </c>
      <c r="D2166" s="293" t="s">
        <v>5877</v>
      </c>
      <c r="E2166" s="293" t="s">
        <v>8294</v>
      </c>
      <c r="F2166" s="293" t="s">
        <v>7534</v>
      </c>
      <c r="G2166" s="293" t="s">
        <v>5577</v>
      </c>
      <c r="H2166" s="294">
        <v>43039</v>
      </c>
      <c r="I2166" s="295">
        <v>-1179.21</v>
      </c>
    </row>
    <row r="2167" spans="1:9" x14ac:dyDescent="0.2">
      <c r="A2167" s="293" t="s">
        <v>8304</v>
      </c>
      <c r="B2167" s="293" t="s">
        <v>5666</v>
      </c>
      <c r="C2167" s="293" t="s">
        <v>6122</v>
      </c>
      <c r="D2167" s="293" t="s">
        <v>5877</v>
      </c>
      <c r="E2167" s="293" t="s">
        <v>8294</v>
      </c>
      <c r="F2167" s="293" t="s">
        <v>7534</v>
      </c>
      <c r="G2167" s="293" t="s">
        <v>5577</v>
      </c>
      <c r="H2167" s="294">
        <v>43069</v>
      </c>
      <c r="I2167" s="295">
        <v>-1179.21</v>
      </c>
    </row>
    <row r="2168" spans="1:9" x14ac:dyDescent="0.2">
      <c r="A2168" s="293" t="s">
        <v>8305</v>
      </c>
      <c r="B2168" s="293" t="s">
        <v>5666</v>
      </c>
      <c r="C2168" s="293" t="s">
        <v>6122</v>
      </c>
      <c r="D2168" s="293" t="s">
        <v>5877</v>
      </c>
      <c r="E2168" s="293" t="s">
        <v>8294</v>
      </c>
      <c r="F2168" s="293" t="s">
        <v>7534</v>
      </c>
      <c r="G2168" s="293" t="s">
        <v>5577</v>
      </c>
      <c r="H2168" s="294">
        <v>43100</v>
      </c>
      <c r="I2168" s="295">
        <v>-1179.21</v>
      </c>
    </row>
    <row r="2169" spans="1:9" x14ac:dyDescent="0.2">
      <c r="A2169" s="293" t="s">
        <v>8306</v>
      </c>
      <c r="B2169" s="293" t="s">
        <v>5666</v>
      </c>
      <c r="C2169" s="293" t="s">
        <v>6122</v>
      </c>
      <c r="D2169" s="293" t="s">
        <v>5877</v>
      </c>
      <c r="E2169" s="293" t="s">
        <v>8307</v>
      </c>
      <c r="F2169" s="293" t="s">
        <v>7552</v>
      </c>
      <c r="G2169" s="293" t="s">
        <v>5577</v>
      </c>
      <c r="H2169" s="294">
        <v>42916</v>
      </c>
      <c r="I2169" s="295">
        <v>0.62</v>
      </c>
    </row>
    <row r="2170" spans="1:9" x14ac:dyDescent="0.2">
      <c r="A2170" s="293" t="s">
        <v>5875</v>
      </c>
      <c r="B2170" s="293" t="s">
        <v>5666</v>
      </c>
      <c r="C2170" s="293" t="s">
        <v>5876</v>
      </c>
      <c r="D2170" s="293" t="s">
        <v>5878</v>
      </c>
      <c r="E2170" s="293" t="s">
        <v>5088</v>
      </c>
      <c r="F2170" s="293" t="s">
        <v>5776</v>
      </c>
      <c r="G2170" s="293" t="s">
        <v>5637</v>
      </c>
      <c r="H2170" s="294">
        <v>40543</v>
      </c>
      <c r="I2170" s="295">
        <v>-3806202.24</v>
      </c>
    </row>
    <row r="2171" spans="1:9" x14ac:dyDescent="0.2">
      <c r="A2171" s="293" t="s">
        <v>5772</v>
      </c>
      <c r="B2171" s="293" t="s">
        <v>5632</v>
      </c>
      <c r="C2171" s="293" t="s">
        <v>5773</v>
      </c>
      <c r="D2171" s="293" t="s">
        <v>5878</v>
      </c>
      <c r="E2171" s="293" t="s">
        <v>5879</v>
      </c>
      <c r="F2171" s="293" t="s">
        <v>5776</v>
      </c>
      <c r="G2171" s="293" t="s">
        <v>5587</v>
      </c>
      <c r="H2171" s="294">
        <v>40543</v>
      </c>
      <c r="I2171" s="295">
        <v>106757.57</v>
      </c>
    </row>
    <row r="2172" spans="1:9" x14ac:dyDescent="0.2">
      <c r="A2172" s="293" t="s">
        <v>5772</v>
      </c>
      <c r="B2172" s="293" t="s">
        <v>5632</v>
      </c>
      <c r="C2172" s="293" t="s">
        <v>5773</v>
      </c>
      <c r="D2172" s="293" t="s">
        <v>5878</v>
      </c>
      <c r="E2172" s="293" t="s">
        <v>5880</v>
      </c>
      <c r="F2172" s="293" t="s">
        <v>5776</v>
      </c>
      <c r="G2172" s="293" t="s">
        <v>5573</v>
      </c>
      <c r="H2172" s="294">
        <v>40543</v>
      </c>
      <c r="I2172" s="295">
        <v>2506917.5699999998</v>
      </c>
    </row>
    <row r="2173" spans="1:9" x14ac:dyDescent="0.2">
      <c r="A2173" s="293" t="s">
        <v>5772</v>
      </c>
      <c r="B2173" s="293" t="s">
        <v>5632</v>
      </c>
      <c r="C2173" s="293" t="s">
        <v>5773</v>
      </c>
      <c r="D2173" s="293" t="s">
        <v>5878</v>
      </c>
      <c r="E2173" s="293" t="s">
        <v>5881</v>
      </c>
      <c r="F2173" s="293" t="s">
        <v>5776</v>
      </c>
      <c r="G2173" s="293" t="s">
        <v>5580</v>
      </c>
      <c r="H2173" s="294">
        <v>40543</v>
      </c>
      <c r="I2173" s="295">
        <v>996.39</v>
      </c>
    </row>
    <row r="2174" spans="1:9" x14ac:dyDescent="0.2">
      <c r="A2174" s="293" t="s">
        <v>5772</v>
      </c>
      <c r="B2174" s="293" t="s">
        <v>5632</v>
      </c>
      <c r="C2174" s="293" t="s">
        <v>5773</v>
      </c>
      <c r="D2174" s="293" t="s">
        <v>5878</v>
      </c>
      <c r="E2174" s="293" t="s">
        <v>5882</v>
      </c>
      <c r="F2174" s="293" t="s">
        <v>5776</v>
      </c>
      <c r="G2174" s="293" t="s">
        <v>5573</v>
      </c>
      <c r="H2174" s="294">
        <v>40543</v>
      </c>
      <c r="I2174" s="295">
        <v>1701839</v>
      </c>
    </row>
    <row r="2175" spans="1:9" x14ac:dyDescent="0.2">
      <c r="A2175" s="293" t="s">
        <v>5772</v>
      </c>
      <c r="B2175" s="293" t="s">
        <v>5632</v>
      </c>
      <c r="C2175" s="293" t="s">
        <v>5773</v>
      </c>
      <c r="D2175" s="293" t="s">
        <v>5878</v>
      </c>
      <c r="E2175" s="293" t="s">
        <v>5883</v>
      </c>
      <c r="F2175" s="293" t="s">
        <v>5776</v>
      </c>
      <c r="G2175" s="293" t="s">
        <v>5581</v>
      </c>
      <c r="H2175" s="294">
        <v>40543</v>
      </c>
      <c r="I2175" s="295">
        <v>1354943.62</v>
      </c>
    </row>
    <row r="2176" spans="1:9" x14ac:dyDescent="0.2">
      <c r="A2176" s="293" t="s">
        <v>5772</v>
      </c>
      <c r="B2176" s="293" t="s">
        <v>5632</v>
      </c>
      <c r="C2176" s="293" t="s">
        <v>5773</v>
      </c>
      <c r="D2176" s="293" t="s">
        <v>5878</v>
      </c>
      <c r="E2176" s="293" t="s">
        <v>5884</v>
      </c>
      <c r="F2176" s="293" t="s">
        <v>5776</v>
      </c>
      <c r="G2176" s="293" t="s">
        <v>5588</v>
      </c>
      <c r="H2176" s="294">
        <v>40543</v>
      </c>
      <c r="I2176" s="295">
        <v>3379229.01</v>
      </c>
    </row>
    <row r="2177" spans="1:9" x14ac:dyDescent="0.2">
      <c r="A2177" s="293" t="s">
        <v>5772</v>
      </c>
      <c r="B2177" s="293" t="s">
        <v>5632</v>
      </c>
      <c r="C2177" s="293" t="s">
        <v>5773</v>
      </c>
      <c r="D2177" s="293" t="s">
        <v>5878</v>
      </c>
      <c r="E2177" s="293" t="s">
        <v>5885</v>
      </c>
      <c r="F2177" s="293" t="s">
        <v>5776</v>
      </c>
      <c r="G2177" s="293" t="s">
        <v>5581</v>
      </c>
      <c r="H2177" s="294">
        <v>40543</v>
      </c>
      <c r="I2177" s="295">
        <v>662686.57999999996</v>
      </c>
    </row>
    <row r="2178" spans="1:9" x14ac:dyDescent="0.2">
      <c r="A2178" s="293" t="s">
        <v>5777</v>
      </c>
      <c r="B2178" s="293" t="s">
        <v>5632</v>
      </c>
      <c r="C2178" s="293" t="s">
        <v>5773</v>
      </c>
      <c r="D2178" s="293" t="s">
        <v>5878</v>
      </c>
      <c r="E2178" s="293" t="s">
        <v>5879</v>
      </c>
      <c r="F2178" s="293" t="s">
        <v>5776</v>
      </c>
      <c r="G2178" s="293" t="s">
        <v>5587</v>
      </c>
      <c r="H2178" s="294">
        <v>40543</v>
      </c>
      <c r="I2178" s="295">
        <v>106757.57</v>
      </c>
    </row>
    <row r="2179" spans="1:9" x14ac:dyDescent="0.2">
      <c r="A2179" s="293" t="s">
        <v>5777</v>
      </c>
      <c r="B2179" s="293" t="s">
        <v>5632</v>
      </c>
      <c r="C2179" s="293" t="s">
        <v>5773</v>
      </c>
      <c r="D2179" s="293" t="s">
        <v>5878</v>
      </c>
      <c r="E2179" s="293" t="s">
        <v>5880</v>
      </c>
      <c r="F2179" s="293" t="s">
        <v>5776</v>
      </c>
      <c r="G2179" s="293" t="s">
        <v>5573</v>
      </c>
      <c r="H2179" s="294">
        <v>40543</v>
      </c>
      <c r="I2179" s="295">
        <v>2506917.5699999998</v>
      </c>
    </row>
    <row r="2180" spans="1:9" x14ac:dyDescent="0.2">
      <c r="A2180" s="293" t="s">
        <v>5777</v>
      </c>
      <c r="B2180" s="293" t="s">
        <v>5632</v>
      </c>
      <c r="C2180" s="293" t="s">
        <v>5773</v>
      </c>
      <c r="D2180" s="293" t="s">
        <v>5878</v>
      </c>
      <c r="E2180" s="293" t="s">
        <v>5881</v>
      </c>
      <c r="F2180" s="293" t="s">
        <v>5776</v>
      </c>
      <c r="G2180" s="293" t="s">
        <v>5580</v>
      </c>
      <c r="H2180" s="294">
        <v>40543</v>
      </c>
      <c r="I2180" s="295">
        <v>996.39</v>
      </c>
    </row>
    <row r="2181" spans="1:9" x14ac:dyDescent="0.2">
      <c r="A2181" s="293" t="s">
        <v>5777</v>
      </c>
      <c r="B2181" s="293" t="s">
        <v>5632</v>
      </c>
      <c r="C2181" s="293" t="s">
        <v>5773</v>
      </c>
      <c r="D2181" s="293" t="s">
        <v>5878</v>
      </c>
      <c r="E2181" s="293" t="s">
        <v>5882</v>
      </c>
      <c r="F2181" s="293" t="s">
        <v>5776</v>
      </c>
      <c r="G2181" s="293" t="s">
        <v>5573</v>
      </c>
      <c r="H2181" s="294">
        <v>40543</v>
      </c>
      <c r="I2181" s="295">
        <v>1701839</v>
      </c>
    </row>
    <row r="2182" spans="1:9" x14ac:dyDescent="0.2">
      <c r="A2182" s="293" t="s">
        <v>5777</v>
      </c>
      <c r="B2182" s="293" t="s">
        <v>5632</v>
      </c>
      <c r="C2182" s="293" t="s">
        <v>5773</v>
      </c>
      <c r="D2182" s="293" t="s">
        <v>5878</v>
      </c>
      <c r="E2182" s="293" t="s">
        <v>5883</v>
      </c>
      <c r="F2182" s="293" t="s">
        <v>5776</v>
      </c>
      <c r="G2182" s="293" t="s">
        <v>5581</v>
      </c>
      <c r="H2182" s="294">
        <v>40543</v>
      </c>
      <c r="I2182" s="295">
        <v>1354943.62</v>
      </c>
    </row>
    <row r="2183" spans="1:9" x14ac:dyDescent="0.2">
      <c r="A2183" s="293" t="s">
        <v>5777</v>
      </c>
      <c r="B2183" s="293" t="s">
        <v>5632</v>
      </c>
      <c r="C2183" s="293" t="s">
        <v>5773</v>
      </c>
      <c r="D2183" s="293" t="s">
        <v>5878</v>
      </c>
      <c r="E2183" s="293" t="s">
        <v>5884</v>
      </c>
      <c r="F2183" s="293" t="s">
        <v>5776</v>
      </c>
      <c r="G2183" s="293" t="s">
        <v>5588</v>
      </c>
      <c r="H2183" s="294">
        <v>40543</v>
      </c>
      <c r="I2183" s="295">
        <v>3379229.01</v>
      </c>
    </row>
    <row r="2184" spans="1:9" x14ac:dyDescent="0.2">
      <c r="A2184" s="293" t="s">
        <v>5777</v>
      </c>
      <c r="B2184" s="293" t="s">
        <v>5632</v>
      </c>
      <c r="C2184" s="293" t="s">
        <v>5773</v>
      </c>
      <c r="D2184" s="293" t="s">
        <v>5878</v>
      </c>
      <c r="E2184" s="293" t="s">
        <v>5885</v>
      </c>
      <c r="F2184" s="293" t="s">
        <v>5776</v>
      </c>
      <c r="G2184" s="293" t="s">
        <v>5581</v>
      </c>
      <c r="H2184" s="294">
        <v>40543</v>
      </c>
      <c r="I2184" s="295">
        <v>662686.57999999996</v>
      </c>
    </row>
    <row r="2185" spans="1:9" x14ac:dyDescent="0.2">
      <c r="A2185" s="293" t="s">
        <v>5778</v>
      </c>
      <c r="B2185" s="293" t="s">
        <v>5632</v>
      </c>
      <c r="C2185" s="293" t="s">
        <v>5773</v>
      </c>
      <c r="D2185" s="293" t="s">
        <v>5878</v>
      </c>
      <c r="E2185" s="293" t="s">
        <v>5879</v>
      </c>
      <c r="F2185" s="293" t="s">
        <v>5776</v>
      </c>
      <c r="G2185" s="293" t="s">
        <v>5587</v>
      </c>
      <c r="H2185" s="294">
        <v>40543</v>
      </c>
      <c r="I2185" s="295">
        <v>-106757.57</v>
      </c>
    </row>
    <row r="2186" spans="1:9" x14ac:dyDescent="0.2">
      <c r="A2186" s="293" t="s">
        <v>5778</v>
      </c>
      <c r="B2186" s="293" t="s">
        <v>5632</v>
      </c>
      <c r="C2186" s="293" t="s">
        <v>5773</v>
      </c>
      <c r="D2186" s="293" t="s">
        <v>5878</v>
      </c>
      <c r="E2186" s="293" t="s">
        <v>5880</v>
      </c>
      <c r="F2186" s="293" t="s">
        <v>5776</v>
      </c>
      <c r="G2186" s="293" t="s">
        <v>5573</v>
      </c>
      <c r="H2186" s="294">
        <v>40543</v>
      </c>
      <c r="I2186" s="295">
        <v>-2506917.5699999998</v>
      </c>
    </row>
    <row r="2187" spans="1:9" x14ac:dyDescent="0.2">
      <c r="A2187" s="293" t="s">
        <v>5778</v>
      </c>
      <c r="B2187" s="293" t="s">
        <v>5632</v>
      </c>
      <c r="C2187" s="293" t="s">
        <v>5773</v>
      </c>
      <c r="D2187" s="293" t="s">
        <v>5878</v>
      </c>
      <c r="E2187" s="293" t="s">
        <v>5881</v>
      </c>
      <c r="F2187" s="293" t="s">
        <v>5776</v>
      </c>
      <c r="G2187" s="293" t="s">
        <v>5580</v>
      </c>
      <c r="H2187" s="294">
        <v>40543</v>
      </c>
      <c r="I2187" s="295">
        <v>-996.39</v>
      </c>
    </row>
    <row r="2188" spans="1:9" x14ac:dyDescent="0.2">
      <c r="A2188" s="293" t="s">
        <v>5778</v>
      </c>
      <c r="B2188" s="293" t="s">
        <v>5632</v>
      </c>
      <c r="C2188" s="293" t="s">
        <v>5773</v>
      </c>
      <c r="D2188" s="293" t="s">
        <v>5878</v>
      </c>
      <c r="E2188" s="293" t="s">
        <v>5882</v>
      </c>
      <c r="F2188" s="293" t="s">
        <v>5776</v>
      </c>
      <c r="G2188" s="293" t="s">
        <v>5573</v>
      </c>
      <c r="H2188" s="294">
        <v>40543</v>
      </c>
      <c r="I2188" s="295">
        <v>-1701839</v>
      </c>
    </row>
    <row r="2189" spans="1:9" x14ac:dyDescent="0.2">
      <c r="A2189" s="293" t="s">
        <v>5778</v>
      </c>
      <c r="B2189" s="293" t="s">
        <v>5632</v>
      </c>
      <c r="C2189" s="293" t="s">
        <v>5773</v>
      </c>
      <c r="D2189" s="293" t="s">
        <v>5878</v>
      </c>
      <c r="E2189" s="293" t="s">
        <v>5883</v>
      </c>
      <c r="F2189" s="293" t="s">
        <v>5776</v>
      </c>
      <c r="G2189" s="293" t="s">
        <v>5581</v>
      </c>
      <c r="H2189" s="294">
        <v>40543</v>
      </c>
      <c r="I2189" s="295">
        <v>-1354943.62</v>
      </c>
    </row>
    <row r="2190" spans="1:9" x14ac:dyDescent="0.2">
      <c r="A2190" s="293" t="s">
        <v>5778</v>
      </c>
      <c r="B2190" s="293" t="s">
        <v>5632</v>
      </c>
      <c r="C2190" s="293" t="s">
        <v>5773</v>
      </c>
      <c r="D2190" s="293" t="s">
        <v>5878</v>
      </c>
      <c r="E2190" s="293" t="s">
        <v>5884</v>
      </c>
      <c r="F2190" s="293" t="s">
        <v>5776</v>
      </c>
      <c r="G2190" s="293" t="s">
        <v>5588</v>
      </c>
      <c r="H2190" s="294">
        <v>40543</v>
      </c>
      <c r="I2190" s="295">
        <v>-3379229.01</v>
      </c>
    </row>
    <row r="2191" spans="1:9" x14ac:dyDescent="0.2">
      <c r="A2191" s="293" t="s">
        <v>5778</v>
      </c>
      <c r="B2191" s="293" t="s">
        <v>5632</v>
      </c>
      <c r="C2191" s="293" t="s">
        <v>5773</v>
      </c>
      <c r="D2191" s="293" t="s">
        <v>5878</v>
      </c>
      <c r="E2191" s="293" t="s">
        <v>5885</v>
      </c>
      <c r="F2191" s="293" t="s">
        <v>5776</v>
      </c>
      <c r="G2191" s="293" t="s">
        <v>5581</v>
      </c>
      <c r="H2191" s="294">
        <v>40543</v>
      </c>
      <c r="I2191" s="295">
        <v>-662686.57999999996</v>
      </c>
    </row>
    <row r="2192" spans="1:9" x14ac:dyDescent="0.2">
      <c r="A2192" s="293" t="s">
        <v>5926</v>
      </c>
      <c r="B2192" s="293" t="s">
        <v>5666</v>
      </c>
      <c r="C2192" s="293" t="s">
        <v>5088</v>
      </c>
      <c r="D2192" s="293" t="s">
        <v>5878</v>
      </c>
      <c r="E2192" s="293" t="s">
        <v>5088</v>
      </c>
      <c r="F2192" s="293" t="s">
        <v>5927</v>
      </c>
      <c r="G2192" s="293" t="s">
        <v>5637</v>
      </c>
      <c r="H2192" s="294">
        <v>40574</v>
      </c>
      <c r="I2192" s="295">
        <v>-3791478.75</v>
      </c>
    </row>
    <row r="2193" spans="1:9" x14ac:dyDescent="0.2">
      <c r="A2193" s="293" t="s">
        <v>5926</v>
      </c>
      <c r="B2193" s="293" t="s">
        <v>5666</v>
      </c>
      <c r="C2193" s="293" t="s">
        <v>5088</v>
      </c>
      <c r="D2193" s="293" t="s">
        <v>5878</v>
      </c>
      <c r="E2193" s="293" t="s">
        <v>5088</v>
      </c>
      <c r="F2193" s="293" t="s">
        <v>5927</v>
      </c>
      <c r="G2193" s="293" t="s">
        <v>5637</v>
      </c>
      <c r="H2193" s="294">
        <v>40574</v>
      </c>
      <c r="I2193" s="295">
        <v>3806202.24</v>
      </c>
    </row>
    <row r="2194" spans="1:9" x14ac:dyDescent="0.2">
      <c r="A2194" s="293" t="s">
        <v>5951</v>
      </c>
      <c r="B2194" s="293" t="s">
        <v>5666</v>
      </c>
      <c r="C2194" s="293" t="s">
        <v>5088</v>
      </c>
      <c r="D2194" s="293" t="s">
        <v>5878</v>
      </c>
      <c r="E2194" s="293" t="s">
        <v>5088</v>
      </c>
      <c r="F2194" s="293" t="s">
        <v>5952</v>
      </c>
      <c r="G2194" s="293" t="s">
        <v>5637</v>
      </c>
      <c r="H2194" s="294">
        <v>40602</v>
      </c>
      <c r="I2194" s="295">
        <v>3791478.75</v>
      </c>
    </row>
    <row r="2195" spans="1:9" x14ac:dyDescent="0.2">
      <c r="A2195" s="293" t="s">
        <v>5951</v>
      </c>
      <c r="B2195" s="293" t="s">
        <v>5666</v>
      </c>
      <c r="C2195" s="293" t="s">
        <v>5088</v>
      </c>
      <c r="D2195" s="293" t="s">
        <v>5878</v>
      </c>
      <c r="E2195" s="293" t="s">
        <v>5088</v>
      </c>
      <c r="F2195" s="293" t="s">
        <v>5952</v>
      </c>
      <c r="G2195" s="293" t="s">
        <v>5637</v>
      </c>
      <c r="H2195" s="294">
        <v>40602</v>
      </c>
      <c r="I2195" s="295">
        <v>-3779261.65</v>
      </c>
    </row>
    <row r="2196" spans="1:9" x14ac:dyDescent="0.2">
      <c r="A2196" s="293" t="s">
        <v>5953</v>
      </c>
      <c r="B2196" s="293" t="s">
        <v>5666</v>
      </c>
      <c r="C2196" s="293" t="s">
        <v>5088</v>
      </c>
      <c r="D2196" s="293" t="s">
        <v>5878</v>
      </c>
      <c r="E2196" s="293" t="s">
        <v>5088</v>
      </c>
      <c r="F2196" s="293" t="s">
        <v>5954</v>
      </c>
      <c r="G2196" s="293" t="s">
        <v>5637</v>
      </c>
      <c r="H2196" s="294">
        <v>40633</v>
      </c>
      <c r="I2196" s="295">
        <v>3779261.65</v>
      </c>
    </row>
    <row r="2197" spans="1:9" x14ac:dyDescent="0.2">
      <c r="A2197" s="293" t="s">
        <v>5953</v>
      </c>
      <c r="B2197" s="293" t="s">
        <v>5666</v>
      </c>
      <c r="C2197" s="293" t="s">
        <v>5088</v>
      </c>
      <c r="D2197" s="293" t="s">
        <v>5878</v>
      </c>
      <c r="E2197" s="293" t="s">
        <v>5088</v>
      </c>
      <c r="F2197" s="293" t="s">
        <v>5954</v>
      </c>
      <c r="G2197" s="293" t="s">
        <v>5637</v>
      </c>
      <c r="H2197" s="294">
        <v>40633</v>
      </c>
      <c r="I2197" s="295">
        <v>-3767044.55</v>
      </c>
    </row>
    <row r="2198" spans="1:9" x14ac:dyDescent="0.2">
      <c r="A2198" s="293" t="s">
        <v>5955</v>
      </c>
      <c r="B2198" s="293" t="s">
        <v>5666</v>
      </c>
      <c r="C2198" s="293" t="s">
        <v>5088</v>
      </c>
      <c r="D2198" s="293" t="s">
        <v>5878</v>
      </c>
      <c r="E2198" s="293" t="s">
        <v>5088</v>
      </c>
      <c r="F2198" s="293" t="s">
        <v>5956</v>
      </c>
      <c r="G2198" s="293" t="s">
        <v>5637</v>
      </c>
      <c r="H2198" s="294">
        <v>40663</v>
      </c>
      <c r="I2198" s="295">
        <v>3767044.55</v>
      </c>
    </row>
    <row r="2199" spans="1:9" x14ac:dyDescent="0.2">
      <c r="A2199" s="293" t="s">
        <v>5955</v>
      </c>
      <c r="B2199" s="293" t="s">
        <v>5666</v>
      </c>
      <c r="C2199" s="293" t="s">
        <v>5088</v>
      </c>
      <c r="D2199" s="293" t="s">
        <v>5878</v>
      </c>
      <c r="E2199" s="293" t="s">
        <v>5088</v>
      </c>
      <c r="F2199" s="293" t="s">
        <v>5956</v>
      </c>
      <c r="G2199" s="293" t="s">
        <v>5637</v>
      </c>
      <c r="H2199" s="294">
        <v>40663</v>
      </c>
      <c r="I2199" s="295">
        <v>-3754839.21</v>
      </c>
    </row>
    <row r="2200" spans="1:9" x14ac:dyDescent="0.2">
      <c r="A2200" s="293" t="s">
        <v>5957</v>
      </c>
      <c r="B2200" s="293" t="s">
        <v>5666</v>
      </c>
      <c r="C2200" s="293" t="s">
        <v>5088</v>
      </c>
      <c r="D2200" s="293" t="s">
        <v>5878</v>
      </c>
      <c r="E2200" s="293" t="s">
        <v>5088</v>
      </c>
      <c r="F2200" s="293" t="s">
        <v>5958</v>
      </c>
      <c r="G2200" s="293" t="s">
        <v>5637</v>
      </c>
      <c r="H2200" s="294">
        <v>40694</v>
      </c>
      <c r="I2200" s="295">
        <v>3754839.21</v>
      </c>
    </row>
    <row r="2201" spans="1:9" x14ac:dyDescent="0.2">
      <c r="A2201" s="293" t="s">
        <v>5957</v>
      </c>
      <c r="B2201" s="293" t="s">
        <v>5666</v>
      </c>
      <c r="C2201" s="293" t="s">
        <v>5088</v>
      </c>
      <c r="D2201" s="293" t="s">
        <v>5878</v>
      </c>
      <c r="E2201" s="293" t="s">
        <v>5088</v>
      </c>
      <c r="F2201" s="293" t="s">
        <v>5958</v>
      </c>
      <c r="G2201" s="293" t="s">
        <v>5637</v>
      </c>
      <c r="H2201" s="294">
        <v>40694</v>
      </c>
      <c r="I2201" s="295">
        <v>-3705568.21</v>
      </c>
    </row>
    <row r="2202" spans="1:9" x14ac:dyDescent="0.2">
      <c r="A2202" s="293" t="s">
        <v>5959</v>
      </c>
      <c r="B2202" s="293" t="s">
        <v>5666</v>
      </c>
      <c r="C2202" s="293" t="s">
        <v>5088</v>
      </c>
      <c r="D2202" s="293" t="s">
        <v>5878</v>
      </c>
      <c r="E2202" s="293" t="s">
        <v>5088</v>
      </c>
      <c r="F2202" s="293" t="s">
        <v>5960</v>
      </c>
      <c r="G2202" s="293" t="s">
        <v>5637</v>
      </c>
      <c r="H2202" s="294">
        <v>40724</v>
      </c>
      <c r="I2202" s="295">
        <v>3705568.21</v>
      </c>
    </row>
    <row r="2203" spans="1:9" x14ac:dyDescent="0.2">
      <c r="A2203" s="293" t="s">
        <v>5959</v>
      </c>
      <c r="B2203" s="293" t="s">
        <v>5666</v>
      </c>
      <c r="C2203" s="293" t="s">
        <v>5088</v>
      </c>
      <c r="D2203" s="293" t="s">
        <v>5878</v>
      </c>
      <c r="E2203" s="293" t="s">
        <v>5088</v>
      </c>
      <c r="F2203" s="293" t="s">
        <v>5960</v>
      </c>
      <c r="G2203" s="293" t="s">
        <v>5637</v>
      </c>
      <c r="H2203" s="294">
        <v>40724</v>
      </c>
      <c r="I2203" s="295">
        <v>-3655097.44</v>
      </c>
    </row>
    <row r="2204" spans="1:9" x14ac:dyDescent="0.2">
      <c r="A2204" s="293" t="s">
        <v>5961</v>
      </c>
      <c r="B2204" s="293" t="s">
        <v>5666</v>
      </c>
      <c r="C2204" s="293" t="s">
        <v>5088</v>
      </c>
      <c r="D2204" s="293" t="s">
        <v>5878</v>
      </c>
      <c r="E2204" s="293" t="s">
        <v>5088</v>
      </c>
      <c r="F2204" s="293" t="s">
        <v>5962</v>
      </c>
      <c r="G2204" s="293" t="s">
        <v>5637</v>
      </c>
      <c r="H2204" s="294">
        <v>40755</v>
      </c>
      <c r="I2204" s="295">
        <v>3655097.44</v>
      </c>
    </row>
    <row r="2205" spans="1:9" x14ac:dyDescent="0.2">
      <c r="A2205" s="293" t="s">
        <v>5961</v>
      </c>
      <c r="B2205" s="293" t="s">
        <v>5666</v>
      </c>
      <c r="C2205" s="293" t="s">
        <v>5088</v>
      </c>
      <c r="D2205" s="293" t="s">
        <v>5878</v>
      </c>
      <c r="E2205" s="293" t="s">
        <v>5088</v>
      </c>
      <c r="F2205" s="293" t="s">
        <v>5962</v>
      </c>
      <c r="G2205" s="293" t="s">
        <v>5637</v>
      </c>
      <c r="H2205" s="294">
        <v>40755</v>
      </c>
      <c r="I2205" s="295">
        <v>-3601819.28</v>
      </c>
    </row>
    <row r="2206" spans="1:9" x14ac:dyDescent="0.2">
      <c r="A2206" s="293" t="s">
        <v>5963</v>
      </c>
      <c r="B2206" s="293" t="s">
        <v>5666</v>
      </c>
      <c r="C2206" s="293" t="s">
        <v>5088</v>
      </c>
      <c r="D2206" s="293" t="s">
        <v>5878</v>
      </c>
      <c r="E2206" s="293" t="s">
        <v>5088</v>
      </c>
      <c r="F2206" s="293" t="s">
        <v>5964</v>
      </c>
      <c r="G2206" s="293" t="s">
        <v>5637</v>
      </c>
      <c r="H2206" s="294">
        <v>40786</v>
      </c>
      <c r="I2206" s="295">
        <v>3601819.28</v>
      </c>
    </row>
    <row r="2207" spans="1:9" x14ac:dyDescent="0.2">
      <c r="A2207" s="293" t="s">
        <v>5963</v>
      </c>
      <c r="B2207" s="293" t="s">
        <v>5666</v>
      </c>
      <c r="C2207" s="293" t="s">
        <v>5088</v>
      </c>
      <c r="D2207" s="293" t="s">
        <v>5878</v>
      </c>
      <c r="E2207" s="293" t="s">
        <v>5088</v>
      </c>
      <c r="F2207" s="293" t="s">
        <v>5964</v>
      </c>
      <c r="G2207" s="293" t="s">
        <v>5637</v>
      </c>
      <c r="H2207" s="294">
        <v>40786</v>
      </c>
      <c r="I2207" s="295">
        <v>-3464317.98</v>
      </c>
    </row>
    <row r="2208" spans="1:9" x14ac:dyDescent="0.2">
      <c r="A2208" s="293" t="s">
        <v>5965</v>
      </c>
      <c r="B2208" s="293" t="s">
        <v>5666</v>
      </c>
      <c r="C2208" s="293" t="s">
        <v>5088</v>
      </c>
      <c r="D2208" s="293" t="s">
        <v>5878</v>
      </c>
      <c r="E2208" s="293" t="s">
        <v>5088</v>
      </c>
      <c r="F2208" s="293" t="s">
        <v>5966</v>
      </c>
      <c r="G2208" s="293" t="s">
        <v>5637</v>
      </c>
      <c r="H2208" s="294">
        <v>40816</v>
      </c>
      <c r="I2208" s="295">
        <v>3464317.98</v>
      </c>
    </row>
    <row r="2209" spans="1:9" x14ac:dyDescent="0.2">
      <c r="A2209" s="293" t="s">
        <v>5965</v>
      </c>
      <c r="B2209" s="293" t="s">
        <v>5666</v>
      </c>
      <c r="C2209" s="293" t="s">
        <v>5088</v>
      </c>
      <c r="D2209" s="293" t="s">
        <v>5878</v>
      </c>
      <c r="E2209" s="293" t="s">
        <v>5088</v>
      </c>
      <c r="F2209" s="293" t="s">
        <v>5966</v>
      </c>
      <c r="G2209" s="293" t="s">
        <v>5637</v>
      </c>
      <c r="H2209" s="294">
        <v>40816</v>
      </c>
      <c r="I2209" s="295">
        <v>-3245825.22</v>
      </c>
    </row>
    <row r="2210" spans="1:9" x14ac:dyDescent="0.2">
      <c r="A2210" s="293" t="s">
        <v>5967</v>
      </c>
      <c r="B2210" s="293" t="s">
        <v>5666</v>
      </c>
      <c r="C2210" s="293" t="s">
        <v>5088</v>
      </c>
      <c r="D2210" s="293" t="s">
        <v>5878</v>
      </c>
      <c r="E2210" s="293" t="s">
        <v>5088</v>
      </c>
      <c r="F2210" s="293" t="s">
        <v>5968</v>
      </c>
      <c r="G2210" s="293" t="s">
        <v>5637</v>
      </c>
      <c r="H2210" s="294">
        <v>40847</v>
      </c>
      <c r="I2210" s="295">
        <v>3245825.22</v>
      </c>
    </row>
    <row r="2211" spans="1:9" x14ac:dyDescent="0.2">
      <c r="A2211" s="293" t="s">
        <v>5967</v>
      </c>
      <c r="B2211" s="293" t="s">
        <v>5666</v>
      </c>
      <c r="C2211" s="293" t="s">
        <v>5088</v>
      </c>
      <c r="D2211" s="293" t="s">
        <v>5878</v>
      </c>
      <c r="E2211" s="293" t="s">
        <v>5088</v>
      </c>
      <c r="F2211" s="293" t="s">
        <v>5968</v>
      </c>
      <c r="G2211" s="293" t="s">
        <v>5637</v>
      </c>
      <c r="H2211" s="294">
        <v>40847</v>
      </c>
      <c r="I2211" s="295">
        <v>-3027332.46</v>
      </c>
    </row>
    <row r="2212" spans="1:9" x14ac:dyDescent="0.2">
      <c r="A2212" s="293" t="s">
        <v>5969</v>
      </c>
      <c r="B2212" s="293" t="s">
        <v>5666</v>
      </c>
      <c r="C2212" s="293" t="s">
        <v>5088</v>
      </c>
      <c r="D2212" s="293" t="s">
        <v>5878</v>
      </c>
      <c r="E2212" s="293" t="s">
        <v>5088</v>
      </c>
      <c r="F2212" s="293" t="s">
        <v>5970</v>
      </c>
      <c r="G2212" s="293" t="s">
        <v>5637</v>
      </c>
      <c r="H2212" s="294">
        <v>40877</v>
      </c>
      <c r="I2212" s="295">
        <v>3027332.46</v>
      </c>
    </row>
    <row r="2213" spans="1:9" x14ac:dyDescent="0.2">
      <c r="A2213" s="293" t="s">
        <v>5969</v>
      </c>
      <c r="B2213" s="293" t="s">
        <v>5666</v>
      </c>
      <c r="C2213" s="293" t="s">
        <v>5088</v>
      </c>
      <c r="D2213" s="293" t="s">
        <v>5878</v>
      </c>
      <c r="E2213" s="293" t="s">
        <v>5088</v>
      </c>
      <c r="F2213" s="293" t="s">
        <v>5970</v>
      </c>
      <c r="G2213" s="293" t="s">
        <v>5637</v>
      </c>
      <c r="H2213" s="294">
        <v>40877</v>
      </c>
      <c r="I2213" s="295">
        <v>-2808839.7</v>
      </c>
    </row>
    <row r="2214" spans="1:9" x14ac:dyDescent="0.2">
      <c r="A2214" s="293" t="s">
        <v>5971</v>
      </c>
      <c r="B2214" s="293" t="s">
        <v>5666</v>
      </c>
      <c r="C2214" s="293" t="s">
        <v>5088</v>
      </c>
      <c r="D2214" s="293" t="s">
        <v>5878</v>
      </c>
      <c r="E2214" s="293" t="s">
        <v>5088</v>
      </c>
      <c r="F2214" s="293" t="s">
        <v>5972</v>
      </c>
      <c r="G2214" s="293" t="s">
        <v>5637</v>
      </c>
      <c r="H2214" s="294">
        <v>40908</v>
      </c>
      <c r="I2214" s="295">
        <v>2808839.7</v>
      </c>
    </row>
    <row r="2215" spans="1:9" x14ac:dyDescent="0.2">
      <c r="A2215" s="293" t="s">
        <v>5971</v>
      </c>
      <c r="B2215" s="293" t="s">
        <v>5666</v>
      </c>
      <c r="C2215" s="293" t="s">
        <v>5088</v>
      </c>
      <c r="D2215" s="293" t="s">
        <v>5878</v>
      </c>
      <c r="E2215" s="293" t="s">
        <v>5088</v>
      </c>
      <c r="F2215" s="293" t="s">
        <v>5972</v>
      </c>
      <c r="G2215" s="293" t="s">
        <v>5637</v>
      </c>
      <c r="H2215" s="294">
        <v>40908</v>
      </c>
      <c r="I2215" s="295">
        <v>-2590346.94</v>
      </c>
    </row>
    <row r="2216" spans="1:9" x14ac:dyDescent="0.2">
      <c r="A2216" s="293" t="s">
        <v>5973</v>
      </c>
      <c r="B2216" s="293" t="s">
        <v>5666</v>
      </c>
      <c r="C2216" s="293" t="s">
        <v>5088</v>
      </c>
      <c r="D2216" s="293" t="s">
        <v>5878</v>
      </c>
      <c r="E2216" s="293" t="s">
        <v>5088</v>
      </c>
      <c r="F2216" s="293" t="s">
        <v>5974</v>
      </c>
      <c r="G2216" s="293" t="s">
        <v>5637</v>
      </c>
      <c r="H2216" s="294">
        <v>40939</v>
      </c>
      <c r="I2216" s="295">
        <v>2590346.94</v>
      </c>
    </row>
    <row r="2217" spans="1:9" x14ac:dyDescent="0.2">
      <c r="A2217" s="293" t="s">
        <v>5973</v>
      </c>
      <c r="B2217" s="293" t="s">
        <v>5666</v>
      </c>
      <c r="C2217" s="293" t="s">
        <v>5088</v>
      </c>
      <c r="D2217" s="293" t="s">
        <v>5878</v>
      </c>
      <c r="E2217" s="293" t="s">
        <v>5088</v>
      </c>
      <c r="F2217" s="293" t="s">
        <v>5974</v>
      </c>
      <c r="G2217" s="293" t="s">
        <v>5637</v>
      </c>
      <c r="H2217" s="294">
        <v>40939</v>
      </c>
      <c r="I2217" s="295">
        <v>-2371854.1800000002</v>
      </c>
    </row>
    <row r="2218" spans="1:9" x14ac:dyDescent="0.2">
      <c r="A2218" s="293" t="s">
        <v>5953</v>
      </c>
      <c r="B2218" s="293" t="s">
        <v>5666</v>
      </c>
      <c r="C2218" s="293" t="s">
        <v>5088</v>
      </c>
      <c r="D2218" s="293" t="s">
        <v>5878</v>
      </c>
      <c r="E2218" s="293" t="s">
        <v>5088</v>
      </c>
      <c r="F2218" s="293" t="s">
        <v>5975</v>
      </c>
      <c r="G2218" s="293" t="s">
        <v>5637</v>
      </c>
      <c r="H2218" s="294">
        <v>40968</v>
      </c>
      <c r="I2218" s="295">
        <v>2371854.1800000002</v>
      </c>
    </row>
    <row r="2219" spans="1:9" x14ac:dyDescent="0.2">
      <c r="A2219" s="293" t="s">
        <v>5953</v>
      </c>
      <c r="B2219" s="293" t="s">
        <v>5666</v>
      </c>
      <c r="C2219" s="293" t="s">
        <v>5088</v>
      </c>
      <c r="D2219" s="293" t="s">
        <v>5878</v>
      </c>
      <c r="E2219" s="293" t="s">
        <v>5088</v>
      </c>
      <c r="F2219" s="293" t="s">
        <v>5975</v>
      </c>
      <c r="G2219" s="293" t="s">
        <v>5637</v>
      </c>
      <c r="H2219" s="294">
        <v>40968</v>
      </c>
      <c r="I2219" s="295">
        <v>-2153361.42</v>
      </c>
    </row>
    <row r="2220" spans="1:9" x14ac:dyDescent="0.2">
      <c r="A2220" s="293" t="s">
        <v>5779</v>
      </c>
      <c r="B2220" s="293" t="s">
        <v>5632</v>
      </c>
      <c r="C2220" s="293" t="s">
        <v>5780</v>
      </c>
      <c r="D2220" s="293" t="s">
        <v>5878</v>
      </c>
      <c r="E2220" s="293" t="s">
        <v>5928</v>
      </c>
      <c r="F2220" s="293" t="s">
        <v>5636</v>
      </c>
      <c r="G2220" s="293" t="s">
        <v>5587</v>
      </c>
      <c r="H2220" s="294">
        <v>40574</v>
      </c>
      <c r="I2220" s="295">
        <v>-5997.63</v>
      </c>
    </row>
    <row r="2221" spans="1:9" x14ac:dyDescent="0.2">
      <c r="A2221" s="293" t="s">
        <v>5779</v>
      </c>
      <c r="B2221" s="293" t="s">
        <v>5632</v>
      </c>
      <c r="C2221" s="293" t="s">
        <v>5780</v>
      </c>
      <c r="D2221" s="293" t="s">
        <v>5878</v>
      </c>
      <c r="E2221" s="293" t="s">
        <v>5929</v>
      </c>
      <c r="F2221" s="293" t="s">
        <v>5636</v>
      </c>
      <c r="G2221" s="293" t="s">
        <v>5573</v>
      </c>
      <c r="H2221" s="294">
        <v>40574</v>
      </c>
      <c r="I2221" s="295">
        <v>-17654.330000000002</v>
      </c>
    </row>
    <row r="2222" spans="1:9" x14ac:dyDescent="0.2">
      <c r="A2222" s="293" t="s">
        <v>5779</v>
      </c>
      <c r="B2222" s="293" t="s">
        <v>5632</v>
      </c>
      <c r="C2222" s="293" t="s">
        <v>5780</v>
      </c>
      <c r="D2222" s="293" t="s">
        <v>5878</v>
      </c>
      <c r="E2222" s="293" t="s">
        <v>5930</v>
      </c>
      <c r="F2222" s="293" t="s">
        <v>5636</v>
      </c>
      <c r="G2222" s="293" t="s">
        <v>5580</v>
      </c>
      <c r="H2222" s="294">
        <v>40574</v>
      </c>
      <c r="I2222" s="295">
        <v>-996.39</v>
      </c>
    </row>
    <row r="2223" spans="1:9" x14ac:dyDescent="0.2">
      <c r="A2223" s="293" t="s">
        <v>5779</v>
      </c>
      <c r="B2223" s="293" t="s">
        <v>5632</v>
      </c>
      <c r="C2223" s="293" t="s">
        <v>5780</v>
      </c>
      <c r="D2223" s="293" t="s">
        <v>5878</v>
      </c>
      <c r="E2223" s="293" t="s">
        <v>5931</v>
      </c>
      <c r="F2223" s="293" t="s">
        <v>5636</v>
      </c>
      <c r="G2223" s="293" t="s">
        <v>5573</v>
      </c>
      <c r="H2223" s="294">
        <v>40574</v>
      </c>
      <c r="I2223" s="295">
        <v>-7116.94</v>
      </c>
    </row>
    <row r="2224" spans="1:9" x14ac:dyDescent="0.2">
      <c r="A2224" s="293" t="s">
        <v>5779</v>
      </c>
      <c r="B2224" s="293" t="s">
        <v>5632</v>
      </c>
      <c r="C2224" s="293" t="s">
        <v>5780</v>
      </c>
      <c r="D2224" s="293" t="s">
        <v>5878</v>
      </c>
      <c r="E2224" s="293" t="s">
        <v>5932</v>
      </c>
      <c r="F2224" s="293" t="s">
        <v>5636</v>
      </c>
      <c r="G2224" s="293" t="s">
        <v>5581</v>
      </c>
      <c r="H2224" s="294">
        <v>40574</v>
      </c>
      <c r="I2224" s="295">
        <v>-4721.05</v>
      </c>
    </row>
    <row r="2225" spans="1:9" x14ac:dyDescent="0.2">
      <c r="A2225" s="293" t="s">
        <v>5779</v>
      </c>
      <c r="B2225" s="293" t="s">
        <v>5632</v>
      </c>
      <c r="C2225" s="293" t="s">
        <v>5780</v>
      </c>
      <c r="D2225" s="293" t="s">
        <v>5878</v>
      </c>
      <c r="E2225" s="293" t="s">
        <v>5933</v>
      </c>
      <c r="F2225" s="293" t="s">
        <v>5636</v>
      </c>
      <c r="G2225" s="293" t="s">
        <v>5588</v>
      </c>
      <c r="H2225" s="294">
        <v>40574</v>
      </c>
      <c r="I2225" s="295">
        <v>-173591.45</v>
      </c>
    </row>
    <row r="2226" spans="1:9" x14ac:dyDescent="0.2">
      <c r="A2226" s="293" t="s">
        <v>5779</v>
      </c>
      <c r="B2226" s="293" t="s">
        <v>5632</v>
      </c>
      <c r="C2226" s="293" t="s">
        <v>5780</v>
      </c>
      <c r="D2226" s="293" t="s">
        <v>5878</v>
      </c>
      <c r="E2226" s="293" t="s">
        <v>5934</v>
      </c>
      <c r="F2226" s="293" t="s">
        <v>5636</v>
      </c>
      <c r="G2226" s="293" t="s">
        <v>5581</v>
      </c>
      <c r="H2226" s="294">
        <v>40574</v>
      </c>
      <c r="I2226" s="295">
        <v>-18217.22</v>
      </c>
    </row>
    <row r="2227" spans="1:9" x14ac:dyDescent="0.2">
      <c r="A2227" s="293" t="s">
        <v>5782</v>
      </c>
      <c r="B2227" s="293" t="s">
        <v>5632</v>
      </c>
      <c r="C2227" s="293" t="s">
        <v>5783</v>
      </c>
      <c r="D2227" s="293" t="s">
        <v>5878</v>
      </c>
      <c r="E2227" s="293" t="s">
        <v>5928</v>
      </c>
      <c r="F2227" s="293" t="s">
        <v>5636</v>
      </c>
      <c r="G2227" s="293" t="s">
        <v>5587</v>
      </c>
      <c r="H2227" s="294">
        <v>40602</v>
      </c>
      <c r="I2227" s="295">
        <v>-5997.63</v>
      </c>
    </row>
    <row r="2228" spans="1:9" x14ac:dyDescent="0.2">
      <c r="A2228" s="293" t="s">
        <v>5782</v>
      </c>
      <c r="B2228" s="293" t="s">
        <v>5632</v>
      </c>
      <c r="C2228" s="293" t="s">
        <v>5783</v>
      </c>
      <c r="D2228" s="293" t="s">
        <v>5878</v>
      </c>
      <c r="E2228" s="293" t="s">
        <v>5929</v>
      </c>
      <c r="F2228" s="293" t="s">
        <v>5636</v>
      </c>
      <c r="G2228" s="293" t="s">
        <v>5573</v>
      </c>
      <c r="H2228" s="294">
        <v>40602</v>
      </c>
      <c r="I2228" s="295">
        <v>-17654.330000000002</v>
      </c>
    </row>
    <row r="2229" spans="1:9" x14ac:dyDescent="0.2">
      <c r="A2229" s="293" t="s">
        <v>5782</v>
      </c>
      <c r="B2229" s="293" t="s">
        <v>5632</v>
      </c>
      <c r="C2229" s="293" t="s">
        <v>5783</v>
      </c>
      <c r="D2229" s="293" t="s">
        <v>5878</v>
      </c>
      <c r="E2229" s="293" t="s">
        <v>5931</v>
      </c>
      <c r="F2229" s="293" t="s">
        <v>5636</v>
      </c>
      <c r="G2229" s="293" t="s">
        <v>5573</v>
      </c>
      <c r="H2229" s="294">
        <v>40602</v>
      </c>
      <c r="I2229" s="295">
        <v>-7116.94</v>
      </c>
    </row>
    <row r="2230" spans="1:9" x14ac:dyDescent="0.2">
      <c r="A2230" s="293" t="s">
        <v>5782</v>
      </c>
      <c r="B2230" s="293" t="s">
        <v>5632</v>
      </c>
      <c r="C2230" s="293" t="s">
        <v>5783</v>
      </c>
      <c r="D2230" s="293" t="s">
        <v>5878</v>
      </c>
      <c r="E2230" s="293" t="s">
        <v>5932</v>
      </c>
      <c r="F2230" s="293" t="s">
        <v>5636</v>
      </c>
      <c r="G2230" s="293" t="s">
        <v>5581</v>
      </c>
      <c r="H2230" s="294">
        <v>40602</v>
      </c>
      <c r="I2230" s="295">
        <v>-4721.05</v>
      </c>
    </row>
    <row r="2231" spans="1:9" x14ac:dyDescent="0.2">
      <c r="A2231" s="293" t="s">
        <v>5782</v>
      </c>
      <c r="B2231" s="293" t="s">
        <v>5632</v>
      </c>
      <c r="C2231" s="293" t="s">
        <v>5783</v>
      </c>
      <c r="D2231" s="293" t="s">
        <v>5878</v>
      </c>
      <c r="E2231" s="293" t="s">
        <v>5933</v>
      </c>
      <c r="F2231" s="293" t="s">
        <v>5636</v>
      </c>
      <c r="G2231" s="293" t="s">
        <v>5588</v>
      </c>
      <c r="H2231" s="294">
        <v>40602</v>
      </c>
      <c r="I2231" s="295">
        <v>-173591.45</v>
      </c>
    </row>
    <row r="2232" spans="1:9" x14ac:dyDescent="0.2">
      <c r="A2232" s="293" t="s">
        <v>5782</v>
      </c>
      <c r="B2232" s="293" t="s">
        <v>5632</v>
      </c>
      <c r="C2232" s="293" t="s">
        <v>5783</v>
      </c>
      <c r="D2232" s="293" t="s">
        <v>5878</v>
      </c>
      <c r="E2232" s="293" t="s">
        <v>5934</v>
      </c>
      <c r="F2232" s="293" t="s">
        <v>5636</v>
      </c>
      <c r="G2232" s="293" t="s">
        <v>5581</v>
      </c>
      <c r="H2232" s="294">
        <v>40602</v>
      </c>
      <c r="I2232" s="295">
        <v>-17687.22</v>
      </c>
    </row>
    <row r="2233" spans="1:9" x14ac:dyDescent="0.2">
      <c r="A2233" s="293" t="s">
        <v>5784</v>
      </c>
      <c r="B2233" s="293" t="s">
        <v>5632</v>
      </c>
      <c r="C2233" s="293" t="s">
        <v>5785</v>
      </c>
      <c r="D2233" s="293" t="s">
        <v>5878</v>
      </c>
      <c r="E2233" s="293" t="s">
        <v>5928</v>
      </c>
      <c r="F2233" s="293" t="s">
        <v>5636</v>
      </c>
      <c r="G2233" s="293" t="s">
        <v>5587</v>
      </c>
      <c r="H2233" s="294">
        <v>40633</v>
      </c>
      <c r="I2233" s="295">
        <v>-5997.63</v>
      </c>
    </row>
    <row r="2234" spans="1:9" x14ac:dyDescent="0.2">
      <c r="A2234" s="293" t="s">
        <v>5784</v>
      </c>
      <c r="B2234" s="293" t="s">
        <v>5632</v>
      </c>
      <c r="C2234" s="293" t="s">
        <v>5785</v>
      </c>
      <c r="D2234" s="293" t="s">
        <v>5878</v>
      </c>
      <c r="E2234" s="293" t="s">
        <v>5929</v>
      </c>
      <c r="F2234" s="293" t="s">
        <v>5636</v>
      </c>
      <c r="G2234" s="293" t="s">
        <v>5573</v>
      </c>
      <c r="H2234" s="294">
        <v>40633</v>
      </c>
      <c r="I2234" s="295">
        <v>-17654.330000000002</v>
      </c>
    </row>
    <row r="2235" spans="1:9" x14ac:dyDescent="0.2">
      <c r="A2235" s="293" t="s">
        <v>5784</v>
      </c>
      <c r="B2235" s="293" t="s">
        <v>5632</v>
      </c>
      <c r="C2235" s="293" t="s">
        <v>5785</v>
      </c>
      <c r="D2235" s="293" t="s">
        <v>5878</v>
      </c>
      <c r="E2235" s="293" t="s">
        <v>5931</v>
      </c>
      <c r="F2235" s="293" t="s">
        <v>5636</v>
      </c>
      <c r="G2235" s="293" t="s">
        <v>5573</v>
      </c>
      <c r="H2235" s="294">
        <v>40633</v>
      </c>
      <c r="I2235" s="295">
        <v>-7116.94</v>
      </c>
    </row>
    <row r="2236" spans="1:9" x14ac:dyDescent="0.2">
      <c r="A2236" s="293" t="s">
        <v>5784</v>
      </c>
      <c r="B2236" s="293" t="s">
        <v>5632</v>
      </c>
      <c r="C2236" s="293" t="s">
        <v>5785</v>
      </c>
      <c r="D2236" s="293" t="s">
        <v>5878</v>
      </c>
      <c r="E2236" s="293" t="s">
        <v>5932</v>
      </c>
      <c r="F2236" s="293" t="s">
        <v>5636</v>
      </c>
      <c r="G2236" s="293" t="s">
        <v>5581</v>
      </c>
      <c r="H2236" s="294">
        <v>40633</v>
      </c>
      <c r="I2236" s="295">
        <v>-4721.05</v>
      </c>
    </row>
    <row r="2237" spans="1:9" x14ac:dyDescent="0.2">
      <c r="A2237" s="293" t="s">
        <v>5784</v>
      </c>
      <c r="B2237" s="293" t="s">
        <v>5632</v>
      </c>
      <c r="C2237" s="293" t="s">
        <v>5785</v>
      </c>
      <c r="D2237" s="293" t="s">
        <v>5878</v>
      </c>
      <c r="E2237" s="293" t="s">
        <v>5933</v>
      </c>
      <c r="F2237" s="293" t="s">
        <v>5636</v>
      </c>
      <c r="G2237" s="293" t="s">
        <v>5588</v>
      </c>
      <c r="H2237" s="294">
        <v>40633</v>
      </c>
      <c r="I2237" s="295">
        <v>-173591.45</v>
      </c>
    </row>
    <row r="2238" spans="1:9" x14ac:dyDescent="0.2">
      <c r="A2238" s="293" t="s">
        <v>5784</v>
      </c>
      <c r="B2238" s="293" t="s">
        <v>5632</v>
      </c>
      <c r="C2238" s="293" t="s">
        <v>5785</v>
      </c>
      <c r="D2238" s="293" t="s">
        <v>5878</v>
      </c>
      <c r="E2238" s="293" t="s">
        <v>5934</v>
      </c>
      <c r="F2238" s="293" t="s">
        <v>5636</v>
      </c>
      <c r="G2238" s="293" t="s">
        <v>5581</v>
      </c>
      <c r="H2238" s="294">
        <v>40633</v>
      </c>
      <c r="I2238" s="295">
        <v>-17687.22</v>
      </c>
    </row>
    <row r="2239" spans="1:9" x14ac:dyDescent="0.2">
      <c r="A2239" s="293" t="s">
        <v>5786</v>
      </c>
      <c r="B2239" s="293" t="s">
        <v>5632</v>
      </c>
      <c r="C2239" s="293" t="s">
        <v>5787</v>
      </c>
      <c r="D2239" s="293" t="s">
        <v>5878</v>
      </c>
      <c r="E2239" s="293" t="s">
        <v>5928</v>
      </c>
      <c r="F2239" s="293" t="s">
        <v>5636</v>
      </c>
      <c r="G2239" s="293" t="s">
        <v>5587</v>
      </c>
      <c r="H2239" s="294">
        <v>40663</v>
      </c>
      <c r="I2239" s="295">
        <v>-5997.63</v>
      </c>
    </row>
    <row r="2240" spans="1:9" x14ac:dyDescent="0.2">
      <c r="A2240" s="293" t="s">
        <v>5786</v>
      </c>
      <c r="B2240" s="293" t="s">
        <v>5632</v>
      </c>
      <c r="C2240" s="293" t="s">
        <v>5787</v>
      </c>
      <c r="D2240" s="293" t="s">
        <v>5878</v>
      </c>
      <c r="E2240" s="293" t="s">
        <v>5929</v>
      </c>
      <c r="F2240" s="293" t="s">
        <v>5636</v>
      </c>
      <c r="G2240" s="293" t="s">
        <v>5573</v>
      </c>
      <c r="H2240" s="294">
        <v>40663</v>
      </c>
      <c r="I2240" s="295">
        <v>-17654.330000000002</v>
      </c>
    </row>
    <row r="2241" spans="1:9" x14ac:dyDescent="0.2">
      <c r="A2241" s="293" t="s">
        <v>5786</v>
      </c>
      <c r="B2241" s="293" t="s">
        <v>5632</v>
      </c>
      <c r="C2241" s="293" t="s">
        <v>5787</v>
      </c>
      <c r="D2241" s="293" t="s">
        <v>5878</v>
      </c>
      <c r="E2241" s="293" t="s">
        <v>5931</v>
      </c>
      <c r="F2241" s="293" t="s">
        <v>5636</v>
      </c>
      <c r="G2241" s="293" t="s">
        <v>5573</v>
      </c>
      <c r="H2241" s="294">
        <v>40663</v>
      </c>
      <c r="I2241" s="295">
        <v>-7116.94</v>
      </c>
    </row>
    <row r="2242" spans="1:9" x14ac:dyDescent="0.2">
      <c r="A2242" s="293" t="s">
        <v>5786</v>
      </c>
      <c r="B2242" s="293" t="s">
        <v>5632</v>
      </c>
      <c r="C2242" s="293" t="s">
        <v>5787</v>
      </c>
      <c r="D2242" s="293" t="s">
        <v>5878</v>
      </c>
      <c r="E2242" s="293" t="s">
        <v>5932</v>
      </c>
      <c r="F2242" s="293" t="s">
        <v>5636</v>
      </c>
      <c r="G2242" s="293" t="s">
        <v>5581</v>
      </c>
      <c r="H2242" s="294">
        <v>40663</v>
      </c>
      <c r="I2242" s="295">
        <v>-4721.05</v>
      </c>
    </row>
    <row r="2243" spans="1:9" x14ac:dyDescent="0.2">
      <c r="A2243" s="293" t="s">
        <v>5786</v>
      </c>
      <c r="B2243" s="293" t="s">
        <v>5632</v>
      </c>
      <c r="C2243" s="293" t="s">
        <v>5787</v>
      </c>
      <c r="D2243" s="293" t="s">
        <v>5878</v>
      </c>
      <c r="E2243" s="293" t="s">
        <v>5933</v>
      </c>
      <c r="F2243" s="293" t="s">
        <v>5636</v>
      </c>
      <c r="G2243" s="293" t="s">
        <v>5588</v>
      </c>
      <c r="H2243" s="294">
        <v>40663</v>
      </c>
      <c r="I2243" s="295">
        <v>-173591.45</v>
      </c>
    </row>
    <row r="2244" spans="1:9" x14ac:dyDescent="0.2">
      <c r="A2244" s="293" t="s">
        <v>5786</v>
      </c>
      <c r="B2244" s="293" t="s">
        <v>5632</v>
      </c>
      <c r="C2244" s="293" t="s">
        <v>5787</v>
      </c>
      <c r="D2244" s="293" t="s">
        <v>5878</v>
      </c>
      <c r="E2244" s="293" t="s">
        <v>5934</v>
      </c>
      <c r="F2244" s="293" t="s">
        <v>5636</v>
      </c>
      <c r="G2244" s="293" t="s">
        <v>5581</v>
      </c>
      <c r="H2244" s="294">
        <v>40663</v>
      </c>
      <c r="I2244" s="295">
        <v>-17687.22</v>
      </c>
    </row>
    <row r="2245" spans="1:9" x14ac:dyDescent="0.2">
      <c r="A2245" s="293" t="s">
        <v>5788</v>
      </c>
      <c r="B2245" s="293" t="s">
        <v>5632</v>
      </c>
      <c r="C2245" s="293" t="s">
        <v>5789</v>
      </c>
      <c r="D2245" s="293" t="s">
        <v>5878</v>
      </c>
      <c r="E2245" s="293" t="s">
        <v>5929</v>
      </c>
      <c r="F2245" s="293" t="s">
        <v>5636</v>
      </c>
      <c r="G2245" s="293" t="s">
        <v>5573</v>
      </c>
      <c r="H2245" s="294">
        <v>40694</v>
      </c>
      <c r="I2245" s="295">
        <v>-17654.330000000002</v>
      </c>
    </row>
    <row r="2246" spans="1:9" x14ac:dyDescent="0.2">
      <c r="A2246" s="293" t="s">
        <v>5788</v>
      </c>
      <c r="B2246" s="293" t="s">
        <v>5632</v>
      </c>
      <c r="C2246" s="293" t="s">
        <v>5789</v>
      </c>
      <c r="D2246" s="293" t="s">
        <v>5878</v>
      </c>
      <c r="E2246" s="293" t="s">
        <v>5931</v>
      </c>
      <c r="F2246" s="293" t="s">
        <v>5636</v>
      </c>
      <c r="G2246" s="293" t="s">
        <v>5573</v>
      </c>
      <c r="H2246" s="294">
        <v>40694</v>
      </c>
      <c r="I2246" s="295">
        <v>-7116.94</v>
      </c>
    </row>
    <row r="2247" spans="1:9" x14ac:dyDescent="0.2">
      <c r="A2247" s="293" t="s">
        <v>5788</v>
      </c>
      <c r="B2247" s="293" t="s">
        <v>5632</v>
      </c>
      <c r="C2247" s="293" t="s">
        <v>5789</v>
      </c>
      <c r="D2247" s="293" t="s">
        <v>5878</v>
      </c>
      <c r="E2247" s="293" t="s">
        <v>5933</v>
      </c>
      <c r="F2247" s="293" t="s">
        <v>5636</v>
      </c>
      <c r="G2247" s="293" t="s">
        <v>5588</v>
      </c>
      <c r="H2247" s="294">
        <v>40694</v>
      </c>
      <c r="I2247" s="295">
        <v>-173591.45</v>
      </c>
    </row>
    <row r="2248" spans="1:9" x14ac:dyDescent="0.2">
      <c r="A2248" s="293" t="s">
        <v>5788</v>
      </c>
      <c r="B2248" s="293" t="s">
        <v>5632</v>
      </c>
      <c r="C2248" s="293" t="s">
        <v>5789</v>
      </c>
      <c r="D2248" s="293" t="s">
        <v>5878</v>
      </c>
      <c r="E2248" s="293" t="s">
        <v>5934</v>
      </c>
      <c r="F2248" s="293" t="s">
        <v>5636</v>
      </c>
      <c r="G2248" s="293" t="s">
        <v>5581</v>
      </c>
      <c r="H2248" s="294">
        <v>40694</v>
      </c>
      <c r="I2248" s="295">
        <v>-17687.22</v>
      </c>
    </row>
    <row r="2249" spans="1:9" x14ac:dyDescent="0.2">
      <c r="A2249" s="293" t="s">
        <v>5788</v>
      </c>
      <c r="B2249" s="293" t="s">
        <v>5632</v>
      </c>
      <c r="C2249" s="293" t="s">
        <v>5789</v>
      </c>
      <c r="D2249" s="293" t="s">
        <v>5878</v>
      </c>
      <c r="E2249" s="293" t="s">
        <v>5928</v>
      </c>
      <c r="F2249" s="293" t="s">
        <v>5636</v>
      </c>
      <c r="G2249" s="293" t="s">
        <v>5587</v>
      </c>
      <c r="H2249" s="294">
        <v>40694</v>
      </c>
      <c r="I2249" s="295">
        <v>-5997.63</v>
      </c>
    </row>
    <row r="2250" spans="1:9" x14ac:dyDescent="0.2">
      <c r="A2250" s="293" t="s">
        <v>5788</v>
      </c>
      <c r="B2250" s="293" t="s">
        <v>5632</v>
      </c>
      <c r="C2250" s="293" t="s">
        <v>5789</v>
      </c>
      <c r="D2250" s="293" t="s">
        <v>5878</v>
      </c>
      <c r="E2250" s="293" t="s">
        <v>5932</v>
      </c>
      <c r="F2250" s="293" t="s">
        <v>5636</v>
      </c>
      <c r="G2250" s="293" t="s">
        <v>5581</v>
      </c>
      <c r="H2250" s="294">
        <v>40694</v>
      </c>
      <c r="I2250" s="295">
        <v>-4721.05</v>
      </c>
    </row>
    <row r="2251" spans="1:9" x14ac:dyDescent="0.2">
      <c r="A2251" s="293" t="s">
        <v>5790</v>
      </c>
      <c r="B2251" s="293" t="s">
        <v>5632</v>
      </c>
      <c r="C2251" s="293" t="s">
        <v>5791</v>
      </c>
      <c r="D2251" s="293" t="s">
        <v>5878</v>
      </c>
      <c r="E2251" s="293" t="s">
        <v>5928</v>
      </c>
      <c r="F2251" s="293" t="s">
        <v>5636</v>
      </c>
      <c r="G2251" s="293" t="s">
        <v>5587</v>
      </c>
      <c r="H2251" s="294">
        <v>40724</v>
      </c>
      <c r="I2251" s="295">
        <v>-5997.63</v>
      </c>
    </row>
    <row r="2252" spans="1:9" x14ac:dyDescent="0.2">
      <c r="A2252" s="293" t="s">
        <v>5790</v>
      </c>
      <c r="B2252" s="293" t="s">
        <v>5632</v>
      </c>
      <c r="C2252" s="293" t="s">
        <v>5791</v>
      </c>
      <c r="D2252" s="293" t="s">
        <v>5878</v>
      </c>
      <c r="E2252" s="293" t="s">
        <v>5929</v>
      </c>
      <c r="F2252" s="293" t="s">
        <v>5636</v>
      </c>
      <c r="G2252" s="293" t="s">
        <v>5573</v>
      </c>
      <c r="H2252" s="294">
        <v>40724</v>
      </c>
      <c r="I2252" s="295">
        <v>-17654.330000000002</v>
      </c>
    </row>
    <row r="2253" spans="1:9" x14ac:dyDescent="0.2">
      <c r="A2253" s="293" t="s">
        <v>5790</v>
      </c>
      <c r="B2253" s="293" t="s">
        <v>5632</v>
      </c>
      <c r="C2253" s="293" t="s">
        <v>5791</v>
      </c>
      <c r="D2253" s="293" t="s">
        <v>5878</v>
      </c>
      <c r="E2253" s="293" t="s">
        <v>5931</v>
      </c>
      <c r="F2253" s="293" t="s">
        <v>5636</v>
      </c>
      <c r="G2253" s="293" t="s">
        <v>5573</v>
      </c>
      <c r="H2253" s="294">
        <v>40724</v>
      </c>
      <c r="I2253" s="295">
        <v>-7116.94</v>
      </c>
    </row>
    <row r="2254" spans="1:9" x14ac:dyDescent="0.2">
      <c r="A2254" s="293" t="s">
        <v>5790</v>
      </c>
      <c r="B2254" s="293" t="s">
        <v>5632</v>
      </c>
      <c r="C2254" s="293" t="s">
        <v>5791</v>
      </c>
      <c r="D2254" s="293" t="s">
        <v>5878</v>
      </c>
      <c r="E2254" s="293" t="s">
        <v>5932</v>
      </c>
      <c r="F2254" s="293" t="s">
        <v>5636</v>
      </c>
      <c r="G2254" s="293" t="s">
        <v>5581</v>
      </c>
      <c r="H2254" s="294">
        <v>40724</v>
      </c>
      <c r="I2254" s="295">
        <v>-4721.05</v>
      </c>
    </row>
    <row r="2255" spans="1:9" x14ac:dyDescent="0.2">
      <c r="A2255" s="293" t="s">
        <v>5790</v>
      </c>
      <c r="B2255" s="293" t="s">
        <v>5632</v>
      </c>
      <c r="C2255" s="293" t="s">
        <v>5791</v>
      </c>
      <c r="D2255" s="293" t="s">
        <v>5878</v>
      </c>
      <c r="E2255" s="293" t="s">
        <v>5933</v>
      </c>
      <c r="F2255" s="293" t="s">
        <v>5636</v>
      </c>
      <c r="G2255" s="293" t="s">
        <v>5588</v>
      </c>
      <c r="H2255" s="294">
        <v>40724</v>
      </c>
      <c r="I2255" s="295">
        <v>-173591.45</v>
      </c>
    </row>
    <row r="2256" spans="1:9" x14ac:dyDescent="0.2">
      <c r="A2256" s="293" t="s">
        <v>5790</v>
      </c>
      <c r="B2256" s="293" t="s">
        <v>5632</v>
      </c>
      <c r="C2256" s="293" t="s">
        <v>5791</v>
      </c>
      <c r="D2256" s="293" t="s">
        <v>5878</v>
      </c>
      <c r="E2256" s="293" t="s">
        <v>5934</v>
      </c>
      <c r="F2256" s="293" t="s">
        <v>5636</v>
      </c>
      <c r="G2256" s="293" t="s">
        <v>5581</v>
      </c>
      <c r="H2256" s="294">
        <v>40724</v>
      </c>
      <c r="I2256" s="295">
        <v>-17687.22</v>
      </c>
    </row>
    <row r="2257" spans="1:9" x14ac:dyDescent="0.2">
      <c r="A2257" s="293" t="s">
        <v>5792</v>
      </c>
      <c r="B2257" s="293" t="s">
        <v>5632</v>
      </c>
      <c r="C2257" s="293" t="s">
        <v>5793</v>
      </c>
      <c r="D2257" s="293" t="s">
        <v>5878</v>
      </c>
      <c r="E2257" s="293" t="s">
        <v>5928</v>
      </c>
      <c r="F2257" s="293" t="s">
        <v>5636</v>
      </c>
      <c r="G2257" s="293" t="s">
        <v>5587</v>
      </c>
      <c r="H2257" s="294">
        <v>40755</v>
      </c>
      <c r="I2257" s="295">
        <v>-5997.63</v>
      </c>
    </row>
    <row r="2258" spans="1:9" x14ac:dyDescent="0.2">
      <c r="A2258" s="293" t="s">
        <v>5792</v>
      </c>
      <c r="B2258" s="293" t="s">
        <v>5632</v>
      </c>
      <c r="C2258" s="293" t="s">
        <v>5793</v>
      </c>
      <c r="D2258" s="293" t="s">
        <v>5878</v>
      </c>
      <c r="E2258" s="293" t="s">
        <v>5929</v>
      </c>
      <c r="F2258" s="293" t="s">
        <v>5636</v>
      </c>
      <c r="G2258" s="293" t="s">
        <v>5573</v>
      </c>
      <c r="H2258" s="294">
        <v>40755</v>
      </c>
      <c r="I2258" s="295">
        <v>-17654.330000000002</v>
      </c>
    </row>
    <row r="2259" spans="1:9" x14ac:dyDescent="0.2">
      <c r="A2259" s="293" t="s">
        <v>5792</v>
      </c>
      <c r="B2259" s="293" t="s">
        <v>5632</v>
      </c>
      <c r="C2259" s="293" t="s">
        <v>5793</v>
      </c>
      <c r="D2259" s="293" t="s">
        <v>5878</v>
      </c>
      <c r="E2259" s="293" t="s">
        <v>5931</v>
      </c>
      <c r="F2259" s="293" t="s">
        <v>5636</v>
      </c>
      <c r="G2259" s="293" t="s">
        <v>5573</v>
      </c>
      <c r="H2259" s="294">
        <v>40755</v>
      </c>
      <c r="I2259" s="295">
        <v>-7116.94</v>
      </c>
    </row>
    <row r="2260" spans="1:9" x14ac:dyDescent="0.2">
      <c r="A2260" s="293" t="s">
        <v>5792</v>
      </c>
      <c r="B2260" s="293" t="s">
        <v>5632</v>
      </c>
      <c r="C2260" s="293" t="s">
        <v>5793</v>
      </c>
      <c r="D2260" s="293" t="s">
        <v>5878</v>
      </c>
      <c r="E2260" s="293" t="s">
        <v>5932</v>
      </c>
      <c r="F2260" s="293" t="s">
        <v>5636</v>
      </c>
      <c r="G2260" s="293" t="s">
        <v>5581</v>
      </c>
      <c r="H2260" s="294">
        <v>40755</v>
      </c>
      <c r="I2260" s="295">
        <v>-4721.05</v>
      </c>
    </row>
    <row r="2261" spans="1:9" x14ac:dyDescent="0.2">
      <c r="A2261" s="293" t="s">
        <v>5792</v>
      </c>
      <c r="B2261" s="293" t="s">
        <v>5632</v>
      </c>
      <c r="C2261" s="293" t="s">
        <v>5793</v>
      </c>
      <c r="D2261" s="293" t="s">
        <v>5878</v>
      </c>
      <c r="E2261" s="293" t="s">
        <v>5933</v>
      </c>
      <c r="F2261" s="293" t="s">
        <v>5636</v>
      </c>
      <c r="G2261" s="293" t="s">
        <v>5588</v>
      </c>
      <c r="H2261" s="294">
        <v>40755</v>
      </c>
      <c r="I2261" s="295">
        <v>-173591.45</v>
      </c>
    </row>
    <row r="2262" spans="1:9" x14ac:dyDescent="0.2">
      <c r="A2262" s="293" t="s">
        <v>5792</v>
      </c>
      <c r="B2262" s="293" t="s">
        <v>5632</v>
      </c>
      <c r="C2262" s="293" t="s">
        <v>5793</v>
      </c>
      <c r="D2262" s="293" t="s">
        <v>5878</v>
      </c>
      <c r="E2262" s="293" t="s">
        <v>5934</v>
      </c>
      <c r="F2262" s="293" t="s">
        <v>5636</v>
      </c>
      <c r="G2262" s="293" t="s">
        <v>5581</v>
      </c>
      <c r="H2262" s="294">
        <v>40755</v>
      </c>
      <c r="I2262" s="295">
        <v>-17687.22</v>
      </c>
    </row>
    <row r="2263" spans="1:9" x14ac:dyDescent="0.2">
      <c r="A2263" s="293" t="s">
        <v>5794</v>
      </c>
      <c r="B2263" s="293" t="s">
        <v>5632</v>
      </c>
      <c r="C2263" s="293" t="s">
        <v>5795</v>
      </c>
      <c r="D2263" s="293" t="s">
        <v>5878</v>
      </c>
      <c r="E2263" s="293" t="s">
        <v>5931</v>
      </c>
      <c r="F2263" s="293" t="s">
        <v>5636</v>
      </c>
      <c r="G2263" s="293" t="s">
        <v>5573</v>
      </c>
      <c r="H2263" s="294">
        <v>40786</v>
      </c>
      <c r="I2263" s="295">
        <v>-7116.94</v>
      </c>
    </row>
    <row r="2264" spans="1:9" x14ac:dyDescent="0.2">
      <c r="A2264" s="293" t="s">
        <v>5794</v>
      </c>
      <c r="B2264" s="293" t="s">
        <v>5632</v>
      </c>
      <c r="C2264" s="293" t="s">
        <v>5795</v>
      </c>
      <c r="D2264" s="293" t="s">
        <v>5878</v>
      </c>
      <c r="E2264" s="293" t="s">
        <v>5928</v>
      </c>
      <c r="F2264" s="293" t="s">
        <v>5636</v>
      </c>
      <c r="G2264" s="293" t="s">
        <v>5587</v>
      </c>
      <c r="H2264" s="294">
        <v>40786</v>
      </c>
      <c r="I2264" s="295">
        <v>-5997.63</v>
      </c>
    </row>
    <row r="2265" spans="1:9" x14ac:dyDescent="0.2">
      <c r="A2265" s="293" t="s">
        <v>5794</v>
      </c>
      <c r="B2265" s="293" t="s">
        <v>5632</v>
      </c>
      <c r="C2265" s="293" t="s">
        <v>5795</v>
      </c>
      <c r="D2265" s="293" t="s">
        <v>5878</v>
      </c>
      <c r="E2265" s="293" t="s">
        <v>5929</v>
      </c>
      <c r="F2265" s="293" t="s">
        <v>5636</v>
      </c>
      <c r="G2265" s="293" t="s">
        <v>5573</v>
      </c>
      <c r="H2265" s="294">
        <v>40786</v>
      </c>
      <c r="I2265" s="295">
        <v>-17654.330000000002</v>
      </c>
    </row>
    <row r="2266" spans="1:9" x14ac:dyDescent="0.2">
      <c r="A2266" s="293" t="s">
        <v>5794</v>
      </c>
      <c r="B2266" s="293" t="s">
        <v>5632</v>
      </c>
      <c r="C2266" s="293" t="s">
        <v>5795</v>
      </c>
      <c r="D2266" s="293" t="s">
        <v>5878</v>
      </c>
      <c r="E2266" s="293" t="s">
        <v>5932</v>
      </c>
      <c r="F2266" s="293" t="s">
        <v>5636</v>
      </c>
      <c r="G2266" s="293" t="s">
        <v>5581</v>
      </c>
      <c r="H2266" s="294">
        <v>40786</v>
      </c>
      <c r="I2266" s="295">
        <v>-4721.05</v>
      </c>
    </row>
    <row r="2267" spans="1:9" x14ac:dyDescent="0.2">
      <c r="A2267" s="293" t="s">
        <v>5794</v>
      </c>
      <c r="B2267" s="293" t="s">
        <v>5632</v>
      </c>
      <c r="C2267" s="293" t="s">
        <v>5795</v>
      </c>
      <c r="D2267" s="293" t="s">
        <v>5878</v>
      </c>
      <c r="E2267" s="293" t="s">
        <v>5933</v>
      </c>
      <c r="F2267" s="293" t="s">
        <v>5636</v>
      </c>
      <c r="G2267" s="293" t="s">
        <v>5588</v>
      </c>
      <c r="H2267" s="294">
        <v>40786</v>
      </c>
      <c r="I2267" s="295">
        <v>-173591.45</v>
      </c>
    </row>
    <row r="2268" spans="1:9" x14ac:dyDescent="0.2">
      <c r="A2268" s="293" t="s">
        <v>5794</v>
      </c>
      <c r="B2268" s="293" t="s">
        <v>5632</v>
      </c>
      <c r="C2268" s="293" t="s">
        <v>5795</v>
      </c>
      <c r="D2268" s="293" t="s">
        <v>5878</v>
      </c>
      <c r="E2268" s="293" t="s">
        <v>5934</v>
      </c>
      <c r="F2268" s="293" t="s">
        <v>5636</v>
      </c>
      <c r="G2268" s="293" t="s">
        <v>5581</v>
      </c>
      <c r="H2268" s="294">
        <v>40786</v>
      </c>
      <c r="I2268" s="295">
        <v>-17687.22</v>
      </c>
    </row>
    <row r="2269" spans="1:9" x14ac:dyDescent="0.2">
      <c r="A2269" s="293" t="s">
        <v>5796</v>
      </c>
      <c r="B2269" s="293" t="s">
        <v>5632</v>
      </c>
      <c r="C2269" s="293" t="s">
        <v>5797</v>
      </c>
      <c r="D2269" s="293" t="s">
        <v>5878</v>
      </c>
      <c r="E2269" s="293" t="s">
        <v>5928</v>
      </c>
      <c r="F2269" s="293" t="s">
        <v>5636</v>
      </c>
      <c r="G2269" s="293" t="s">
        <v>5587</v>
      </c>
      <c r="H2269" s="294">
        <v>40816</v>
      </c>
      <c r="I2269" s="295">
        <v>-5997.63</v>
      </c>
    </row>
    <row r="2270" spans="1:9" x14ac:dyDescent="0.2">
      <c r="A2270" s="293" t="s">
        <v>5796</v>
      </c>
      <c r="B2270" s="293" t="s">
        <v>5632</v>
      </c>
      <c r="C2270" s="293" t="s">
        <v>5797</v>
      </c>
      <c r="D2270" s="293" t="s">
        <v>5878</v>
      </c>
      <c r="E2270" s="293" t="s">
        <v>5929</v>
      </c>
      <c r="F2270" s="293" t="s">
        <v>5636</v>
      </c>
      <c r="G2270" s="293" t="s">
        <v>5573</v>
      </c>
      <c r="H2270" s="294">
        <v>40816</v>
      </c>
      <c r="I2270" s="295">
        <v>-17654.330000000002</v>
      </c>
    </row>
    <row r="2271" spans="1:9" x14ac:dyDescent="0.2">
      <c r="A2271" s="293" t="s">
        <v>5796</v>
      </c>
      <c r="B2271" s="293" t="s">
        <v>5632</v>
      </c>
      <c r="C2271" s="293" t="s">
        <v>5797</v>
      </c>
      <c r="D2271" s="293" t="s">
        <v>5878</v>
      </c>
      <c r="E2271" s="293" t="s">
        <v>5931</v>
      </c>
      <c r="F2271" s="293" t="s">
        <v>5636</v>
      </c>
      <c r="G2271" s="293" t="s">
        <v>5573</v>
      </c>
      <c r="H2271" s="294">
        <v>40816</v>
      </c>
      <c r="I2271" s="295">
        <v>-7116.94</v>
      </c>
    </row>
    <row r="2272" spans="1:9" x14ac:dyDescent="0.2">
      <c r="A2272" s="293" t="s">
        <v>5796</v>
      </c>
      <c r="B2272" s="293" t="s">
        <v>5632</v>
      </c>
      <c r="C2272" s="293" t="s">
        <v>5797</v>
      </c>
      <c r="D2272" s="293" t="s">
        <v>5878</v>
      </c>
      <c r="E2272" s="293" t="s">
        <v>5932</v>
      </c>
      <c r="F2272" s="293" t="s">
        <v>5636</v>
      </c>
      <c r="G2272" s="293" t="s">
        <v>5581</v>
      </c>
      <c r="H2272" s="294">
        <v>40816</v>
      </c>
      <c r="I2272" s="295">
        <v>-4721.05</v>
      </c>
    </row>
    <row r="2273" spans="1:9" x14ac:dyDescent="0.2">
      <c r="A2273" s="293" t="s">
        <v>5796</v>
      </c>
      <c r="B2273" s="293" t="s">
        <v>5632</v>
      </c>
      <c r="C2273" s="293" t="s">
        <v>5797</v>
      </c>
      <c r="D2273" s="293" t="s">
        <v>5878</v>
      </c>
      <c r="E2273" s="293" t="s">
        <v>5933</v>
      </c>
      <c r="F2273" s="293" t="s">
        <v>5636</v>
      </c>
      <c r="G2273" s="293" t="s">
        <v>5588</v>
      </c>
      <c r="H2273" s="294">
        <v>40816</v>
      </c>
      <c r="I2273" s="295">
        <v>-173591.45</v>
      </c>
    </row>
    <row r="2274" spans="1:9" x14ac:dyDescent="0.2">
      <c r="A2274" s="293" t="s">
        <v>5796</v>
      </c>
      <c r="B2274" s="293" t="s">
        <v>5632</v>
      </c>
      <c r="C2274" s="293" t="s">
        <v>5797</v>
      </c>
      <c r="D2274" s="293" t="s">
        <v>5878</v>
      </c>
      <c r="E2274" s="293" t="s">
        <v>5934</v>
      </c>
      <c r="F2274" s="293" t="s">
        <v>5636</v>
      </c>
      <c r="G2274" s="293" t="s">
        <v>5581</v>
      </c>
      <c r="H2274" s="294">
        <v>40816</v>
      </c>
      <c r="I2274" s="295">
        <v>-17687.22</v>
      </c>
    </row>
    <row r="2275" spans="1:9" x14ac:dyDescent="0.2">
      <c r="A2275" s="293" t="s">
        <v>5798</v>
      </c>
      <c r="B2275" s="293" t="s">
        <v>5632</v>
      </c>
      <c r="C2275" s="293" t="s">
        <v>5799</v>
      </c>
      <c r="D2275" s="293" t="s">
        <v>5878</v>
      </c>
      <c r="E2275" s="293" t="s">
        <v>5929</v>
      </c>
      <c r="F2275" s="293" t="s">
        <v>5636</v>
      </c>
      <c r="G2275" s="293" t="s">
        <v>5573</v>
      </c>
      <c r="H2275" s="294">
        <v>40847</v>
      </c>
      <c r="I2275" s="295">
        <v>-17654.330000000002</v>
      </c>
    </row>
    <row r="2276" spans="1:9" x14ac:dyDescent="0.2">
      <c r="A2276" s="293" t="s">
        <v>5798</v>
      </c>
      <c r="B2276" s="293" t="s">
        <v>5632</v>
      </c>
      <c r="C2276" s="293" t="s">
        <v>5799</v>
      </c>
      <c r="D2276" s="293" t="s">
        <v>5878</v>
      </c>
      <c r="E2276" s="293" t="s">
        <v>5931</v>
      </c>
      <c r="F2276" s="293" t="s">
        <v>5636</v>
      </c>
      <c r="G2276" s="293" t="s">
        <v>5573</v>
      </c>
      <c r="H2276" s="294">
        <v>40847</v>
      </c>
      <c r="I2276" s="295">
        <v>-7116.94</v>
      </c>
    </row>
    <row r="2277" spans="1:9" x14ac:dyDescent="0.2">
      <c r="A2277" s="293" t="s">
        <v>5798</v>
      </c>
      <c r="B2277" s="293" t="s">
        <v>5632</v>
      </c>
      <c r="C2277" s="293" t="s">
        <v>5799</v>
      </c>
      <c r="D2277" s="293" t="s">
        <v>5878</v>
      </c>
      <c r="E2277" s="293" t="s">
        <v>5933</v>
      </c>
      <c r="F2277" s="293" t="s">
        <v>5636</v>
      </c>
      <c r="G2277" s="293" t="s">
        <v>5588</v>
      </c>
      <c r="H2277" s="294">
        <v>40847</v>
      </c>
      <c r="I2277" s="295">
        <v>-173591.45</v>
      </c>
    </row>
    <row r="2278" spans="1:9" x14ac:dyDescent="0.2">
      <c r="A2278" s="293" t="s">
        <v>5798</v>
      </c>
      <c r="B2278" s="293" t="s">
        <v>5632</v>
      </c>
      <c r="C2278" s="293" t="s">
        <v>5799</v>
      </c>
      <c r="D2278" s="293" t="s">
        <v>5878</v>
      </c>
      <c r="E2278" s="293" t="s">
        <v>5934</v>
      </c>
      <c r="F2278" s="293" t="s">
        <v>5636</v>
      </c>
      <c r="G2278" s="293" t="s">
        <v>5581</v>
      </c>
      <c r="H2278" s="294">
        <v>40847</v>
      </c>
      <c r="I2278" s="295">
        <v>-17687.22</v>
      </c>
    </row>
    <row r="2279" spans="1:9" x14ac:dyDescent="0.2">
      <c r="A2279" s="293" t="s">
        <v>5798</v>
      </c>
      <c r="B2279" s="293" t="s">
        <v>5632</v>
      </c>
      <c r="C2279" s="293" t="s">
        <v>5799</v>
      </c>
      <c r="D2279" s="293" t="s">
        <v>5878</v>
      </c>
      <c r="E2279" s="293" t="s">
        <v>5928</v>
      </c>
      <c r="F2279" s="293" t="s">
        <v>5636</v>
      </c>
      <c r="G2279" s="293" t="s">
        <v>5587</v>
      </c>
      <c r="H2279" s="294">
        <v>40847</v>
      </c>
      <c r="I2279" s="295">
        <v>-5997.63</v>
      </c>
    </row>
    <row r="2280" spans="1:9" x14ac:dyDescent="0.2">
      <c r="A2280" s="293" t="s">
        <v>5798</v>
      </c>
      <c r="B2280" s="293" t="s">
        <v>5632</v>
      </c>
      <c r="C2280" s="293" t="s">
        <v>5799</v>
      </c>
      <c r="D2280" s="293" t="s">
        <v>5878</v>
      </c>
      <c r="E2280" s="293" t="s">
        <v>5932</v>
      </c>
      <c r="F2280" s="293" t="s">
        <v>5636</v>
      </c>
      <c r="G2280" s="293" t="s">
        <v>5581</v>
      </c>
      <c r="H2280" s="294">
        <v>40847</v>
      </c>
      <c r="I2280" s="295">
        <v>-4721.05</v>
      </c>
    </row>
    <row r="2281" spans="1:9" x14ac:dyDescent="0.2">
      <c r="A2281" s="293" t="s">
        <v>5800</v>
      </c>
      <c r="B2281" s="293" t="s">
        <v>5632</v>
      </c>
      <c r="C2281" s="293" t="s">
        <v>5801</v>
      </c>
      <c r="D2281" s="293" t="s">
        <v>5878</v>
      </c>
      <c r="E2281" s="293" t="s">
        <v>5928</v>
      </c>
      <c r="F2281" s="293" t="s">
        <v>5636</v>
      </c>
      <c r="G2281" s="293" t="s">
        <v>5587</v>
      </c>
      <c r="H2281" s="294">
        <v>40877</v>
      </c>
      <c r="I2281" s="295">
        <v>-5997.63</v>
      </c>
    </row>
    <row r="2282" spans="1:9" x14ac:dyDescent="0.2">
      <c r="A2282" s="293" t="s">
        <v>5800</v>
      </c>
      <c r="B2282" s="293" t="s">
        <v>5632</v>
      </c>
      <c r="C2282" s="293" t="s">
        <v>5801</v>
      </c>
      <c r="D2282" s="293" t="s">
        <v>5878</v>
      </c>
      <c r="E2282" s="293" t="s">
        <v>5929</v>
      </c>
      <c r="F2282" s="293" t="s">
        <v>5636</v>
      </c>
      <c r="G2282" s="293" t="s">
        <v>5573</v>
      </c>
      <c r="H2282" s="294">
        <v>40877</v>
      </c>
      <c r="I2282" s="295">
        <v>-17654.330000000002</v>
      </c>
    </row>
    <row r="2283" spans="1:9" x14ac:dyDescent="0.2">
      <c r="A2283" s="293" t="s">
        <v>5800</v>
      </c>
      <c r="B2283" s="293" t="s">
        <v>5632</v>
      </c>
      <c r="C2283" s="293" t="s">
        <v>5801</v>
      </c>
      <c r="D2283" s="293" t="s">
        <v>5878</v>
      </c>
      <c r="E2283" s="293" t="s">
        <v>5931</v>
      </c>
      <c r="F2283" s="293" t="s">
        <v>5636</v>
      </c>
      <c r="G2283" s="293" t="s">
        <v>5573</v>
      </c>
      <c r="H2283" s="294">
        <v>40877</v>
      </c>
      <c r="I2283" s="295">
        <v>-7116.94</v>
      </c>
    </row>
    <row r="2284" spans="1:9" x14ac:dyDescent="0.2">
      <c r="A2284" s="293" t="s">
        <v>5800</v>
      </c>
      <c r="B2284" s="293" t="s">
        <v>5632</v>
      </c>
      <c r="C2284" s="293" t="s">
        <v>5801</v>
      </c>
      <c r="D2284" s="293" t="s">
        <v>5878</v>
      </c>
      <c r="E2284" s="293" t="s">
        <v>5932</v>
      </c>
      <c r="F2284" s="293" t="s">
        <v>5636</v>
      </c>
      <c r="G2284" s="293" t="s">
        <v>5581</v>
      </c>
      <c r="H2284" s="294">
        <v>40877</v>
      </c>
      <c r="I2284" s="295">
        <v>-4721.05</v>
      </c>
    </row>
    <row r="2285" spans="1:9" x14ac:dyDescent="0.2">
      <c r="A2285" s="293" t="s">
        <v>5800</v>
      </c>
      <c r="B2285" s="293" t="s">
        <v>5632</v>
      </c>
      <c r="C2285" s="293" t="s">
        <v>5801</v>
      </c>
      <c r="D2285" s="293" t="s">
        <v>5878</v>
      </c>
      <c r="E2285" s="293" t="s">
        <v>5933</v>
      </c>
      <c r="F2285" s="293" t="s">
        <v>5636</v>
      </c>
      <c r="G2285" s="293" t="s">
        <v>5588</v>
      </c>
      <c r="H2285" s="294">
        <v>40877</v>
      </c>
      <c r="I2285" s="295">
        <v>-173591.45</v>
      </c>
    </row>
    <row r="2286" spans="1:9" x14ac:dyDescent="0.2">
      <c r="A2286" s="293" t="s">
        <v>5800</v>
      </c>
      <c r="B2286" s="293" t="s">
        <v>5632</v>
      </c>
      <c r="C2286" s="293" t="s">
        <v>5801</v>
      </c>
      <c r="D2286" s="293" t="s">
        <v>5878</v>
      </c>
      <c r="E2286" s="293" t="s">
        <v>5934</v>
      </c>
      <c r="F2286" s="293" t="s">
        <v>5636</v>
      </c>
      <c r="G2286" s="293" t="s">
        <v>5581</v>
      </c>
      <c r="H2286" s="294">
        <v>40877</v>
      </c>
      <c r="I2286" s="295">
        <v>-17687.22</v>
      </c>
    </row>
    <row r="2287" spans="1:9" x14ac:dyDescent="0.2">
      <c r="A2287" s="293" t="s">
        <v>5802</v>
      </c>
      <c r="B2287" s="293" t="s">
        <v>5632</v>
      </c>
      <c r="C2287" s="293" t="s">
        <v>5803</v>
      </c>
      <c r="D2287" s="293" t="s">
        <v>5878</v>
      </c>
      <c r="E2287" s="293" t="s">
        <v>5928</v>
      </c>
      <c r="F2287" s="293" t="s">
        <v>5636</v>
      </c>
      <c r="G2287" s="293" t="s">
        <v>5587</v>
      </c>
      <c r="H2287" s="294">
        <v>40908</v>
      </c>
      <c r="I2287" s="295">
        <v>-5997.63</v>
      </c>
    </row>
    <row r="2288" spans="1:9" x14ac:dyDescent="0.2">
      <c r="A2288" s="293" t="s">
        <v>5802</v>
      </c>
      <c r="B2288" s="293" t="s">
        <v>5632</v>
      </c>
      <c r="C2288" s="293" t="s">
        <v>5803</v>
      </c>
      <c r="D2288" s="293" t="s">
        <v>5878</v>
      </c>
      <c r="E2288" s="293" t="s">
        <v>5929</v>
      </c>
      <c r="F2288" s="293" t="s">
        <v>5636</v>
      </c>
      <c r="G2288" s="293" t="s">
        <v>5573</v>
      </c>
      <c r="H2288" s="294">
        <v>40908</v>
      </c>
      <c r="I2288" s="295">
        <v>-17654.330000000002</v>
      </c>
    </row>
    <row r="2289" spans="1:9" x14ac:dyDescent="0.2">
      <c r="A2289" s="293" t="s">
        <v>5802</v>
      </c>
      <c r="B2289" s="293" t="s">
        <v>5632</v>
      </c>
      <c r="C2289" s="293" t="s">
        <v>5803</v>
      </c>
      <c r="D2289" s="293" t="s">
        <v>5878</v>
      </c>
      <c r="E2289" s="293" t="s">
        <v>5931</v>
      </c>
      <c r="F2289" s="293" t="s">
        <v>5636</v>
      </c>
      <c r="G2289" s="293" t="s">
        <v>5573</v>
      </c>
      <c r="H2289" s="294">
        <v>40908</v>
      </c>
      <c r="I2289" s="295">
        <v>-7116.94</v>
      </c>
    </row>
    <row r="2290" spans="1:9" x14ac:dyDescent="0.2">
      <c r="A2290" s="293" t="s">
        <v>5802</v>
      </c>
      <c r="B2290" s="293" t="s">
        <v>5632</v>
      </c>
      <c r="C2290" s="293" t="s">
        <v>5803</v>
      </c>
      <c r="D2290" s="293" t="s">
        <v>5878</v>
      </c>
      <c r="E2290" s="293" t="s">
        <v>5932</v>
      </c>
      <c r="F2290" s="293" t="s">
        <v>5636</v>
      </c>
      <c r="G2290" s="293" t="s">
        <v>5581</v>
      </c>
      <c r="H2290" s="294">
        <v>40908</v>
      </c>
      <c r="I2290" s="295">
        <v>-4721.05</v>
      </c>
    </row>
    <row r="2291" spans="1:9" x14ac:dyDescent="0.2">
      <c r="A2291" s="293" t="s">
        <v>5802</v>
      </c>
      <c r="B2291" s="293" t="s">
        <v>5632</v>
      </c>
      <c r="C2291" s="293" t="s">
        <v>5803</v>
      </c>
      <c r="D2291" s="293" t="s">
        <v>5878</v>
      </c>
      <c r="E2291" s="293" t="s">
        <v>5933</v>
      </c>
      <c r="F2291" s="293" t="s">
        <v>5636</v>
      </c>
      <c r="G2291" s="293" t="s">
        <v>5588</v>
      </c>
      <c r="H2291" s="294">
        <v>40908</v>
      </c>
      <c r="I2291" s="295">
        <v>-173591.45</v>
      </c>
    </row>
    <row r="2292" spans="1:9" x14ac:dyDescent="0.2">
      <c r="A2292" s="293" t="s">
        <v>5802</v>
      </c>
      <c r="B2292" s="293" t="s">
        <v>5632</v>
      </c>
      <c r="C2292" s="293" t="s">
        <v>5803</v>
      </c>
      <c r="D2292" s="293" t="s">
        <v>5878</v>
      </c>
      <c r="E2292" s="293" t="s">
        <v>5934</v>
      </c>
      <c r="F2292" s="293" t="s">
        <v>5636</v>
      </c>
      <c r="G2292" s="293" t="s">
        <v>5581</v>
      </c>
      <c r="H2292" s="294">
        <v>40908</v>
      </c>
      <c r="I2292" s="295">
        <v>-17687.22</v>
      </c>
    </row>
    <row r="2293" spans="1:9" x14ac:dyDescent="0.2">
      <c r="A2293" s="293" t="s">
        <v>5631</v>
      </c>
      <c r="B2293" s="293" t="s">
        <v>5632</v>
      </c>
      <c r="C2293" s="293" t="s">
        <v>5633</v>
      </c>
      <c r="D2293" s="293" t="s">
        <v>5878</v>
      </c>
      <c r="E2293" s="293" t="s">
        <v>5928</v>
      </c>
      <c r="F2293" s="293" t="s">
        <v>5636</v>
      </c>
      <c r="G2293" s="293" t="s">
        <v>5587</v>
      </c>
      <c r="H2293" s="294">
        <v>40939</v>
      </c>
      <c r="I2293" s="295">
        <v>-5997.63</v>
      </c>
    </row>
    <row r="2294" spans="1:9" x14ac:dyDescent="0.2">
      <c r="A2294" s="293" t="s">
        <v>5631</v>
      </c>
      <c r="B2294" s="293" t="s">
        <v>5632</v>
      </c>
      <c r="C2294" s="293" t="s">
        <v>5633</v>
      </c>
      <c r="D2294" s="293" t="s">
        <v>5878</v>
      </c>
      <c r="E2294" s="293" t="s">
        <v>5929</v>
      </c>
      <c r="F2294" s="293" t="s">
        <v>5636</v>
      </c>
      <c r="G2294" s="293" t="s">
        <v>5573</v>
      </c>
      <c r="H2294" s="294">
        <v>40939</v>
      </c>
      <c r="I2294" s="295">
        <v>-17654.330000000002</v>
      </c>
    </row>
    <row r="2295" spans="1:9" x14ac:dyDescent="0.2">
      <c r="A2295" s="293" t="s">
        <v>5631</v>
      </c>
      <c r="B2295" s="293" t="s">
        <v>5632</v>
      </c>
      <c r="C2295" s="293" t="s">
        <v>5633</v>
      </c>
      <c r="D2295" s="293" t="s">
        <v>5878</v>
      </c>
      <c r="E2295" s="293" t="s">
        <v>5931</v>
      </c>
      <c r="F2295" s="293" t="s">
        <v>5636</v>
      </c>
      <c r="G2295" s="293" t="s">
        <v>5573</v>
      </c>
      <c r="H2295" s="294">
        <v>40939</v>
      </c>
      <c r="I2295" s="295">
        <v>-7116.94</v>
      </c>
    </row>
    <row r="2296" spans="1:9" x14ac:dyDescent="0.2">
      <c r="A2296" s="293" t="s">
        <v>5631</v>
      </c>
      <c r="B2296" s="293" t="s">
        <v>5632</v>
      </c>
      <c r="C2296" s="293" t="s">
        <v>5633</v>
      </c>
      <c r="D2296" s="293" t="s">
        <v>5878</v>
      </c>
      <c r="E2296" s="293" t="s">
        <v>5932</v>
      </c>
      <c r="F2296" s="293" t="s">
        <v>5636</v>
      </c>
      <c r="G2296" s="293" t="s">
        <v>5581</v>
      </c>
      <c r="H2296" s="294">
        <v>40939</v>
      </c>
      <c r="I2296" s="295">
        <v>-4721.05</v>
      </c>
    </row>
    <row r="2297" spans="1:9" x14ac:dyDescent="0.2">
      <c r="A2297" s="293" t="s">
        <v>5631</v>
      </c>
      <c r="B2297" s="293" t="s">
        <v>5632</v>
      </c>
      <c r="C2297" s="293" t="s">
        <v>5633</v>
      </c>
      <c r="D2297" s="293" t="s">
        <v>5878</v>
      </c>
      <c r="E2297" s="293" t="s">
        <v>5933</v>
      </c>
      <c r="F2297" s="293" t="s">
        <v>5636</v>
      </c>
      <c r="G2297" s="293" t="s">
        <v>5588</v>
      </c>
      <c r="H2297" s="294">
        <v>40939</v>
      </c>
      <c r="I2297" s="295">
        <v>-173591.45</v>
      </c>
    </row>
    <row r="2298" spans="1:9" x14ac:dyDescent="0.2">
      <c r="A2298" s="293" t="s">
        <v>5631</v>
      </c>
      <c r="B2298" s="293" t="s">
        <v>5632</v>
      </c>
      <c r="C2298" s="293" t="s">
        <v>5633</v>
      </c>
      <c r="D2298" s="293" t="s">
        <v>5878</v>
      </c>
      <c r="E2298" s="293" t="s">
        <v>5934</v>
      </c>
      <c r="F2298" s="293" t="s">
        <v>5636</v>
      </c>
      <c r="G2298" s="293" t="s">
        <v>5581</v>
      </c>
      <c r="H2298" s="294">
        <v>40939</v>
      </c>
      <c r="I2298" s="295">
        <v>-17687.22</v>
      </c>
    </row>
    <row r="2299" spans="1:9" x14ac:dyDescent="0.2">
      <c r="A2299" s="293" t="s">
        <v>5955</v>
      </c>
      <c r="B2299" s="293" t="s">
        <v>5666</v>
      </c>
      <c r="C2299" s="293" t="s">
        <v>5088</v>
      </c>
      <c r="D2299" s="293" t="s">
        <v>5878</v>
      </c>
      <c r="E2299" s="293" t="s">
        <v>5088</v>
      </c>
      <c r="F2299" s="293" t="s">
        <v>5976</v>
      </c>
      <c r="G2299" s="293" t="s">
        <v>5637</v>
      </c>
      <c r="H2299" s="294">
        <v>40999</v>
      </c>
      <c r="I2299" s="295">
        <v>2153361.42</v>
      </c>
    </row>
    <row r="2300" spans="1:9" x14ac:dyDescent="0.2">
      <c r="A2300" s="293" t="s">
        <v>5955</v>
      </c>
      <c r="B2300" s="293" t="s">
        <v>5666</v>
      </c>
      <c r="C2300" s="293" t="s">
        <v>5088</v>
      </c>
      <c r="D2300" s="293" t="s">
        <v>5878</v>
      </c>
      <c r="E2300" s="293" t="s">
        <v>5088</v>
      </c>
      <c r="F2300" s="293" t="s">
        <v>5976</v>
      </c>
      <c r="G2300" s="293" t="s">
        <v>5637</v>
      </c>
      <c r="H2300" s="294">
        <v>40999</v>
      </c>
      <c r="I2300" s="295">
        <v>-1934868.66</v>
      </c>
    </row>
    <row r="2301" spans="1:9" x14ac:dyDescent="0.2">
      <c r="A2301" s="293" t="s">
        <v>5651</v>
      </c>
      <c r="B2301" s="293" t="s">
        <v>5632</v>
      </c>
      <c r="C2301" s="293" t="s">
        <v>5652</v>
      </c>
      <c r="D2301" s="293" t="s">
        <v>5878</v>
      </c>
      <c r="E2301" s="293" t="s">
        <v>5928</v>
      </c>
      <c r="F2301" s="293" t="s">
        <v>5653</v>
      </c>
      <c r="G2301" s="293" t="s">
        <v>5587</v>
      </c>
      <c r="H2301" s="294">
        <v>40968</v>
      </c>
      <c r="I2301" s="295">
        <v>-5997.63</v>
      </c>
    </row>
    <row r="2302" spans="1:9" x14ac:dyDescent="0.2">
      <c r="A2302" s="293" t="s">
        <v>5651</v>
      </c>
      <c r="B2302" s="293" t="s">
        <v>5632</v>
      </c>
      <c r="C2302" s="293" t="s">
        <v>5652</v>
      </c>
      <c r="D2302" s="293" t="s">
        <v>5878</v>
      </c>
      <c r="E2302" s="293" t="s">
        <v>5929</v>
      </c>
      <c r="F2302" s="293" t="s">
        <v>5653</v>
      </c>
      <c r="G2302" s="293" t="s">
        <v>5573</v>
      </c>
      <c r="H2302" s="294">
        <v>40968</v>
      </c>
      <c r="I2302" s="295">
        <v>-17654.330000000002</v>
      </c>
    </row>
    <row r="2303" spans="1:9" x14ac:dyDescent="0.2">
      <c r="A2303" s="293" t="s">
        <v>5651</v>
      </c>
      <c r="B2303" s="293" t="s">
        <v>5632</v>
      </c>
      <c r="C2303" s="293" t="s">
        <v>5652</v>
      </c>
      <c r="D2303" s="293" t="s">
        <v>5878</v>
      </c>
      <c r="E2303" s="293" t="s">
        <v>5931</v>
      </c>
      <c r="F2303" s="293" t="s">
        <v>5653</v>
      </c>
      <c r="G2303" s="293" t="s">
        <v>5573</v>
      </c>
      <c r="H2303" s="294">
        <v>40968</v>
      </c>
      <c r="I2303" s="295">
        <v>-7116.94</v>
      </c>
    </row>
    <row r="2304" spans="1:9" x14ac:dyDescent="0.2">
      <c r="A2304" s="293" t="s">
        <v>5651</v>
      </c>
      <c r="B2304" s="293" t="s">
        <v>5632</v>
      </c>
      <c r="C2304" s="293" t="s">
        <v>5652</v>
      </c>
      <c r="D2304" s="293" t="s">
        <v>5878</v>
      </c>
      <c r="E2304" s="293" t="s">
        <v>5932</v>
      </c>
      <c r="F2304" s="293" t="s">
        <v>5653</v>
      </c>
      <c r="G2304" s="293" t="s">
        <v>5581</v>
      </c>
      <c r="H2304" s="294">
        <v>40968</v>
      </c>
      <c r="I2304" s="295">
        <v>-4721.05</v>
      </c>
    </row>
    <row r="2305" spans="1:9" x14ac:dyDescent="0.2">
      <c r="A2305" s="293" t="s">
        <v>5651</v>
      </c>
      <c r="B2305" s="293" t="s">
        <v>5632</v>
      </c>
      <c r="C2305" s="293" t="s">
        <v>5652</v>
      </c>
      <c r="D2305" s="293" t="s">
        <v>5878</v>
      </c>
      <c r="E2305" s="293" t="s">
        <v>5933</v>
      </c>
      <c r="F2305" s="293" t="s">
        <v>5653</v>
      </c>
      <c r="G2305" s="293" t="s">
        <v>5588</v>
      </c>
      <c r="H2305" s="294">
        <v>40968</v>
      </c>
      <c r="I2305" s="295">
        <v>-173591.45</v>
      </c>
    </row>
    <row r="2306" spans="1:9" x14ac:dyDescent="0.2">
      <c r="A2306" s="293" t="s">
        <v>5651</v>
      </c>
      <c r="B2306" s="293" t="s">
        <v>5632</v>
      </c>
      <c r="C2306" s="293" t="s">
        <v>5652</v>
      </c>
      <c r="D2306" s="293" t="s">
        <v>5878</v>
      </c>
      <c r="E2306" s="293" t="s">
        <v>5934</v>
      </c>
      <c r="F2306" s="293" t="s">
        <v>5653</v>
      </c>
      <c r="G2306" s="293" t="s">
        <v>5581</v>
      </c>
      <c r="H2306" s="294">
        <v>40968</v>
      </c>
      <c r="I2306" s="295">
        <v>-17687.22</v>
      </c>
    </row>
    <row r="2307" spans="1:9" x14ac:dyDescent="0.2">
      <c r="A2307" s="293" t="s">
        <v>5804</v>
      </c>
      <c r="B2307" s="293" t="s">
        <v>5632</v>
      </c>
      <c r="C2307" s="293" t="s">
        <v>5656</v>
      </c>
      <c r="D2307" s="293" t="s">
        <v>5878</v>
      </c>
      <c r="E2307" s="293" t="s">
        <v>5928</v>
      </c>
      <c r="F2307" s="293" t="s">
        <v>5657</v>
      </c>
      <c r="G2307" s="293" t="s">
        <v>5587</v>
      </c>
      <c r="H2307" s="294">
        <v>40999</v>
      </c>
      <c r="I2307" s="295">
        <v>-5997.63</v>
      </c>
    </row>
    <row r="2308" spans="1:9" x14ac:dyDescent="0.2">
      <c r="A2308" s="293" t="s">
        <v>5804</v>
      </c>
      <c r="B2308" s="293" t="s">
        <v>5632</v>
      </c>
      <c r="C2308" s="293" t="s">
        <v>5656</v>
      </c>
      <c r="D2308" s="293" t="s">
        <v>5878</v>
      </c>
      <c r="E2308" s="293" t="s">
        <v>5929</v>
      </c>
      <c r="F2308" s="293" t="s">
        <v>5657</v>
      </c>
      <c r="G2308" s="293" t="s">
        <v>5573</v>
      </c>
      <c r="H2308" s="294">
        <v>40999</v>
      </c>
      <c r="I2308" s="295">
        <v>-17654.330000000002</v>
      </c>
    </row>
    <row r="2309" spans="1:9" x14ac:dyDescent="0.2">
      <c r="A2309" s="293" t="s">
        <v>5804</v>
      </c>
      <c r="B2309" s="293" t="s">
        <v>5632</v>
      </c>
      <c r="C2309" s="293" t="s">
        <v>5656</v>
      </c>
      <c r="D2309" s="293" t="s">
        <v>5878</v>
      </c>
      <c r="E2309" s="293" t="s">
        <v>5931</v>
      </c>
      <c r="F2309" s="293" t="s">
        <v>5657</v>
      </c>
      <c r="G2309" s="293" t="s">
        <v>5573</v>
      </c>
      <c r="H2309" s="294">
        <v>40999</v>
      </c>
      <c r="I2309" s="295">
        <v>-7116.94</v>
      </c>
    </row>
    <row r="2310" spans="1:9" x14ac:dyDescent="0.2">
      <c r="A2310" s="293" t="s">
        <v>5804</v>
      </c>
      <c r="B2310" s="293" t="s">
        <v>5632</v>
      </c>
      <c r="C2310" s="293" t="s">
        <v>5656</v>
      </c>
      <c r="D2310" s="293" t="s">
        <v>5878</v>
      </c>
      <c r="E2310" s="293" t="s">
        <v>5932</v>
      </c>
      <c r="F2310" s="293" t="s">
        <v>5657</v>
      </c>
      <c r="G2310" s="293" t="s">
        <v>5581</v>
      </c>
      <c r="H2310" s="294">
        <v>40999</v>
      </c>
      <c r="I2310" s="295">
        <v>-4721.05</v>
      </c>
    </row>
    <row r="2311" spans="1:9" x14ac:dyDescent="0.2">
      <c r="A2311" s="293" t="s">
        <v>5804</v>
      </c>
      <c r="B2311" s="293" t="s">
        <v>5632</v>
      </c>
      <c r="C2311" s="293" t="s">
        <v>5656</v>
      </c>
      <c r="D2311" s="293" t="s">
        <v>5878</v>
      </c>
      <c r="E2311" s="293" t="s">
        <v>5933</v>
      </c>
      <c r="F2311" s="293" t="s">
        <v>5657</v>
      </c>
      <c r="G2311" s="293" t="s">
        <v>5588</v>
      </c>
      <c r="H2311" s="294">
        <v>40999</v>
      </c>
      <c r="I2311" s="295">
        <v>-173591.45</v>
      </c>
    </row>
    <row r="2312" spans="1:9" x14ac:dyDescent="0.2">
      <c r="A2312" s="293" t="s">
        <v>5804</v>
      </c>
      <c r="B2312" s="293" t="s">
        <v>5632</v>
      </c>
      <c r="C2312" s="293" t="s">
        <v>5656</v>
      </c>
      <c r="D2312" s="293" t="s">
        <v>5878</v>
      </c>
      <c r="E2312" s="293" t="s">
        <v>5934</v>
      </c>
      <c r="F2312" s="293" t="s">
        <v>5657</v>
      </c>
      <c r="G2312" s="293" t="s">
        <v>5581</v>
      </c>
      <c r="H2312" s="294">
        <v>40999</v>
      </c>
      <c r="I2312" s="295">
        <v>-17687.22</v>
      </c>
    </row>
    <row r="2313" spans="1:9" x14ac:dyDescent="0.2">
      <c r="A2313" s="293" t="s">
        <v>5957</v>
      </c>
      <c r="B2313" s="293" t="s">
        <v>5666</v>
      </c>
      <c r="C2313" s="293" t="s">
        <v>5088</v>
      </c>
      <c r="D2313" s="293" t="s">
        <v>5878</v>
      </c>
      <c r="E2313" s="293" t="s">
        <v>5088</v>
      </c>
      <c r="F2313" s="293" t="s">
        <v>5977</v>
      </c>
      <c r="G2313" s="293" t="s">
        <v>5637</v>
      </c>
      <c r="H2313" s="294">
        <v>41029</v>
      </c>
      <c r="I2313" s="295">
        <v>1934868.66</v>
      </c>
    </row>
    <row r="2314" spans="1:9" x14ac:dyDescent="0.2">
      <c r="A2314" s="293" t="s">
        <v>5957</v>
      </c>
      <c r="B2314" s="293" t="s">
        <v>5666</v>
      </c>
      <c r="C2314" s="293" t="s">
        <v>5088</v>
      </c>
      <c r="D2314" s="293" t="s">
        <v>5878</v>
      </c>
      <c r="E2314" s="293" t="s">
        <v>5088</v>
      </c>
      <c r="F2314" s="293" t="s">
        <v>5977</v>
      </c>
      <c r="G2314" s="293" t="s">
        <v>5637</v>
      </c>
      <c r="H2314" s="294">
        <v>41029</v>
      </c>
      <c r="I2314" s="295">
        <v>-1716364.14</v>
      </c>
    </row>
    <row r="2315" spans="1:9" x14ac:dyDescent="0.2">
      <c r="A2315" s="293" t="s">
        <v>5805</v>
      </c>
      <c r="B2315" s="293" t="s">
        <v>5632</v>
      </c>
      <c r="C2315" s="293" t="s">
        <v>5659</v>
      </c>
      <c r="D2315" s="293" t="s">
        <v>5878</v>
      </c>
      <c r="E2315" s="293" t="s">
        <v>5929</v>
      </c>
      <c r="F2315" s="293" t="s">
        <v>5660</v>
      </c>
      <c r="G2315" s="293" t="s">
        <v>5573</v>
      </c>
      <c r="H2315" s="294">
        <v>41029</v>
      </c>
      <c r="I2315" s="295">
        <v>-17654.330000000002</v>
      </c>
    </row>
    <row r="2316" spans="1:9" x14ac:dyDescent="0.2">
      <c r="A2316" s="293" t="s">
        <v>5805</v>
      </c>
      <c r="B2316" s="293" t="s">
        <v>5632</v>
      </c>
      <c r="C2316" s="293" t="s">
        <v>5659</v>
      </c>
      <c r="D2316" s="293" t="s">
        <v>5878</v>
      </c>
      <c r="E2316" s="293" t="s">
        <v>5931</v>
      </c>
      <c r="F2316" s="293" t="s">
        <v>5660</v>
      </c>
      <c r="G2316" s="293" t="s">
        <v>5573</v>
      </c>
      <c r="H2316" s="294">
        <v>41029</v>
      </c>
      <c r="I2316" s="295">
        <v>-7116.94</v>
      </c>
    </row>
    <row r="2317" spans="1:9" x14ac:dyDescent="0.2">
      <c r="A2317" s="293" t="s">
        <v>5805</v>
      </c>
      <c r="B2317" s="293" t="s">
        <v>5632</v>
      </c>
      <c r="C2317" s="293" t="s">
        <v>5659</v>
      </c>
      <c r="D2317" s="293" t="s">
        <v>5878</v>
      </c>
      <c r="E2317" s="293" t="s">
        <v>5933</v>
      </c>
      <c r="F2317" s="293" t="s">
        <v>5660</v>
      </c>
      <c r="G2317" s="293" t="s">
        <v>5588</v>
      </c>
      <c r="H2317" s="294">
        <v>41029</v>
      </c>
      <c r="I2317" s="295">
        <v>-173591.45</v>
      </c>
    </row>
    <row r="2318" spans="1:9" x14ac:dyDescent="0.2">
      <c r="A2318" s="293" t="s">
        <v>5805</v>
      </c>
      <c r="B2318" s="293" t="s">
        <v>5632</v>
      </c>
      <c r="C2318" s="293" t="s">
        <v>5659</v>
      </c>
      <c r="D2318" s="293" t="s">
        <v>5878</v>
      </c>
      <c r="E2318" s="293" t="s">
        <v>5934</v>
      </c>
      <c r="F2318" s="293" t="s">
        <v>5660</v>
      </c>
      <c r="G2318" s="293" t="s">
        <v>5581</v>
      </c>
      <c r="H2318" s="294">
        <v>41029</v>
      </c>
      <c r="I2318" s="295">
        <v>-17687.22</v>
      </c>
    </row>
    <row r="2319" spans="1:9" x14ac:dyDescent="0.2">
      <c r="A2319" s="293" t="s">
        <v>5805</v>
      </c>
      <c r="B2319" s="293" t="s">
        <v>5632</v>
      </c>
      <c r="C2319" s="293" t="s">
        <v>5659</v>
      </c>
      <c r="D2319" s="293" t="s">
        <v>5878</v>
      </c>
      <c r="E2319" s="293" t="s">
        <v>5928</v>
      </c>
      <c r="F2319" s="293" t="s">
        <v>5660</v>
      </c>
      <c r="G2319" s="293" t="s">
        <v>5587</v>
      </c>
      <c r="H2319" s="294">
        <v>41029</v>
      </c>
      <c r="I2319" s="295">
        <v>-5997.63</v>
      </c>
    </row>
    <row r="2320" spans="1:9" x14ac:dyDescent="0.2">
      <c r="A2320" s="293" t="s">
        <v>5805</v>
      </c>
      <c r="B2320" s="293" t="s">
        <v>5632</v>
      </c>
      <c r="C2320" s="293" t="s">
        <v>5659</v>
      </c>
      <c r="D2320" s="293" t="s">
        <v>5878</v>
      </c>
      <c r="E2320" s="293" t="s">
        <v>5932</v>
      </c>
      <c r="F2320" s="293" t="s">
        <v>5660</v>
      </c>
      <c r="G2320" s="293" t="s">
        <v>5581</v>
      </c>
      <c r="H2320" s="294">
        <v>41029</v>
      </c>
      <c r="I2320" s="295">
        <v>-4721.05</v>
      </c>
    </row>
    <row r="2321" spans="1:9" x14ac:dyDescent="0.2">
      <c r="A2321" s="293" t="s">
        <v>5959</v>
      </c>
      <c r="B2321" s="293" t="s">
        <v>5666</v>
      </c>
      <c r="C2321" s="293" t="s">
        <v>5088</v>
      </c>
      <c r="D2321" s="293" t="s">
        <v>5878</v>
      </c>
      <c r="E2321" s="293" t="s">
        <v>5088</v>
      </c>
      <c r="F2321" s="293" t="s">
        <v>5978</v>
      </c>
      <c r="G2321" s="293" t="s">
        <v>5637</v>
      </c>
      <c r="H2321" s="294">
        <v>41060</v>
      </c>
      <c r="I2321" s="295">
        <v>1716364.14</v>
      </c>
    </row>
    <row r="2322" spans="1:9" x14ac:dyDescent="0.2">
      <c r="A2322" s="293" t="s">
        <v>5959</v>
      </c>
      <c r="B2322" s="293" t="s">
        <v>5666</v>
      </c>
      <c r="C2322" s="293" t="s">
        <v>5088</v>
      </c>
      <c r="D2322" s="293" t="s">
        <v>5878</v>
      </c>
      <c r="E2322" s="293" t="s">
        <v>5088</v>
      </c>
      <c r="F2322" s="293" t="s">
        <v>5978</v>
      </c>
      <c r="G2322" s="293" t="s">
        <v>5637</v>
      </c>
      <c r="H2322" s="294">
        <v>41060</v>
      </c>
      <c r="I2322" s="295">
        <v>-1536775.06</v>
      </c>
    </row>
    <row r="2323" spans="1:9" x14ac:dyDescent="0.2">
      <c r="A2323" s="293" t="s">
        <v>5661</v>
      </c>
      <c r="B2323" s="293" t="s">
        <v>5632</v>
      </c>
      <c r="C2323" s="293" t="s">
        <v>5662</v>
      </c>
      <c r="D2323" s="293" t="s">
        <v>5878</v>
      </c>
      <c r="E2323" s="293" t="s">
        <v>5928</v>
      </c>
      <c r="F2323" s="293" t="s">
        <v>5663</v>
      </c>
      <c r="G2323" s="293" t="s">
        <v>5587</v>
      </c>
      <c r="H2323" s="294">
        <v>41060</v>
      </c>
      <c r="I2323" s="295">
        <v>-5997.63</v>
      </c>
    </row>
    <row r="2324" spans="1:9" x14ac:dyDescent="0.2">
      <c r="A2324" s="293" t="s">
        <v>5661</v>
      </c>
      <c r="B2324" s="293" t="s">
        <v>5632</v>
      </c>
      <c r="C2324" s="293" t="s">
        <v>5662</v>
      </c>
      <c r="D2324" s="293" t="s">
        <v>5878</v>
      </c>
      <c r="E2324" s="293" t="s">
        <v>5929</v>
      </c>
      <c r="F2324" s="293" t="s">
        <v>5663</v>
      </c>
      <c r="G2324" s="293" t="s">
        <v>5573</v>
      </c>
      <c r="H2324" s="294">
        <v>41060</v>
      </c>
      <c r="I2324" s="295">
        <v>-17654.330000000002</v>
      </c>
    </row>
    <row r="2325" spans="1:9" x14ac:dyDescent="0.2">
      <c r="A2325" s="293" t="s">
        <v>5661</v>
      </c>
      <c r="B2325" s="293" t="s">
        <v>5632</v>
      </c>
      <c r="C2325" s="293" t="s">
        <v>5662</v>
      </c>
      <c r="D2325" s="293" t="s">
        <v>5878</v>
      </c>
      <c r="E2325" s="293" t="s">
        <v>5931</v>
      </c>
      <c r="F2325" s="293" t="s">
        <v>5663</v>
      </c>
      <c r="G2325" s="293" t="s">
        <v>5573</v>
      </c>
      <c r="H2325" s="294">
        <v>41060</v>
      </c>
      <c r="I2325" s="295">
        <v>-7116.94</v>
      </c>
    </row>
    <row r="2326" spans="1:9" x14ac:dyDescent="0.2">
      <c r="A2326" s="293" t="s">
        <v>5661</v>
      </c>
      <c r="B2326" s="293" t="s">
        <v>5632</v>
      </c>
      <c r="C2326" s="293" t="s">
        <v>5662</v>
      </c>
      <c r="D2326" s="293" t="s">
        <v>5878</v>
      </c>
      <c r="E2326" s="293" t="s">
        <v>5932</v>
      </c>
      <c r="F2326" s="293" t="s">
        <v>5663</v>
      </c>
      <c r="G2326" s="293" t="s">
        <v>5581</v>
      </c>
      <c r="H2326" s="294">
        <v>41060</v>
      </c>
      <c r="I2326" s="295">
        <v>-4721.05</v>
      </c>
    </row>
    <row r="2327" spans="1:9" x14ac:dyDescent="0.2">
      <c r="A2327" s="293" t="s">
        <v>5661</v>
      </c>
      <c r="B2327" s="293" t="s">
        <v>5632</v>
      </c>
      <c r="C2327" s="293" t="s">
        <v>5662</v>
      </c>
      <c r="D2327" s="293" t="s">
        <v>5878</v>
      </c>
      <c r="E2327" s="293" t="s">
        <v>5933</v>
      </c>
      <c r="F2327" s="293" t="s">
        <v>5663</v>
      </c>
      <c r="G2327" s="293" t="s">
        <v>5588</v>
      </c>
      <c r="H2327" s="294">
        <v>41060</v>
      </c>
      <c r="I2327" s="295">
        <v>-173591.45</v>
      </c>
    </row>
    <row r="2328" spans="1:9" x14ac:dyDescent="0.2">
      <c r="A2328" s="293" t="s">
        <v>5661</v>
      </c>
      <c r="B2328" s="293" t="s">
        <v>5632</v>
      </c>
      <c r="C2328" s="293" t="s">
        <v>5662</v>
      </c>
      <c r="D2328" s="293" t="s">
        <v>5878</v>
      </c>
      <c r="E2328" s="293" t="s">
        <v>5934</v>
      </c>
      <c r="F2328" s="293" t="s">
        <v>5663</v>
      </c>
      <c r="G2328" s="293" t="s">
        <v>5581</v>
      </c>
      <c r="H2328" s="294">
        <v>41060</v>
      </c>
      <c r="I2328" s="295">
        <v>-17687.22</v>
      </c>
    </row>
    <row r="2329" spans="1:9" x14ac:dyDescent="0.2">
      <c r="A2329" s="293" t="s">
        <v>5980</v>
      </c>
      <c r="B2329" s="293" t="s">
        <v>5666</v>
      </c>
      <c r="C2329" s="293" t="s">
        <v>5088</v>
      </c>
      <c r="D2329" s="293" t="s">
        <v>5878</v>
      </c>
      <c r="E2329" s="293" t="s">
        <v>5088</v>
      </c>
      <c r="F2329" s="293" t="s">
        <v>5981</v>
      </c>
      <c r="G2329" s="293" t="s">
        <v>5637</v>
      </c>
      <c r="H2329" s="294">
        <v>41090</v>
      </c>
      <c r="I2329" s="295">
        <v>1536775.06</v>
      </c>
    </row>
    <row r="2330" spans="1:9" x14ac:dyDescent="0.2">
      <c r="A2330" s="293" t="s">
        <v>5980</v>
      </c>
      <c r="B2330" s="293" t="s">
        <v>5666</v>
      </c>
      <c r="C2330" s="293" t="s">
        <v>5088</v>
      </c>
      <c r="D2330" s="293" t="s">
        <v>5878</v>
      </c>
      <c r="E2330" s="293" t="s">
        <v>5088</v>
      </c>
      <c r="F2330" s="293" t="s">
        <v>5981</v>
      </c>
      <c r="G2330" s="293" t="s">
        <v>5637</v>
      </c>
      <c r="H2330" s="294">
        <v>41090</v>
      </c>
      <c r="I2330" s="295">
        <v>-1358385.75</v>
      </c>
    </row>
    <row r="2331" spans="1:9" x14ac:dyDescent="0.2">
      <c r="A2331" s="293" t="s">
        <v>5665</v>
      </c>
      <c r="B2331" s="293" t="s">
        <v>5666</v>
      </c>
      <c r="C2331" s="293" t="s">
        <v>5667</v>
      </c>
      <c r="D2331" s="293" t="s">
        <v>5878</v>
      </c>
      <c r="E2331" s="293" t="s">
        <v>5088</v>
      </c>
      <c r="F2331" s="293" t="s">
        <v>5668</v>
      </c>
      <c r="G2331" s="293" t="s">
        <v>5581</v>
      </c>
      <c r="H2331" s="294">
        <v>41113</v>
      </c>
      <c r="I2331" s="295">
        <v>-18392</v>
      </c>
    </row>
    <row r="2332" spans="1:9" x14ac:dyDescent="0.2">
      <c r="A2332" s="293" t="s">
        <v>5808</v>
      </c>
      <c r="B2332" s="293" t="s">
        <v>5632</v>
      </c>
      <c r="C2332" s="293" t="s">
        <v>5670</v>
      </c>
      <c r="D2332" s="293" t="s">
        <v>5878</v>
      </c>
      <c r="E2332" s="293" t="s">
        <v>5928</v>
      </c>
      <c r="F2332" s="293" t="s">
        <v>5671</v>
      </c>
      <c r="G2332" s="293" t="s">
        <v>5587</v>
      </c>
      <c r="H2332" s="294">
        <v>41090</v>
      </c>
      <c r="I2332" s="295">
        <v>-4797.8599999999997</v>
      </c>
    </row>
    <row r="2333" spans="1:9" x14ac:dyDescent="0.2">
      <c r="A2333" s="293" t="s">
        <v>5808</v>
      </c>
      <c r="B2333" s="293" t="s">
        <v>5632</v>
      </c>
      <c r="C2333" s="293" t="s">
        <v>5670</v>
      </c>
      <c r="D2333" s="293" t="s">
        <v>5878</v>
      </c>
      <c r="E2333" s="293" t="s">
        <v>5929</v>
      </c>
      <c r="F2333" s="293" t="s">
        <v>5671</v>
      </c>
      <c r="G2333" s="293" t="s">
        <v>5573</v>
      </c>
      <c r="H2333" s="294">
        <v>41090</v>
      </c>
      <c r="I2333" s="295">
        <v>-17654.330000000002</v>
      </c>
    </row>
    <row r="2334" spans="1:9" x14ac:dyDescent="0.2">
      <c r="A2334" s="293" t="s">
        <v>5808</v>
      </c>
      <c r="B2334" s="293" t="s">
        <v>5632</v>
      </c>
      <c r="C2334" s="293" t="s">
        <v>5670</v>
      </c>
      <c r="D2334" s="293" t="s">
        <v>5878</v>
      </c>
      <c r="E2334" s="293" t="s">
        <v>5931</v>
      </c>
      <c r="F2334" s="293" t="s">
        <v>5671</v>
      </c>
      <c r="G2334" s="293" t="s">
        <v>5573</v>
      </c>
      <c r="H2334" s="294">
        <v>41090</v>
      </c>
      <c r="I2334" s="295">
        <v>-7116.94</v>
      </c>
    </row>
    <row r="2335" spans="1:9" x14ac:dyDescent="0.2">
      <c r="A2335" s="293" t="s">
        <v>5808</v>
      </c>
      <c r="B2335" s="293" t="s">
        <v>5632</v>
      </c>
      <c r="C2335" s="293" t="s">
        <v>5670</v>
      </c>
      <c r="D2335" s="293" t="s">
        <v>5878</v>
      </c>
      <c r="E2335" s="293" t="s">
        <v>5932</v>
      </c>
      <c r="F2335" s="293" t="s">
        <v>5671</v>
      </c>
      <c r="G2335" s="293" t="s">
        <v>5581</v>
      </c>
      <c r="H2335" s="294">
        <v>41090</v>
      </c>
      <c r="I2335" s="295">
        <v>-4721.05</v>
      </c>
    </row>
    <row r="2336" spans="1:9" x14ac:dyDescent="0.2">
      <c r="A2336" s="293" t="s">
        <v>5808</v>
      </c>
      <c r="B2336" s="293" t="s">
        <v>5632</v>
      </c>
      <c r="C2336" s="293" t="s">
        <v>5670</v>
      </c>
      <c r="D2336" s="293" t="s">
        <v>5878</v>
      </c>
      <c r="E2336" s="293" t="s">
        <v>5933</v>
      </c>
      <c r="F2336" s="293" t="s">
        <v>5671</v>
      </c>
      <c r="G2336" s="293" t="s">
        <v>5588</v>
      </c>
      <c r="H2336" s="294">
        <v>41090</v>
      </c>
      <c r="I2336" s="295">
        <v>-173591.45</v>
      </c>
    </row>
    <row r="2337" spans="1:9" x14ac:dyDescent="0.2">
      <c r="A2337" s="293" t="s">
        <v>5808</v>
      </c>
      <c r="B2337" s="293" t="s">
        <v>5632</v>
      </c>
      <c r="C2337" s="293" t="s">
        <v>5670</v>
      </c>
      <c r="D2337" s="293" t="s">
        <v>5878</v>
      </c>
      <c r="E2337" s="293" t="s">
        <v>5934</v>
      </c>
      <c r="F2337" s="293" t="s">
        <v>5671</v>
      </c>
      <c r="G2337" s="293" t="s">
        <v>5581</v>
      </c>
      <c r="H2337" s="294">
        <v>41090</v>
      </c>
      <c r="I2337" s="295">
        <v>-17687.22</v>
      </c>
    </row>
    <row r="2338" spans="1:9" x14ac:dyDescent="0.2">
      <c r="A2338" s="293" t="s">
        <v>5809</v>
      </c>
      <c r="B2338" s="293" t="s">
        <v>5632</v>
      </c>
      <c r="C2338" s="293" t="s">
        <v>5670</v>
      </c>
      <c r="D2338" s="293" t="s">
        <v>5878</v>
      </c>
      <c r="E2338" s="293" t="s">
        <v>5928</v>
      </c>
      <c r="F2338" s="293" t="s">
        <v>5671</v>
      </c>
      <c r="G2338" s="293" t="s">
        <v>5587</v>
      </c>
      <c r="H2338" s="294">
        <v>41090</v>
      </c>
      <c r="I2338" s="295">
        <v>4797.8599999999997</v>
      </c>
    </row>
    <row r="2339" spans="1:9" x14ac:dyDescent="0.2">
      <c r="A2339" s="293" t="s">
        <v>5809</v>
      </c>
      <c r="B2339" s="293" t="s">
        <v>5632</v>
      </c>
      <c r="C2339" s="293" t="s">
        <v>5670</v>
      </c>
      <c r="D2339" s="293" t="s">
        <v>5878</v>
      </c>
      <c r="E2339" s="293" t="s">
        <v>5929</v>
      </c>
      <c r="F2339" s="293" t="s">
        <v>5671</v>
      </c>
      <c r="G2339" s="293" t="s">
        <v>5573</v>
      </c>
      <c r="H2339" s="294">
        <v>41090</v>
      </c>
      <c r="I2339" s="295">
        <v>17654.330000000002</v>
      </c>
    </row>
    <row r="2340" spans="1:9" x14ac:dyDescent="0.2">
      <c r="A2340" s="293" t="s">
        <v>5809</v>
      </c>
      <c r="B2340" s="293" t="s">
        <v>5632</v>
      </c>
      <c r="C2340" s="293" t="s">
        <v>5670</v>
      </c>
      <c r="D2340" s="293" t="s">
        <v>5878</v>
      </c>
      <c r="E2340" s="293" t="s">
        <v>5931</v>
      </c>
      <c r="F2340" s="293" t="s">
        <v>5671</v>
      </c>
      <c r="G2340" s="293" t="s">
        <v>5573</v>
      </c>
      <c r="H2340" s="294">
        <v>41090</v>
      </c>
      <c r="I2340" s="295">
        <v>7116.94</v>
      </c>
    </row>
    <row r="2341" spans="1:9" x14ac:dyDescent="0.2">
      <c r="A2341" s="293" t="s">
        <v>5809</v>
      </c>
      <c r="B2341" s="293" t="s">
        <v>5632</v>
      </c>
      <c r="C2341" s="293" t="s">
        <v>5670</v>
      </c>
      <c r="D2341" s="293" t="s">
        <v>5878</v>
      </c>
      <c r="E2341" s="293" t="s">
        <v>5932</v>
      </c>
      <c r="F2341" s="293" t="s">
        <v>5671</v>
      </c>
      <c r="G2341" s="293" t="s">
        <v>5581</v>
      </c>
      <c r="H2341" s="294">
        <v>41090</v>
      </c>
      <c r="I2341" s="295">
        <v>4721.05</v>
      </c>
    </row>
    <row r="2342" spans="1:9" x14ac:dyDescent="0.2">
      <c r="A2342" s="293" t="s">
        <v>5809</v>
      </c>
      <c r="B2342" s="293" t="s">
        <v>5632</v>
      </c>
      <c r="C2342" s="293" t="s">
        <v>5670</v>
      </c>
      <c r="D2342" s="293" t="s">
        <v>5878</v>
      </c>
      <c r="E2342" s="293" t="s">
        <v>5933</v>
      </c>
      <c r="F2342" s="293" t="s">
        <v>5671</v>
      </c>
      <c r="G2342" s="293" t="s">
        <v>5588</v>
      </c>
      <c r="H2342" s="294">
        <v>41090</v>
      </c>
      <c r="I2342" s="295">
        <v>173591.45</v>
      </c>
    </row>
    <row r="2343" spans="1:9" x14ac:dyDescent="0.2">
      <c r="A2343" s="293" t="s">
        <v>5809</v>
      </c>
      <c r="B2343" s="293" t="s">
        <v>5632</v>
      </c>
      <c r="C2343" s="293" t="s">
        <v>5670</v>
      </c>
      <c r="D2343" s="293" t="s">
        <v>5878</v>
      </c>
      <c r="E2343" s="293" t="s">
        <v>5934</v>
      </c>
      <c r="F2343" s="293" t="s">
        <v>5671</v>
      </c>
      <c r="G2343" s="293" t="s">
        <v>5581</v>
      </c>
      <c r="H2343" s="294">
        <v>41090</v>
      </c>
      <c r="I2343" s="295">
        <v>17687.22</v>
      </c>
    </row>
    <row r="2344" spans="1:9" x14ac:dyDescent="0.2">
      <c r="A2344" s="293" t="s">
        <v>5810</v>
      </c>
      <c r="B2344" s="293" t="s">
        <v>5632</v>
      </c>
      <c r="C2344" s="293" t="s">
        <v>5670</v>
      </c>
      <c r="D2344" s="293" t="s">
        <v>5878</v>
      </c>
      <c r="E2344" s="293" t="s">
        <v>5931</v>
      </c>
      <c r="F2344" s="293" t="s">
        <v>5671</v>
      </c>
      <c r="G2344" s="293" t="s">
        <v>5573</v>
      </c>
      <c r="H2344" s="294">
        <v>41090</v>
      </c>
      <c r="I2344" s="295">
        <v>-7116.94</v>
      </c>
    </row>
    <row r="2345" spans="1:9" x14ac:dyDescent="0.2">
      <c r="A2345" s="293" t="s">
        <v>5810</v>
      </c>
      <c r="B2345" s="293" t="s">
        <v>5632</v>
      </c>
      <c r="C2345" s="293" t="s">
        <v>5670</v>
      </c>
      <c r="D2345" s="293" t="s">
        <v>5878</v>
      </c>
      <c r="E2345" s="293" t="s">
        <v>5928</v>
      </c>
      <c r="F2345" s="293" t="s">
        <v>5671</v>
      </c>
      <c r="G2345" s="293" t="s">
        <v>5587</v>
      </c>
      <c r="H2345" s="294">
        <v>41090</v>
      </c>
      <c r="I2345" s="295">
        <v>-4797.8599999999997</v>
      </c>
    </row>
    <row r="2346" spans="1:9" x14ac:dyDescent="0.2">
      <c r="A2346" s="293" t="s">
        <v>5810</v>
      </c>
      <c r="B2346" s="293" t="s">
        <v>5632</v>
      </c>
      <c r="C2346" s="293" t="s">
        <v>5670</v>
      </c>
      <c r="D2346" s="293" t="s">
        <v>5878</v>
      </c>
      <c r="E2346" s="293" t="s">
        <v>5929</v>
      </c>
      <c r="F2346" s="293" t="s">
        <v>5671</v>
      </c>
      <c r="G2346" s="293" t="s">
        <v>5573</v>
      </c>
      <c r="H2346" s="294">
        <v>41090</v>
      </c>
      <c r="I2346" s="295">
        <v>-17654.330000000002</v>
      </c>
    </row>
    <row r="2347" spans="1:9" x14ac:dyDescent="0.2">
      <c r="A2347" s="293" t="s">
        <v>5810</v>
      </c>
      <c r="B2347" s="293" t="s">
        <v>5632</v>
      </c>
      <c r="C2347" s="293" t="s">
        <v>5670</v>
      </c>
      <c r="D2347" s="293" t="s">
        <v>5878</v>
      </c>
      <c r="E2347" s="293" t="s">
        <v>5932</v>
      </c>
      <c r="F2347" s="293" t="s">
        <v>5671</v>
      </c>
      <c r="G2347" s="293" t="s">
        <v>5581</v>
      </c>
      <c r="H2347" s="294">
        <v>41090</v>
      </c>
      <c r="I2347" s="295">
        <v>-4721.05</v>
      </c>
    </row>
    <row r="2348" spans="1:9" x14ac:dyDescent="0.2">
      <c r="A2348" s="293" t="s">
        <v>5810</v>
      </c>
      <c r="B2348" s="293" t="s">
        <v>5632</v>
      </c>
      <c r="C2348" s="293" t="s">
        <v>5670</v>
      </c>
      <c r="D2348" s="293" t="s">
        <v>5878</v>
      </c>
      <c r="E2348" s="293" t="s">
        <v>5933</v>
      </c>
      <c r="F2348" s="293" t="s">
        <v>5671</v>
      </c>
      <c r="G2348" s="293" t="s">
        <v>5588</v>
      </c>
      <c r="H2348" s="294">
        <v>41090</v>
      </c>
      <c r="I2348" s="295">
        <v>-173591.45</v>
      </c>
    </row>
    <row r="2349" spans="1:9" x14ac:dyDescent="0.2">
      <c r="A2349" s="293" t="s">
        <v>5810</v>
      </c>
      <c r="B2349" s="293" t="s">
        <v>5632</v>
      </c>
      <c r="C2349" s="293" t="s">
        <v>5670</v>
      </c>
      <c r="D2349" s="293" t="s">
        <v>5878</v>
      </c>
      <c r="E2349" s="293" t="s">
        <v>5934</v>
      </c>
      <c r="F2349" s="293" t="s">
        <v>5671</v>
      </c>
      <c r="G2349" s="293" t="s">
        <v>5581</v>
      </c>
      <c r="H2349" s="294">
        <v>41090</v>
      </c>
      <c r="I2349" s="295">
        <v>-17687.22</v>
      </c>
    </row>
    <row r="2350" spans="1:9" x14ac:dyDescent="0.2">
      <c r="A2350" s="293" t="s">
        <v>5986</v>
      </c>
      <c r="B2350" s="293" t="s">
        <v>5666</v>
      </c>
      <c r="C2350" s="293" t="s">
        <v>5987</v>
      </c>
      <c r="D2350" s="293" t="s">
        <v>5878</v>
      </c>
      <c r="E2350" s="293" t="s">
        <v>5997</v>
      </c>
      <c r="F2350" s="293" t="s">
        <v>5989</v>
      </c>
      <c r="G2350" s="293" t="s">
        <v>5580</v>
      </c>
      <c r="H2350" s="294">
        <v>41120</v>
      </c>
      <c r="I2350" s="295">
        <v>-1179.21</v>
      </c>
    </row>
    <row r="2351" spans="1:9" x14ac:dyDescent="0.2">
      <c r="A2351" s="293" t="s">
        <v>5986</v>
      </c>
      <c r="B2351" s="293" t="s">
        <v>5666</v>
      </c>
      <c r="C2351" s="293" t="s">
        <v>5987</v>
      </c>
      <c r="D2351" s="293" t="s">
        <v>5878</v>
      </c>
      <c r="E2351" s="293" t="s">
        <v>5998</v>
      </c>
      <c r="F2351" s="293" t="s">
        <v>5989</v>
      </c>
      <c r="G2351" s="293" t="s">
        <v>5580</v>
      </c>
      <c r="H2351" s="294">
        <v>41120</v>
      </c>
      <c r="I2351" s="295">
        <v>-1019.33</v>
      </c>
    </row>
    <row r="2352" spans="1:9" x14ac:dyDescent="0.2">
      <c r="A2352" s="293" t="s">
        <v>5986</v>
      </c>
      <c r="B2352" s="293" t="s">
        <v>5666</v>
      </c>
      <c r="C2352" s="293" t="s">
        <v>5987</v>
      </c>
      <c r="D2352" s="293" t="s">
        <v>5878</v>
      </c>
      <c r="E2352" s="293" t="s">
        <v>5999</v>
      </c>
      <c r="F2352" s="293" t="s">
        <v>5989</v>
      </c>
      <c r="G2352" s="293" t="s">
        <v>5580</v>
      </c>
      <c r="H2352" s="294">
        <v>41120</v>
      </c>
      <c r="I2352" s="295">
        <v>-857.57</v>
      </c>
    </row>
    <row r="2353" spans="1:9" x14ac:dyDescent="0.2">
      <c r="A2353" s="293" t="s">
        <v>5986</v>
      </c>
      <c r="B2353" s="293" t="s">
        <v>5666</v>
      </c>
      <c r="C2353" s="293" t="s">
        <v>5987</v>
      </c>
      <c r="D2353" s="293" t="s">
        <v>5878</v>
      </c>
      <c r="E2353" s="293" t="s">
        <v>6002</v>
      </c>
      <c r="F2353" s="293" t="s">
        <v>5989</v>
      </c>
      <c r="G2353" s="293" t="s">
        <v>5573</v>
      </c>
      <c r="H2353" s="294">
        <v>41120</v>
      </c>
      <c r="I2353" s="295">
        <v>-3125.47</v>
      </c>
    </row>
    <row r="2354" spans="1:9" x14ac:dyDescent="0.2">
      <c r="A2354" s="293" t="s">
        <v>5986</v>
      </c>
      <c r="B2354" s="293" t="s">
        <v>5666</v>
      </c>
      <c r="C2354" s="293" t="s">
        <v>5987</v>
      </c>
      <c r="D2354" s="293" t="s">
        <v>5878</v>
      </c>
      <c r="E2354" s="293" t="s">
        <v>6002</v>
      </c>
      <c r="F2354" s="293" t="s">
        <v>5989</v>
      </c>
      <c r="G2354" s="293" t="s">
        <v>5573</v>
      </c>
      <c r="H2354" s="294">
        <v>41120</v>
      </c>
      <c r="I2354" s="295">
        <v>-4451.78</v>
      </c>
    </row>
    <row r="2355" spans="1:9" x14ac:dyDescent="0.2">
      <c r="A2355" s="293" t="s">
        <v>5986</v>
      </c>
      <c r="B2355" s="293" t="s">
        <v>5666</v>
      </c>
      <c r="C2355" s="293" t="s">
        <v>5987</v>
      </c>
      <c r="D2355" s="293" t="s">
        <v>5878</v>
      </c>
      <c r="E2355" s="293" t="s">
        <v>6002</v>
      </c>
      <c r="F2355" s="293" t="s">
        <v>5989</v>
      </c>
      <c r="G2355" s="293" t="s">
        <v>5573</v>
      </c>
      <c r="H2355" s="294">
        <v>41120</v>
      </c>
      <c r="I2355" s="295">
        <v>-10077.08</v>
      </c>
    </row>
    <row r="2356" spans="1:9" x14ac:dyDescent="0.2">
      <c r="A2356" s="293" t="s">
        <v>5986</v>
      </c>
      <c r="B2356" s="293" t="s">
        <v>5666</v>
      </c>
      <c r="C2356" s="293" t="s">
        <v>5987</v>
      </c>
      <c r="D2356" s="293" t="s">
        <v>5878</v>
      </c>
      <c r="E2356" s="293" t="s">
        <v>6005</v>
      </c>
      <c r="F2356" s="293" t="s">
        <v>5989</v>
      </c>
      <c r="G2356" s="293" t="s">
        <v>5580</v>
      </c>
      <c r="H2356" s="294">
        <v>41120</v>
      </c>
      <c r="I2356" s="295">
        <v>-5589.54</v>
      </c>
    </row>
    <row r="2357" spans="1:9" x14ac:dyDescent="0.2">
      <c r="A2357" s="293" t="s">
        <v>5986</v>
      </c>
      <c r="B2357" s="293" t="s">
        <v>5666</v>
      </c>
      <c r="C2357" s="293" t="s">
        <v>5987</v>
      </c>
      <c r="D2357" s="293" t="s">
        <v>5878</v>
      </c>
      <c r="E2357" s="293" t="s">
        <v>4853</v>
      </c>
      <c r="F2357" s="293" t="s">
        <v>5989</v>
      </c>
      <c r="G2357" s="293" t="s">
        <v>5580</v>
      </c>
      <c r="H2357" s="294">
        <v>41120</v>
      </c>
      <c r="I2357" s="295">
        <v>-10099.59</v>
      </c>
    </row>
    <row r="2358" spans="1:9" x14ac:dyDescent="0.2">
      <c r="A2358" s="293" t="s">
        <v>5986</v>
      </c>
      <c r="B2358" s="293" t="s">
        <v>5666</v>
      </c>
      <c r="C2358" s="293" t="s">
        <v>5987</v>
      </c>
      <c r="D2358" s="293" t="s">
        <v>5878</v>
      </c>
      <c r="E2358" s="293" t="s">
        <v>5999</v>
      </c>
      <c r="F2358" s="293" t="s">
        <v>5989</v>
      </c>
      <c r="G2358" s="293" t="s">
        <v>5579</v>
      </c>
      <c r="H2358" s="294">
        <v>41120</v>
      </c>
      <c r="I2358" s="295">
        <v>-1407.23</v>
      </c>
    </row>
    <row r="2359" spans="1:9" x14ac:dyDescent="0.2">
      <c r="A2359" s="293" t="s">
        <v>5986</v>
      </c>
      <c r="B2359" s="293" t="s">
        <v>5666</v>
      </c>
      <c r="C2359" s="293" t="s">
        <v>5987</v>
      </c>
      <c r="D2359" s="293" t="s">
        <v>5878</v>
      </c>
      <c r="E2359" s="293" t="s">
        <v>5999</v>
      </c>
      <c r="F2359" s="293" t="s">
        <v>5989</v>
      </c>
      <c r="G2359" s="293" t="s">
        <v>5579</v>
      </c>
      <c r="H2359" s="294">
        <v>41120</v>
      </c>
      <c r="I2359" s="295">
        <v>-2524.9</v>
      </c>
    </row>
    <row r="2360" spans="1:9" x14ac:dyDescent="0.2">
      <c r="A2360" s="293" t="s">
        <v>5986</v>
      </c>
      <c r="B2360" s="293" t="s">
        <v>5666</v>
      </c>
      <c r="C2360" s="293" t="s">
        <v>5987</v>
      </c>
      <c r="D2360" s="293" t="s">
        <v>5878</v>
      </c>
      <c r="E2360" s="293" t="s">
        <v>6006</v>
      </c>
      <c r="F2360" s="293" t="s">
        <v>5989</v>
      </c>
      <c r="G2360" s="293" t="s">
        <v>5580</v>
      </c>
      <c r="H2360" s="294">
        <v>41120</v>
      </c>
      <c r="I2360" s="295">
        <v>-193.73</v>
      </c>
    </row>
    <row r="2361" spans="1:9" x14ac:dyDescent="0.2">
      <c r="A2361" s="293" t="s">
        <v>5986</v>
      </c>
      <c r="B2361" s="293" t="s">
        <v>5666</v>
      </c>
      <c r="C2361" s="293" t="s">
        <v>5987</v>
      </c>
      <c r="D2361" s="293" t="s">
        <v>5878</v>
      </c>
      <c r="E2361" s="293" t="s">
        <v>6007</v>
      </c>
      <c r="F2361" s="293" t="s">
        <v>5989</v>
      </c>
      <c r="G2361" s="293" t="s">
        <v>5580</v>
      </c>
      <c r="H2361" s="294">
        <v>41120</v>
      </c>
      <c r="I2361" s="295">
        <v>-274.12</v>
      </c>
    </row>
    <row r="2362" spans="1:9" x14ac:dyDescent="0.2">
      <c r="A2362" s="293" t="s">
        <v>5986</v>
      </c>
      <c r="B2362" s="293" t="s">
        <v>5666</v>
      </c>
      <c r="C2362" s="293" t="s">
        <v>5987</v>
      </c>
      <c r="D2362" s="293" t="s">
        <v>5878</v>
      </c>
      <c r="E2362" s="293" t="s">
        <v>6008</v>
      </c>
      <c r="F2362" s="293" t="s">
        <v>5989</v>
      </c>
      <c r="G2362" s="293" t="s">
        <v>5580</v>
      </c>
      <c r="H2362" s="294">
        <v>41120</v>
      </c>
      <c r="I2362" s="295">
        <v>-1347.95</v>
      </c>
    </row>
    <row r="2363" spans="1:9" x14ac:dyDescent="0.2">
      <c r="A2363" s="293" t="s">
        <v>5986</v>
      </c>
      <c r="B2363" s="293" t="s">
        <v>5666</v>
      </c>
      <c r="C2363" s="293" t="s">
        <v>5987</v>
      </c>
      <c r="D2363" s="293" t="s">
        <v>5878</v>
      </c>
      <c r="E2363" s="293" t="s">
        <v>4859</v>
      </c>
      <c r="F2363" s="293" t="s">
        <v>5989</v>
      </c>
      <c r="G2363" s="293" t="s">
        <v>5580</v>
      </c>
      <c r="H2363" s="294">
        <v>41120</v>
      </c>
      <c r="I2363" s="295">
        <v>-1918.86</v>
      </c>
    </row>
    <row r="2364" spans="1:9" x14ac:dyDescent="0.2">
      <c r="A2364" s="293" t="s">
        <v>5986</v>
      </c>
      <c r="B2364" s="293" t="s">
        <v>5666</v>
      </c>
      <c r="C2364" s="293" t="s">
        <v>5987</v>
      </c>
      <c r="D2364" s="293" t="s">
        <v>5878</v>
      </c>
      <c r="E2364" s="293" t="s">
        <v>6002</v>
      </c>
      <c r="F2364" s="293" t="s">
        <v>5989</v>
      </c>
      <c r="G2364" s="293" t="s">
        <v>5573</v>
      </c>
      <c r="H2364" s="294">
        <v>41120</v>
      </c>
      <c r="I2364" s="295">
        <v>-1780.13</v>
      </c>
    </row>
    <row r="2365" spans="1:9" x14ac:dyDescent="0.2">
      <c r="A2365" s="293" t="s">
        <v>5986</v>
      </c>
      <c r="B2365" s="293" t="s">
        <v>5666</v>
      </c>
      <c r="C2365" s="293" t="s">
        <v>5987</v>
      </c>
      <c r="D2365" s="293" t="s">
        <v>5878</v>
      </c>
      <c r="E2365" s="293" t="s">
        <v>6002</v>
      </c>
      <c r="F2365" s="293" t="s">
        <v>5989</v>
      </c>
      <c r="G2365" s="293" t="s">
        <v>5573</v>
      </c>
      <c r="H2365" s="294">
        <v>41120</v>
      </c>
      <c r="I2365" s="295">
        <v>-5336.81</v>
      </c>
    </row>
    <row r="2366" spans="1:9" x14ac:dyDescent="0.2">
      <c r="A2366" s="293" t="s">
        <v>5986</v>
      </c>
      <c r="B2366" s="293" t="s">
        <v>5666</v>
      </c>
      <c r="C2366" s="293" t="s">
        <v>5987</v>
      </c>
      <c r="D2366" s="293" t="s">
        <v>5878</v>
      </c>
      <c r="E2366" s="293" t="s">
        <v>5991</v>
      </c>
      <c r="F2366" s="293" t="s">
        <v>5989</v>
      </c>
      <c r="G2366" s="293" t="s">
        <v>5581</v>
      </c>
      <c r="H2366" s="294">
        <v>41120</v>
      </c>
      <c r="I2366" s="295">
        <v>-2230.71</v>
      </c>
    </row>
    <row r="2367" spans="1:9" x14ac:dyDescent="0.2">
      <c r="A2367" s="293" t="s">
        <v>5986</v>
      </c>
      <c r="B2367" s="293" t="s">
        <v>5666</v>
      </c>
      <c r="C2367" s="293" t="s">
        <v>5987</v>
      </c>
      <c r="D2367" s="293" t="s">
        <v>5878</v>
      </c>
      <c r="E2367" s="293" t="s">
        <v>5991</v>
      </c>
      <c r="F2367" s="293" t="s">
        <v>5989</v>
      </c>
      <c r="G2367" s="293" t="s">
        <v>5581</v>
      </c>
      <c r="H2367" s="294">
        <v>41120</v>
      </c>
      <c r="I2367" s="295">
        <v>-2490.34</v>
      </c>
    </row>
    <row r="2368" spans="1:9" x14ac:dyDescent="0.2">
      <c r="A2368" s="293" t="s">
        <v>5986</v>
      </c>
      <c r="B2368" s="293" t="s">
        <v>5666</v>
      </c>
      <c r="C2368" s="293" t="s">
        <v>5987</v>
      </c>
      <c r="D2368" s="293" t="s">
        <v>5878</v>
      </c>
      <c r="E2368" s="293" t="s">
        <v>5994</v>
      </c>
      <c r="F2368" s="293" t="s">
        <v>5989</v>
      </c>
      <c r="G2368" s="293" t="s">
        <v>5588</v>
      </c>
      <c r="H2368" s="294">
        <v>41120</v>
      </c>
      <c r="I2368" s="295">
        <v>-132123.9</v>
      </c>
    </row>
    <row r="2369" spans="1:9" x14ac:dyDescent="0.2">
      <c r="A2369" s="293" t="s">
        <v>5986</v>
      </c>
      <c r="B2369" s="293" t="s">
        <v>5666</v>
      </c>
      <c r="C2369" s="293" t="s">
        <v>5987</v>
      </c>
      <c r="D2369" s="293" t="s">
        <v>5878</v>
      </c>
      <c r="E2369" s="293" t="s">
        <v>5994</v>
      </c>
      <c r="F2369" s="293" t="s">
        <v>5989</v>
      </c>
      <c r="G2369" s="293" t="s">
        <v>5588</v>
      </c>
      <c r="H2369" s="294">
        <v>41120</v>
      </c>
      <c r="I2369" s="295">
        <v>-41467.550000000003</v>
      </c>
    </row>
    <row r="2370" spans="1:9" x14ac:dyDescent="0.2">
      <c r="A2370" s="293" t="s">
        <v>5986</v>
      </c>
      <c r="B2370" s="293" t="s">
        <v>5666</v>
      </c>
      <c r="C2370" s="293" t="s">
        <v>5987</v>
      </c>
      <c r="D2370" s="293" t="s">
        <v>5878</v>
      </c>
      <c r="E2370" s="293" t="s">
        <v>5991</v>
      </c>
      <c r="F2370" s="293" t="s">
        <v>5989</v>
      </c>
      <c r="G2370" s="293" t="s">
        <v>5581</v>
      </c>
      <c r="H2370" s="294">
        <v>41120</v>
      </c>
      <c r="I2370" s="295">
        <v>-9993</v>
      </c>
    </row>
    <row r="2371" spans="1:9" x14ac:dyDescent="0.2">
      <c r="A2371" s="293" t="s">
        <v>5986</v>
      </c>
      <c r="B2371" s="293" t="s">
        <v>5666</v>
      </c>
      <c r="C2371" s="293" t="s">
        <v>5987</v>
      </c>
      <c r="D2371" s="293" t="s">
        <v>5878</v>
      </c>
      <c r="E2371" s="293" t="s">
        <v>5991</v>
      </c>
      <c r="F2371" s="293" t="s">
        <v>5989</v>
      </c>
      <c r="G2371" s="293" t="s">
        <v>5581</v>
      </c>
      <c r="H2371" s="294">
        <v>41120</v>
      </c>
      <c r="I2371" s="295">
        <v>-7091.09</v>
      </c>
    </row>
    <row r="2372" spans="1:9" x14ac:dyDescent="0.2">
      <c r="A2372" s="293" t="s">
        <v>5986</v>
      </c>
      <c r="B2372" s="293" t="s">
        <v>5666</v>
      </c>
      <c r="C2372" s="293" t="s">
        <v>5987</v>
      </c>
      <c r="D2372" s="293" t="s">
        <v>5878</v>
      </c>
      <c r="E2372" s="293" t="s">
        <v>5991</v>
      </c>
      <c r="F2372" s="293" t="s">
        <v>5989</v>
      </c>
      <c r="G2372" s="293" t="s">
        <v>5581</v>
      </c>
      <c r="H2372" s="294">
        <v>41120</v>
      </c>
      <c r="I2372" s="295">
        <v>-603.13</v>
      </c>
    </row>
    <row r="2373" spans="1:9" x14ac:dyDescent="0.2">
      <c r="A2373" s="293" t="s">
        <v>5986</v>
      </c>
      <c r="B2373" s="293" t="s">
        <v>5666</v>
      </c>
      <c r="C2373" s="293" t="s">
        <v>5987</v>
      </c>
      <c r="D2373" s="293" t="s">
        <v>5878</v>
      </c>
      <c r="E2373" s="293" t="s">
        <v>6003</v>
      </c>
      <c r="F2373" s="293" t="s">
        <v>5989</v>
      </c>
      <c r="G2373" s="293" t="s">
        <v>5580</v>
      </c>
      <c r="H2373" s="294">
        <v>41120</v>
      </c>
      <c r="I2373" s="295">
        <v>-1184794.3</v>
      </c>
    </row>
    <row r="2374" spans="1:9" x14ac:dyDescent="0.2">
      <c r="A2374" s="293" t="s">
        <v>5986</v>
      </c>
      <c r="B2374" s="293" t="s">
        <v>5666</v>
      </c>
      <c r="C2374" s="293" t="s">
        <v>5987</v>
      </c>
      <c r="D2374" s="293" t="s">
        <v>5878</v>
      </c>
      <c r="E2374" s="293" t="s">
        <v>6004</v>
      </c>
      <c r="F2374" s="293" t="s">
        <v>5989</v>
      </c>
      <c r="G2374" s="293" t="s">
        <v>5580</v>
      </c>
      <c r="H2374" s="294">
        <v>41120</v>
      </c>
      <c r="I2374" s="295">
        <v>1358385.75</v>
      </c>
    </row>
    <row r="2375" spans="1:9" x14ac:dyDescent="0.2">
      <c r="A2375" s="293" t="s">
        <v>5675</v>
      </c>
      <c r="B2375" s="293" t="s">
        <v>5666</v>
      </c>
      <c r="C2375" s="293" t="s">
        <v>5667</v>
      </c>
      <c r="D2375" s="293" t="s">
        <v>5878</v>
      </c>
      <c r="E2375" s="293" t="s">
        <v>5088</v>
      </c>
      <c r="F2375" s="293" t="s">
        <v>5676</v>
      </c>
      <c r="G2375" s="293" t="s">
        <v>5581</v>
      </c>
      <c r="H2375" s="294">
        <v>41152</v>
      </c>
      <c r="I2375" s="295">
        <v>-18392</v>
      </c>
    </row>
    <row r="2376" spans="1:9" x14ac:dyDescent="0.2">
      <c r="A2376" s="293" t="s">
        <v>6079</v>
      </c>
      <c r="B2376" s="293" t="s">
        <v>5666</v>
      </c>
      <c r="C2376" s="293" t="s">
        <v>6080</v>
      </c>
      <c r="D2376" s="293" t="s">
        <v>5878</v>
      </c>
      <c r="E2376" s="293" t="s">
        <v>6081</v>
      </c>
      <c r="F2376" s="293" t="s">
        <v>5814</v>
      </c>
      <c r="G2376" s="293" t="s">
        <v>5573</v>
      </c>
      <c r="H2376" s="294">
        <v>41152</v>
      </c>
      <c r="I2376" s="295">
        <v>-10077.08</v>
      </c>
    </row>
    <row r="2377" spans="1:9" x14ac:dyDescent="0.2">
      <c r="A2377" s="293" t="s">
        <v>6082</v>
      </c>
      <c r="B2377" s="293" t="s">
        <v>5666</v>
      </c>
      <c r="C2377" s="293" t="s">
        <v>6083</v>
      </c>
      <c r="D2377" s="293" t="s">
        <v>5878</v>
      </c>
      <c r="E2377" s="293" t="s">
        <v>6084</v>
      </c>
      <c r="F2377" s="293" t="s">
        <v>5814</v>
      </c>
      <c r="G2377" s="293" t="s">
        <v>5579</v>
      </c>
      <c r="H2377" s="294">
        <v>41152</v>
      </c>
      <c r="I2377" s="295">
        <v>-2524.9</v>
      </c>
    </row>
    <row r="2378" spans="1:9" x14ac:dyDescent="0.2">
      <c r="A2378" s="293" t="s">
        <v>6085</v>
      </c>
      <c r="B2378" s="293" t="s">
        <v>5666</v>
      </c>
      <c r="C2378" s="293" t="s">
        <v>6086</v>
      </c>
      <c r="D2378" s="293" t="s">
        <v>5878</v>
      </c>
      <c r="E2378" s="293" t="s">
        <v>6041</v>
      </c>
      <c r="F2378" s="293" t="s">
        <v>5814</v>
      </c>
      <c r="G2378" s="293" t="s">
        <v>5581</v>
      </c>
      <c r="H2378" s="294">
        <v>41152</v>
      </c>
      <c r="I2378" s="295">
        <v>-2490.34</v>
      </c>
    </row>
    <row r="2379" spans="1:9" x14ac:dyDescent="0.2">
      <c r="A2379" s="293" t="s">
        <v>6087</v>
      </c>
      <c r="B2379" s="293" t="s">
        <v>5666</v>
      </c>
      <c r="C2379" s="293" t="s">
        <v>6088</v>
      </c>
      <c r="D2379" s="293" t="s">
        <v>5878</v>
      </c>
      <c r="E2379" s="293" t="s">
        <v>6089</v>
      </c>
      <c r="F2379" s="293" t="s">
        <v>5814</v>
      </c>
      <c r="G2379" s="293" t="s">
        <v>5581</v>
      </c>
      <c r="H2379" s="294">
        <v>41152</v>
      </c>
      <c r="I2379" s="295">
        <v>-603.13</v>
      </c>
    </row>
    <row r="2380" spans="1:9" x14ac:dyDescent="0.2">
      <c r="A2380" s="293" t="s">
        <v>6090</v>
      </c>
      <c r="B2380" s="293" t="s">
        <v>5666</v>
      </c>
      <c r="C2380" s="293" t="s">
        <v>6091</v>
      </c>
      <c r="D2380" s="293" t="s">
        <v>5878</v>
      </c>
      <c r="E2380" s="293" t="s">
        <v>6081</v>
      </c>
      <c r="F2380" s="293" t="s">
        <v>5814</v>
      </c>
      <c r="G2380" s="293" t="s">
        <v>5573</v>
      </c>
      <c r="H2380" s="294">
        <v>41152</v>
      </c>
      <c r="I2380" s="295">
        <v>-3125.47</v>
      </c>
    </row>
    <row r="2381" spans="1:9" x14ac:dyDescent="0.2">
      <c r="A2381" s="293" t="s">
        <v>6092</v>
      </c>
      <c r="B2381" s="293" t="s">
        <v>5666</v>
      </c>
      <c r="C2381" s="293" t="s">
        <v>6093</v>
      </c>
      <c r="D2381" s="293" t="s">
        <v>5878</v>
      </c>
      <c r="E2381" s="293" t="s">
        <v>6081</v>
      </c>
      <c r="F2381" s="293" t="s">
        <v>5814</v>
      </c>
      <c r="G2381" s="293" t="s">
        <v>5573</v>
      </c>
      <c r="H2381" s="294">
        <v>41152</v>
      </c>
      <c r="I2381" s="295">
        <v>-4451.78</v>
      </c>
    </row>
    <row r="2382" spans="1:9" x14ac:dyDescent="0.2">
      <c r="A2382" s="293" t="s">
        <v>6094</v>
      </c>
      <c r="B2382" s="293" t="s">
        <v>5666</v>
      </c>
      <c r="C2382" s="293" t="s">
        <v>6095</v>
      </c>
      <c r="D2382" s="293" t="s">
        <v>5878</v>
      </c>
      <c r="E2382" s="293" t="s">
        <v>6084</v>
      </c>
      <c r="F2382" s="293" t="s">
        <v>5814</v>
      </c>
      <c r="G2382" s="293" t="s">
        <v>5580</v>
      </c>
      <c r="H2382" s="294">
        <v>41152</v>
      </c>
      <c r="I2382" s="295">
        <v>-5589.54</v>
      </c>
    </row>
    <row r="2383" spans="1:9" x14ac:dyDescent="0.2">
      <c r="A2383" s="293" t="s">
        <v>6096</v>
      </c>
      <c r="B2383" s="293" t="s">
        <v>5666</v>
      </c>
      <c r="C2383" s="293" t="s">
        <v>6097</v>
      </c>
      <c r="D2383" s="293" t="s">
        <v>5878</v>
      </c>
      <c r="E2383" s="293" t="s">
        <v>6084</v>
      </c>
      <c r="F2383" s="293" t="s">
        <v>5814</v>
      </c>
      <c r="G2383" s="293" t="s">
        <v>5580</v>
      </c>
      <c r="H2383" s="294">
        <v>41152</v>
      </c>
      <c r="I2383" s="295">
        <v>-10099.59</v>
      </c>
    </row>
    <row r="2384" spans="1:9" x14ac:dyDescent="0.2">
      <c r="A2384" s="293" t="s">
        <v>6098</v>
      </c>
      <c r="B2384" s="293" t="s">
        <v>5666</v>
      </c>
      <c r="C2384" s="293" t="s">
        <v>6099</v>
      </c>
      <c r="D2384" s="293" t="s">
        <v>5878</v>
      </c>
      <c r="E2384" s="293" t="s">
        <v>6084</v>
      </c>
      <c r="F2384" s="293" t="s">
        <v>5814</v>
      </c>
      <c r="G2384" s="293" t="s">
        <v>5579</v>
      </c>
      <c r="H2384" s="294">
        <v>41152</v>
      </c>
      <c r="I2384" s="295">
        <v>-1407.23</v>
      </c>
    </row>
    <row r="2385" spans="1:9" x14ac:dyDescent="0.2">
      <c r="A2385" s="293" t="s">
        <v>6100</v>
      </c>
      <c r="B2385" s="293" t="s">
        <v>5666</v>
      </c>
      <c r="C2385" s="293" t="s">
        <v>6101</v>
      </c>
      <c r="D2385" s="293" t="s">
        <v>5878</v>
      </c>
      <c r="E2385" s="293" t="s">
        <v>6102</v>
      </c>
      <c r="F2385" s="293" t="s">
        <v>5814</v>
      </c>
      <c r="G2385" s="293" t="s">
        <v>5580</v>
      </c>
      <c r="H2385" s="294">
        <v>41152</v>
      </c>
      <c r="I2385" s="295">
        <v>-193.73</v>
      </c>
    </row>
    <row r="2386" spans="1:9" x14ac:dyDescent="0.2">
      <c r="A2386" s="293" t="s">
        <v>6103</v>
      </c>
      <c r="B2386" s="293" t="s">
        <v>5666</v>
      </c>
      <c r="C2386" s="293" t="s">
        <v>6104</v>
      </c>
      <c r="D2386" s="293" t="s">
        <v>5878</v>
      </c>
      <c r="E2386" s="293" t="s">
        <v>6102</v>
      </c>
      <c r="F2386" s="293" t="s">
        <v>5814</v>
      </c>
      <c r="G2386" s="293" t="s">
        <v>5580</v>
      </c>
      <c r="H2386" s="294">
        <v>41152</v>
      </c>
      <c r="I2386" s="295">
        <v>-274.12</v>
      </c>
    </row>
    <row r="2387" spans="1:9" x14ac:dyDescent="0.2">
      <c r="A2387" s="293" t="s">
        <v>6105</v>
      </c>
      <c r="B2387" s="293" t="s">
        <v>5666</v>
      </c>
      <c r="C2387" s="293" t="s">
        <v>6106</v>
      </c>
      <c r="D2387" s="293" t="s">
        <v>5878</v>
      </c>
      <c r="E2387" s="293" t="s">
        <v>6102</v>
      </c>
      <c r="F2387" s="293" t="s">
        <v>5814</v>
      </c>
      <c r="G2387" s="293" t="s">
        <v>5580</v>
      </c>
      <c r="H2387" s="294">
        <v>41152</v>
      </c>
      <c r="I2387" s="295">
        <v>-1347.95</v>
      </c>
    </row>
    <row r="2388" spans="1:9" x14ac:dyDescent="0.2">
      <c r="A2388" s="293" t="s">
        <v>6107</v>
      </c>
      <c r="B2388" s="293" t="s">
        <v>5666</v>
      </c>
      <c r="C2388" s="293" t="s">
        <v>6108</v>
      </c>
      <c r="D2388" s="293" t="s">
        <v>5878</v>
      </c>
      <c r="E2388" s="293" t="s">
        <v>6102</v>
      </c>
      <c r="F2388" s="293" t="s">
        <v>5814</v>
      </c>
      <c r="G2388" s="293" t="s">
        <v>5580</v>
      </c>
      <c r="H2388" s="294">
        <v>41152</v>
      </c>
      <c r="I2388" s="295">
        <v>-1918.86</v>
      </c>
    </row>
    <row r="2389" spans="1:9" x14ac:dyDescent="0.2">
      <c r="A2389" s="293" t="s">
        <v>6109</v>
      </c>
      <c r="B2389" s="293" t="s">
        <v>5666</v>
      </c>
      <c r="C2389" s="293" t="s">
        <v>6110</v>
      </c>
      <c r="D2389" s="293" t="s">
        <v>5878</v>
      </c>
      <c r="E2389" s="293" t="s">
        <v>6111</v>
      </c>
      <c r="F2389" s="293" t="s">
        <v>5814</v>
      </c>
      <c r="G2389" s="293" t="s">
        <v>5573</v>
      </c>
      <c r="H2389" s="294">
        <v>41152</v>
      </c>
      <c r="I2389" s="295">
        <v>-1780.13</v>
      </c>
    </row>
    <row r="2390" spans="1:9" x14ac:dyDescent="0.2">
      <c r="A2390" s="293" t="s">
        <v>6112</v>
      </c>
      <c r="B2390" s="293" t="s">
        <v>5666</v>
      </c>
      <c r="C2390" s="293" t="s">
        <v>6113</v>
      </c>
      <c r="D2390" s="293" t="s">
        <v>5878</v>
      </c>
      <c r="E2390" s="293" t="s">
        <v>6028</v>
      </c>
      <c r="F2390" s="293" t="s">
        <v>5814</v>
      </c>
      <c r="G2390" s="293" t="s">
        <v>5573</v>
      </c>
      <c r="H2390" s="294">
        <v>41152</v>
      </c>
      <c r="I2390" s="295">
        <v>-5336.81</v>
      </c>
    </row>
    <row r="2391" spans="1:9" x14ac:dyDescent="0.2">
      <c r="A2391" s="293" t="s">
        <v>6114</v>
      </c>
      <c r="B2391" s="293" t="s">
        <v>5666</v>
      </c>
      <c r="C2391" s="293" t="s">
        <v>6115</v>
      </c>
      <c r="D2391" s="293" t="s">
        <v>5878</v>
      </c>
      <c r="E2391" s="293" t="s">
        <v>6041</v>
      </c>
      <c r="F2391" s="293" t="s">
        <v>5814</v>
      </c>
      <c r="G2391" s="293" t="s">
        <v>5581</v>
      </c>
      <c r="H2391" s="294">
        <v>41152</v>
      </c>
      <c r="I2391" s="295">
        <v>-2230.71</v>
      </c>
    </row>
    <row r="2392" spans="1:9" x14ac:dyDescent="0.2">
      <c r="A2392" s="293" t="s">
        <v>6116</v>
      </c>
      <c r="B2392" s="293" t="s">
        <v>5666</v>
      </c>
      <c r="C2392" s="293" t="s">
        <v>6117</v>
      </c>
      <c r="D2392" s="293" t="s">
        <v>5878</v>
      </c>
      <c r="E2392" s="293" t="s">
        <v>6118</v>
      </c>
      <c r="F2392" s="293" t="s">
        <v>5814</v>
      </c>
      <c r="G2392" s="293" t="s">
        <v>5581</v>
      </c>
      <c r="H2392" s="294">
        <v>41152</v>
      </c>
      <c r="I2392" s="295">
        <v>-9993</v>
      </c>
    </row>
    <row r="2393" spans="1:9" x14ac:dyDescent="0.2">
      <c r="A2393" s="293" t="s">
        <v>6119</v>
      </c>
      <c r="B2393" s="293" t="s">
        <v>5666</v>
      </c>
      <c r="C2393" s="293" t="s">
        <v>6120</v>
      </c>
      <c r="D2393" s="293" t="s">
        <v>5878</v>
      </c>
      <c r="E2393" s="293" t="s">
        <v>6089</v>
      </c>
      <c r="F2393" s="293" t="s">
        <v>5814</v>
      </c>
      <c r="G2393" s="293" t="s">
        <v>5581</v>
      </c>
      <c r="H2393" s="294">
        <v>41152</v>
      </c>
      <c r="I2393" s="295">
        <v>-7091.09</v>
      </c>
    </row>
    <row r="2394" spans="1:9" x14ac:dyDescent="0.2">
      <c r="A2394" s="293" t="s">
        <v>6121</v>
      </c>
      <c r="B2394" s="293" t="s">
        <v>5666</v>
      </c>
      <c r="C2394" s="293" t="s">
        <v>6122</v>
      </c>
      <c r="D2394" s="293" t="s">
        <v>5878</v>
      </c>
      <c r="E2394" s="293" t="s">
        <v>5817</v>
      </c>
      <c r="F2394" s="293" t="s">
        <v>5814</v>
      </c>
      <c r="G2394" s="293" t="s">
        <v>5580</v>
      </c>
      <c r="H2394" s="294">
        <v>41152</v>
      </c>
      <c r="I2394" s="295">
        <v>-1179.21</v>
      </c>
    </row>
    <row r="2395" spans="1:9" x14ac:dyDescent="0.2">
      <c r="A2395" s="293" t="s">
        <v>6123</v>
      </c>
      <c r="B2395" s="293" t="s">
        <v>5666</v>
      </c>
      <c r="C2395" s="293" t="s">
        <v>6124</v>
      </c>
      <c r="D2395" s="293" t="s">
        <v>5878</v>
      </c>
      <c r="E2395" s="293" t="s">
        <v>6057</v>
      </c>
      <c r="F2395" s="293" t="s">
        <v>5814</v>
      </c>
      <c r="G2395" s="293" t="s">
        <v>5580</v>
      </c>
      <c r="H2395" s="294">
        <v>41152</v>
      </c>
      <c r="I2395" s="295">
        <v>-1019.33</v>
      </c>
    </row>
    <row r="2396" spans="1:9" x14ac:dyDescent="0.2">
      <c r="A2396" s="293" t="s">
        <v>6125</v>
      </c>
      <c r="B2396" s="293" t="s">
        <v>5666</v>
      </c>
      <c r="C2396" s="293" t="s">
        <v>6126</v>
      </c>
      <c r="D2396" s="293" t="s">
        <v>5878</v>
      </c>
      <c r="E2396" s="293" t="s">
        <v>6063</v>
      </c>
      <c r="F2396" s="293" t="s">
        <v>5814</v>
      </c>
      <c r="G2396" s="293" t="s">
        <v>5580</v>
      </c>
      <c r="H2396" s="294">
        <v>41152</v>
      </c>
      <c r="I2396" s="295">
        <v>-857.57</v>
      </c>
    </row>
    <row r="2397" spans="1:9" x14ac:dyDescent="0.2">
      <c r="A2397" s="293" t="s">
        <v>5677</v>
      </c>
      <c r="B2397" s="293" t="s">
        <v>5666</v>
      </c>
      <c r="C2397" s="293" t="s">
        <v>5667</v>
      </c>
      <c r="D2397" s="293" t="s">
        <v>5878</v>
      </c>
      <c r="E2397" s="293" t="s">
        <v>5088</v>
      </c>
      <c r="F2397" s="293" t="s">
        <v>5678</v>
      </c>
      <c r="G2397" s="293" t="s">
        <v>5581</v>
      </c>
      <c r="H2397" s="294">
        <v>41179</v>
      </c>
      <c r="I2397" s="295">
        <v>-18392</v>
      </c>
    </row>
    <row r="2398" spans="1:9" x14ac:dyDescent="0.2">
      <c r="A2398" s="293" t="s">
        <v>6070</v>
      </c>
      <c r="B2398" s="293" t="s">
        <v>5666</v>
      </c>
      <c r="C2398" s="293" t="s">
        <v>5987</v>
      </c>
      <c r="D2398" s="293" t="s">
        <v>5878</v>
      </c>
      <c r="E2398" s="293" t="s">
        <v>6071</v>
      </c>
      <c r="F2398" s="293" t="s">
        <v>6072</v>
      </c>
      <c r="G2398" s="293" t="s">
        <v>5588</v>
      </c>
      <c r="H2398" s="294">
        <v>41152</v>
      </c>
      <c r="I2398" s="295">
        <v>-61642.11</v>
      </c>
    </row>
    <row r="2399" spans="1:9" x14ac:dyDescent="0.2">
      <c r="A2399" s="293" t="s">
        <v>6070</v>
      </c>
      <c r="B2399" s="293" t="s">
        <v>5666</v>
      </c>
      <c r="C2399" s="293" t="s">
        <v>5987</v>
      </c>
      <c r="D2399" s="293" t="s">
        <v>5878</v>
      </c>
      <c r="E2399" s="293" t="s">
        <v>6071</v>
      </c>
      <c r="F2399" s="293" t="s">
        <v>6072</v>
      </c>
      <c r="G2399" s="293" t="s">
        <v>5588</v>
      </c>
      <c r="H2399" s="294">
        <v>41152</v>
      </c>
      <c r="I2399" s="295">
        <v>-19349.349999999999</v>
      </c>
    </row>
    <row r="2400" spans="1:9" x14ac:dyDescent="0.2">
      <c r="A2400" s="293" t="s">
        <v>6070</v>
      </c>
      <c r="B2400" s="293" t="s">
        <v>5666</v>
      </c>
      <c r="C2400" s="293" t="s">
        <v>5987</v>
      </c>
      <c r="D2400" s="293" t="s">
        <v>5878</v>
      </c>
      <c r="E2400" s="293" t="s">
        <v>6077</v>
      </c>
      <c r="F2400" s="293" t="s">
        <v>6072</v>
      </c>
      <c r="G2400" s="293" t="s">
        <v>5580</v>
      </c>
      <c r="H2400" s="294">
        <v>41152</v>
      </c>
      <c r="I2400" s="295">
        <v>1184794.3</v>
      </c>
    </row>
    <row r="2401" spans="1:9" x14ac:dyDescent="0.2">
      <c r="A2401" s="293" t="s">
        <v>6070</v>
      </c>
      <c r="B2401" s="293" t="s">
        <v>5666</v>
      </c>
      <c r="C2401" s="293" t="s">
        <v>5987</v>
      </c>
      <c r="D2401" s="293" t="s">
        <v>5878</v>
      </c>
      <c r="E2401" s="293" t="s">
        <v>6078</v>
      </c>
      <c r="F2401" s="293" t="s">
        <v>6072</v>
      </c>
      <c r="G2401" s="293" t="s">
        <v>5580</v>
      </c>
      <c r="H2401" s="294">
        <v>41152</v>
      </c>
      <c r="I2401" s="295">
        <v>-1103802.8400000001</v>
      </c>
    </row>
    <row r="2402" spans="1:9" x14ac:dyDescent="0.2">
      <c r="A2402" s="293" t="s">
        <v>6157</v>
      </c>
      <c r="B2402" s="293" t="s">
        <v>5666</v>
      </c>
      <c r="C2402" s="293" t="s">
        <v>6080</v>
      </c>
      <c r="D2402" s="293" t="s">
        <v>5878</v>
      </c>
      <c r="E2402" s="293" t="s">
        <v>6081</v>
      </c>
      <c r="F2402" s="293" t="s">
        <v>5819</v>
      </c>
      <c r="G2402" s="293" t="s">
        <v>5573</v>
      </c>
      <c r="H2402" s="294">
        <v>41182</v>
      </c>
      <c r="I2402" s="295">
        <v>-10077.08</v>
      </c>
    </row>
    <row r="2403" spans="1:9" x14ac:dyDescent="0.2">
      <c r="A2403" s="293" t="s">
        <v>6158</v>
      </c>
      <c r="B2403" s="293" t="s">
        <v>5666</v>
      </c>
      <c r="C2403" s="293" t="s">
        <v>6083</v>
      </c>
      <c r="D2403" s="293" t="s">
        <v>5878</v>
      </c>
      <c r="E2403" s="293" t="s">
        <v>6084</v>
      </c>
      <c r="F2403" s="293" t="s">
        <v>5819</v>
      </c>
      <c r="G2403" s="293" t="s">
        <v>5579</v>
      </c>
      <c r="H2403" s="294">
        <v>41182</v>
      </c>
      <c r="I2403" s="295">
        <v>-2524.9</v>
      </c>
    </row>
    <row r="2404" spans="1:9" x14ac:dyDescent="0.2">
      <c r="A2404" s="293" t="s">
        <v>6159</v>
      </c>
      <c r="B2404" s="293" t="s">
        <v>5666</v>
      </c>
      <c r="C2404" s="293" t="s">
        <v>6086</v>
      </c>
      <c r="D2404" s="293" t="s">
        <v>5878</v>
      </c>
      <c r="E2404" s="293" t="s">
        <v>6041</v>
      </c>
      <c r="F2404" s="293" t="s">
        <v>5819</v>
      </c>
      <c r="G2404" s="293" t="s">
        <v>5581</v>
      </c>
      <c r="H2404" s="294">
        <v>41182</v>
      </c>
      <c r="I2404" s="295">
        <v>-2490.34</v>
      </c>
    </row>
    <row r="2405" spans="1:9" x14ac:dyDescent="0.2">
      <c r="A2405" s="293" t="s">
        <v>6160</v>
      </c>
      <c r="B2405" s="293" t="s">
        <v>5666</v>
      </c>
      <c r="C2405" s="293" t="s">
        <v>6088</v>
      </c>
      <c r="D2405" s="293" t="s">
        <v>5878</v>
      </c>
      <c r="E2405" s="293" t="s">
        <v>6089</v>
      </c>
      <c r="F2405" s="293" t="s">
        <v>5819</v>
      </c>
      <c r="G2405" s="293" t="s">
        <v>5581</v>
      </c>
      <c r="H2405" s="294">
        <v>41182</v>
      </c>
      <c r="I2405" s="295">
        <v>-603.13</v>
      </c>
    </row>
    <row r="2406" spans="1:9" x14ac:dyDescent="0.2">
      <c r="A2406" s="293" t="s">
        <v>6161</v>
      </c>
      <c r="B2406" s="293" t="s">
        <v>5666</v>
      </c>
      <c r="C2406" s="293" t="s">
        <v>6091</v>
      </c>
      <c r="D2406" s="293" t="s">
        <v>5878</v>
      </c>
      <c r="E2406" s="293" t="s">
        <v>6081</v>
      </c>
      <c r="F2406" s="293" t="s">
        <v>5819</v>
      </c>
      <c r="G2406" s="293" t="s">
        <v>5573</v>
      </c>
      <c r="H2406" s="294">
        <v>41182</v>
      </c>
      <c r="I2406" s="295">
        <v>-3125.47</v>
      </c>
    </row>
    <row r="2407" spans="1:9" x14ac:dyDescent="0.2">
      <c r="A2407" s="293" t="s">
        <v>6162</v>
      </c>
      <c r="B2407" s="293" t="s">
        <v>5666</v>
      </c>
      <c r="C2407" s="293" t="s">
        <v>6093</v>
      </c>
      <c r="D2407" s="293" t="s">
        <v>5878</v>
      </c>
      <c r="E2407" s="293" t="s">
        <v>6081</v>
      </c>
      <c r="F2407" s="293" t="s">
        <v>5819</v>
      </c>
      <c r="G2407" s="293" t="s">
        <v>5573</v>
      </c>
      <c r="H2407" s="294">
        <v>41182</v>
      </c>
      <c r="I2407" s="295">
        <v>-4451.78</v>
      </c>
    </row>
    <row r="2408" spans="1:9" x14ac:dyDescent="0.2">
      <c r="A2408" s="293" t="s">
        <v>6163</v>
      </c>
      <c r="B2408" s="293" t="s">
        <v>5666</v>
      </c>
      <c r="C2408" s="293" t="s">
        <v>6095</v>
      </c>
      <c r="D2408" s="293" t="s">
        <v>5878</v>
      </c>
      <c r="E2408" s="293" t="s">
        <v>6084</v>
      </c>
      <c r="F2408" s="293" t="s">
        <v>5819</v>
      </c>
      <c r="G2408" s="293" t="s">
        <v>5580</v>
      </c>
      <c r="H2408" s="294">
        <v>41182</v>
      </c>
      <c r="I2408" s="295">
        <v>-5589.54</v>
      </c>
    </row>
    <row r="2409" spans="1:9" x14ac:dyDescent="0.2">
      <c r="A2409" s="293" t="s">
        <v>6164</v>
      </c>
      <c r="B2409" s="293" t="s">
        <v>5666</v>
      </c>
      <c r="C2409" s="293" t="s">
        <v>6097</v>
      </c>
      <c r="D2409" s="293" t="s">
        <v>5878</v>
      </c>
      <c r="E2409" s="293" t="s">
        <v>6084</v>
      </c>
      <c r="F2409" s="293" t="s">
        <v>5819</v>
      </c>
      <c r="G2409" s="293" t="s">
        <v>5580</v>
      </c>
      <c r="H2409" s="294">
        <v>41182</v>
      </c>
      <c r="I2409" s="295">
        <v>-10099.59</v>
      </c>
    </row>
    <row r="2410" spans="1:9" x14ac:dyDescent="0.2">
      <c r="A2410" s="293" t="s">
        <v>6165</v>
      </c>
      <c r="B2410" s="293" t="s">
        <v>5666</v>
      </c>
      <c r="C2410" s="293" t="s">
        <v>6099</v>
      </c>
      <c r="D2410" s="293" t="s">
        <v>5878</v>
      </c>
      <c r="E2410" s="293" t="s">
        <v>6084</v>
      </c>
      <c r="F2410" s="293" t="s">
        <v>5819</v>
      </c>
      <c r="G2410" s="293" t="s">
        <v>5579</v>
      </c>
      <c r="H2410" s="294">
        <v>41182</v>
      </c>
      <c r="I2410" s="295">
        <v>-1407.23</v>
      </c>
    </row>
    <row r="2411" spans="1:9" x14ac:dyDescent="0.2">
      <c r="A2411" s="293" t="s">
        <v>6166</v>
      </c>
      <c r="B2411" s="293" t="s">
        <v>5666</v>
      </c>
      <c r="C2411" s="293" t="s">
        <v>6101</v>
      </c>
      <c r="D2411" s="293" t="s">
        <v>5878</v>
      </c>
      <c r="E2411" s="293" t="s">
        <v>6102</v>
      </c>
      <c r="F2411" s="293" t="s">
        <v>5819</v>
      </c>
      <c r="G2411" s="293" t="s">
        <v>5580</v>
      </c>
      <c r="H2411" s="294">
        <v>41182</v>
      </c>
      <c r="I2411" s="295">
        <v>-193.73</v>
      </c>
    </row>
    <row r="2412" spans="1:9" x14ac:dyDescent="0.2">
      <c r="A2412" s="293" t="s">
        <v>6167</v>
      </c>
      <c r="B2412" s="293" t="s">
        <v>5666</v>
      </c>
      <c r="C2412" s="293" t="s">
        <v>6104</v>
      </c>
      <c r="D2412" s="293" t="s">
        <v>5878</v>
      </c>
      <c r="E2412" s="293" t="s">
        <v>6102</v>
      </c>
      <c r="F2412" s="293" t="s">
        <v>5819</v>
      </c>
      <c r="G2412" s="293" t="s">
        <v>5580</v>
      </c>
      <c r="H2412" s="294">
        <v>41182</v>
      </c>
      <c r="I2412" s="295">
        <v>-274.12</v>
      </c>
    </row>
    <row r="2413" spans="1:9" x14ac:dyDescent="0.2">
      <c r="A2413" s="293" t="s">
        <v>6168</v>
      </c>
      <c r="B2413" s="293" t="s">
        <v>5666</v>
      </c>
      <c r="C2413" s="293" t="s">
        <v>6106</v>
      </c>
      <c r="D2413" s="293" t="s">
        <v>5878</v>
      </c>
      <c r="E2413" s="293" t="s">
        <v>6102</v>
      </c>
      <c r="F2413" s="293" t="s">
        <v>5819</v>
      </c>
      <c r="G2413" s="293" t="s">
        <v>5580</v>
      </c>
      <c r="H2413" s="294">
        <v>41182</v>
      </c>
      <c r="I2413" s="295">
        <v>-1347.95</v>
      </c>
    </row>
    <row r="2414" spans="1:9" x14ac:dyDescent="0.2">
      <c r="A2414" s="293" t="s">
        <v>6169</v>
      </c>
      <c r="B2414" s="293" t="s">
        <v>5666</v>
      </c>
      <c r="C2414" s="293" t="s">
        <v>6108</v>
      </c>
      <c r="D2414" s="293" t="s">
        <v>5878</v>
      </c>
      <c r="E2414" s="293" t="s">
        <v>6102</v>
      </c>
      <c r="F2414" s="293" t="s">
        <v>5819</v>
      </c>
      <c r="G2414" s="293" t="s">
        <v>5580</v>
      </c>
      <c r="H2414" s="294">
        <v>41182</v>
      </c>
      <c r="I2414" s="295">
        <v>-1918.86</v>
      </c>
    </row>
    <row r="2415" spans="1:9" x14ac:dyDescent="0.2">
      <c r="A2415" s="293" t="s">
        <v>6170</v>
      </c>
      <c r="B2415" s="293" t="s">
        <v>5666</v>
      </c>
      <c r="C2415" s="293" t="s">
        <v>6110</v>
      </c>
      <c r="D2415" s="293" t="s">
        <v>5878</v>
      </c>
      <c r="E2415" s="293" t="s">
        <v>6111</v>
      </c>
      <c r="F2415" s="293" t="s">
        <v>5819</v>
      </c>
      <c r="G2415" s="293" t="s">
        <v>5573</v>
      </c>
      <c r="H2415" s="294">
        <v>41182</v>
      </c>
      <c r="I2415" s="295">
        <v>-1780.13</v>
      </c>
    </row>
    <row r="2416" spans="1:9" x14ac:dyDescent="0.2">
      <c r="A2416" s="293" t="s">
        <v>6171</v>
      </c>
      <c r="B2416" s="293" t="s">
        <v>5666</v>
      </c>
      <c r="C2416" s="293" t="s">
        <v>6113</v>
      </c>
      <c r="D2416" s="293" t="s">
        <v>5878</v>
      </c>
      <c r="E2416" s="293" t="s">
        <v>6028</v>
      </c>
      <c r="F2416" s="293" t="s">
        <v>5819</v>
      </c>
      <c r="G2416" s="293" t="s">
        <v>5573</v>
      </c>
      <c r="H2416" s="294">
        <v>41182</v>
      </c>
      <c r="I2416" s="295">
        <v>-5336.81</v>
      </c>
    </row>
    <row r="2417" spans="1:9" x14ac:dyDescent="0.2">
      <c r="A2417" s="293" t="s">
        <v>6172</v>
      </c>
      <c r="B2417" s="293" t="s">
        <v>5666</v>
      </c>
      <c r="C2417" s="293" t="s">
        <v>6115</v>
      </c>
      <c r="D2417" s="293" t="s">
        <v>5878</v>
      </c>
      <c r="E2417" s="293" t="s">
        <v>6041</v>
      </c>
      <c r="F2417" s="293" t="s">
        <v>5819</v>
      </c>
      <c r="G2417" s="293" t="s">
        <v>5581</v>
      </c>
      <c r="H2417" s="294">
        <v>41182</v>
      </c>
      <c r="I2417" s="295">
        <v>-2230.71</v>
      </c>
    </row>
    <row r="2418" spans="1:9" x14ac:dyDescent="0.2">
      <c r="A2418" s="293" t="s">
        <v>6173</v>
      </c>
      <c r="B2418" s="293" t="s">
        <v>5666</v>
      </c>
      <c r="C2418" s="293" t="s">
        <v>6117</v>
      </c>
      <c r="D2418" s="293" t="s">
        <v>5878</v>
      </c>
      <c r="E2418" s="293" t="s">
        <v>6118</v>
      </c>
      <c r="F2418" s="293" t="s">
        <v>5819</v>
      </c>
      <c r="G2418" s="293" t="s">
        <v>5581</v>
      </c>
      <c r="H2418" s="294">
        <v>41182</v>
      </c>
      <c r="I2418" s="295">
        <v>-9993</v>
      </c>
    </row>
    <row r="2419" spans="1:9" x14ac:dyDescent="0.2">
      <c r="A2419" s="293" t="s">
        <v>6174</v>
      </c>
      <c r="B2419" s="293" t="s">
        <v>5666</v>
      </c>
      <c r="C2419" s="293" t="s">
        <v>6120</v>
      </c>
      <c r="D2419" s="293" t="s">
        <v>5878</v>
      </c>
      <c r="E2419" s="293" t="s">
        <v>6089</v>
      </c>
      <c r="F2419" s="293" t="s">
        <v>5819</v>
      </c>
      <c r="G2419" s="293" t="s">
        <v>5581</v>
      </c>
      <c r="H2419" s="294">
        <v>41182</v>
      </c>
      <c r="I2419" s="295">
        <v>-7091.09</v>
      </c>
    </row>
    <row r="2420" spans="1:9" x14ac:dyDescent="0.2">
      <c r="A2420" s="293" t="s">
        <v>6175</v>
      </c>
      <c r="B2420" s="293" t="s">
        <v>5666</v>
      </c>
      <c r="C2420" s="293" t="s">
        <v>6122</v>
      </c>
      <c r="D2420" s="293" t="s">
        <v>5878</v>
      </c>
      <c r="E2420" s="293" t="s">
        <v>5817</v>
      </c>
      <c r="F2420" s="293" t="s">
        <v>5819</v>
      </c>
      <c r="G2420" s="293" t="s">
        <v>5580</v>
      </c>
      <c r="H2420" s="294">
        <v>41182</v>
      </c>
      <c r="I2420" s="295">
        <v>-1179.21</v>
      </c>
    </row>
    <row r="2421" spans="1:9" x14ac:dyDescent="0.2">
      <c r="A2421" s="293" t="s">
        <v>6176</v>
      </c>
      <c r="B2421" s="293" t="s">
        <v>5666</v>
      </c>
      <c r="C2421" s="293" t="s">
        <v>6124</v>
      </c>
      <c r="D2421" s="293" t="s">
        <v>5878</v>
      </c>
      <c r="E2421" s="293" t="s">
        <v>6057</v>
      </c>
      <c r="F2421" s="293" t="s">
        <v>5819</v>
      </c>
      <c r="G2421" s="293" t="s">
        <v>5580</v>
      </c>
      <c r="H2421" s="294">
        <v>41182</v>
      </c>
      <c r="I2421" s="295">
        <v>-1019.33</v>
      </c>
    </row>
    <row r="2422" spans="1:9" x14ac:dyDescent="0.2">
      <c r="A2422" s="293" t="s">
        <v>6177</v>
      </c>
      <c r="B2422" s="293" t="s">
        <v>5666</v>
      </c>
      <c r="C2422" s="293" t="s">
        <v>6126</v>
      </c>
      <c r="D2422" s="293" t="s">
        <v>5878</v>
      </c>
      <c r="E2422" s="293" t="s">
        <v>6063</v>
      </c>
      <c r="F2422" s="293" t="s">
        <v>5819</v>
      </c>
      <c r="G2422" s="293" t="s">
        <v>5580</v>
      </c>
      <c r="H2422" s="294">
        <v>41182</v>
      </c>
      <c r="I2422" s="295">
        <v>-857.57</v>
      </c>
    </row>
    <row r="2423" spans="1:9" x14ac:dyDescent="0.2">
      <c r="A2423" s="293" t="s">
        <v>5679</v>
      </c>
      <c r="B2423" s="293" t="s">
        <v>5666</v>
      </c>
      <c r="C2423" s="293" t="s">
        <v>5667</v>
      </c>
      <c r="D2423" s="293" t="s">
        <v>5878</v>
      </c>
      <c r="E2423" s="293" t="s">
        <v>5088</v>
      </c>
      <c r="F2423" s="293" t="s">
        <v>5680</v>
      </c>
      <c r="G2423" s="293" t="s">
        <v>5581</v>
      </c>
      <c r="H2423" s="294">
        <v>41213</v>
      </c>
      <c r="I2423" s="295">
        <v>-18392</v>
      </c>
    </row>
    <row r="2424" spans="1:9" x14ac:dyDescent="0.2">
      <c r="A2424" s="293" t="s">
        <v>6195</v>
      </c>
      <c r="B2424" s="293" t="s">
        <v>5666</v>
      </c>
      <c r="C2424" s="293" t="s">
        <v>5987</v>
      </c>
      <c r="D2424" s="293" t="s">
        <v>5878</v>
      </c>
      <c r="E2424" s="293" t="s">
        <v>5601</v>
      </c>
      <c r="F2424" s="293" t="s">
        <v>5680</v>
      </c>
      <c r="G2424" s="293" t="s">
        <v>5582</v>
      </c>
      <c r="H2424" s="294">
        <v>41213</v>
      </c>
      <c r="I2424" s="295">
        <v>53064.98</v>
      </c>
    </row>
    <row r="2425" spans="1:9" x14ac:dyDescent="0.2">
      <c r="A2425" s="293" t="s">
        <v>6195</v>
      </c>
      <c r="B2425" s="293" t="s">
        <v>5666</v>
      </c>
      <c r="C2425" s="293" t="s">
        <v>5987</v>
      </c>
      <c r="D2425" s="293" t="s">
        <v>5878</v>
      </c>
      <c r="E2425" s="293" t="s">
        <v>5601</v>
      </c>
      <c r="F2425" s="293" t="s">
        <v>5680</v>
      </c>
      <c r="G2425" s="293" t="s">
        <v>5576</v>
      </c>
      <c r="H2425" s="294">
        <v>41213</v>
      </c>
      <c r="I2425" s="295">
        <v>400893.57</v>
      </c>
    </row>
    <row r="2426" spans="1:9" x14ac:dyDescent="0.2">
      <c r="A2426" s="293" t="s">
        <v>6195</v>
      </c>
      <c r="B2426" s="293" t="s">
        <v>5666</v>
      </c>
      <c r="C2426" s="293" t="s">
        <v>5987</v>
      </c>
      <c r="D2426" s="293" t="s">
        <v>5878</v>
      </c>
      <c r="E2426" s="293" t="s">
        <v>5601</v>
      </c>
      <c r="F2426" s="293" t="s">
        <v>5680</v>
      </c>
      <c r="G2426" s="293" t="s">
        <v>5576</v>
      </c>
      <c r="H2426" s="294">
        <v>41213</v>
      </c>
      <c r="I2426" s="295">
        <v>504882.75</v>
      </c>
    </row>
    <row r="2427" spans="1:9" x14ac:dyDescent="0.2">
      <c r="A2427" s="293" t="s">
        <v>6195</v>
      </c>
      <c r="B2427" s="293" t="s">
        <v>5666</v>
      </c>
      <c r="C2427" s="293" t="s">
        <v>5987</v>
      </c>
      <c r="D2427" s="293" t="s">
        <v>5878</v>
      </c>
      <c r="E2427" s="293" t="s">
        <v>6222</v>
      </c>
      <c r="F2427" s="293" t="s">
        <v>5680</v>
      </c>
      <c r="G2427" s="293" t="s">
        <v>5581</v>
      </c>
      <c r="H2427" s="294">
        <v>41213</v>
      </c>
      <c r="I2427" s="295">
        <v>-489603.24</v>
      </c>
    </row>
    <row r="2428" spans="1:9" x14ac:dyDescent="0.2">
      <c r="A2428" s="293" t="s">
        <v>6195</v>
      </c>
      <c r="B2428" s="293" t="s">
        <v>5666</v>
      </c>
      <c r="C2428" s="293" t="s">
        <v>5987</v>
      </c>
      <c r="D2428" s="293" t="s">
        <v>5878</v>
      </c>
      <c r="E2428" s="293" t="s">
        <v>6222</v>
      </c>
      <c r="F2428" s="293" t="s">
        <v>5680</v>
      </c>
      <c r="G2428" s="293" t="s">
        <v>5573</v>
      </c>
      <c r="H2428" s="294">
        <v>41213</v>
      </c>
      <c r="I2428" s="295">
        <v>-297255.24</v>
      </c>
    </row>
    <row r="2429" spans="1:9" x14ac:dyDescent="0.2">
      <c r="A2429" s="293" t="s">
        <v>6195</v>
      </c>
      <c r="B2429" s="293" t="s">
        <v>5666</v>
      </c>
      <c r="C2429" s="293" t="s">
        <v>5987</v>
      </c>
      <c r="D2429" s="293" t="s">
        <v>5878</v>
      </c>
      <c r="E2429" s="293" t="s">
        <v>6222</v>
      </c>
      <c r="F2429" s="293" t="s">
        <v>5680</v>
      </c>
      <c r="G2429" s="293" t="s">
        <v>5580</v>
      </c>
      <c r="H2429" s="294">
        <v>41213</v>
      </c>
      <c r="I2429" s="295">
        <v>-809033.57</v>
      </c>
    </row>
    <row r="2430" spans="1:9" x14ac:dyDescent="0.2">
      <c r="A2430" s="293" t="s">
        <v>6195</v>
      </c>
      <c r="B2430" s="293" t="s">
        <v>5666</v>
      </c>
      <c r="C2430" s="293" t="s">
        <v>5987</v>
      </c>
      <c r="D2430" s="293" t="s">
        <v>5878</v>
      </c>
      <c r="E2430" s="293" t="s">
        <v>6222</v>
      </c>
      <c r="F2430" s="293" t="s">
        <v>5680</v>
      </c>
      <c r="G2430" s="293" t="s">
        <v>5637</v>
      </c>
      <c r="H2430" s="294">
        <v>41213</v>
      </c>
      <c r="I2430" s="295">
        <v>1358385.75</v>
      </c>
    </row>
    <row r="2431" spans="1:9" x14ac:dyDescent="0.2">
      <c r="A2431" s="293" t="s">
        <v>6195</v>
      </c>
      <c r="B2431" s="293" t="s">
        <v>5666</v>
      </c>
      <c r="C2431" s="293" t="s">
        <v>5987</v>
      </c>
      <c r="D2431" s="293" t="s">
        <v>5878</v>
      </c>
      <c r="E2431" s="293" t="s">
        <v>6222</v>
      </c>
      <c r="F2431" s="293" t="s">
        <v>5680</v>
      </c>
      <c r="G2431" s="293" t="s">
        <v>5579</v>
      </c>
      <c r="H2431" s="294">
        <v>41213</v>
      </c>
      <c r="I2431" s="295">
        <v>25707.61</v>
      </c>
    </row>
    <row r="2432" spans="1:9" x14ac:dyDescent="0.2">
      <c r="A2432" s="293" t="s">
        <v>6195</v>
      </c>
      <c r="B2432" s="293" t="s">
        <v>5666</v>
      </c>
      <c r="C2432" s="293" t="s">
        <v>5987</v>
      </c>
      <c r="D2432" s="293" t="s">
        <v>5878</v>
      </c>
      <c r="E2432" s="293" t="s">
        <v>6222</v>
      </c>
      <c r="F2432" s="293" t="s">
        <v>5680</v>
      </c>
      <c r="G2432" s="293" t="s">
        <v>5577</v>
      </c>
      <c r="H2432" s="294">
        <v>41213</v>
      </c>
      <c r="I2432" s="295">
        <v>66036.38</v>
      </c>
    </row>
    <row r="2433" spans="1:9" x14ac:dyDescent="0.2">
      <c r="A2433" s="293" t="s">
        <v>6195</v>
      </c>
      <c r="B2433" s="293" t="s">
        <v>5666</v>
      </c>
      <c r="C2433" s="293" t="s">
        <v>5987</v>
      </c>
      <c r="D2433" s="293" t="s">
        <v>5878</v>
      </c>
      <c r="E2433" s="293" t="s">
        <v>6222</v>
      </c>
      <c r="F2433" s="293" t="s">
        <v>5680</v>
      </c>
      <c r="G2433" s="293" t="s">
        <v>5578</v>
      </c>
      <c r="H2433" s="294">
        <v>41213</v>
      </c>
      <c r="I2433" s="295">
        <v>145762.31</v>
      </c>
    </row>
    <row r="2434" spans="1:9" x14ac:dyDescent="0.2">
      <c r="A2434" s="293" t="s">
        <v>6229</v>
      </c>
      <c r="B2434" s="293" t="s">
        <v>5666</v>
      </c>
      <c r="C2434" s="293" t="s">
        <v>6080</v>
      </c>
      <c r="D2434" s="293" t="s">
        <v>5878</v>
      </c>
      <c r="E2434" s="293" t="s">
        <v>6081</v>
      </c>
      <c r="F2434" s="293" t="s">
        <v>5822</v>
      </c>
      <c r="G2434" s="293" t="s">
        <v>5573</v>
      </c>
      <c r="H2434" s="294">
        <v>41213</v>
      </c>
      <c r="I2434" s="295">
        <v>-10077.08</v>
      </c>
    </row>
    <row r="2435" spans="1:9" x14ac:dyDescent="0.2">
      <c r="A2435" s="293" t="s">
        <v>6230</v>
      </c>
      <c r="B2435" s="293" t="s">
        <v>5666</v>
      </c>
      <c r="C2435" s="293" t="s">
        <v>6083</v>
      </c>
      <c r="D2435" s="293" t="s">
        <v>5878</v>
      </c>
      <c r="E2435" s="293" t="s">
        <v>6084</v>
      </c>
      <c r="F2435" s="293" t="s">
        <v>5822</v>
      </c>
      <c r="G2435" s="293" t="s">
        <v>5579</v>
      </c>
      <c r="H2435" s="294">
        <v>41213</v>
      </c>
      <c r="I2435" s="295">
        <v>-2524.9</v>
      </c>
    </row>
    <row r="2436" spans="1:9" x14ac:dyDescent="0.2">
      <c r="A2436" s="293" t="s">
        <v>6231</v>
      </c>
      <c r="B2436" s="293" t="s">
        <v>5666</v>
      </c>
      <c r="C2436" s="293" t="s">
        <v>6086</v>
      </c>
      <c r="D2436" s="293" t="s">
        <v>5878</v>
      </c>
      <c r="E2436" s="293" t="s">
        <v>6041</v>
      </c>
      <c r="F2436" s="293" t="s">
        <v>5822</v>
      </c>
      <c r="G2436" s="293" t="s">
        <v>5581</v>
      </c>
      <c r="H2436" s="294">
        <v>41213</v>
      </c>
      <c r="I2436" s="295">
        <v>-2490.34</v>
      </c>
    </row>
    <row r="2437" spans="1:9" x14ac:dyDescent="0.2">
      <c r="A2437" s="293" t="s">
        <v>6232</v>
      </c>
      <c r="B2437" s="293" t="s">
        <v>5666</v>
      </c>
      <c r="C2437" s="293" t="s">
        <v>6088</v>
      </c>
      <c r="D2437" s="293" t="s">
        <v>5878</v>
      </c>
      <c r="E2437" s="293" t="s">
        <v>6089</v>
      </c>
      <c r="F2437" s="293" t="s">
        <v>5822</v>
      </c>
      <c r="G2437" s="293" t="s">
        <v>5581</v>
      </c>
      <c r="H2437" s="294">
        <v>41213</v>
      </c>
      <c r="I2437" s="295">
        <v>-603.13</v>
      </c>
    </row>
    <row r="2438" spans="1:9" x14ac:dyDescent="0.2">
      <c r="A2438" s="293" t="s">
        <v>6233</v>
      </c>
      <c r="B2438" s="293" t="s">
        <v>5666</v>
      </c>
      <c r="C2438" s="293" t="s">
        <v>6091</v>
      </c>
      <c r="D2438" s="293" t="s">
        <v>5878</v>
      </c>
      <c r="E2438" s="293" t="s">
        <v>6081</v>
      </c>
      <c r="F2438" s="293" t="s">
        <v>5822</v>
      </c>
      <c r="G2438" s="293" t="s">
        <v>5573</v>
      </c>
      <c r="H2438" s="294">
        <v>41213</v>
      </c>
      <c r="I2438" s="295">
        <v>-3125.47</v>
      </c>
    </row>
    <row r="2439" spans="1:9" x14ac:dyDescent="0.2">
      <c r="A2439" s="293" t="s">
        <v>6234</v>
      </c>
      <c r="B2439" s="293" t="s">
        <v>5666</v>
      </c>
      <c r="C2439" s="293" t="s">
        <v>6093</v>
      </c>
      <c r="D2439" s="293" t="s">
        <v>5878</v>
      </c>
      <c r="E2439" s="293" t="s">
        <v>6081</v>
      </c>
      <c r="F2439" s="293" t="s">
        <v>5822</v>
      </c>
      <c r="G2439" s="293" t="s">
        <v>5573</v>
      </c>
      <c r="H2439" s="294">
        <v>41213</v>
      </c>
      <c r="I2439" s="295">
        <v>-4451.78</v>
      </c>
    </row>
    <row r="2440" spans="1:9" x14ac:dyDescent="0.2">
      <c r="A2440" s="293" t="s">
        <v>6235</v>
      </c>
      <c r="B2440" s="293" t="s">
        <v>5666</v>
      </c>
      <c r="C2440" s="293" t="s">
        <v>6095</v>
      </c>
      <c r="D2440" s="293" t="s">
        <v>5878</v>
      </c>
      <c r="E2440" s="293" t="s">
        <v>6084</v>
      </c>
      <c r="F2440" s="293" t="s">
        <v>5822</v>
      </c>
      <c r="G2440" s="293" t="s">
        <v>5580</v>
      </c>
      <c r="H2440" s="294">
        <v>41213</v>
      </c>
      <c r="I2440" s="295">
        <v>-5589.54</v>
      </c>
    </row>
    <row r="2441" spans="1:9" x14ac:dyDescent="0.2">
      <c r="A2441" s="293" t="s">
        <v>6236</v>
      </c>
      <c r="B2441" s="293" t="s">
        <v>5666</v>
      </c>
      <c r="C2441" s="293" t="s">
        <v>6097</v>
      </c>
      <c r="D2441" s="293" t="s">
        <v>5878</v>
      </c>
      <c r="E2441" s="293" t="s">
        <v>6084</v>
      </c>
      <c r="F2441" s="293" t="s">
        <v>5822</v>
      </c>
      <c r="G2441" s="293" t="s">
        <v>5580</v>
      </c>
      <c r="H2441" s="294">
        <v>41213</v>
      </c>
      <c r="I2441" s="295">
        <v>-10099.59</v>
      </c>
    </row>
    <row r="2442" spans="1:9" x14ac:dyDescent="0.2">
      <c r="A2442" s="293" t="s">
        <v>6237</v>
      </c>
      <c r="B2442" s="293" t="s">
        <v>5666</v>
      </c>
      <c r="C2442" s="293" t="s">
        <v>6099</v>
      </c>
      <c r="D2442" s="293" t="s">
        <v>5878</v>
      </c>
      <c r="E2442" s="293" t="s">
        <v>6084</v>
      </c>
      <c r="F2442" s="293" t="s">
        <v>5822</v>
      </c>
      <c r="G2442" s="293" t="s">
        <v>5579</v>
      </c>
      <c r="H2442" s="294">
        <v>41213</v>
      </c>
      <c r="I2442" s="295">
        <v>-1407.23</v>
      </c>
    </row>
    <row r="2443" spans="1:9" x14ac:dyDescent="0.2">
      <c r="A2443" s="293" t="s">
        <v>6238</v>
      </c>
      <c r="B2443" s="293" t="s">
        <v>5666</v>
      </c>
      <c r="C2443" s="293" t="s">
        <v>6101</v>
      </c>
      <c r="D2443" s="293" t="s">
        <v>5878</v>
      </c>
      <c r="E2443" s="293" t="s">
        <v>6102</v>
      </c>
      <c r="F2443" s="293" t="s">
        <v>5822</v>
      </c>
      <c r="G2443" s="293" t="s">
        <v>5580</v>
      </c>
      <c r="H2443" s="294">
        <v>41213</v>
      </c>
      <c r="I2443" s="295">
        <v>-193.73</v>
      </c>
    </row>
    <row r="2444" spans="1:9" x14ac:dyDescent="0.2">
      <c r="A2444" s="293" t="s">
        <v>6239</v>
      </c>
      <c r="B2444" s="293" t="s">
        <v>5666</v>
      </c>
      <c r="C2444" s="293" t="s">
        <v>6104</v>
      </c>
      <c r="D2444" s="293" t="s">
        <v>5878</v>
      </c>
      <c r="E2444" s="293" t="s">
        <v>6102</v>
      </c>
      <c r="F2444" s="293" t="s">
        <v>5822</v>
      </c>
      <c r="G2444" s="293" t="s">
        <v>5580</v>
      </c>
      <c r="H2444" s="294">
        <v>41213</v>
      </c>
      <c r="I2444" s="295">
        <v>-274.12</v>
      </c>
    </row>
    <row r="2445" spans="1:9" x14ac:dyDescent="0.2">
      <c r="A2445" s="293" t="s">
        <v>6240</v>
      </c>
      <c r="B2445" s="293" t="s">
        <v>5666</v>
      </c>
      <c r="C2445" s="293" t="s">
        <v>6106</v>
      </c>
      <c r="D2445" s="293" t="s">
        <v>5878</v>
      </c>
      <c r="E2445" s="293" t="s">
        <v>6102</v>
      </c>
      <c r="F2445" s="293" t="s">
        <v>5822</v>
      </c>
      <c r="G2445" s="293" t="s">
        <v>5580</v>
      </c>
      <c r="H2445" s="294">
        <v>41213</v>
      </c>
      <c r="I2445" s="295">
        <v>-1347.95</v>
      </c>
    </row>
    <row r="2446" spans="1:9" x14ac:dyDescent="0.2">
      <c r="A2446" s="293" t="s">
        <v>6241</v>
      </c>
      <c r="B2446" s="293" t="s">
        <v>5666</v>
      </c>
      <c r="C2446" s="293" t="s">
        <v>6108</v>
      </c>
      <c r="D2446" s="293" t="s">
        <v>5878</v>
      </c>
      <c r="E2446" s="293" t="s">
        <v>6102</v>
      </c>
      <c r="F2446" s="293" t="s">
        <v>5822</v>
      </c>
      <c r="G2446" s="293" t="s">
        <v>5580</v>
      </c>
      <c r="H2446" s="294">
        <v>41213</v>
      </c>
      <c r="I2446" s="295">
        <v>-1918.86</v>
      </c>
    </row>
    <row r="2447" spans="1:9" x14ac:dyDescent="0.2">
      <c r="A2447" s="293" t="s">
        <v>6242</v>
      </c>
      <c r="B2447" s="293" t="s">
        <v>5666</v>
      </c>
      <c r="C2447" s="293" t="s">
        <v>6110</v>
      </c>
      <c r="D2447" s="293" t="s">
        <v>5878</v>
      </c>
      <c r="E2447" s="293" t="s">
        <v>6111</v>
      </c>
      <c r="F2447" s="293" t="s">
        <v>5822</v>
      </c>
      <c r="G2447" s="293" t="s">
        <v>5573</v>
      </c>
      <c r="H2447" s="294">
        <v>41213</v>
      </c>
      <c r="I2447" s="295">
        <v>-1780.13</v>
      </c>
    </row>
    <row r="2448" spans="1:9" x14ac:dyDescent="0.2">
      <c r="A2448" s="293" t="s">
        <v>6243</v>
      </c>
      <c r="B2448" s="293" t="s">
        <v>5666</v>
      </c>
      <c r="C2448" s="293" t="s">
        <v>6113</v>
      </c>
      <c r="D2448" s="293" t="s">
        <v>5878</v>
      </c>
      <c r="E2448" s="293" t="s">
        <v>6028</v>
      </c>
      <c r="F2448" s="293" t="s">
        <v>5822</v>
      </c>
      <c r="G2448" s="293" t="s">
        <v>5573</v>
      </c>
      <c r="H2448" s="294">
        <v>41213</v>
      </c>
      <c r="I2448" s="295">
        <v>-5336.81</v>
      </c>
    </row>
    <row r="2449" spans="1:9" x14ac:dyDescent="0.2">
      <c r="A2449" s="293" t="s">
        <v>6244</v>
      </c>
      <c r="B2449" s="293" t="s">
        <v>5666</v>
      </c>
      <c r="C2449" s="293" t="s">
        <v>6115</v>
      </c>
      <c r="D2449" s="293" t="s">
        <v>5878</v>
      </c>
      <c r="E2449" s="293" t="s">
        <v>6041</v>
      </c>
      <c r="F2449" s="293" t="s">
        <v>5822</v>
      </c>
      <c r="G2449" s="293" t="s">
        <v>5581</v>
      </c>
      <c r="H2449" s="294">
        <v>41213</v>
      </c>
      <c r="I2449" s="295">
        <v>-2230.71</v>
      </c>
    </row>
    <row r="2450" spans="1:9" x14ac:dyDescent="0.2">
      <c r="A2450" s="293" t="s">
        <v>6245</v>
      </c>
      <c r="B2450" s="293" t="s">
        <v>5666</v>
      </c>
      <c r="C2450" s="293" t="s">
        <v>6117</v>
      </c>
      <c r="D2450" s="293" t="s">
        <v>5878</v>
      </c>
      <c r="E2450" s="293" t="s">
        <v>6118</v>
      </c>
      <c r="F2450" s="293" t="s">
        <v>5822</v>
      </c>
      <c r="G2450" s="293" t="s">
        <v>5581</v>
      </c>
      <c r="H2450" s="294">
        <v>41213</v>
      </c>
      <c r="I2450" s="295">
        <v>-9993</v>
      </c>
    </row>
    <row r="2451" spans="1:9" x14ac:dyDescent="0.2">
      <c r="A2451" s="293" t="s">
        <v>6246</v>
      </c>
      <c r="B2451" s="293" t="s">
        <v>5666</v>
      </c>
      <c r="C2451" s="293" t="s">
        <v>6120</v>
      </c>
      <c r="D2451" s="293" t="s">
        <v>5878</v>
      </c>
      <c r="E2451" s="293" t="s">
        <v>6089</v>
      </c>
      <c r="F2451" s="293" t="s">
        <v>5822</v>
      </c>
      <c r="G2451" s="293" t="s">
        <v>5581</v>
      </c>
      <c r="H2451" s="294">
        <v>41213</v>
      </c>
      <c r="I2451" s="295">
        <v>-7091.09</v>
      </c>
    </row>
    <row r="2452" spans="1:9" x14ac:dyDescent="0.2">
      <c r="A2452" s="293" t="s">
        <v>6247</v>
      </c>
      <c r="B2452" s="293" t="s">
        <v>5666</v>
      </c>
      <c r="C2452" s="293" t="s">
        <v>6122</v>
      </c>
      <c r="D2452" s="293" t="s">
        <v>5878</v>
      </c>
      <c r="E2452" s="293" t="s">
        <v>5817</v>
      </c>
      <c r="F2452" s="293" t="s">
        <v>5822</v>
      </c>
      <c r="G2452" s="293" t="s">
        <v>5580</v>
      </c>
      <c r="H2452" s="294">
        <v>41213</v>
      </c>
      <c r="I2452" s="295">
        <v>-1179.21</v>
      </c>
    </row>
    <row r="2453" spans="1:9" x14ac:dyDescent="0.2">
      <c r="A2453" s="293" t="s">
        <v>6248</v>
      </c>
      <c r="B2453" s="293" t="s">
        <v>5666</v>
      </c>
      <c r="C2453" s="293" t="s">
        <v>6124</v>
      </c>
      <c r="D2453" s="293" t="s">
        <v>5878</v>
      </c>
      <c r="E2453" s="293" t="s">
        <v>6057</v>
      </c>
      <c r="F2453" s="293" t="s">
        <v>5822</v>
      </c>
      <c r="G2453" s="293" t="s">
        <v>5580</v>
      </c>
      <c r="H2453" s="294">
        <v>41213</v>
      </c>
      <c r="I2453" s="295">
        <v>-1019.33</v>
      </c>
    </row>
    <row r="2454" spans="1:9" x14ac:dyDescent="0.2">
      <c r="A2454" s="293" t="s">
        <v>6249</v>
      </c>
      <c r="B2454" s="293" t="s">
        <v>5666</v>
      </c>
      <c r="C2454" s="293" t="s">
        <v>6126</v>
      </c>
      <c r="D2454" s="293" t="s">
        <v>5878</v>
      </c>
      <c r="E2454" s="293" t="s">
        <v>6063</v>
      </c>
      <c r="F2454" s="293" t="s">
        <v>5822</v>
      </c>
      <c r="G2454" s="293" t="s">
        <v>5580</v>
      </c>
      <c r="H2454" s="294">
        <v>41213</v>
      </c>
      <c r="I2454" s="295">
        <v>-857.57</v>
      </c>
    </row>
    <row r="2455" spans="1:9" x14ac:dyDescent="0.2">
      <c r="A2455" s="293" t="s">
        <v>6250</v>
      </c>
      <c r="B2455" s="293" t="s">
        <v>5825</v>
      </c>
      <c r="C2455" s="293" t="s">
        <v>6080</v>
      </c>
      <c r="D2455" s="293" t="s">
        <v>5878</v>
      </c>
      <c r="E2455" s="293" t="s">
        <v>6081</v>
      </c>
      <c r="F2455" s="293" t="s">
        <v>5822</v>
      </c>
      <c r="G2455" s="293" t="s">
        <v>5573</v>
      </c>
      <c r="H2455" s="294">
        <v>41213</v>
      </c>
      <c r="I2455" s="295">
        <v>10077.08</v>
      </c>
    </row>
    <row r="2456" spans="1:9" x14ac:dyDescent="0.2">
      <c r="A2456" s="293" t="s">
        <v>6251</v>
      </c>
      <c r="B2456" s="293" t="s">
        <v>5825</v>
      </c>
      <c r="C2456" s="293" t="s">
        <v>6083</v>
      </c>
      <c r="D2456" s="293" t="s">
        <v>5878</v>
      </c>
      <c r="E2456" s="293" t="s">
        <v>6084</v>
      </c>
      <c r="F2456" s="293" t="s">
        <v>5822</v>
      </c>
      <c r="G2456" s="293" t="s">
        <v>5579</v>
      </c>
      <c r="H2456" s="294">
        <v>41213</v>
      </c>
      <c r="I2456" s="295">
        <v>2524.9</v>
      </c>
    </row>
    <row r="2457" spans="1:9" x14ac:dyDescent="0.2">
      <c r="A2457" s="293" t="s">
        <v>6252</v>
      </c>
      <c r="B2457" s="293" t="s">
        <v>5825</v>
      </c>
      <c r="C2457" s="293" t="s">
        <v>6086</v>
      </c>
      <c r="D2457" s="293" t="s">
        <v>5878</v>
      </c>
      <c r="E2457" s="293" t="s">
        <v>6041</v>
      </c>
      <c r="F2457" s="293" t="s">
        <v>5822</v>
      </c>
      <c r="G2457" s="293" t="s">
        <v>5581</v>
      </c>
      <c r="H2457" s="294">
        <v>41213</v>
      </c>
      <c r="I2457" s="295">
        <v>2490.34</v>
      </c>
    </row>
    <row r="2458" spans="1:9" x14ac:dyDescent="0.2">
      <c r="A2458" s="293" t="s">
        <v>6253</v>
      </c>
      <c r="B2458" s="293" t="s">
        <v>5825</v>
      </c>
      <c r="C2458" s="293" t="s">
        <v>6088</v>
      </c>
      <c r="D2458" s="293" t="s">
        <v>5878</v>
      </c>
      <c r="E2458" s="293" t="s">
        <v>6089</v>
      </c>
      <c r="F2458" s="293" t="s">
        <v>5822</v>
      </c>
      <c r="G2458" s="293" t="s">
        <v>5581</v>
      </c>
      <c r="H2458" s="294">
        <v>41213</v>
      </c>
      <c r="I2458" s="295">
        <v>603.13</v>
      </c>
    </row>
    <row r="2459" spans="1:9" x14ac:dyDescent="0.2">
      <c r="A2459" s="293" t="s">
        <v>6254</v>
      </c>
      <c r="B2459" s="293" t="s">
        <v>5825</v>
      </c>
      <c r="C2459" s="293" t="s">
        <v>6091</v>
      </c>
      <c r="D2459" s="293" t="s">
        <v>5878</v>
      </c>
      <c r="E2459" s="293" t="s">
        <v>6081</v>
      </c>
      <c r="F2459" s="293" t="s">
        <v>5822</v>
      </c>
      <c r="G2459" s="293" t="s">
        <v>5573</v>
      </c>
      <c r="H2459" s="294">
        <v>41213</v>
      </c>
      <c r="I2459" s="295">
        <v>3125.47</v>
      </c>
    </row>
    <row r="2460" spans="1:9" x14ac:dyDescent="0.2">
      <c r="A2460" s="293" t="s">
        <v>6255</v>
      </c>
      <c r="B2460" s="293" t="s">
        <v>5825</v>
      </c>
      <c r="C2460" s="293" t="s">
        <v>6093</v>
      </c>
      <c r="D2460" s="293" t="s">
        <v>5878</v>
      </c>
      <c r="E2460" s="293" t="s">
        <v>6081</v>
      </c>
      <c r="F2460" s="293" t="s">
        <v>5822</v>
      </c>
      <c r="G2460" s="293" t="s">
        <v>5573</v>
      </c>
      <c r="H2460" s="294">
        <v>41213</v>
      </c>
      <c r="I2460" s="295">
        <v>4451.78</v>
      </c>
    </row>
    <row r="2461" spans="1:9" x14ac:dyDescent="0.2">
      <c r="A2461" s="293" t="s">
        <v>6256</v>
      </c>
      <c r="B2461" s="293" t="s">
        <v>5825</v>
      </c>
      <c r="C2461" s="293" t="s">
        <v>6095</v>
      </c>
      <c r="D2461" s="293" t="s">
        <v>5878</v>
      </c>
      <c r="E2461" s="293" t="s">
        <v>6084</v>
      </c>
      <c r="F2461" s="293" t="s">
        <v>5822</v>
      </c>
      <c r="G2461" s="293" t="s">
        <v>5580</v>
      </c>
      <c r="H2461" s="294">
        <v>41213</v>
      </c>
      <c r="I2461" s="295">
        <v>5589.54</v>
      </c>
    </row>
    <row r="2462" spans="1:9" x14ac:dyDescent="0.2">
      <c r="A2462" s="293" t="s">
        <v>6257</v>
      </c>
      <c r="B2462" s="293" t="s">
        <v>5825</v>
      </c>
      <c r="C2462" s="293" t="s">
        <v>6097</v>
      </c>
      <c r="D2462" s="293" t="s">
        <v>5878</v>
      </c>
      <c r="E2462" s="293" t="s">
        <v>6084</v>
      </c>
      <c r="F2462" s="293" t="s">
        <v>5822</v>
      </c>
      <c r="G2462" s="293" t="s">
        <v>5580</v>
      </c>
      <c r="H2462" s="294">
        <v>41213</v>
      </c>
      <c r="I2462" s="295">
        <v>10099.59</v>
      </c>
    </row>
    <row r="2463" spans="1:9" x14ac:dyDescent="0.2">
      <c r="A2463" s="293" t="s">
        <v>6258</v>
      </c>
      <c r="B2463" s="293" t="s">
        <v>5825</v>
      </c>
      <c r="C2463" s="293" t="s">
        <v>6099</v>
      </c>
      <c r="D2463" s="293" t="s">
        <v>5878</v>
      </c>
      <c r="E2463" s="293" t="s">
        <v>6084</v>
      </c>
      <c r="F2463" s="293" t="s">
        <v>5822</v>
      </c>
      <c r="G2463" s="293" t="s">
        <v>5579</v>
      </c>
      <c r="H2463" s="294">
        <v>41213</v>
      </c>
      <c r="I2463" s="295">
        <v>1407.23</v>
      </c>
    </row>
    <row r="2464" spans="1:9" x14ac:dyDescent="0.2">
      <c r="A2464" s="293" t="s">
        <v>6259</v>
      </c>
      <c r="B2464" s="293" t="s">
        <v>5825</v>
      </c>
      <c r="C2464" s="293" t="s">
        <v>6101</v>
      </c>
      <c r="D2464" s="293" t="s">
        <v>5878</v>
      </c>
      <c r="E2464" s="293" t="s">
        <v>6102</v>
      </c>
      <c r="F2464" s="293" t="s">
        <v>5822</v>
      </c>
      <c r="G2464" s="293" t="s">
        <v>5580</v>
      </c>
      <c r="H2464" s="294">
        <v>41213</v>
      </c>
      <c r="I2464" s="295">
        <v>193.73</v>
      </c>
    </row>
    <row r="2465" spans="1:9" x14ac:dyDescent="0.2">
      <c r="A2465" s="293" t="s">
        <v>6260</v>
      </c>
      <c r="B2465" s="293" t="s">
        <v>5825</v>
      </c>
      <c r="C2465" s="293" t="s">
        <v>6104</v>
      </c>
      <c r="D2465" s="293" t="s">
        <v>5878</v>
      </c>
      <c r="E2465" s="293" t="s">
        <v>6102</v>
      </c>
      <c r="F2465" s="293" t="s">
        <v>5822</v>
      </c>
      <c r="G2465" s="293" t="s">
        <v>5580</v>
      </c>
      <c r="H2465" s="294">
        <v>41213</v>
      </c>
      <c r="I2465" s="295">
        <v>274.12</v>
      </c>
    </row>
    <row r="2466" spans="1:9" x14ac:dyDescent="0.2">
      <c r="A2466" s="293" t="s">
        <v>6261</v>
      </c>
      <c r="B2466" s="293" t="s">
        <v>5825</v>
      </c>
      <c r="C2466" s="293" t="s">
        <v>6106</v>
      </c>
      <c r="D2466" s="293" t="s">
        <v>5878</v>
      </c>
      <c r="E2466" s="293" t="s">
        <v>6102</v>
      </c>
      <c r="F2466" s="293" t="s">
        <v>5822</v>
      </c>
      <c r="G2466" s="293" t="s">
        <v>5580</v>
      </c>
      <c r="H2466" s="294">
        <v>41213</v>
      </c>
      <c r="I2466" s="295">
        <v>1347.95</v>
      </c>
    </row>
    <row r="2467" spans="1:9" x14ac:dyDescent="0.2">
      <c r="A2467" s="293" t="s">
        <v>6262</v>
      </c>
      <c r="B2467" s="293" t="s">
        <v>5825</v>
      </c>
      <c r="C2467" s="293" t="s">
        <v>6108</v>
      </c>
      <c r="D2467" s="293" t="s">
        <v>5878</v>
      </c>
      <c r="E2467" s="293" t="s">
        <v>6102</v>
      </c>
      <c r="F2467" s="293" t="s">
        <v>5822</v>
      </c>
      <c r="G2467" s="293" t="s">
        <v>5580</v>
      </c>
      <c r="H2467" s="294">
        <v>41213</v>
      </c>
      <c r="I2467" s="295">
        <v>1918.86</v>
      </c>
    </row>
    <row r="2468" spans="1:9" x14ac:dyDescent="0.2">
      <c r="A2468" s="293" t="s">
        <v>6263</v>
      </c>
      <c r="B2468" s="293" t="s">
        <v>5825</v>
      </c>
      <c r="C2468" s="293" t="s">
        <v>6110</v>
      </c>
      <c r="D2468" s="293" t="s">
        <v>5878</v>
      </c>
      <c r="E2468" s="293" t="s">
        <v>6111</v>
      </c>
      <c r="F2468" s="293" t="s">
        <v>5822</v>
      </c>
      <c r="G2468" s="293" t="s">
        <v>5573</v>
      </c>
      <c r="H2468" s="294">
        <v>41213</v>
      </c>
      <c r="I2468" s="295">
        <v>1780.13</v>
      </c>
    </row>
    <row r="2469" spans="1:9" x14ac:dyDescent="0.2">
      <c r="A2469" s="293" t="s">
        <v>6264</v>
      </c>
      <c r="B2469" s="293" t="s">
        <v>5825</v>
      </c>
      <c r="C2469" s="293" t="s">
        <v>6113</v>
      </c>
      <c r="D2469" s="293" t="s">
        <v>5878</v>
      </c>
      <c r="E2469" s="293" t="s">
        <v>6028</v>
      </c>
      <c r="F2469" s="293" t="s">
        <v>5822</v>
      </c>
      <c r="G2469" s="293" t="s">
        <v>5573</v>
      </c>
      <c r="H2469" s="294">
        <v>41213</v>
      </c>
      <c r="I2469" s="295">
        <v>5336.81</v>
      </c>
    </row>
    <row r="2470" spans="1:9" x14ac:dyDescent="0.2">
      <c r="A2470" s="293" t="s">
        <v>6265</v>
      </c>
      <c r="B2470" s="293" t="s">
        <v>5825</v>
      </c>
      <c r="C2470" s="293" t="s">
        <v>6115</v>
      </c>
      <c r="D2470" s="293" t="s">
        <v>5878</v>
      </c>
      <c r="E2470" s="293" t="s">
        <v>6041</v>
      </c>
      <c r="F2470" s="293" t="s">
        <v>5822</v>
      </c>
      <c r="G2470" s="293" t="s">
        <v>5581</v>
      </c>
      <c r="H2470" s="294">
        <v>41213</v>
      </c>
      <c r="I2470" s="295">
        <v>2230.71</v>
      </c>
    </row>
    <row r="2471" spans="1:9" x14ac:dyDescent="0.2">
      <c r="A2471" s="293" t="s">
        <v>6266</v>
      </c>
      <c r="B2471" s="293" t="s">
        <v>5825</v>
      </c>
      <c r="C2471" s="293" t="s">
        <v>6117</v>
      </c>
      <c r="D2471" s="293" t="s">
        <v>5878</v>
      </c>
      <c r="E2471" s="293" t="s">
        <v>6118</v>
      </c>
      <c r="F2471" s="293" t="s">
        <v>5822</v>
      </c>
      <c r="G2471" s="293" t="s">
        <v>5581</v>
      </c>
      <c r="H2471" s="294">
        <v>41213</v>
      </c>
      <c r="I2471" s="295">
        <v>9993</v>
      </c>
    </row>
    <row r="2472" spans="1:9" x14ac:dyDescent="0.2">
      <c r="A2472" s="293" t="s">
        <v>6267</v>
      </c>
      <c r="B2472" s="293" t="s">
        <v>5825</v>
      </c>
      <c r="C2472" s="293" t="s">
        <v>6120</v>
      </c>
      <c r="D2472" s="293" t="s">
        <v>5878</v>
      </c>
      <c r="E2472" s="293" t="s">
        <v>6089</v>
      </c>
      <c r="F2472" s="293" t="s">
        <v>5822</v>
      </c>
      <c r="G2472" s="293" t="s">
        <v>5581</v>
      </c>
      <c r="H2472" s="294">
        <v>41213</v>
      </c>
      <c r="I2472" s="295">
        <v>7091.09</v>
      </c>
    </row>
    <row r="2473" spans="1:9" x14ac:dyDescent="0.2">
      <c r="A2473" s="293" t="s">
        <v>6268</v>
      </c>
      <c r="B2473" s="293" t="s">
        <v>5825</v>
      </c>
      <c r="C2473" s="293" t="s">
        <v>6122</v>
      </c>
      <c r="D2473" s="293" t="s">
        <v>5878</v>
      </c>
      <c r="E2473" s="293" t="s">
        <v>5817</v>
      </c>
      <c r="F2473" s="293" t="s">
        <v>5822</v>
      </c>
      <c r="G2473" s="293" t="s">
        <v>5580</v>
      </c>
      <c r="H2473" s="294">
        <v>41213</v>
      </c>
      <c r="I2473" s="295">
        <v>1179.21</v>
      </c>
    </row>
    <row r="2474" spans="1:9" x14ac:dyDescent="0.2">
      <c r="A2474" s="293" t="s">
        <v>6269</v>
      </c>
      <c r="B2474" s="293" t="s">
        <v>5825</v>
      </c>
      <c r="C2474" s="293" t="s">
        <v>6124</v>
      </c>
      <c r="D2474" s="293" t="s">
        <v>5878</v>
      </c>
      <c r="E2474" s="293" t="s">
        <v>6057</v>
      </c>
      <c r="F2474" s="293" t="s">
        <v>5822</v>
      </c>
      <c r="G2474" s="293" t="s">
        <v>5580</v>
      </c>
      <c r="H2474" s="294">
        <v>41213</v>
      </c>
      <c r="I2474" s="295">
        <v>1019.33</v>
      </c>
    </row>
    <row r="2475" spans="1:9" x14ac:dyDescent="0.2">
      <c r="A2475" s="293" t="s">
        <v>6270</v>
      </c>
      <c r="B2475" s="293" t="s">
        <v>5825</v>
      </c>
      <c r="C2475" s="293" t="s">
        <v>6126</v>
      </c>
      <c r="D2475" s="293" t="s">
        <v>5878</v>
      </c>
      <c r="E2475" s="293" t="s">
        <v>6063</v>
      </c>
      <c r="F2475" s="293" t="s">
        <v>5822</v>
      </c>
      <c r="G2475" s="293" t="s">
        <v>5580</v>
      </c>
      <c r="H2475" s="294">
        <v>41213</v>
      </c>
      <c r="I2475" s="295">
        <v>857.57</v>
      </c>
    </row>
    <row r="2476" spans="1:9" x14ac:dyDescent="0.2">
      <c r="A2476" s="293" t="s">
        <v>6271</v>
      </c>
      <c r="B2476" s="293" t="s">
        <v>5666</v>
      </c>
      <c r="C2476" s="293" t="s">
        <v>6272</v>
      </c>
      <c r="D2476" s="293" t="s">
        <v>5878</v>
      </c>
      <c r="E2476" s="293" t="s">
        <v>6273</v>
      </c>
      <c r="F2476" s="293" t="s">
        <v>5822</v>
      </c>
      <c r="G2476" s="293" t="s">
        <v>5576</v>
      </c>
      <c r="H2476" s="294">
        <v>41213</v>
      </c>
      <c r="I2476" s="295">
        <v>-3340.78</v>
      </c>
    </row>
    <row r="2477" spans="1:9" x14ac:dyDescent="0.2">
      <c r="A2477" s="293" t="s">
        <v>6274</v>
      </c>
      <c r="B2477" s="293" t="s">
        <v>5666</v>
      </c>
      <c r="C2477" s="293" t="s">
        <v>6122</v>
      </c>
      <c r="D2477" s="293" t="s">
        <v>5878</v>
      </c>
      <c r="E2477" s="293" t="s">
        <v>6275</v>
      </c>
      <c r="F2477" s="293" t="s">
        <v>5822</v>
      </c>
      <c r="G2477" s="293" t="s">
        <v>5577</v>
      </c>
      <c r="H2477" s="294">
        <v>41213</v>
      </c>
      <c r="I2477" s="295">
        <v>-1179.21</v>
      </c>
    </row>
    <row r="2478" spans="1:9" x14ac:dyDescent="0.2">
      <c r="A2478" s="293" t="s">
        <v>6276</v>
      </c>
      <c r="B2478" s="293" t="s">
        <v>5666</v>
      </c>
      <c r="C2478" s="293" t="s">
        <v>6124</v>
      </c>
      <c r="D2478" s="293" t="s">
        <v>5878</v>
      </c>
      <c r="E2478" s="293" t="s">
        <v>6277</v>
      </c>
      <c r="F2478" s="293" t="s">
        <v>5822</v>
      </c>
      <c r="G2478" s="293" t="s">
        <v>5578</v>
      </c>
      <c r="H2478" s="294">
        <v>41213</v>
      </c>
      <c r="I2478" s="295">
        <v>-1019.33</v>
      </c>
    </row>
    <row r="2479" spans="1:9" x14ac:dyDescent="0.2">
      <c r="A2479" s="293" t="s">
        <v>6278</v>
      </c>
      <c r="B2479" s="293" t="s">
        <v>5666</v>
      </c>
      <c r="C2479" s="293" t="s">
        <v>6126</v>
      </c>
      <c r="D2479" s="293" t="s">
        <v>5878</v>
      </c>
      <c r="E2479" s="293" t="s">
        <v>6279</v>
      </c>
      <c r="F2479" s="293" t="s">
        <v>5822</v>
      </c>
      <c r="G2479" s="293" t="s">
        <v>5579</v>
      </c>
      <c r="H2479" s="294">
        <v>41213</v>
      </c>
      <c r="I2479" s="295">
        <v>-857.57</v>
      </c>
    </row>
    <row r="2480" spans="1:9" x14ac:dyDescent="0.2">
      <c r="A2480" s="293" t="s">
        <v>6280</v>
      </c>
      <c r="B2480" s="293" t="s">
        <v>5666</v>
      </c>
      <c r="C2480" s="293" t="s">
        <v>6091</v>
      </c>
      <c r="D2480" s="293" t="s">
        <v>5878</v>
      </c>
      <c r="E2480" s="293" t="s">
        <v>6281</v>
      </c>
      <c r="F2480" s="293" t="s">
        <v>5822</v>
      </c>
      <c r="G2480" s="293" t="s">
        <v>5573</v>
      </c>
      <c r="H2480" s="294">
        <v>41213</v>
      </c>
      <c r="I2480" s="295">
        <v>-3125.47</v>
      </c>
    </row>
    <row r="2481" spans="1:9" x14ac:dyDescent="0.2">
      <c r="A2481" s="293" t="s">
        <v>6282</v>
      </c>
      <c r="B2481" s="293" t="s">
        <v>5666</v>
      </c>
      <c r="C2481" s="293" t="s">
        <v>6093</v>
      </c>
      <c r="D2481" s="293" t="s">
        <v>5878</v>
      </c>
      <c r="E2481" s="293" t="s">
        <v>6283</v>
      </c>
      <c r="F2481" s="293" t="s">
        <v>5822</v>
      </c>
      <c r="G2481" s="293" t="s">
        <v>5573</v>
      </c>
      <c r="H2481" s="294">
        <v>41213</v>
      </c>
      <c r="I2481" s="295">
        <v>-4451.78</v>
      </c>
    </row>
    <row r="2482" spans="1:9" x14ac:dyDescent="0.2">
      <c r="A2482" s="293" t="s">
        <v>6284</v>
      </c>
      <c r="B2482" s="293" t="s">
        <v>5666</v>
      </c>
      <c r="C2482" s="293" t="s">
        <v>6080</v>
      </c>
      <c r="D2482" s="293" t="s">
        <v>5878</v>
      </c>
      <c r="E2482" s="293" t="s">
        <v>6285</v>
      </c>
      <c r="F2482" s="293" t="s">
        <v>5822</v>
      </c>
      <c r="G2482" s="293" t="s">
        <v>5573</v>
      </c>
      <c r="H2482" s="294">
        <v>41213</v>
      </c>
      <c r="I2482" s="295">
        <v>-10077.08</v>
      </c>
    </row>
    <row r="2483" spans="1:9" x14ac:dyDescent="0.2">
      <c r="A2483" s="293" t="s">
        <v>6286</v>
      </c>
      <c r="B2483" s="293" t="s">
        <v>5666</v>
      </c>
      <c r="C2483" s="293" t="s">
        <v>6095</v>
      </c>
      <c r="D2483" s="293" t="s">
        <v>5878</v>
      </c>
      <c r="E2483" s="293" t="s">
        <v>6287</v>
      </c>
      <c r="F2483" s="293" t="s">
        <v>5822</v>
      </c>
      <c r="G2483" s="293" t="s">
        <v>5580</v>
      </c>
      <c r="H2483" s="294">
        <v>41213</v>
      </c>
      <c r="I2483" s="295">
        <v>-5589.54</v>
      </c>
    </row>
    <row r="2484" spans="1:9" x14ac:dyDescent="0.2">
      <c r="A2484" s="293" t="s">
        <v>6288</v>
      </c>
      <c r="B2484" s="293" t="s">
        <v>5666</v>
      </c>
      <c r="C2484" s="293" t="s">
        <v>6097</v>
      </c>
      <c r="D2484" s="293" t="s">
        <v>5878</v>
      </c>
      <c r="E2484" s="293" t="s">
        <v>6289</v>
      </c>
      <c r="F2484" s="293" t="s">
        <v>5822</v>
      </c>
      <c r="G2484" s="293" t="s">
        <v>5580</v>
      </c>
      <c r="H2484" s="294">
        <v>41213</v>
      </c>
      <c r="I2484" s="295">
        <v>-10099.59</v>
      </c>
    </row>
    <row r="2485" spans="1:9" x14ac:dyDescent="0.2">
      <c r="A2485" s="293" t="s">
        <v>6290</v>
      </c>
      <c r="B2485" s="293" t="s">
        <v>5666</v>
      </c>
      <c r="C2485" s="293" t="s">
        <v>6099</v>
      </c>
      <c r="D2485" s="293" t="s">
        <v>5878</v>
      </c>
      <c r="E2485" s="293" t="s">
        <v>6291</v>
      </c>
      <c r="F2485" s="293" t="s">
        <v>5822</v>
      </c>
      <c r="G2485" s="293" t="s">
        <v>5579</v>
      </c>
      <c r="H2485" s="294">
        <v>41213</v>
      </c>
      <c r="I2485" s="295">
        <v>-1407.23</v>
      </c>
    </row>
    <row r="2486" spans="1:9" x14ac:dyDescent="0.2">
      <c r="A2486" s="293" t="s">
        <v>6292</v>
      </c>
      <c r="B2486" s="293" t="s">
        <v>5666</v>
      </c>
      <c r="C2486" s="293" t="s">
        <v>6083</v>
      </c>
      <c r="D2486" s="293" t="s">
        <v>5878</v>
      </c>
      <c r="E2486" s="293" t="s">
        <v>6293</v>
      </c>
      <c r="F2486" s="293" t="s">
        <v>5822</v>
      </c>
      <c r="G2486" s="293" t="s">
        <v>5579</v>
      </c>
      <c r="H2486" s="294">
        <v>41213</v>
      </c>
      <c r="I2486" s="295">
        <v>-2524.9</v>
      </c>
    </row>
    <row r="2487" spans="1:9" x14ac:dyDescent="0.2">
      <c r="A2487" s="293" t="s">
        <v>6294</v>
      </c>
      <c r="B2487" s="293" t="s">
        <v>5666</v>
      </c>
      <c r="C2487" s="293" t="s">
        <v>6101</v>
      </c>
      <c r="D2487" s="293" t="s">
        <v>5878</v>
      </c>
      <c r="E2487" s="293" t="s">
        <v>6295</v>
      </c>
      <c r="F2487" s="293" t="s">
        <v>5822</v>
      </c>
      <c r="G2487" s="293" t="s">
        <v>5580</v>
      </c>
      <c r="H2487" s="294">
        <v>41213</v>
      </c>
      <c r="I2487" s="295">
        <v>-193.73</v>
      </c>
    </row>
    <row r="2488" spans="1:9" x14ac:dyDescent="0.2">
      <c r="A2488" s="293" t="s">
        <v>6296</v>
      </c>
      <c r="B2488" s="293" t="s">
        <v>5666</v>
      </c>
      <c r="C2488" s="293" t="s">
        <v>6104</v>
      </c>
      <c r="D2488" s="293" t="s">
        <v>5878</v>
      </c>
      <c r="E2488" s="293" t="s">
        <v>6297</v>
      </c>
      <c r="F2488" s="293" t="s">
        <v>5822</v>
      </c>
      <c r="G2488" s="293" t="s">
        <v>5580</v>
      </c>
      <c r="H2488" s="294">
        <v>41213</v>
      </c>
      <c r="I2488" s="295">
        <v>-274.12</v>
      </c>
    </row>
    <row r="2489" spans="1:9" x14ac:dyDescent="0.2">
      <c r="A2489" s="293" t="s">
        <v>6298</v>
      </c>
      <c r="B2489" s="293" t="s">
        <v>5666</v>
      </c>
      <c r="C2489" s="293" t="s">
        <v>6106</v>
      </c>
      <c r="D2489" s="293" t="s">
        <v>5878</v>
      </c>
      <c r="E2489" s="293" t="s">
        <v>6299</v>
      </c>
      <c r="F2489" s="293" t="s">
        <v>5822</v>
      </c>
      <c r="G2489" s="293" t="s">
        <v>5580</v>
      </c>
      <c r="H2489" s="294">
        <v>41213</v>
      </c>
      <c r="I2489" s="295">
        <v>-1347.95</v>
      </c>
    </row>
    <row r="2490" spans="1:9" x14ac:dyDescent="0.2">
      <c r="A2490" s="293" t="s">
        <v>6300</v>
      </c>
      <c r="B2490" s="293" t="s">
        <v>5666</v>
      </c>
      <c r="C2490" s="293" t="s">
        <v>6108</v>
      </c>
      <c r="D2490" s="293" t="s">
        <v>5878</v>
      </c>
      <c r="E2490" s="293" t="s">
        <v>6301</v>
      </c>
      <c r="F2490" s="293" t="s">
        <v>5822</v>
      </c>
      <c r="G2490" s="293" t="s">
        <v>5580</v>
      </c>
      <c r="H2490" s="294">
        <v>41213</v>
      </c>
      <c r="I2490" s="295">
        <v>-1918.86</v>
      </c>
    </row>
    <row r="2491" spans="1:9" x14ac:dyDescent="0.2">
      <c r="A2491" s="293" t="s">
        <v>6302</v>
      </c>
      <c r="B2491" s="293" t="s">
        <v>5666</v>
      </c>
      <c r="C2491" s="293" t="s">
        <v>6110</v>
      </c>
      <c r="D2491" s="293" t="s">
        <v>5878</v>
      </c>
      <c r="E2491" s="293" t="s">
        <v>6303</v>
      </c>
      <c r="F2491" s="293" t="s">
        <v>5822</v>
      </c>
      <c r="G2491" s="293" t="s">
        <v>5573</v>
      </c>
      <c r="H2491" s="294">
        <v>41213</v>
      </c>
      <c r="I2491" s="295">
        <v>-1780.13</v>
      </c>
    </row>
    <row r="2492" spans="1:9" x14ac:dyDescent="0.2">
      <c r="A2492" s="293" t="s">
        <v>6304</v>
      </c>
      <c r="B2492" s="293" t="s">
        <v>5666</v>
      </c>
      <c r="C2492" s="293" t="s">
        <v>6115</v>
      </c>
      <c r="D2492" s="293" t="s">
        <v>5878</v>
      </c>
      <c r="E2492" s="293" t="s">
        <v>6305</v>
      </c>
      <c r="F2492" s="293" t="s">
        <v>5822</v>
      </c>
      <c r="G2492" s="293" t="s">
        <v>5581</v>
      </c>
      <c r="H2492" s="294">
        <v>41213</v>
      </c>
      <c r="I2492" s="295">
        <v>-2230.71</v>
      </c>
    </row>
    <row r="2493" spans="1:9" x14ac:dyDescent="0.2">
      <c r="A2493" s="293" t="s">
        <v>6306</v>
      </c>
      <c r="B2493" s="293" t="s">
        <v>5666</v>
      </c>
      <c r="C2493" s="293" t="s">
        <v>6086</v>
      </c>
      <c r="D2493" s="293" t="s">
        <v>5878</v>
      </c>
      <c r="E2493" s="293" t="s">
        <v>6307</v>
      </c>
      <c r="F2493" s="293" t="s">
        <v>5822</v>
      </c>
      <c r="G2493" s="293" t="s">
        <v>5581</v>
      </c>
      <c r="H2493" s="294">
        <v>41213</v>
      </c>
      <c r="I2493" s="295">
        <v>-2490.34</v>
      </c>
    </row>
    <row r="2494" spans="1:9" x14ac:dyDescent="0.2">
      <c r="A2494" s="293" t="s">
        <v>6308</v>
      </c>
      <c r="B2494" s="293" t="s">
        <v>5666</v>
      </c>
      <c r="C2494" s="293" t="s">
        <v>6117</v>
      </c>
      <c r="D2494" s="293" t="s">
        <v>5878</v>
      </c>
      <c r="E2494" s="293" t="s">
        <v>6309</v>
      </c>
      <c r="F2494" s="293" t="s">
        <v>5822</v>
      </c>
      <c r="G2494" s="293" t="s">
        <v>5581</v>
      </c>
      <c r="H2494" s="294">
        <v>41213</v>
      </c>
      <c r="I2494" s="295">
        <v>-9993</v>
      </c>
    </row>
    <row r="2495" spans="1:9" x14ac:dyDescent="0.2">
      <c r="A2495" s="293" t="s">
        <v>6310</v>
      </c>
      <c r="B2495" s="293" t="s">
        <v>5666</v>
      </c>
      <c r="C2495" s="293" t="s">
        <v>6088</v>
      </c>
      <c r="D2495" s="293" t="s">
        <v>5878</v>
      </c>
      <c r="E2495" s="293" t="s">
        <v>6311</v>
      </c>
      <c r="F2495" s="293" t="s">
        <v>5822</v>
      </c>
      <c r="G2495" s="293" t="s">
        <v>5581</v>
      </c>
      <c r="H2495" s="294">
        <v>41213</v>
      </c>
      <c r="I2495" s="295">
        <v>-603.13</v>
      </c>
    </row>
    <row r="2496" spans="1:9" x14ac:dyDescent="0.2">
      <c r="A2496" s="293" t="s">
        <v>6312</v>
      </c>
      <c r="B2496" s="293" t="s">
        <v>5666</v>
      </c>
      <c r="C2496" s="293" t="s">
        <v>6313</v>
      </c>
      <c r="D2496" s="293" t="s">
        <v>5878</v>
      </c>
      <c r="E2496" s="293" t="s">
        <v>6314</v>
      </c>
      <c r="F2496" s="293" t="s">
        <v>5822</v>
      </c>
      <c r="G2496" s="293" t="s">
        <v>5576</v>
      </c>
      <c r="H2496" s="294">
        <v>41213</v>
      </c>
      <c r="I2496" s="295">
        <v>-4207.3500000000004</v>
      </c>
    </row>
    <row r="2497" spans="1:9" x14ac:dyDescent="0.2">
      <c r="A2497" s="293" t="s">
        <v>6315</v>
      </c>
      <c r="B2497" s="293" t="s">
        <v>5666</v>
      </c>
      <c r="C2497" s="293" t="s">
        <v>6113</v>
      </c>
      <c r="D2497" s="293" t="s">
        <v>5878</v>
      </c>
      <c r="E2497" s="293" t="s">
        <v>6316</v>
      </c>
      <c r="F2497" s="293" t="s">
        <v>5822</v>
      </c>
      <c r="G2497" s="293" t="s">
        <v>5573</v>
      </c>
      <c r="H2497" s="294">
        <v>41213</v>
      </c>
      <c r="I2497" s="295">
        <v>-5336.81</v>
      </c>
    </row>
    <row r="2498" spans="1:9" x14ac:dyDescent="0.2">
      <c r="A2498" s="293" t="s">
        <v>6317</v>
      </c>
      <c r="B2498" s="293" t="s">
        <v>5666</v>
      </c>
      <c r="C2498" s="293" t="s">
        <v>6120</v>
      </c>
      <c r="D2498" s="293" t="s">
        <v>5878</v>
      </c>
      <c r="E2498" s="293" t="s">
        <v>6318</v>
      </c>
      <c r="F2498" s="293" t="s">
        <v>5822</v>
      </c>
      <c r="G2498" s="293" t="s">
        <v>5581</v>
      </c>
      <c r="H2498" s="294">
        <v>41213</v>
      </c>
      <c r="I2498" s="295">
        <v>-7091.09</v>
      </c>
    </row>
    <row r="2499" spans="1:9" x14ac:dyDescent="0.2">
      <c r="A2499" s="293" t="s">
        <v>5683</v>
      </c>
      <c r="B2499" s="293" t="s">
        <v>5666</v>
      </c>
      <c r="C2499" s="293" t="s">
        <v>5667</v>
      </c>
      <c r="D2499" s="293" t="s">
        <v>5878</v>
      </c>
      <c r="E2499" s="293" t="s">
        <v>5088</v>
      </c>
      <c r="F2499" s="293" t="s">
        <v>5684</v>
      </c>
      <c r="G2499" s="293" t="s">
        <v>5581</v>
      </c>
      <c r="H2499" s="294">
        <v>41243</v>
      </c>
      <c r="I2499" s="295">
        <v>-18392</v>
      </c>
    </row>
    <row r="2500" spans="1:9" x14ac:dyDescent="0.2">
      <c r="A2500" s="293" t="s">
        <v>6319</v>
      </c>
      <c r="B2500" s="293" t="s">
        <v>5666</v>
      </c>
      <c r="C2500" s="293" t="s">
        <v>5987</v>
      </c>
      <c r="D2500" s="293" t="s">
        <v>5878</v>
      </c>
      <c r="E2500" s="293" t="s">
        <v>5088</v>
      </c>
      <c r="F2500" s="293" t="s">
        <v>5684</v>
      </c>
      <c r="G2500" s="293" t="s">
        <v>5582</v>
      </c>
      <c r="H2500" s="294">
        <v>41243</v>
      </c>
      <c r="I2500" s="295">
        <v>-53064.98</v>
      </c>
    </row>
    <row r="2501" spans="1:9" x14ac:dyDescent="0.2">
      <c r="A2501" s="293" t="s">
        <v>6337</v>
      </c>
      <c r="B2501" s="293" t="s">
        <v>5666</v>
      </c>
      <c r="C2501" s="293" t="s">
        <v>6272</v>
      </c>
      <c r="D2501" s="293" t="s">
        <v>5878</v>
      </c>
      <c r="E2501" s="293" t="s">
        <v>6273</v>
      </c>
      <c r="F2501" s="293" t="s">
        <v>5832</v>
      </c>
      <c r="G2501" s="293" t="s">
        <v>5576</v>
      </c>
      <c r="H2501" s="294">
        <v>41243</v>
      </c>
      <c r="I2501" s="295">
        <v>-3340.78</v>
      </c>
    </row>
    <row r="2502" spans="1:9" x14ac:dyDescent="0.2">
      <c r="A2502" s="293" t="s">
        <v>6338</v>
      </c>
      <c r="B2502" s="293" t="s">
        <v>5666</v>
      </c>
      <c r="C2502" s="293" t="s">
        <v>6122</v>
      </c>
      <c r="D2502" s="293" t="s">
        <v>5878</v>
      </c>
      <c r="E2502" s="293" t="s">
        <v>6275</v>
      </c>
      <c r="F2502" s="293" t="s">
        <v>5832</v>
      </c>
      <c r="G2502" s="293" t="s">
        <v>5577</v>
      </c>
      <c r="H2502" s="294">
        <v>41243</v>
      </c>
      <c r="I2502" s="295">
        <v>-1179.21</v>
      </c>
    </row>
    <row r="2503" spans="1:9" x14ac:dyDescent="0.2">
      <c r="A2503" s="293" t="s">
        <v>6339</v>
      </c>
      <c r="B2503" s="293" t="s">
        <v>5666</v>
      </c>
      <c r="C2503" s="293" t="s">
        <v>6124</v>
      </c>
      <c r="D2503" s="293" t="s">
        <v>5878</v>
      </c>
      <c r="E2503" s="293" t="s">
        <v>6277</v>
      </c>
      <c r="F2503" s="293" t="s">
        <v>5832</v>
      </c>
      <c r="G2503" s="293" t="s">
        <v>5578</v>
      </c>
      <c r="H2503" s="294">
        <v>41243</v>
      </c>
      <c r="I2503" s="295">
        <v>-1019.33</v>
      </c>
    </row>
    <row r="2504" spans="1:9" x14ac:dyDescent="0.2">
      <c r="A2504" s="293" t="s">
        <v>6340</v>
      </c>
      <c r="B2504" s="293" t="s">
        <v>5666</v>
      </c>
      <c r="C2504" s="293" t="s">
        <v>6126</v>
      </c>
      <c r="D2504" s="293" t="s">
        <v>5878</v>
      </c>
      <c r="E2504" s="293" t="s">
        <v>6279</v>
      </c>
      <c r="F2504" s="293" t="s">
        <v>5832</v>
      </c>
      <c r="G2504" s="293" t="s">
        <v>5579</v>
      </c>
      <c r="H2504" s="294">
        <v>41243</v>
      </c>
      <c r="I2504" s="295">
        <v>-857.57</v>
      </c>
    </row>
    <row r="2505" spans="1:9" x14ac:dyDescent="0.2">
      <c r="A2505" s="293" t="s">
        <v>6341</v>
      </c>
      <c r="B2505" s="293" t="s">
        <v>5666</v>
      </c>
      <c r="C2505" s="293" t="s">
        <v>6091</v>
      </c>
      <c r="D2505" s="293" t="s">
        <v>5878</v>
      </c>
      <c r="E2505" s="293" t="s">
        <v>6281</v>
      </c>
      <c r="F2505" s="293" t="s">
        <v>5832</v>
      </c>
      <c r="G2505" s="293" t="s">
        <v>5573</v>
      </c>
      <c r="H2505" s="294">
        <v>41243</v>
      </c>
      <c r="I2505" s="295">
        <v>-3125.47</v>
      </c>
    </row>
    <row r="2506" spans="1:9" x14ac:dyDescent="0.2">
      <c r="A2506" s="293" t="s">
        <v>6342</v>
      </c>
      <c r="B2506" s="293" t="s">
        <v>5666</v>
      </c>
      <c r="C2506" s="293" t="s">
        <v>6093</v>
      </c>
      <c r="D2506" s="293" t="s">
        <v>5878</v>
      </c>
      <c r="E2506" s="293" t="s">
        <v>6283</v>
      </c>
      <c r="F2506" s="293" t="s">
        <v>5832</v>
      </c>
      <c r="G2506" s="293" t="s">
        <v>5573</v>
      </c>
      <c r="H2506" s="294">
        <v>41243</v>
      </c>
      <c r="I2506" s="295">
        <v>-4451.78</v>
      </c>
    </row>
    <row r="2507" spans="1:9" x14ac:dyDescent="0.2">
      <c r="A2507" s="293" t="s">
        <v>6343</v>
      </c>
      <c r="B2507" s="293" t="s">
        <v>5666</v>
      </c>
      <c r="C2507" s="293" t="s">
        <v>6080</v>
      </c>
      <c r="D2507" s="293" t="s">
        <v>5878</v>
      </c>
      <c r="E2507" s="293" t="s">
        <v>6285</v>
      </c>
      <c r="F2507" s="293" t="s">
        <v>5832</v>
      </c>
      <c r="G2507" s="293" t="s">
        <v>5573</v>
      </c>
      <c r="H2507" s="294">
        <v>41243</v>
      </c>
      <c r="I2507" s="295">
        <v>-10077.08</v>
      </c>
    </row>
    <row r="2508" spans="1:9" x14ac:dyDescent="0.2">
      <c r="A2508" s="293" t="s">
        <v>6344</v>
      </c>
      <c r="B2508" s="293" t="s">
        <v>5666</v>
      </c>
      <c r="C2508" s="293" t="s">
        <v>6095</v>
      </c>
      <c r="D2508" s="293" t="s">
        <v>5878</v>
      </c>
      <c r="E2508" s="293" t="s">
        <v>6287</v>
      </c>
      <c r="F2508" s="293" t="s">
        <v>5832</v>
      </c>
      <c r="G2508" s="293" t="s">
        <v>5580</v>
      </c>
      <c r="H2508" s="294">
        <v>41243</v>
      </c>
      <c r="I2508" s="295">
        <v>-5589.54</v>
      </c>
    </row>
    <row r="2509" spans="1:9" x14ac:dyDescent="0.2">
      <c r="A2509" s="293" t="s">
        <v>6345</v>
      </c>
      <c r="B2509" s="293" t="s">
        <v>5666</v>
      </c>
      <c r="C2509" s="293" t="s">
        <v>6097</v>
      </c>
      <c r="D2509" s="293" t="s">
        <v>5878</v>
      </c>
      <c r="E2509" s="293" t="s">
        <v>6289</v>
      </c>
      <c r="F2509" s="293" t="s">
        <v>5832</v>
      </c>
      <c r="G2509" s="293" t="s">
        <v>5580</v>
      </c>
      <c r="H2509" s="294">
        <v>41243</v>
      </c>
      <c r="I2509" s="295">
        <v>-10099.59</v>
      </c>
    </row>
    <row r="2510" spans="1:9" x14ac:dyDescent="0.2">
      <c r="A2510" s="293" t="s">
        <v>6346</v>
      </c>
      <c r="B2510" s="293" t="s">
        <v>5666</v>
      </c>
      <c r="C2510" s="293" t="s">
        <v>6099</v>
      </c>
      <c r="D2510" s="293" t="s">
        <v>5878</v>
      </c>
      <c r="E2510" s="293" t="s">
        <v>6291</v>
      </c>
      <c r="F2510" s="293" t="s">
        <v>5832</v>
      </c>
      <c r="G2510" s="293" t="s">
        <v>5579</v>
      </c>
      <c r="H2510" s="294">
        <v>41243</v>
      </c>
      <c r="I2510" s="295">
        <v>-1407.23</v>
      </c>
    </row>
    <row r="2511" spans="1:9" x14ac:dyDescent="0.2">
      <c r="A2511" s="293" t="s">
        <v>6347</v>
      </c>
      <c r="B2511" s="293" t="s">
        <v>5666</v>
      </c>
      <c r="C2511" s="293" t="s">
        <v>6083</v>
      </c>
      <c r="D2511" s="293" t="s">
        <v>5878</v>
      </c>
      <c r="E2511" s="293" t="s">
        <v>6293</v>
      </c>
      <c r="F2511" s="293" t="s">
        <v>5832</v>
      </c>
      <c r="G2511" s="293" t="s">
        <v>5579</v>
      </c>
      <c r="H2511" s="294">
        <v>41243</v>
      </c>
      <c r="I2511" s="295">
        <v>-2524.9</v>
      </c>
    </row>
    <row r="2512" spans="1:9" x14ac:dyDescent="0.2">
      <c r="A2512" s="293" t="s">
        <v>6348</v>
      </c>
      <c r="B2512" s="293" t="s">
        <v>5666</v>
      </c>
      <c r="C2512" s="293" t="s">
        <v>6101</v>
      </c>
      <c r="D2512" s="293" t="s">
        <v>5878</v>
      </c>
      <c r="E2512" s="293" t="s">
        <v>6295</v>
      </c>
      <c r="F2512" s="293" t="s">
        <v>5832</v>
      </c>
      <c r="G2512" s="293" t="s">
        <v>5580</v>
      </c>
      <c r="H2512" s="294">
        <v>41243</v>
      </c>
      <c r="I2512" s="295">
        <v>-193.73</v>
      </c>
    </row>
    <row r="2513" spans="1:9" x14ac:dyDescent="0.2">
      <c r="A2513" s="293" t="s">
        <v>6349</v>
      </c>
      <c r="B2513" s="293" t="s">
        <v>5666</v>
      </c>
      <c r="C2513" s="293" t="s">
        <v>6104</v>
      </c>
      <c r="D2513" s="293" t="s">
        <v>5878</v>
      </c>
      <c r="E2513" s="293" t="s">
        <v>6297</v>
      </c>
      <c r="F2513" s="293" t="s">
        <v>5832</v>
      </c>
      <c r="G2513" s="293" t="s">
        <v>5580</v>
      </c>
      <c r="H2513" s="294">
        <v>41243</v>
      </c>
      <c r="I2513" s="295">
        <v>-274.12</v>
      </c>
    </row>
    <row r="2514" spans="1:9" x14ac:dyDescent="0.2">
      <c r="A2514" s="293" t="s">
        <v>6350</v>
      </c>
      <c r="B2514" s="293" t="s">
        <v>5666</v>
      </c>
      <c r="C2514" s="293" t="s">
        <v>6106</v>
      </c>
      <c r="D2514" s="293" t="s">
        <v>5878</v>
      </c>
      <c r="E2514" s="293" t="s">
        <v>6299</v>
      </c>
      <c r="F2514" s="293" t="s">
        <v>5832</v>
      </c>
      <c r="G2514" s="293" t="s">
        <v>5580</v>
      </c>
      <c r="H2514" s="294">
        <v>41243</v>
      </c>
      <c r="I2514" s="295">
        <v>-1347.95</v>
      </c>
    </row>
    <row r="2515" spans="1:9" x14ac:dyDescent="0.2">
      <c r="A2515" s="293" t="s">
        <v>6351</v>
      </c>
      <c r="B2515" s="293" t="s">
        <v>5666</v>
      </c>
      <c r="C2515" s="293" t="s">
        <v>6108</v>
      </c>
      <c r="D2515" s="293" t="s">
        <v>5878</v>
      </c>
      <c r="E2515" s="293" t="s">
        <v>6301</v>
      </c>
      <c r="F2515" s="293" t="s">
        <v>5832</v>
      </c>
      <c r="G2515" s="293" t="s">
        <v>5580</v>
      </c>
      <c r="H2515" s="294">
        <v>41243</v>
      </c>
      <c r="I2515" s="295">
        <v>-1918.86</v>
      </c>
    </row>
    <row r="2516" spans="1:9" x14ac:dyDescent="0.2">
      <c r="A2516" s="293" t="s">
        <v>6352</v>
      </c>
      <c r="B2516" s="293" t="s">
        <v>5666</v>
      </c>
      <c r="C2516" s="293" t="s">
        <v>6110</v>
      </c>
      <c r="D2516" s="293" t="s">
        <v>5878</v>
      </c>
      <c r="E2516" s="293" t="s">
        <v>6303</v>
      </c>
      <c r="F2516" s="293" t="s">
        <v>5832</v>
      </c>
      <c r="G2516" s="293" t="s">
        <v>5573</v>
      </c>
      <c r="H2516" s="294">
        <v>41243</v>
      </c>
      <c r="I2516" s="295">
        <v>-1780.13</v>
      </c>
    </row>
    <row r="2517" spans="1:9" x14ac:dyDescent="0.2">
      <c r="A2517" s="293" t="s">
        <v>6353</v>
      </c>
      <c r="B2517" s="293" t="s">
        <v>5666</v>
      </c>
      <c r="C2517" s="293" t="s">
        <v>6115</v>
      </c>
      <c r="D2517" s="293" t="s">
        <v>5878</v>
      </c>
      <c r="E2517" s="293" t="s">
        <v>6305</v>
      </c>
      <c r="F2517" s="293" t="s">
        <v>5832</v>
      </c>
      <c r="G2517" s="293" t="s">
        <v>5581</v>
      </c>
      <c r="H2517" s="294">
        <v>41243</v>
      </c>
      <c r="I2517" s="295">
        <v>-2230.71</v>
      </c>
    </row>
    <row r="2518" spans="1:9" x14ac:dyDescent="0.2">
      <c r="A2518" s="293" t="s">
        <v>6354</v>
      </c>
      <c r="B2518" s="293" t="s">
        <v>5666</v>
      </c>
      <c r="C2518" s="293" t="s">
        <v>6086</v>
      </c>
      <c r="D2518" s="293" t="s">
        <v>5878</v>
      </c>
      <c r="E2518" s="293" t="s">
        <v>6307</v>
      </c>
      <c r="F2518" s="293" t="s">
        <v>5832</v>
      </c>
      <c r="G2518" s="293" t="s">
        <v>5581</v>
      </c>
      <c r="H2518" s="294">
        <v>41243</v>
      </c>
      <c r="I2518" s="295">
        <v>-2490.34</v>
      </c>
    </row>
    <row r="2519" spans="1:9" x14ac:dyDescent="0.2">
      <c r="A2519" s="293" t="s">
        <v>6355</v>
      </c>
      <c r="B2519" s="293" t="s">
        <v>5666</v>
      </c>
      <c r="C2519" s="293" t="s">
        <v>6117</v>
      </c>
      <c r="D2519" s="293" t="s">
        <v>5878</v>
      </c>
      <c r="E2519" s="293" t="s">
        <v>6309</v>
      </c>
      <c r="F2519" s="293" t="s">
        <v>5832</v>
      </c>
      <c r="G2519" s="293" t="s">
        <v>5581</v>
      </c>
      <c r="H2519" s="294">
        <v>41243</v>
      </c>
      <c r="I2519" s="295">
        <v>-9993</v>
      </c>
    </row>
    <row r="2520" spans="1:9" x14ac:dyDescent="0.2">
      <c r="A2520" s="293" t="s">
        <v>6356</v>
      </c>
      <c r="B2520" s="293" t="s">
        <v>5666</v>
      </c>
      <c r="C2520" s="293" t="s">
        <v>6088</v>
      </c>
      <c r="D2520" s="293" t="s">
        <v>5878</v>
      </c>
      <c r="E2520" s="293" t="s">
        <v>6311</v>
      </c>
      <c r="F2520" s="293" t="s">
        <v>5832</v>
      </c>
      <c r="G2520" s="293" t="s">
        <v>5581</v>
      </c>
      <c r="H2520" s="294">
        <v>41243</v>
      </c>
      <c r="I2520" s="295">
        <v>-603.13</v>
      </c>
    </row>
    <row r="2521" spans="1:9" x14ac:dyDescent="0.2">
      <c r="A2521" s="293" t="s">
        <v>6357</v>
      </c>
      <c r="B2521" s="293" t="s">
        <v>5666</v>
      </c>
      <c r="C2521" s="293" t="s">
        <v>6313</v>
      </c>
      <c r="D2521" s="293" t="s">
        <v>5878</v>
      </c>
      <c r="E2521" s="293" t="s">
        <v>6314</v>
      </c>
      <c r="F2521" s="293" t="s">
        <v>5832</v>
      </c>
      <c r="G2521" s="293" t="s">
        <v>5576</v>
      </c>
      <c r="H2521" s="294">
        <v>41243</v>
      </c>
      <c r="I2521" s="295">
        <v>-4207.3500000000004</v>
      </c>
    </row>
    <row r="2522" spans="1:9" x14ac:dyDescent="0.2">
      <c r="A2522" s="293" t="s">
        <v>6358</v>
      </c>
      <c r="B2522" s="293" t="s">
        <v>5666</v>
      </c>
      <c r="C2522" s="293" t="s">
        <v>6113</v>
      </c>
      <c r="D2522" s="293" t="s">
        <v>5878</v>
      </c>
      <c r="E2522" s="293" t="s">
        <v>6316</v>
      </c>
      <c r="F2522" s="293" t="s">
        <v>5832</v>
      </c>
      <c r="G2522" s="293" t="s">
        <v>5573</v>
      </c>
      <c r="H2522" s="294">
        <v>41243</v>
      </c>
      <c r="I2522" s="295">
        <v>-5336.81</v>
      </c>
    </row>
    <row r="2523" spans="1:9" x14ac:dyDescent="0.2">
      <c r="A2523" s="293" t="s">
        <v>6359</v>
      </c>
      <c r="B2523" s="293" t="s">
        <v>5666</v>
      </c>
      <c r="C2523" s="293" t="s">
        <v>6120</v>
      </c>
      <c r="D2523" s="293" t="s">
        <v>5878</v>
      </c>
      <c r="E2523" s="293" t="s">
        <v>6318</v>
      </c>
      <c r="F2523" s="293" t="s">
        <v>5832</v>
      </c>
      <c r="G2523" s="293" t="s">
        <v>5581</v>
      </c>
      <c r="H2523" s="294">
        <v>41243</v>
      </c>
      <c r="I2523" s="295">
        <v>-7091.09</v>
      </c>
    </row>
    <row r="2524" spans="1:9" x14ac:dyDescent="0.2">
      <c r="A2524" s="293" t="s">
        <v>5685</v>
      </c>
      <c r="B2524" s="293" t="s">
        <v>5666</v>
      </c>
      <c r="C2524" s="293" t="s">
        <v>5667</v>
      </c>
      <c r="D2524" s="293" t="s">
        <v>5878</v>
      </c>
      <c r="E2524" s="293" t="s">
        <v>5088</v>
      </c>
      <c r="F2524" s="293" t="s">
        <v>5686</v>
      </c>
      <c r="G2524" s="293" t="s">
        <v>5581</v>
      </c>
      <c r="H2524" s="294">
        <v>41274</v>
      </c>
      <c r="I2524" s="295">
        <v>-18392</v>
      </c>
    </row>
    <row r="2525" spans="1:9" x14ac:dyDescent="0.2">
      <c r="A2525" s="293" t="s">
        <v>6393</v>
      </c>
      <c r="B2525" s="293" t="s">
        <v>5666</v>
      </c>
      <c r="C2525" s="293" t="s">
        <v>6272</v>
      </c>
      <c r="D2525" s="293" t="s">
        <v>5878</v>
      </c>
      <c r="E2525" s="293" t="s">
        <v>6273</v>
      </c>
      <c r="F2525" s="293" t="s">
        <v>5837</v>
      </c>
      <c r="G2525" s="293" t="s">
        <v>5576</v>
      </c>
      <c r="H2525" s="294">
        <v>41274</v>
      </c>
      <c r="I2525" s="295">
        <v>-3340.78</v>
      </c>
    </row>
    <row r="2526" spans="1:9" x14ac:dyDescent="0.2">
      <c r="A2526" s="293" t="s">
        <v>6394</v>
      </c>
      <c r="B2526" s="293" t="s">
        <v>5666</v>
      </c>
      <c r="C2526" s="293" t="s">
        <v>6122</v>
      </c>
      <c r="D2526" s="293" t="s">
        <v>5878</v>
      </c>
      <c r="E2526" s="293" t="s">
        <v>6275</v>
      </c>
      <c r="F2526" s="293" t="s">
        <v>5837</v>
      </c>
      <c r="G2526" s="293" t="s">
        <v>5577</v>
      </c>
      <c r="H2526" s="294">
        <v>41274</v>
      </c>
      <c r="I2526" s="295">
        <v>-1179.21</v>
      </c>
    </row>
    <row r="2527" spans="1:9" x14ac:dyDescent="0.2">
      <c r="A2527" s="293" t="s">
        <v>6395</v>
      </c>
      <c r="B2527" s="293" t="s">
        <v>5666</v>
      </c>
      <c r="C2527" s="293" t="s">
        <v>6124</v>
      </c>
      <c r="D2527" s="293" t="s">
        <v>5878</v>
      </c>
      <c r="E2527" s="293" t="s">
        <v>6277</v>
      </c>
      <c r="F2527" s="293" t="s">
        <v>5837</v>
      </c>
      <c r="G2527" s="293" t="s">
        <v>5578</v>
      </c>
      <c r="H2527" s="294">
        <v>41274</v>
      </c>
      <c r="I2527" s="295">
        <v>-1019.33</v>
      </c>
    </row>
    <row r="2528" spans="1:9" x14ac:dyDescent="0.2">
      <c r="A2528" s="293" t="s">
        <v>6396</v>
      </c>
      <c r="B2528" s="293" t="s">
        <v>5666</v>
      </c>
      <c r="C2528" s="293" t="s">
        <v>6126</v>
      </c>
      <c r="D2528" s="293" t="s">
        <v>5878</v>
      </c>
      <c r="E2528" s="293" t="s">
        <v>6279</v>
      </c>
      <c r="F2528" s="293" t="s">
        <v>5837</v>
      </c>
      <c r="G2528" s="293" t="s">
        <v>5579</v>
      </c>
      <c r="H2528" s="294">
        <v>41274</v>
      </c>
      <c r="I2528" s="295">
        <v>-857.57</v>
      </c>
    </row>
    <row r="2529" spans="1:9" x14ac:dyDescent="0.2">
      <c r="A2529" s="293" t="s">
        <v>6397</v>
      </c>
      <c r="B2529" s="293" t="s">
        <v>5666</v>
      </c>
      <c r="C2529" s="293" t="s">
        <v>6091</v>
      </c>
      <c r="D2529" s="293" t="s">
        <v>5878</v>
      </c>
      <c r="E2529" s="293" t="s">
        <v>6281</v>
      </c>
      <c r="F2529" s="293" t="s">
        <v>5837</v>
      </c>
      <c r="G2529" s="293" t="s">
        <v>5573</v>
      </c>
      <c r="H2529" s="294">
        <v>41274</v>
      </c>
      <c r="I2529" s="295">
        <v>-3125.47</v>
      </c>
    </row>
    <row r="2530" spans="1:9" x14ac:dyDescent="0.2">
      <c r="A2530" s="293" t="s">
        <v>6398</v>
      </c>
      <c r="B2530" s="293" t="s">
        <v>5666</v>
      </c>
      <c r="C2530" s="293" t="s">
        <v>6093</v>
      </c>
      <c r="D2530" s="293" t="s">
        <v>5878</v>
      </c>
      <c r="E2530" s="293" t="s">
        <v>6283</v>
      </c>
      <c r="F2530" s="293" t="s">
        <v>5837</v>
      </c>
      <c r="G2530" s="293" t="s">
        <v>5573</v>
      </c>
      <c r="H2530" s="294">
        <v>41274</v>
      </c>
      <c r="I2530" s="295">
        <v>-4451.78</v>
      </c>
    </row>
    <row r="2531" spans="1:9" x14ac:dyDescent="0.2">
      <c r="A2531" s="293" t="s">
        <v>6399</v>
      </c>
      <c r="B2531" s="293" t="s">
        <v>5666</v>
      </c>
      <c r="C2531" s="293" t="s">
        <v>6080</v>
      </c>
      <c r="D2531" s="293" t="s">
        <v>5878</v>
      </c>
      <c r="E2531" s="293" t="s">
        <v>6285</v>
      </c>
      <c r="F2531" s="293" t="s">
        <v>5837</v>
      </c>
      <c r="G2531" s="293" t="s">
        <v>5573</v>
      </c>
      <c r="H2531" s="294">
        <v>41274</v>
      </c>
      <c r="I2531" s="295">
        <v>-10077.08</v>
      </c>
    </row>
    <row r="2532" spans="1:9" x14ac:dyDescent="0.2">
      <c r="A2532" s="293" t="s">
        <v>6400</v>
      </c>
      <c r="B2532" s="293" t="s">
        <v>5666</v>
      </c>
      <c r="C2532" s="293" t="s">
        <v>6095</v>
      </c>
      <c r="D2532" s="293" t="s">
        <v>5878</v>
      </c>
      <c r="E2532" s="293" t="s">
        <v>6287</v>
      </c>
      <c r="F2532" s="293" t="s">
        <v>5837</v>
      </c>
      <c r="G2532" s="293" t="s">
        <v>5580</v>
      </c>
      <c r="H2532" s="294">
        <v>41274</v>
      </c>
      <c r="I2532" s="295">
        <v>-5589.54</v>
      </c>
    </row>
    <row r="2533" spans="1:9" x14ac:dyDescent="0.2">
      <c r="A2533" s="293" t="s">
        <v>6401</v>
      </c>
      <c r="B2533" s="293" t="s">
        <v>5666</v>
      </c>
      <c r="C2533" s="293" t="s">
        <v>6097</v>
      </c>
      <c r="D2533" s="293" t="s">
        <v>5878</v>
      </c>
      <c r="E2533" s="293" t="s">
        <v>6289</v>
      </c>
      <c r="F2533" s="293" t="s">
        <v>5837</v>
      </c>
      <c r="G2533" s="293" t="s">
        <v>5580</v>
      </c>
      <c r="H2533" s="294">
        <v>41274</v>
      </c>
      <c r="I2533" s="295">
        <v>-10099.59</v>
      </c>
    </row>
    <row r="2534" spans="1:9" x14ac:dyDescent="0.2">
      <c r="A2534" s="293" t="s">
        <v>6402</v>
      </c>
      <c r="B2534" s="293" t="s">
        <v>5666</v>
      </c>
      <c r="C2534" s="293" t="s">
        <v>6099</v>
      </c>
      <c r="D2534" s="293" t="s">
        <v>5878</v>
      </c>
      <c r="E2534" s="293" t="s">
        <v>6291</v>
      </c>
      <c r="F2534" s="293" t="s">
        <v>5837</v>
      </c>
      <c r="G2534" s="293" t="s">
        <v>5579</v>
      </c>
      <c r="H2534" s="294">
        <v>41274</v>
      </c>
      <c r="I2534" s="295">
        <v>-1407.23</v>
      </c>
    </row>
    <row r="2535" spans="1:9" x14ac:dyDescent="0.2">
      <c r="A2535" s="293" t="s">
        <v>6403</v>
      </c>
      <c r="B2535" s="293" t="s">
        <v>5666</v>
      </c>
      <c r="C2535" s="293" t="s">
        <v>6083</v>
      </c>
      <c r="D2535" s="293" t="s">
        <v>5878</v>
      </c>
      <c r="E2535" s="293" t="s">
        <v>6293</v>
      </c>
      <c r="F2535" s="293" t="s">
        <v>5837</v>
      </c>
      <c r="G2535" s="293" t="s">
        <v>5579</v>
      </c>
      <c r="H2535" s="294">
        <v>41274</v>
      </c>
      <c r="I2535" s="295">
        <v>-2524.9</v>
      </c>
    </row>
    <row r="2536" spans="1:9" x14ac:dyDescent="0.2">
      <c r="A2536" s="293" t="s">
        <v>6404</v>
      </c>
      <c r="B2536" s="293" t="s">
        <v>5666</v>
      </c>
      <c r="C2536" s="293" t="s">
        <v>6101</v>
      </c>
      <c r="D2536" s="293" t="s">
        <v>5878</v>
      </c>
      <c r="E2536" s="293" t="s">
        <v>6295</v>
      </c>
      <c r="F2536" s="293" t="s">
        <v>5837</v>
      </c>
      <c r="G2536" s="293" t="s">
        <v>5580</v>
      </c>
      <c r="H2536" s="294">
        <v>41274</v>
      </c>
      <c r="I2536" s="295">
        <v>-193.73</v>
      </c>
    </row>
    <row r="2537" spans="1:9" x14ac:dyDescent="0.2">
      <c r="A2537" s="293" t="s">
        <v>6405</v>
      </c>
      <c r="B2537" s="293" t="s">
        <v>5666</v>
      </c>
      <c r="C2537" s="293" t="s">
        <v>6104</v>
      </c>
      <c r="D2537" s="293" t="s">
        <v>5878</v>
      </c>
      <c r="E2537" s="293" t="s">
        <v>6297</v>
      </c>
      <c r="F2537" s="293" t="s">
        <v>5837</v>
      </c>
      <c r="G2537" s="293" t="s">
        <v>5580</v>
      </c>
      <c r="H2537" s="294">
        <v>41274</v>
      </c>
      <c r="I2537" s="295">
        <v>-274.12</v>
      </c>
    </row>
    <row r="2538" spans="1:9" x14ac:dyDescent="0.2">
      <c r="A2538" s="293" t="s">
        <v>6406</v>
      </c>
      <c r="B2538" s="293" t="s">
        <v>5666</v>
      </c>
      <c r="C2538" s="293" t="s">
        <v>6106</v>
      </c>
      <c r="D2538" s="293" t="s">
        <v>5878</v>
      </c>
      <c r="E2538" s="293" t="s">
        <v>6299</v>
      </c>
      <c r="F2538" s="293" t="s">
        <v>5837</v>
      </c>
      <c r="G2538" s="293" t="s">
        <v>5580</v>
      </c>
      <c r="H2538" s="294">
        <v>41274</v>
      </c>
      <c r="I2538" s="295">
        <v>-1347.95</v>
      </c>
    </row>
    <row r="2539" spans="1:9" x14ac:dyDescent="0.2">
      <c r="A2539" s="293" t="s">
        <v>6407</v>
      </c>
      <c r="B2539" s="293" t="s">
        <v>5666</v>
      </c>
      <c r="C2539" s="293" t="s">
        <v>6108</v>
      </c>
      <c r="D2539" s="293" t="s">
        <v>5878</v>
      </c>
      <c r="E2539" s="293" t="s">
        <v>6301</v>
      </c>
      <c r="F2539" s="293" t="s">
        <v>5837</v>
      </c>
      <c r="G2539" s="293" t="s">
        <v>5580</v>
      </c>
      <c r="H2539" s="294">
        <v>41274</v>
      </c>
      <c r="I2539" s="295">
        <v>-1918.86</v>
      </c>
    </row>
    <row r="2540" spans="1:9" x14ac:dyDescent="0.2">
      <c r="A2540" s="293" t="s">
        <v>6408</v>
      </c>
      <c r="B2540" s="293" t="s">
        <v>5666</v>
      </c>
      <c r="C2540" s="293" t="s">
        <v>6110</v>
      </c>
      <c r="D2540" s="293" t="s">
        <v>5878</v>
      </c>
      <c r="E2540" s="293" t="s">
        <v>6303</v>
      </c>
      <c r="F2540" s="293" t="s">
        <v>5837</v>
      </c>
      <c r="G2540" s="293" t="s">
        <v>5573</v>
      </c>
      <c r="H2540" s="294">
        <v>41274</v>
      </c>
      <c r="I2540" s="295">
        <v>-1780.13</v>
      </c>
    </row>
    <row r="2541" spans="1:9" x14ac:dyDescent="0.2">
      <c r="A2541" s="293" t="s">
        <v>6409</v>
      </c>
      <c r="B2541" s="293" t="s">
        <v>5666</v>
      </c>
      <c r="C2541" s="293" t="s">
        <v>6115</v>
      </c>
      <c r="D2541" s="293" t="s">
        <v>5878</v>
      </c>
      <c r="E2541" s="293" t="s">
        <v>6305</v>
      </c>
      <c r="F2541" s="293" t="s">
        <v>5837</v>
      </c>
      <c r="G2541" s="293" t="s">
        <v>5581</v>
      </c>
      <c r="H2541" s="294">
        <v>41274</v>
      </c>
      <c r="I2541" s="295">
        <v>-2230.71</v>
      </c>
    </row>
    <row r="2542" spans="1:9" x14ac:dyDescent="0.2">
      <c r="A2542" s="293" t="s">
        <v>6410</v>
      </c>
      <c r="B2542" s="293" t="s">
        <v>5666</v>
      </c>
      <c r="C2542" s="293" t="s">
        <v>6086</v>
      </c>
      <c r="D2542" s="293" t="s">
        <v>5878</v>
      </c>
      <c r="E2542" s="293" t="s">
        <v>6307</v>
      </c>
      <c r="F2542" s="293" t="s">
        <v>5837</v>
      </c>
      <c r="G2542" s="293" t="s">
        <v>5581</v>
      </c>
      <c r="H2542" s="294">
        <v>41274</v>
      </c>
      <c r="I2542" s="295">
        <v>-2490.34</v>
      </c>
    </row>
    <row r="2543" spans="1:9" x14ac:dyDescent="0.2">
      <c r="A2543" s="293" t="s">
        <v>6411</v>
      </c>
      <c r="B2543" s="293" t="s">
        <v>5666</v>
      </c>
      <c r="C2543" s="293" t="s">
        <v>6117</v>
      </c>
      <c r="D2543" s="293" t="s">
        <v>5878</v>
      </c>
      <c r="E2543" s="293" t="s">
        <v>6309</v>
      </c>
      <c r="F2543" s="293" t="s">
        <v>5837</v>
      </c>
      <c r="G2543" s="293" t="s">
        <v>5581</v>
      </c>
      <c r="H2543" s="294">
        <v>41274</v>
      </c>
      <c r="I2543" s="295">
        <v>-9993</v>
      </c>
    </row>
    <row r="2544" spans="1:9" x14ac:dyDescent="0.2">
      <c r="A2544" s="293" t="s">
        <v>6412</v>
      </c>
      <c r="B2544" s="293" t="s">
        <v>5666</v>
      </c>
      <c r="C2544" s="293" t="s">
        <v>6088</v>
      </c>
      <c r="D2544" s="293" t="s">
        <v>5878</v>
      </c>
      <c r="E2544" s="293" t="s">
        <v>6311</v>
      </c>
      <c r="F2544" s="293" t="s">
        <v>5837</v>
      </c>
      <c r="G2544" s="293" t="s">
        <v>5581</v>
      </c>
      <c r="H2544" s="294">
        <v>41274</v>
      </c>
      <c r="I2544" s="295">
        <v>-603.13</v>
      </c>
    </row>
    <row r="2545" spans="1:9" x14ac:dyDescent="0.2">
      <c r="A2545" s="293" t="s">
        <v>6413</v>
      </c>
      <c r="B2545" s="293" t="s">
        <v>5666</v>
      </c>
      <c r="C2545" s="293" t="s">
        <v>6313</v>
      </c>
      <c r="D2545" s="293" t="s">
        <v>5878</v>
      </c>
      <c r="E2545" s="293" t="s">
        <v>6314</v>
      </c>
      <c r="F2545" s="293" t="s">
        <v>5837</v>
      </c>
      <c r="G2545" s="293" t="s">
        <v>5576</v>
      </c>
      <c r="H2545" s="294">
        <v>41274</v>
      </c>
      <c r="I2545" s="295">
        <v>-4207.3500000000004</v>
      </c>
    </row>
    <row r="2546" spans="1:9" x14ac:dyDescent="0.2">
      <c r="A2546" s="293" t="s">
        <v>6414</v>
      </c>
      <c r="B2546" s="293" t="s">
        <v>5666</v>
      </c>
      <c r="C2546" s="293" t="s">
        <v>6113</v>
      </c>
      <c r="D2546" s="293" t="s">
        <v>5878</v>
      </c>
      <c r="E2546" s="293" t="s">
        <v>6316</v>
      </c>
      <c r="F2546" s="293" t="s">
        <v>5837</v>
      </c>
      <c r="G2546" s="293" t="s">
        <v>5573</v>
      </c>
      <c r="H2546" s="294">
        <v>41274</v>
      </c>
      <c r="I2546" s="295">
        <v>-5336.81</v>
      </c>
    </row>
    <row r="2547" spans="1:9" x14ac:dyDescent="0.2">
      <c r="A2547" s="293" t="s">
        <v>6415</v>
      </c>
      <c r="B2547" s="293" t="s">
        <v>5666</v>
      </c>
      <c r="C2547" s="293" t="s">
        <v>6120</v>
      </c>
      <c r="D2547" s="293" t="s">
        <v>5878</v>
      </c>
      <c r="E2547" s="293" t="s">
        <v>6318</v>
      </c>
      <c r="F2547" s="293" t="s">
        <v>5837</v>
      </c>
      <c r="G2547" s="293" t="s">
        <v>5581</v>
      </c>
      <c r="H2547" s="294">
        <v>41274</v>
      </c>
      <c r="I2547" s="295">
        <v>-7091.09</v>
      </c>
    </row>
    <row r="2548" spans="1:9" x14ac:dyDescent="0.2">
      <c r="A2548" s="293" t="s">
        <v>8222</v>
      </c>
      <c r="B2548" s="293" t="s">
        <v>5666</v>
      </c>
      <c r="C2548" s="293" t="s">
        <v>6532</v>
      </c>
      <c r="D2548" s="293" t="s">
        <v>5878</v>
      </c>
      <c r="E2548" s="293" t="s">
        <v>5088</v>
      </c>
      <c r="F2548" s="293" t="s">
        <v>6434</v>
      </c>
      <c r="G2548" s="293" t="s">
        <v>5581</v>
      </c>
      <c r="H2548" s="294">
        <v>41305</v>
      </c>
      <c r="I2548" s="295">
        <v>-18332</v>
      </c>
    </row>
    <row r="2549" spans="1:9" x14ac:dyDescent="0.2">
      <c r="A2549" s="293" t="s">
        <v>8308</v>
      </c>
      <c r="B2549" s="293" t="s">
        <v>5666</v>
      </c>
      <c r="C2549" s="293" t="s">
        <v>6272</v>
      </c>
      <c r="D2549" s="293" t="s">
        <v>5878</v>
      </c>
      <c r="E2549" s="293" t="s">
        <v>6273</v>
      </c>
      <c r="F2549" s="293" t="s">
        <v>6436</v>
      </c>
      <c r="G2549" s="293" t="s">
        <v>5576</v>
      </c>
      <c r="H2549" s="294">
        <v>41305</v>
      </c>
      <c r="I2549" s="295">
        <v>-3340.78</v>
      </c>
    </row>
    <row r="2550" spans="1:9" x14ac:dyDescent="0.2">
      <c r="A2550" s="293" t="s">
        <v>8309</v>
      </c>
      <c r="B2550" s="293" t="s">
        <v>5666</v>
      </c>
      <c r="C2550" s="293" t="s">
        <v>6122</v>
      </c>
      <c r="D2550" s="293" t="s">
        <v>5878</v>
      </c>
      <c r="E2550" s="293" t="s">
        <v>6275</v>
      </c>
      <c r="F2550" s="293" t="s">
        <v>6436</v>
      </c>
      <c r="G2550" s="293" t="s">
        <v>5577</v>
      </c>
      <c r="H2550" s="294">
        <v>41305</v>
      </c>
      <c r="I2550" s="295">
        <v>-1179.21</v>
      </c>
    </row>
    <row r="2551" spans="1:9" x14ac:dyDescent="0.2">
      <c r="A2551" s="293" t="s">
        <v>8310</v>
      </c>
      <c r="B2551" s="293" t="s">
        <v>5666</v>
      </c>
      <c r="C2551" s="293" t="s">
        <v>6124</v>
      </c>
      <c r="D2551" s="293" t="s">
        <v>5878</v>
      </c>
      <c r="E2551" s="293" t="s">
        <v>6277</v>
      </c>
      <c r="F2551" s="293" t="s">
        <v>6436</v>
      </c>
      <c r="G2551" s="293" t="s">
        <v>5578</v>
      </c>
      <c r="H2551" s="294">
        <v>41305</v>
      </c>
      <c r="I2551" s="295">
        <v>-1019.33</v>
      </c>
    </row>
    <row r="2552" spans="1:9" x14ac:dyDescent="0.2">
      <c r="A2552" s="293" t="s">
        <v>8311</v>
      </c>
      <c r="B2552" s="293" t="s">
        <v>5666</v>
      </c>
      <c r="C2552" s="293" t="s">
        <v>6126</v>
      </c>
      <c r="D2552" s="293" t="s">
        <v>5878</v>
      </c>
      <c r="E2552" s="293" t="s">
        <v>6279</v>
      </c>
      <c r="F2552" s="293" t="s">
        <v>6436</v>
      </c>
      <c r="G2552" s="293" t="s">
        <v>5579</v>
      </c>
      <c r="H2552" s="294">
        <v>41305</v>
      </c>
      <c r="I2552" s="295">
        <v>-857.57</v>
      </c>
    </row>
    <row r="2553" spans="1:9" x14ac:dyDescent="0.2">
      <c r="A2553" s="293" t="s">
        <v>8312</v>
      </c>
      <c r="B2553" s="293" t="s">
        <v>5666</v>
      </c>
      <c r="C2553" s="293" t="s">
        <v>6091</v>
      </c>
      <c r="D2553" s="293" t="s">
        <v>5878</v>
      </c>
      <c r="E2553" s="293" t="s">
        <v>6281</v>
      </c>
      <c r="F2553" s="293" t="s">
        <v>6436</v>
      </c>
      <c r="G2553" s="293" t="s">
        <v>5573</v>
      </c>
      <c r="H2553" s="294">
        <v>41305</v>
      </c>
      <c r="I2553" s="295">
        <v>-3125.47</v>
      </c>
    </row>
    <row r="2554" spans="1:9" x14ac:dyDescent="0.2">
      <c r="A2554" s="293" t="s">
        <v>8313</v>
      </c>
      <c r="B2554" s="293" t="s">
        <v>5666</v>
      </c>
      <c r="C2554" s="293" t="s">
        <v>6093</v>
      </c>
      <c r="D2554" s="293" t="s">
        <v>5878</v>
      </c>
      <c r="E2554" s="293" t="s">
        <v>6283</v>
      </c>
      <c r="F2554" s="293" t="s">
        <v>6436</v>
      </c>
      <c r="G2554" s="293" t="s">
        <v>5573</v>
      </c>
      <c r="H2554" s="294">
        <v>41305</v>
      </c>
      <c r="I2554" s="295">
        <v>-4451.78</v>
      </c>
    </row>
    <row r="2555" spans="1:9" x14ac:dyDescent="0.2">
      <c r="A2555" s="293" t="s">
        <v>8314</v>
      </c>
      <c r="B2555" s="293" t="s">
        <v>5666</v>
      </c>
      <c r="C2555" s="293" t="s">
        <v>6080</v>
      </c>
      <c r="D2555" s="293" t="s">
        <v>5878</v>
      </c>
      <c r="E2555" s="293" t="s">
        <v>6285</v>
      </c>
      <c r="F2555" s="293" t="s">
        <v>6436</v>
      </c>
      <c r="G2555" s="293" t="s">
        <v>5573</v>
      </c>
      <c r="H2555" s="294">
        <v>41305</v>
      </c>
      <c r="I2555" s="295">
        <v>-10077.08</v>
      </c>
    </row>
    <row r="2556" spans="1:9" x14ac:dyDescent="0.2">
      <c r="A2556" s="293" t="s">
        <v>8315</v>
      </c>
      <c r="B2556" s="293" t="s">
        <v>5666</v>
      </c>
      <c r="C2556" s="293" t="s">
        <v>6095</v>
      </c>
      <c r="D2556" s="293" t="s">
        <v>5878</v>
      </c>
      <c r="E2556" s="293" t="s">
        <v>6287</v>
      </c>
      <c r="F2556" s="293" t="s">
        <v>6436</v>
      </c>
      <c r="G2556" s="293" t="s">
        <v>5580</v>
      </c>
      <c r="H2556" s="294">
        <v>41305</v>
      </c>
      <c r="I2556" s="295">
        <v>-5589.54</v>
      </c>
    </row>
    <row r="2557" spans="1:9" x14ac:dyDescent="0.2">
      <c r="A2557" s="293" t="s">
        <v>8316</v>
      </c>
      <c r="B2557" s="293" t="s">
        <v>5666</v>
      </c>
      <c r="C2557" s="293" t="s">
        <v>6097</v>
      </c>
      <c r="D2557" s="293" t="s">
        <v>5878</v>
      </c>
      <c r="E2557" s="293" t="s">
        <v>6289</v>
      </c>
      <c r="F2557" s="293" t="s">
        <v>6436</v>
      </c>
      <c r="G2557" s="293" t="s">
        <v>5580</v>
      </c>
      <c r="H2557" s="294">
        <v>41305</v>
      </c>
      <c r="I2557" s="295">
        <v>-10099.59</v>
      </c>
    </row>
    <row r="2558" spans="1:9" x14ac:dyDescent="0.2">
      <c r="A2558" s="293" t="s">
        <v>8317</v>
      </c>
      <c r="B2558" s="293" t="s">
        <v>5666</v>
      </c>
      <c r="C2558" s="293" t="s">
        <v>6099</v>
      </c>
      <c r="D2558" s="293" t="s">
        <v>5878</v>
      </c>
      <c r="E2558" s="293" t="s">
        <v>6291</v>
      </c>
      <c r="F2558" s="293" t="s">
        <v>6436</v>
      </c>
      <c r="G2558" s="293" t="s">
        <v>5579</v>
      </c>
      <c r="H2558" s="294">
        <v>41305</v>
      </c>
      <c r="I2558" s="295">
        <v>-1407.23</v>
      </c>
    </row>
    <row r="2559" spans="1:9" x14ac:dyDescent="0.2">
      <c r="A2559" s="293" t="s">
        <v>8318</v>
      </c>
      <c r="B2559" s="293" t="s">
        <v>5666</v>
      </c>
      <c r="C2559" s="293" t="s">
        <v>6083</v>
      </c>
      <c r="D2559" s="293" t="s">
        <v>5878</v>
      </c>
      <c r="E2559" s="293" t="s">
        <v>6293</v>
      </c>
      <c r="F2559" s="293" t="s">
        <v>6436</v>
      </c>
      <c r="G2559" s="293" t="s">
        <v>5579</v>
      </c>
      <c r="H2559" s="294">
        <v>41305</v>
      </c>
      <c r="I2559" s="295">
        <v>-2524.9</v>
      </c>
    </row>
    <row r="2560" spans="1:9" x14ac:dyDescent="0.2">
      <c r="A2560" s="293" t="s">
        <v>8319</v>
      </c>
      <c r="B2560" s="293" t="s">
        <v>5666</v>
      </c>
      <c r="C2560" s="293" t="s">
        <v>6101</v>
      </c>
      <c r="D2560" s="293" t="s">
        <v>5878</v>
      </c>
      <c r="E2560" s="293" t="s">
        <v>6295</v>
      </c>
      <c r="F2560" s="293" t="s">
        <v>6436</v>
      </c>
      <c r="G2560" s="293" t="s">
        <v>5580</v>
      </c>
      <c r="H2560" s="294">
        <v>41305</v>
      </c>
      <c r="I2560" s="295">
        <v>-193.73</v>
      </c>
    </row>
    <row r="2561" spans="1:9" x14ac:dyDescent="0.2">
      <c r="A2561" s="293" t="s">
        <v>8320</v>
      </c>
      <c r="B2561" s="293" t="s">
        <v>5666</v>
      </c>
      <c r="C2561" s="293" t="s">
        <v>6104</v>
      </c>
      <c r="D2561" s="293" t="s">
        <v>5878</v>
      </c>
      <c r="E2561" s="293" t="s">
        <v>6297</v>
      </c>
      <c r="F2561" s="293" t="s">
        <v>6436</v>
      </c>
      <c r="G2561" s="293" t="s">
        <v>5580</v>
      </c>
      <c r="H2561" s="294">
        <v>41305</v>
      </c>
      <c r="I2561" s="295">
        <v>-274.12</v>
      </c>
    </row>
    <row r="2562" spans="1:9" x14ac:dyDescent="0.2">
      <c r="A2562" s="293" t="s">
        <v>8321</v>
      </c>
      <c r="B2562" s="293" t="s">
        <v>5666</v>
      </c>
      <c r="C2562" s="293" t="s">
        <v>6106</v>
      </c>
      <c r="D2562" s="293" t="s">
        <v>5878</v>
      </c>
      <c r="E2562" s="293" t="s">
        <v>6299</v>
      </c>
      <c r="F2562" s="293" t="s">
        <v>6436</v>
      </c>
      <c r="G2562" s="293" t="s">
        <v>5580</v>
      </c>
      <c r="H2562" s="294">
        <v>41305</v>
      </c>
      <c r="I2562" s="295">
        <v>-1347.95</v>
      </c>
    </row>
    <row r="2563" spans="1:9" x14ac:dyDescent="0.2">
      <c r="A2563" s="293" t="s">
        <v>8322</v>
      </c>
      <c r="B2563" s="293" t="s">
        <v>5666</v>
      </c>
      <c r="C2563" s="293" t="s">
        <v>6108</v>
      </c>
      <c r="D2563" s="293" t="s">
        <v>5878</v>
      </c>
      <c r="E2563" s="293" t="s">
        <v>6301</v>
      </c>
      <c r="F2563" s="293" t="s">
        <v>6436</v>
      </c>
      <c r="G2563" s="293" t="s">
        <v>5580</v>
      </c>
      <c r="H2563" s="294">
        <v>41305</v>
      </c>
      <c r="I2563" s="295">
        <v>-1918.86</v>
      </c>
    </row>
    <row r="2564" spans="1:9" x14ac:dyDescent="0.2">
      <c r="A2564" s="293" t="s">
        <v>8323</v>
      </c>
      <c r="B2564" s="293" t="s">
        <v>5666</v>
      </c>
      <c r="C2564" s="293" t="s">
        <v>6110</v>
      </c>
      <c r="D2564" s="293" t="s">
        <v>5878</v>
      </c>
      <c r="E2564" s="293" t="s">
        <v>6303</v>
      </c>
      <c r="F2564" s="293" t="s">
        <v>6436</v>
      </c>
      <c r="G2564" s="293" t="s">
        <v>5573</v>
      </c>
      <c r="H2564" s="294">
        <v>41305</v>
      </c>
      <c r="I2564" s="295">
        <v>-1780.13</v>
      </c>
    </row>
    <row r="2565" spans="1:9" x14ac:dyDescent="0.2">
      <c r="A2565" s="293" t="s">
        <v>8324</v>
      </c>
      <c r="B2565" s="293" t="s">
        <v>5666</v>
      </c>
      <c r="C2565" s="293" t="s">
        <v>6115</v>
      </c>
      <c r="D2565" s="293" t="s">
        <v>5878</v>
      </c>
      <c r="E2565" s="293" t="s">
        <v>6305</v>
      </c>
      <c r="F2565" s="293" t="s">
        <v>6436</v>
      </c>
      <c r="G2565" s="293" t="s">
        <v>5581</v>
      </c>
      <c r="H2565" s="294">
        <v>41305</v>
      </c>
      <c r="I2565" s="295">
        <v>-2230.71</v>
      </c>
    </row>
    <row r="2566" spans="1:9" x14ac:dyDescent="0.2">
      <c r="A2566" s="293" t="s">
        <v>8325</v>
      </c>
      <c r="B2566" s="293" t="s">
        <v>5666</v>
      </c>
      <c r="C2566" s="293" t="s">
        <v>6086</v>
      </c>
      <c r="D2566" s="293" t="s">
        <v>5878</v>
      </c>
      <c r="E2566" s="293" t="s">
        <v>6307</v>
      </c>
      <c r="F2566" s="293" t="s">
        <v>6436</v>
      </c>
      <c r="G2566" s="293" t="s">
        <v>5581</v>
      </c>
      <c r="H2566" s="294">
        <v>41305</v>
      </c>
      <c r="I2566" s="295">
        <v>-2490.34</v>
      </c>
    </row>
    <row r="2567" spans="1:9" x14ac:dyDescent="0.2">
      <c r="A2567" s="293" t="s">
        <v>8326</v>
      </c>
      <c r="B2567" s="293" t="s">
        <v>5666</v>
      </c>
      <c r="C2567" s="293" t="s">
        <v>6117</v>
      </c>
      <c r="D2567" s="293" t="s">
        <v>5878</v>
      </c>
      <c r="E2567" s="293" t="s">
        <v>6309</v>
      </c>
      <c r="F2567" s="293" t="s">
        <v>6436</v>
      </c>
      <c r="G2567" s="293" t="s">
        <v>5581</v>
      </c>
      <c r="H2567" s="294">
        <v>41305</v>
      </c>
      <c r="I2567" s="295">
        <v>-9993</v>
      </c>
    </row>
    <row r="2568" spans="1:9" x14ac:dyDescent="0.2">
      <c r="A2568" s="293" t="s">
        <v>8327</v>
      </c>
      <c r="B2568" s="293" t="s">
        <v>5666</v>
      </c>
      <c r="C2568" s="293" t="s">
        <v>6088</v>
      </c>
      <c r="D2568" s="293" t="s">
        <v>5878</v>
      </c>
      <c r="E2568" s="293" t="s">
        <v>6311</v>
      </c>
      <c r="F2568" s="293" t="s">
        <v>6436</v>
      </c>
      <c r="G2568" s="293" t="s">
        <v>5581</v>
      </c>
      <c r="H2568" s="294">
        <v>41305</v>
      </c>
      <c r="I2568" s="295">
        <v>-603.13</v>
      </c>
    </row>
    <row r="2569" spans="1:9" x14ac:dyDescent="0.2">
      <c r="A2569" s="293" t="s">
        <v>8328</v>
      </c>
      <c r="B2569" s="293" t="s">
        <v>5666</v>
      </c>
      <c r="C2569" s="293" t="s">
        <v>6313</v>
      </c>
      <c r="D2569" s="293" t="s">
        <v>5878</v>
      </c>
      <c r="E2569" s="293" t="s">
        <v>6314</v>
      </c>
      <c r="F2569" s="293" t="s">
        <v>6436</v>
      </c>
      <c r="G2569" s="293" t="s">
        <v>5576</v>
      </c>
      <c r="H2569" s="294">
        <v>41305</v>
      </c>
      <c r="I2569" s="295">
        <v>-4207.3500000000004</v>
      </c>
    </row>
    <row r="2570" spans="1:9" x14ac:dyDescent="0.2">
      <c r="A2570" s="293" t="s">
        <v>8329</v>
      </c>
      <c r="B2570" s="293" t="s">
        <v>5666</v>
      </c>
      <c r="C2570" s="293" t="s">
        <v>6113</v>
      </c>
      <c r="D2570" s="293" t="s">
        <v>5878</v>
      </c>
      <c r="E2570" s="293" t="s">
        <v>6316</v>
      </c>
      <c r="F2570" s="293" t="s">
        <v>6436</v>
      </c>
      <c r="G2570" s="293" t="s">
        <v>5573</v>
      </c>
      <c r="H2570" s="294">
        <v>41305</v>
      </c>
      <c r="I2570" s="295">
        <v>-5336.81</v>
      </c>
    </row>
    <row r="2571" spans="1:9" x14ac:dyDescent="0.2">
      <c r="A2571" s="293" t="s">
        <v>8330</v>
      </c>
      <c r="B2571" s="293" t="s">
        <v>5666</v>
      </c>
      <c r="C2571" s="293" t="s">
        <v>6120</v>
      </c>
      <c r="D2571" s="293" t="s">
        <v>5878</v>
      </c>
      <c r="E2571" s="293" t="s">
        <v>6318</v>
      </c>
      <c r="F2571" s="293" t="s">
        <v>6436</v>
      </c>
      <c r="G2571" s="293" t="s">
        <v>5581</v>
      </c>
      <c r="H2571" s="294">
        <v>41305</v>
      </c>
      <c r="I2571" s="295">
        <v>-7091.09</v>
      </c>
    </row>
    <row r="2572" spans="1:9" x14ac:dyDescent="0.2">
      <c r="A2572" s="293" t="s">
        <v>6451</v>
      </c>
      <c r="B2572" s="293" t="s">
        <v>5666</v>
      </c>
      <c r="C2572" s="293" t="s">
        <v>6452</v>
      </c>
      <c r="D2572" s="293" t="s">
        <v>5878</v>
      </c>
      <c r="E2572" s="293" t="s">
        <v>5088</v>
      </c>
      <c r="F2572" s="293" t="s">
        <v>6453</v>
      </c>
      <c r="G2572" s="293" t="s">
        <v>5576</v>
      </c>
      <c r="H2572" s="294">
        <v>41333</v>
      </c>
      <c r="I2572" s="295">
        <v>-0.72</v>
      </c>
    </row>
    <row r="2573" spans="1:9" x14ac:dyDescent="0.2">
      <c r="A2573" s="293" t="s">
        <v>8331</v>
      </c>
      <c r="B2573" s="293" t="s">
        <v>5666</v>
      </c>
      <c r="C2573" s="293" t="s">
        <v>6272</v>
      </c>
      <c r="D2573" s="293" t="s">
        <v>5878</v>
      </c>
      <c r="E2573" s="293" t="s">
        <v>6273</v>
      </c>
      <c r="F2573" s="293" t="s">
        <v>6455</v>
      </c>
      <c r="G2573" s="293" t="s">
        <v>5576</v>
      </c>
      <c r="H2573" s="294">
        <v>41333</v>
      </c>
      <c r="I2573" s="295">
        <v>-3340.78</v>
      </c>
    </row>
    <row r="2574" spans="1:9" x14ac:dyDescent="0.2">
      <c r="A2574" s="293" t="s">
        <v>8332</v>
      </c>
      <c r="B2574" s="293" t="s">
        <v>5666</v>
      </c>
      <c r="C2574" s="293" t="s">
        <v>6122</v>
      </c>
      <c r="D2574" s="293" t="s">
        <v>5878</v>
      </c>
      <c r="E2574" s="293" t="s">
        <v>6275</v>
      </c>
      <c r="F2574" s="293" t="s">
        <v>6455</v>
      </c>
      <c r="G2574" s="293" t="s">
        <v>5577</v>
      </c>
      <c r="H2574" s="294">
        <v>41333</v>
      </c>
      <c r="I2574" s="295">
        <v>-1179.21</v>
      </c>
    </row>
    <row r="2575" spans="1:9" x14ac:dyDescent="0.2">
      <c r="A2575" s="293" t="s">
        <v>8333</v>
      </c>
      <c r="B2575" s="293" t="s">
        <v>5666</v>
      </c>
      <c r="C2575" s="293" t="s">
        <v>6124</v>
      </c>
      <c r="D2575" s="293" t="s">
        <v>5878</v>
      </c>
      <c r="E2575" s="293" t="s">
        <v>6277</v>
      </c>
      <c r="F2575" s="293" t="s">
        <v>6455</v>
      </c>
      <c r="G2575" s="293" t="s">
        <v>5578</v>
      </c>
      <c r="H2575" s="294">
        <v>41333</v>
      </c>
      <c r="I2575" s="295">
        <v>-1019.33</v>
      </c>
    </row>
    <row r="2576" spans="1:9" x14ac:dyDescent="0.2">
      <c r="A2576" s="293" t="s">
        <v>8334</v>
      </c>
      <c r="B2576" s="293" t="s">
        <v>5666</v>
      </c>
      <c r="C2576" s="293" t="s">
        <v>6126</v>
      </c>
      <c r="D2576" s="293" t="s">
        <v>5878</v>
      </c>
      <c r="E2576" s="293" t="s">
        <v>6279</v>
      </c>
      <c r="F2576" s="293" t="s">
        <v>6455</v>
      </c>
      <c r="G2576" s="293" t="s">
        <v>5579</v>
      </c>
      <c r="H2576" s="294">
        <v>41333</v>
      </c>
      <c r="I2576" s="295">
        <v>-857.57</v>
      </c>
    </row>
    <row r="2577" spans="1:9" x14ac:dyDescent="0.2">
      <c r="A2577" s="293" t="s">
        <v>8335</v>
      </c>
      <c r="B2577" s="293" t="s">
        <v>5666</v>
      </c>
      <c r="C2577" s="293" t="s">
        <v>6091</v>
      </c>
      <c r="D2577" s="293" t="s">
        <v>5878</v>
      </c>
      <c r="E2577" s="293" t="s">
        <v>6281</v>
      </c>
      <c r="F2577" s="293" t="s">
        <v>6455</v>
      </c>
      <c r="G2577" s="293" t="s">
        <v>5573</v>
      </c>
      <c r="H2577" s="294">
        <v>41333</v>
      </c>
      <c r="I2577" s="295">
        <v>-3125.47</v>
      </c>
    </row>
    <row r="2578" spans="1:9" x14ac:dyDescent="0.2">
      <c r="A2578" s="293" t="s">
        <v>8336</v>
      </c>
      <c r="B2578" s="293" t="s">
        <v>5666</v>
      </c>
      <c r="C2578" s="293" t="s">
        <v>6093</v>
      </c>
      <c r="D2578" s="293" t="s">
        <v>5878</v>
      </c>
      <c r="E2578" s="293" t="s">
        <v>6283</v>
      </c>
      <c r="F2578" s="293" t="s">
        <v>6455</v>
      </c>
      <c r="G2578" s="293" t="s">
        <v>5573</v>
      </c>
      <c r="H2578" s="294">
        <v>41333</v>
      </c>
      <c r="I2578" s="295">
        <v>-4451.78</v>
      </c>
    </row>
    <row r="2579" spans="1:9" x14ac:dyDescent="0.2">
      <c r="A2579" s="293" t="s">
        <v>8337</v>
      </c>
      <c r="B2579" s="293" t="s">
        <v>5666</v>
      </c>
      <c r="C2579" s="293" t="s">
        <v>6080</v>
      </c>
      <c r="D2579" s="293" t="s">
        <v>5878</v>
      </c>
      <c r="E2579" s="293" t="s">
        <v>6285</v>
      </c>
      <c r="F2579" s="293" t="s">
        <v>6455</v>
      </c>
      <c r="G2579" s="293" t="s">
        <v>5573</v>
      </c>
      <c r="H2579" s="294">
        <v>41333</v>
      </c>
      <c r="I2579" s="295">
        <v>-10077.08</v>
      </c>
    </row>
    <row r="2580" spans="1:9" x14ac:dyDescent="0.2">
      <c r="A2580" s="293" t="s">
        <v>8338</v>
      </c>
      <c r="B2580" s="293" t="s">
        <v>5666</v>
      </c>
      <c r="C2580" s="293" t="s">
        <v>6095</v>
      </c>
      <c r="D2580" s="293" t="s">
        <v>5878</v>
      </c>
      <c r="E2580" s="293" t="s">
        <v>6287</v>
      </c>
      <c r="F2580" s="293" t="s">
        <v>6455</v>
      </c>
      <c r="G2580" s="293" t="s">
        <v>5580</v>
      </c>
      <c r="H2580" s="294">
        <v>41333</v>
      </c>
      <c r="I2580" s="295">
        <v>-5589.54</v>
      </c>
    </row>
    <row r="2581" spans="1:9" x14ac:dyDescent="0.2">
      <c r="A2581" s="293" t="s">
        <v>7223</v>
      </c>
      <c r="B2581" s="293" t="s">
        <v>5666</v>
      </c>
      <c r="C2581" s="293" t="s">
        <v>6097</v>
      </c>
      <c r="D2581" s="293" t="s">
        <v>5878</v>
      </c>
      <c r="E2581" s="293" t="s">
        <v>6289</v>
      </c>
      <c r="F2581" s="293" t="s">
        <v>6455</v>
      </c>
      <c r="G2581" s="293" t="s">
        <v>5580</v>
      </c>
      <c r="H2581" s="294">
        <v>41333</v>
      </c>
      <c r="I2581" s="295">
        <v>-10099.59</v>
      </c>
    </row>
    <row r="2582" spans="1:9" x14ac:dyDescent="0.2">
      <c r="A2582" s="293" t="s">
        <v>7225</v>
      </c>
      <c r="B2582" s="293" t="s">
        <v>5666</v>
      </c>
      <c r="C2582" s="293" t="s">
        <v>6099</v>
      </c>
      <c r="D2582" s="293" t="s">
        <v>5878</v>
      </c>
      <c r="E2582" s="293" t="s">
        <v>6291</v>
      </c>
      <c r="F2582" s="293" t="s">
        <v>6455</v>
      </c>
      <c r="G2582" s="293" t="s">
        <v>5579</v>
      </c>
      <c r="H2582" s="294">
        <v>41333</v>
      </c>
      <c r="I2582" s="295">
        <v>-1407.23</v>
      </c>
    </row>
    <row r="2583" spans="1:9" x14ac:dyDescent="0.2">
      <c r="A2583" s="293" t="s">
        <v>7226</v>
      </c>
      <c r="B2583" s="293" t="s">
        <v>5666</v>
      </c>
      <c r="C2583" s="293" t="s">
        <v>6083</v>
      </c>
      <c r="D2583" s="293" t="s">
        <v>5878</v>
      </c>
      <c r="E2583" s="293" t="s">
        <v>6293</v>
      </c>
      <c r="F2583" s="293" t="s">
        <v>6455</v>
      </c>
      <c r="G2583" s="293" t="s">
        <v>5579</v>
      </c>
      <c r="H2583" s="294">
        <v>41333</v>
      </c>
      <c r="I2583" s="295">
        <v>-2524.9</v>
      </c>
    </row>
    <row r="2584" spans="1:9" x14ac:dyDescent="0.2">
      <c r="A2584" s="293" t="s">
        <v>7227</v>
      </c>
      <c r="B2584" s="293" t="s">
        <v>5666</v>
      </c>
      <c r="C2584" s="293" t="s">
        <v>6101</v>
      </c>
      <c r="D2584" s="293" t="s">
        <v>5878</v>
      </c>
      <c r="E2584" s="293" t="s">
        <v>6295</v>
      </c>
      <c r="F2584" s="293" t="s">
        <v>6455</v>
      </c>
      <c r="G2584" s="293" t="s">
        <v>5580</v>
      </c>
      <c r="H2584" s="294">
        <v>41333</v>
      </c>
      <c r="I2584" s="295">
        <v>-193.73</v>
      </c>
    </row>
    <row r="2585" spans="1:9" x14ac:dyDescent="0.2">
      <c r="A2585" s="293" t="s">
        <v>7228</v>
      </c>
      <c r="B2585" s="293" t="s">
        <v>5666</v>
      </c>
      <c r="C2585" s="293" t="s">
        <v>6104</v>
      </c>
      <c r="D2585" s="293" t="s">
        <v>5878</v>
      </c>
      <c r="E2585" s="293" t="s">
        <v>6297</v>
      </c>
      <c r="F2585" s="293" t="s">
        <v>6455</v>
      </c>
      <c r="G2585" s="293" t="s">
        <v>5580</v>
      </c>
      <c r="H2585" s="294">
        <v>41333</v>
      </c>
      <c r="I2585" s="295">
        <v>-274.12</v>
      </c>
    </row>
    <row r="2586" spans="1:9" x14ac:dyDescent="0.2">
      <c r="A2586" s="293" t="s">
        <v>7229</v>
      </c>
      <c r="B2586" s="293" t="s">
        <v>5666</v>
      </c>
      <c r="C2586" s="293" t="s">
        <v>6106</v>
      </c>
      <c r="D2586" s="293" t="s">
        <v>5878</v>
      </c>
      <c r="E2586" s="293" t="s">
        <v>6299</v>
      </c>
      <c r="F2586" s="293" t="s">
        <v>6455</v>
      </c>
      <c r="G2586" s="293" t="s">
        <v>5580</v>
      </c>
      <c r="H2586" s="294">
        <v>41333</v>
      </c>
      <c r="I2586" s="295">
        <v>-1347.95</v>
      </c>
    </row>
    <row r="2587" spans="1:9" x14ac:dyDescent="0.2">
      <c r="A2587" s="293" t="s">
        <v>7230</v>
      </c>
      <c r="B2587" s="293" t="s">
        <v>5666</v>
      </c>
      <c r="C2587" s="293" t="s">
        <v>6108</v>
      </c>
      <c r="D2587" s="293" t="s">
        <v>5878</v>
      </c>
      <c r="E2587" s="293" t="s">
        <v>6301</v>
      </c>
      <c r="F2587" s="293" t="s">
        <v>6455</v>
      </c>
      <c r="G2587" s="293" t="s">
        <v>5580</v>
      </c>
      <c r="H2587" s="294">
        <v>41333</v>
      </c>
      <c r="I2587" s="295">
        <v>-1918.86</v>
      </c>
    </row>
    <row r="2588" spans="1:9" x14ac:dyDescent="0.2">
      <c r="A2588" s="293" t="s">
        <v>7231</v>
      </c>
      <c r="B2588" s="293" t="s">
        <v>5666</v>
      </c>
      <c r="C2588" s="293" t="s">
        <v>6110</v>
      </c>
      <c r="D2588" s="293" t="s">
        <v>5878</v>
      </c>
      <c r="E2588" s="293" t="s">
        <v>6303</v>
      </c>
      <c r="F2588" s="293" t="s">
        <v>6455</v>
      </c>
      <c r="G2588" s="293" t="s">
        <v>5573</v>
      </c>
      <c r="H2588" s="294">
        <v>41333</v>
      </c>
      <c r="I2588" s="295">
        <v>-1780.13</v>
      </c>
    </row>
    <row r="2589" spans="1:9" x14ac:dyDescent="0.2">
      <c r="A2589" s="293" t="s">
        <v>7232</v>
      </c>
      <c r="B2589" s="293" t="s">
        <v>5666</v>
      </c>
      <c r="C2589" s="293" t="s">
        <v>6115</v>
      </c>
      <c r="D2589" s="293" t="s">
        <v>5878</v>
      </c>
      <c r="E2589" s="293" t="s">
        <v>6305</v>
      </c>
      <c r="F2589" s="293" t="s">
        <v>6455</v>
      </c>
      <c r="G2589" s="293" t="s">
        <v>5581</v>
      </c>
      <c r="H2589" s="294">
        <v>41333</v>
      </c>
      <c r="I2589" s="295">
        <v>-2230.71</v>
      </c>
    </row>
    <row r="2590" spans="1:9" x14ac:dyDescent="0.2">
      <c r="A2590" s="293" t="s">
        <v>7233</v>
      </c>
      <c r="B2590" s="293" t="s">
        <v>5666</v>
      </c>
      <c r="C2590" s="293" t="s">
        <v>6086</v>
      </c>
      <c r="D2590" s="293" t="s">
        <v>5878</v>
      </c>
      <c r="E2590" s="293" t="s">
        <v>6307</v>
      </c>
      <c r="F2590" s="293" t="s">
        <v>6455</v>
      </c>
      <c r="G2590" s="293" t="s">
        <v>5581</v>
      </c>
      <c r="H2590" s="294">
        <v>41333</v>
      </c>
      <c r="I2590" s="295">
        <v>-2490.34</v>
      </c>
    </row>
    <row r="2591" spans="1:9" x14ac:dyDescent="0.2">
      <c r="A2591" s="293" t="s">
        <v>7234</v>
      </c>
      <c r="B2591" s="293" t="s">
        <v>5666</v>
      </c>
      <c r="C2591" s="293" t="s">
        <v>6088</v>
      </c>
      <c r="D2591" s="293" t="s">
        <v>5878</v>
      </c>
      <c r="E2591" s="293" t="s">
        <v>6311</v>
      </c>
      <c r="F2591" s="293" t="s">
        <v>6455</v>
      </c>
      <c r="G2591" s="293" t="s">
        <v>5581</v>
      </c>
      <c r="H2591" s="294">
        <v>41333</v>
      </c>
      <c r="I2591" s="295">
        <v>-603.13</v>
      </c>
    </row>
    <row r="2592" spans="1:9" x14ac:dyDescent="0.2">
      <c r="A2592" s="293" t="s">
        <v>7236</v>
      </c>
      <c r="B2592" s="293" t="s">
        <v>5666</v>
      </c>
      <c r="C2592" s="293" t="s">
        <v>6313</v>
      </c>
      <c r="D2592" s="293" t="s">
        <v>5878</v>
      </c>
      <c r="E2592" s="293" t="s">
        <v>6314</v>
      </c>
      <c r="F2592" s="293" t="s">
        <v>6455</v>
      </c>
      <c r="G2592" s="293" t="s">
        <v>5576</v>
      </c>
      <c r="H2592" s="294">
        <v>41333</v>
      </c>
      <c r="I2592" s="295">
        <v>-4207.3500000000004</v>
      </c>
    </row>
    <row r="2593" spans="1:9" x14ac:dyDescent="0.2">
      <c r="A2593" s="293" t="s">
        <v>8339</v>
      </c>
      <c r="B2593" s="293" t="s">
        <v>5666</v>
      </c>
      <c r="C2593" s="293" t="s">
        <v>6113</v>
      </c>
      <c r="D2593" s="293" t="s">
        <v>5878</v>
      </c>
      <c r="E2593" s="293" t="s">
        <v>6316</v>
      </c>
      <c r="F2593" s="293" t="s">
        <v>6455</v>
      </c>
      <c r="G2593" s="293" t="s">
        <v>5573</v>
      </c>
      <c r="H2593" s="294">
        <v>41333</v>
      </c>
      <c r="I2593" s="295">
        <v>-5336.81</v>
      </c>
    </row>
    <row r="2594" spans="1:9" x14ac:dyDescent="0.2">
      <c r="A2594" s="293" t="s">
        <v>8340</v>
      </c>
      <c r="B2594" s="293" t="s">
        <v>5666</v>
      </c>
      <c r="C2594" s="293" t="s">
        <v>6120</v>
      </c>
      <c r="D2594" s="293" t="s">
        <v>5878</v>
      </c>
      <c r="E2594" s="293" t="s">
        <v>6318</v>
      </c>
      <c r="F2594" s="293" t="s">
        <v>6455</v>
      </c>
      <c r="G2594" s="293" t="s">
        <v>5581</v>
      </c>
      <c r="H2594" s="294">
        <v>41333</v>
      </c>
      <c r="I2594" s="295">
        <v>-7091.09</v>
      </c>
    </row>
    <row r="2595" spans="1:9" x14ac:dyDescent="0.2">
      <c r="A2595" s="293" t="s">
        <v>8341</v>
      </c>
      <c r="B2595" s="293" t="s">
        <v>5666</v>
      </c>
      <c r="C2595" s="293" t="s">
        <v>6272</v>
      </c>
      <c r="D2595" s="293" t="s">
        <v>5878</v>
      </c>
      <c r="E2595" s="293" t="s">
        <v>6273</v>
      </c>
      <c r="F2595" s="293" t="s">
        <v>6476</v>
      </c>
      <c r="G2595" s="293" t="s">
        <v>5576</v>
      </c>
      <c r="H2595" s="294">
        <v>41364</v>
      </c>
      <c r="I2595" s="295">
        <v>-3340.78</v>
      </c>
    </row>
    <row r="2596" spans="1:9" x14ac:dyDescent="0.2">
      <c r="A2596" s="293" t="s">
        <v>8342</v>
      </c>
      <c r="B2596" s="293" t="s">
        <v>5666</v>
      </c>
      <c r="C2596" s="293" t="s">
        <v>6122</v>
      </c>
      <c r="D2596" s="293" t="s">
        <v>5878</v>
      </c>
      <c r="E2596" s="293" t="s">
        <v>6275</v>
      </c>
      <c r="F2596" s="293" t="s">
        <v>6476</v>
      </c>
      <c r="G2596" s="293" t="s">
        <v>5577</v>
      </c>
      <c r="H2596" s="294">
        <v>41364</v>
      </c>
      <c r="I2596" s="295">
        <v>-1179.21</v>
      </c>
    </row>
    <row r="2597" spans="1:9" x14ac:dyDescent="0.2">
      <c r="A2597" s="293" t="s">
        <v>8343</v>
      </c>
      <c r="B2597" s="293" t="s">
        <v>5666</v>
      </c>
      <c r="C2597" s="293" t="s">
        <v>6124</v>
      </c>
      <c r="D2597" s="293" t="s">
        <v>5878</v>
      </c>
      <c r="E2597" s="293" t="s">
        <v>6277</v>
      </c>
      <c r="F2597" s="293" t="s">
        <v>6476</v>
      </c>
      <c r="G2597" s="293" t="s">
        <v>5578</v>
      </c>
      <c r="H2597" s="294">
        <v>41364</v>
      </c>
      <c r="I2597" s="295">
        <v>-1019.33</v>
      </c>
    </row>
    <row r="2598" spans="1:9" x14ac:dyDescent="0.2">
      <c r="A2598" s="293" t="s">
        <v>8344</v>
      </c>
      <c r="B2598" s="293" t="s">
        <v>5666</v>
      </c>
      <c r="C2598" s="293" t="s">
        <v>6126</v>
      </c>
      <c r="D2598" s="293" t="s">
        <v>5878</v>
      </c>
      <c r="E2598" s="293" t="s">
        <v>6279</v>
      </c>
      <c r="F2598" s="293" t="s">
        <v>6476</v>
      </c>
      <c r="G2598" s="293" t="s">
        <v>5579</v>
      </c>
      <c r="H2598" s="294">
        <v>41364</v>
      </c>
      <c r="I2598" s="295">
        <v>-857.57</v>
      </c>
    </row>
    <row r="2599" spans="1:9" x14ac:dyDescent="0.2">
      <c r="A2599" s="293" t="s">
        <v>8345</v>
      </c>
      <c r="B2599" s="293" t="s">
        <v>5666</v>
      </c>
      <c r="C2599" s="293" t="s">
        <v>6091</v>
      </c>
      <c r="D2599" s="293" t="s">
        <v>5878</v>
      </c>
      <c r="E2599" s="293" t="s">
        <v>6281</v>
      </c>
      <c r="F2599" s="293" t="s">
        <v>6476</v>
      </c>
      <c r="G2599" s="293" t="s">
        <v>5573</v>
      </c>
      <c r="H2599" s="294">
        <v>41364</v>
      </c>
      <c r="I2599" s="295">
        <v>-3125.47</v>
      </c>
    </row>
    <row r="2600" spans="1:9" x14ac:dyDescent="0.2">
      <c r="A2600" s="293" t="s">
        <v>8346</v>
      </c>
      <c r="B2600" s="293" t="s">
        <v>5666</v>
      </c>
      <c r="C2600" s="293" t="s">
        <v>6093</v>
      </c>
      <c r="D2600" s="293" t="s">
        <v>5878</v>
      </c>
      <c r="E2600" s="293" t="s">
        <v>6283</v>
      </c>
      <c r="F2600" s="293" t="s">
        <v>6476</v>
      </c>
      <c r="G2600" s="293" t="s">
        <v>5573</v>
      </c>
      <c r="H2600" s="294">
        <v>41364</v>
      </c>
      <c r="I2600" s="295">
        <v>-4451.78</v>
      </c>
    </row>
    <row r="2601" spans="1:9" x14ac:dyDescent="0.2">
      <c r="A2601" s="293" t="s">
        <v>8347</v>
      </c>
      <c r="B2601" s="293" t="s">
        <v>5666</v>
      </c>
      <c r="C2601" s="293" t="s">
        <v>6080</v>
      </c>
      <c r="D2601" s="293" t="s">
        <v>5878</v>
      </c>
      <c r="E2601" s="293" t="s">
        <v>6285</v>
      </c>
      <c r="F2601" s="293" t="s">
        <v>6476</v>
      </c>
      <c r="G2601" s="293" t="s">
        <v>5573</v>
      </c>
      <c r="H2601" s="294">
        <v>41364</v>
      </c>
      <c r="I2601" s="295">
        <v>-10077.08</v>
      </c>
    </row>
    <row r="2602" spans="1:9" x14ac:dyDescent="0.2">
      <c r="A2602" s="293" t="s">
        <v>8348</v>
      </c>
      <c r="B2602" s="293" t="s">
        <v>5666</v>
      </c>
      <c r="C2602" s="293" t="s">
        <v>6095</v>
      </c>
      <c r="D2602" s="293" t="s">
        <v>5878</v>
      </c>
      <c r="E2602" s="293" t="s">
        <v>6287</v>
      </c>
      <c r="F2602" s="293" t="s">
        <v>6476</v>
      </c>
      <c r="G2602" s="293" t="s">
        <v>5580</v>
      </c>
      <c r="H2602" s="294">
        <v>41364</v>
      </c>
      <c r="I2602" s="295">
        <v>-5589.54</v>
      </c>
    </row>
    <row r="2603" spans="1:9" x14ac:dyDescent="0.2">
      <c r="A2603" s="293" t="s">
        <v>8349</v>
      </c>
      <c r="B2603" s="293" t="s">
        <v>5666</v>
      </c>
      <c r="C2603" s="293" t="s">
        <v>6097</v>
      </c>
      <c r="D2603" s="293" t="s">
        <v>5878</v>
      </c>
      <c r="E2603" s="293" t="s">
        <v>6289</v>
      </c>
      <c r="F2603" s="293" t="s">
        <v>6476</v>
      </c>
      <c r="G2603" s="293" t="s">
        <v>5580</v>
      </c>
      <c r="H2603" s="294">
        <v>41364</v>
      </c>
      <c r="I2603" s="295">
        <v>-10099.59</v>
      </c>
    </row>
    <row r="2604" spans="1:9" x14ac:dyDescent="0.2">
      <c r="A2604" s="293" t="s">
        <v>8350</v>
      </c>
      <c r="B2604" s="293" t="s">
        <v>5666</v>
      </c>
      <c r="C2604" s="293" t="s">
        <v>6099</v>
      </c>
      <c r="D2604" s="293" t="s">
        <v>5878</v>
      </c>
      <c r="E2604" s="293" t="s">
        <v>6291</v>
      </c>
      <c r="F2604" s="293" t="s">
        <v>6476</v>
      </c>
      <c r="G2604" s="293" t="s">
        <v>5579</v>
      </c>
      <c r="H2604" s="294">
        <v>41364</v>
      </c>
      <c r="I2604" s="295">
        <v>-1407.23</v>
      </c>
    </row>
    <row r="2605" spans="1:9" x14ac:dyDescent="0.2">
      <c r="A2605" s="293" t="s">
        <v>8351</v>
      </c>
      <c r="B2605" s="293" t="s">
        <v>5666</v>
      </c>
      <c r="C2605" s="293" t="s">
        <v>6083</v>
      </c>
      <c r="D2605" s="293" t="s">
        <v>5878</v>
      </c>
      <c r="E2605" s="293" t="s">
        <v>6293</v>
      </c>
      <c r="F2605" s="293" t="s">
        <v>6476</v>
      </c>
      <c r="G2605" s="293" t="s">
        <v>5579</v>
      </c>
      <c r="H2605" s="294">
        <v>41364</v>
      </c>
      <c r="I2605" s="295">
        <v>-2524.9</v>
      </c>
    </row>
    <row r="2606" spans="1:9" x14ac:dyDescent="0.2">
      <c r="A2606" s="293" t="s">
        <v>8352</v>
      </c>
      <c r="B2606" s="293" t="s">
        <v>5666</v>
      </c>
      <c r="C2606" s="293" t="s">
        <v>6101</v>
      </c>
      <c r="D2606" s="293" t="s">
        <v>5878</v>
      </c>
      <c r="E2606" s="293" t="s">
        <v>6295</v>
      </c>
      <c r="F2606" s="293" t="s">
        <v>6476</v>
      </c>
      <c r="G2606" s="293" t="s">
        <v>5580</v>
      </c>
      <c r="H2606" s="294">
        <v>41364</v>
      </c>
      <c r="I2606" s="295">
        <v>-193.73</v>
      </c>
    </row>
    <row r="2607" spans="1:9" x14ac:dyDescent="0.2">
      <c r="A2607" s="293" t="s">
        <v>8353</v>
      </c>
      <c r="B2607" s="293" t="s">
        <v>5666</v>
      </c>
      <c r="C2607" s="293" t="s">
        <v>6104</v>
      </c>
      <c r="D2607" s="293" t="s">
        <v>5878</v>
      </c>
      <c r="E2607" s="293" t="s">
        <v>6297</v>
      </c>
      <c r="F2607" s="293" t="s">
        <v>6476</v>
      </c>
      <c r="G2607" s="293" t="s">
        <v>5580</v>
      </c>
      <c r="H2607" s="294">
        <v>41364</v>
      </c>
      <c r="I2607" s="295">
        <v>-274.12</v>
      </c>
    </row>
    <row r="2608" spans="1:9" x14ac:dyDescent="0.2">
      <c r="A2608" s="293" t="s">
        <v>8354</v>
      </c>
      <c r="B2608" s="293" t="s">
        <v>5666</v>
      </c>
      <c r="C2608" s="293" t="s">
        <v>6106</v>
      </c>
      <c r="D2608" s="293" t="s">
        <v>5878</v>
      </c>
      <c r="E2608" s="293" t="s">
        <v>6299</v>
      </c>
      <c r="F2608" s="293" t="s">
        <v>6476</v>
      </c>
      <c r="G2608" s="293" t="s">
        <v>5580</v>
      </c>
      <c r="H2608" s="294">
        <v>41364</v>
      </c>
      <c r="I2608" s="295">
        <v>-1347.95</v>
      </c>
    </row>
    <row r="2609" spans="1:9" x14ac:dyDescent="0.2">
      <c r="A2609" s="293" t="s">
        <v>8355</v>
      </c>
      <c r="B2609" s="293" t="s">
        <v>5666</v>
      </c>
      <c r="C2609" s="293" t="s">
        <v>6108</v>
      </c>
      <c r="D2609" s="293" t="s">
        <v>5878</v>
      </c>
      <c r="E2609" s="293" t="s">
        <v>6301</v>
      </c>
      <c r="F2609" s="293" t="s">
        <v>6476</v>
      </c>
      <c r="G2609" s="293" t="s">
        <v>5580</v>
      </c>
      <c r="H2609" s="294">
        <v>41364</v>
      </c>
      <c r="I2609" s="295">
        <v>-1918.86</v>
      </c>
    </row>
    <row r="2610" spans="1:9" x14ac:dyDescent="0.2">
      <c r="A2610" s="293" t="s">
        <v>8356</v>
      </c>
      <c r="B2610" s="293" t="s">
        <v>5666</v>
      </c>
      <c r="C2610" s="293" t="s">
        <v>6110</v>
      </c>
      <c r="D2610" s="293" t="s">
        <v>5878</v>
      </c>
      <c r="E2610" s="293" t="s">
        <v>6303</v>
      </c>
      <c r="F2610" s="293" t="s">
        <v>6476</v>
      </c>
      <c r="G2610" s="293" t="s">
        <v>5573</v>
      </c>
      <c r="H2610" s="294">
        <v>41364</v>
      </c>
      <c r="I2610" s="295">
        <v>-1780.13</v>
      </c>
    </row>
    <row r="2611" spans="1:9" x14ac:dyDescent="0.2">
      <c r="A2611" s="293" t="s">
        <v>8357</v>
      </c>
      <c r="B2611" s="293" t="s">
        <v>5666</v>
      </c>
      <c r="C2611" s="293" t="s">
        <v>6115</v>
      </c>
      <c r="D2611" s="293" t="s">
        <v>5878</v>
      </c>
      <c r="E2611" s="293" t="s">
        <v>6305</v>
      </c>
      <c r="F2611" s="293" t="s">
        <v>6476</v>
      </c>
      <c r="G2611" s="293" t="s">
        <v>5581</v>
      </c>
      <c r="H2611" s="294">
        <v>41364</v>
      </c>
      <c r="I2611" s="295">
        <v>-2230.71</v>
      </c>
    </row>
    <row r="2612" spans="1:9" x14ac:dyDescent="0.2">
      <c r="A2612" s="293" t="s">
        <v>8358</v>
      </c>
      <c r="B2612" s="293" t="s">
        <v>5666</v>
      </c>
      <c r="C2612" s="293" t="s">
        <v>6086</v>
      </c>
      <c r="D2612" s="293" t="s">
        <v>5878</v>
      </c>
      <c r="E2612" s="293" t="s">
        <v>6307</v>
      </c>
      <c r="F2612" s="293" t="s">
        <v>6476</v>
      </c>
      <c r="G2612" s="293" t="s">
        <v>5581</v>
      </c>
      <c r="H2612" s="294">
        <v>41364</v>
      </c>
      <c r="I2612" s="295">
        <v>-2490.34</v>
      </c>
    </row>
    <row r="2613" spans="1:9" x14ac:dyDescent="0.2">
      <c r="A2613" s="293" t="s">
        <v>8359</v>
      </c>
      <c r="B2613" s="293" t="s">
        <v>5666</v>
      </c>
      <c r="C2613" s="293" t="s">
        <v>6113</v>
      </c>
      <c r="D2613" s="293" t="s">
        <v>5878</v>
      </c>
      <c r="E2613" s="293" t="s">
        <v>6316</v>
      </c>
      <c r="F2613" s="293" t="s">
        <v>6476</v>
      </c>
      <c r="G2613" s="293" t="s">
        <v>5573</v>
      </c>
      <c r="H2613" s="294">
        <v>41364</v>
      </c>
      <c r="I2613" s="295">
        <v>-5336.81</v>
      </c>
    </row>
    <row r="2614" spans="1:9" x14ac:dyDescent="0.2">
      <c r="A2614" s="293" t="s">
        <v>8360</v>
      </c>
      <c r="B2614" s="293" t="s">
        <v>5666</v>
      </c>
      <c r="C2614" s="293" t="s">
        <v>6313</v>
      </c>
      <c r="D2614" s="293" t="s">
        <v>5878</v>
      </c>
      <c r="E2614" s="293" t="s">
        <v>6314</v>
      </c>
      <c r="F2614" s="293" t="s">
        <v>6476</v>
      </c>
      <c r="G2614" s="293" t="s">
        <v>5576</v>
      </c>
      <c r="H2614" s="294">
        <v>41364</v>
      </c>
      <c r="I2614" s="295">
        <v>-4207.3500000000004</v>
      </c>
    </row>
    <row r="2615" spans="1:9" x14ac:dyDescent="0.2">
      <c r="A2615" s="293" t="s">
        <v>8361</v>
      </c>
      <c r="B2615" s="293" t="s">
        <v>5666</v>
      </c>
      <c r="C2615" s="293" t="s">
        <v>6272</v>
      </c>
      <c r="D2615" s="293" t="s">
        <v>5878</v>
      </c>
      <c r="E2615" s="293" t="s">
        <v>6273</v>
      </c>
      <c r="F2615" s="293" t="s">
        <v>6496</v>
      </c>
      <c r="G2615" s="293" t="s">
        <v>5576</v>
      </c>
      <c r="H2615" s="294">
        <v>41394</v>
      </c>
      <c r="I2615" s="295">
        <v>-3340.78</v>
      </c>
    </row>
    <row r="2616" spans="1:9" x14ac:dyDescent="0.2">
      <c r="A2616" s="293" t="s">
        <v>8362</v>
      </c>
      <c r="B2616" s="293" t="s">
        <v>5666</v>
      </c>
      <c r="C2616" s="293" t="s">
        <v>6122</v>
      </c>
      <c r="D2616" s="293" t="s">
        <v>5878</v>
      </c>
      <c r="E2616" s="293" t="s">
        <v>6275</v>
      </c>
      <c r="F2616" s="293" t="s">
        <v>6496</v>
      </c>
      <c r="G2616" s="293" t="s">
        <v>5577</v>
      </c>
      <c r="H2616" s="294">
        <v>41394</v>
      </c>
      <c r="I2616" s="295">
        <v>-1179.21</v>
      </c>
    </row>
    <row r="2617" spans="1:9" x14ac:dyDescent="0.2">
      <c r="A2617" s="293" t="s">
        <v>8363</v>
      </c>
      <c r="B2617" s="293" t="s">
        <v>5666</v>
      </c>
      <c r="C2617" s="293" t="s">
        <v>6124</v>
      </c>
      <c r="D2617" s="293" t="s">
        <v>5878</v>
      </c>
      <c r="E2617" s="293" t="s">
        <v>6277</v>
      </c>
      <c r="F2617" s="293" t="s">
        <v>6496</v>
      </c>
      <c r="G2617" s="293" t="s">
        <v>5578</v>
      </c>
      <c r="H2617" s="294">
        <v>41394</v>
      </c>
      <c r="I2617" s="295">
        <v>-1019.33</v>
      </c>
    </row>
    <row r="2618" spans="1:9" x14ac:dyDescent="0.2">
      <c r="A2618" s="293" t="s">
        <v>8364</v>
      </c>
      <c r="B2618" s="293" t="s">
        <v>5666</v>
      </c>
      <c r="C2618" s="293" t="s">
        <v>6126</v>
      </c>
      <c r="D2618" s="293" t="s">
        <v>5878</v>
      </c>
      <c r="E2618" s="293" t="s">
        <v>6279</v>
      </c>
      <c r="F2618" s="293" t="s">
        <v>6496</v>
      </c>
      <c r="G2618" s="293" t="s">
        <v>5579</v>
      </c>
      <c r="H2618" s="294">
        <v>41394</v>
      </c>
      <c r="I2618" s="295">
        <v>-857.57</v>
      </c>
    </row>
    <row r="2619" spans="1:9" x14ac:dyDescent="0.2">
      <c r="A2619" s="293" t="s">
        <v>8365</v>
      </c>
      <c r="B2619" s="293" t="s">
        <v>5666</v>
      </c>
      <c r="C2619" s="293" t="s">
        <v>6091</v>
      </c>
      <c r="D2619" s="293" t="s">
        <v>5878</v>
      </c>
      <c r="E2619" s="293" t="s">
        <v>6281</v>
      </c>
      <c r="F2619" s="293" t="s">
        <v>6496</v>
      </c>
      <c r="G2619" s="293" t="s">
        <v>5573</v>
      </c>
      <c r="H2619" s="294">
        <v>41394</v>
      </c>
      <c r="I2619" s="295">
        <v>-3125.47</v>
      </c>
    </row>
    <row r="2620" spans="1:9" x14ac:dyDescent="0.2">
      <c r="A2620" s="293" t="s">
        <v>8366</v>
      </c>
      <c r="B2620" s="293" t="s">
        <v>5666</v>
      </c>
      <c r="C2620" s="293" t="s">
        <v>6093</v>
      </c>
      <c r="D2620" s="293" t="s">
        <v>5878</v>
      </c>
      <c r="E2620" s="293" t="s">
        <v>6283</v>
      </c>
      <c r="F2620" s="293" t="s">
        <v>6496</v>
      </c>
      <c r="G2620" s="293" t="s">
        <v>5573</v>
      </c>
      <c r="H2620" s="294">
        <v>41394</v>
      </c>
      <c r="I2620" s="295">
        <v>-4451.78</v>
      </c>
    </row>
    <row r="2621" spans="1:9" x14ac:dyDescent="0.2">
      <c r="A2621" s="293" t="s">
        <v>8367</v>
      </c>
      <c r="B2621" s="293" t="s">
        <v>5666</v>
      </c>
      <c r="C2621" s="293" t="s">
        <v>6080</v>
      </c>
      <c r="D2621" s="293" t="s">
        <v>5878</v>
      </c>
      <c r="E2621" s="293" t="s">
        <v>6285</v>
      </c>
      <c r="F2621" s="293" t="s">
        <v>6496</v>
      </c>
      <c r="G2621" s="293" t="s">
        <v>5573</v>
      </c>
      <c r="H2621" s="294">
        <v>41394</v>
      </c>
      <c r="I2621" s="295">
        <v>-10077.08</v>
      </c>
    </row>
    <row r="2622" spans="1:9" x14ac:dyDescent="0.2">
      <c r="A2622" s="293" t="s">
        <v>8368</v>
      </c>
      <c r="B2622" s="293" t="s">
        <v>5666</v>
      </c>
      <c r="C2622" s="293" t="s">
        <v>6095</v>
      </c>
      <c r="D2622" s="293" t="s">
        <v>5878</v>
      </c>
      <c r="E2622" s="293" t="s">
        <v>6287</v>
      </c>
      <c r="F2622" s="293" t="s">
        <v>6496</v>
      </c>
      <c r="G2622" s="293" t="s">
        <v>5580</v>
      </c>
      <c r="H2622" s="294">
        <v>41394</v>
      </c>
      <c r="I2622" s="295">
        <v>-5589.54</v>
      </c>
    </row>
    <row r="2623" spans="1:9" x14ac:dyDescent="0.2">
      <c r="A2623" s="293" t="s">
        <v>8369</v>
      </c>
      <c r="B2623" s="293" t="s">
        <v>5666</v>
      </c>
      <c r="C2623" s="293" t="s">
        <v>6097</v>
      </c>
      <c r="D2623" s="293" t="s">
        <v>5878</v>
      </c>
      <c r="E2623" s="293" t="s">
        <v>6289</v>
      </c>
      <c r="F2623" s="293" t="s">
        <v>6496</v>
      </c>
      <c r="G2623" s="293" t="s">
        <v>5580</v>
      </c>
      <c r="H2623" s="294">
        <v>41394</v>
      </c>
      <c r="I2623" s="295">
        <v>-10099.59</v>
      </c>
    </row>
    <row r="2624" spans="1:9" x14ac:dyDescent="0.2">
      <c r="A2624" s="293" t="s">
        <v>8370</v>
      </c>
      <c r="B2624" s="293" t="s">
        <v>5666</v>
      </c>
      <c r="C2624" s="293" t="s">
        <v>6099</v>
      </c>
      <c r="D2624" s="293" t="s">
        <v>5878</v>
      </c>
      <c r="E2624" s="293" t="s">
        <v>6291</v>
      </c>
      <c r="F2624" s="293" t="s">
        <v>6496</v>
      </c>
      <c r="G2624" s="293" t="s">
        <v>5579</v>
      </c>
      <c r="H2624" s="294">
        <v>41394</v>
      </c>
      <c r="I2624" s="295">
        <v>-1407.23</v>
      </c>
    </row>
    <row r="2625" spans="1:9" x14ac:dyDescent="0.2">
      <c r="A2625" s="293" t="s">
        <v>8371</v>
      </c>
      <c r="B2625" s="293" t="s">
        <v>5666</v>
      </c>
      <c r="C2625" s="293" t="s">
        <v>6083</v>
      </c>
      <c r="D2625" s="293" t="s">
        <v>5878</v>
      </c>
      <c r="E2625" s="293" t="s">
        <v>6293</v>
      </c>
      <c r="F2625" s="293" t="s">
        <v>6496</v>
      </c>
      <c r="G2625" s="293" t="s">
        <v>5579</v>
      </c>
      <c r="H2625" s="294">
        <v>41394</v>
      </c>
      <c r="I2625" s="295">
        <v>-2524.9</v>
      </c>
    </row>
    <row r="2626" spans="1:9" x14ac:dyDescent="0.2">
      <c r="A2626" s="293" t="s">
        <v>8372</v>
      </c>
      <c r="B2626" s="293" t="s">
        <v>5666</v>
      </c>
      <c r="C2626" s="293" t="s">
        <v>6101</v>
      </c>
      <c r="D2626" s="293" t="s">
        <v>5878</v>
      </c>
      <c r="E2626" s="293" t="s">
        <v>6295</v>
      </c>
      <c r="F2626" s="293" t="s">
        <v>6496</v>
      </c>
      <c r="G2626" s="293" t="s">
        <v>5580</v>
      </c>
      <c r="H2626" s="294">
        <v>41394</v>
      </c>
      <c r="I2626" s="295">
        <v>-193.73</v>
      </c>
    </row>
    <row r="2627" spans="1:9" x14ac:dyDescent="0.2">
      <c r="A2627" s="293" t="s">
        <v>8373</v>
      </c>
      <c r="B2627" s="293" t="s">
        <v>5666</v>
      </c>
      <c r="C2627" s="293" t="s">
        <v>6104</v>
      </c>
      <c r="D2627" s="293" t="s">
        <v>5878</v>
      </c>
      <c r="E2627" s="293" t="s">
        <v>6297</v>
      </c>
      <c r="F2627" s="293" t="s">
        <v>6496</v>
      </c>
      <c r="G2627" s="293" t="s">
        <v>5580</v>
      </c>
      <c r="H2627" s="294">
        <v>41394</v>
      </c>
      <c r="I2627" s="295">
        <v>-274.12</v>
      </c>
    </row>
    <row r="2628" spans="1:9" x14ac:dyDescent="0.2">
      <c r="A2628" s="293" t="s">
        <v>8374</v>
      </c>
      <c r="B2628" s="293" t="s">
        <v>5666</v>
      </c>
      <c r="C2628" s="293" t="s">
        <v>6106</v>
      </c>
      <c r="D2628" s="293" t="s">
        <v>5878</v>
      </c>
      <c r="E2628" s="293" t="s">
        <v>6299</v>
      </c>
      <c r="F2628" s="293" t="s">
        <v>6496</v>
      </c>
      <c r="G2628" s="293" t="s">
        <v>5580</v>
      </c>
      <c r="H2628" s="294">
        <v>41394</v>
      </c>
      <c r="I2628" s="295">
        <v>-1347.95</v>
      </c>
    </row>
    <row r="2629" spans="1:9" x14ac:dyDescent="0.2">
      <c r="A2629" s="293" t="s">
        <v>8375</v>
      </c>
      <c r="B2629" s="293" t="s">
        <v>5666</v>
      </c>
      <c r="C2629" s="293" t="s">
        <v>6108</v>
      </c>
      <c r="D2629" s="293" t="s">
        <v>5878</v>
      </c>
      <c r="E2629" s="293" t="s">
        <v>6301</v>
      </c>
      <c r="F2629" s="293" t="s">
        <v>6496</v>
      </c>
      <c r="G2629" s="293" t="s">
        <v>5580</v>
      </c>
      <c r="H2629" s="294">
        <v>41394</v>
      </c>
      <c r="I2629" s="295">
        <v>-1918.86</v>
      </c>
    </row>
    <row r="2630" spans="1:9" x14ac:dyDescent="0.2">
      <c r="A2630" s="293" t="s">
        <v>8376</v>
      </c>
      <c r="B2630" s="293" t="s">
        <v>5666</v>
      </c>
      <c r="C2630" s="293" t="s">
        <v>6110</v>
      </c>
      <c r="D2630" s="293" t="s">
        <v>5878</v>
      </c>
      <c r="E2630" s="293" t="s">
        <v>6303</v>
      </c>
      <c r="F2630" s="293" t="s">
        <v>6496</v>
      </c>
      <c r="G2630" s="293" t="s">
        <v>5573</v>
      </c>
      <c r="H2630" s="294">
        <v>41394</v>
      </c>
      <c r="I2630" s="295">
        <v>-1780.13</v>
      </c>
    </row>
    <row r="2631" spans="1:9" x14ac:dyDescent="0.2">
      <c r="A2631" s="293" t="s">
        <v>8377</v>
      </c>
      <c r="B2631" s="293" t="s">
        <v>5666</v>
      </c>
      <c r="C2631" s="293" t="s">
        <v>6115</v>
      </c>
      <c r="D2631" s="293" t="s">
        <v>5878</v>
      </c>
      <c r="E2631" s="293" t="s">
        <v>6305</v>
      </c>
      <c r="F2631" s="293" t="s">
        <v>6496</v>
      </c>
      <c r="G2631" s="293" t="s">
        <v>5581</v>
      </c>
      <c r="H2631" s="294">
        <v>41394</v>
      </c>
      <c r="I2631" s="295">
        <v>-2230.71</v>
      </c>
    </row>
    <row r="2632" spans="1:9" x14ac:dyDescent="0.2">
      <c r="A2632" s="293" t="s">
        <v>8378</v>
      </c>
      <c r="B2632" s="293" t="s">
        <v>5666</v>
      </c>
      <c r="C2632" s="293" t="s">
        <v>6086</v>
      </c>
      <c r="D2632" s="293" t="s">
        <v>5878</v>
      </c>
      <c r="E2632" s="293" t="s">
        <v>6307</v>
      </c>
      <c r="F2632" s="293" t="s">
        <v>6496</v>
      </c>
      <c r="G2632" s="293" t="s">
        <v>5581</v>
      </c>
      <c r="H2632" s="294">
        <v>41394</v>
      </c>
      <c r="I2632" s="295">
        <v>-2490.34</v>
      </c>
    </row>
    <row r="2633" spans="1:9" x14ac:dyDescent="0.2">
      <c r="A2633" s="293" t="s">
        <v>8379</v>
      </c>
      <c r="B2633" s="293" t="s">
        <v>5666</v>
      </c>
      <c r="C2633" s="293" t="s">
        <v>6113</v>
      </c>
      <c r="D2633" s="293" t="s">
        <v>5878</v>
      </c>
      <c r="E2633" s="293" t="s">
        <v>6316</v>
      </c>
      <c r="F2633" s="293" t="s">
        <v>6496</v>
      </c>
      <c r="G2633" s="293" t="s">
        <v>5573</v>
      </c>
      <c r="H2633" s="294">
        <v>41394</v>
      </c>
      <c r="I2633" s="295">
        <v>-5336.81</v>
      </c>
    </row>
    <row r="2634" spans="1:9" x14ac:dyDescent="0.2">
      <c r="A2634" s="293" t="s">
        <v>8380</v>
      </c>
      <c r="B2634" s="293" t="s">
        <v>5666</v>
      </c>
      <c r="C2634" s="293" t="s">
        <v>6313</v>
      </c>
      <c r="D2634" s="293" t="s">
        <v>5878</v>
      </c>
      <c r="E2634" s="293" t="s">
        <v>6314</v>
      </c>
      <c r="F2634" s="293" t="s">
        <v>6496</v>
      </c>
      <c r="G2634" s="293" t="s">
        <v>5576</v>
      </c>
      <c r="H2634" s="294">
        <v>41394</v>
      </c>
      <c r="I2634" s="295">
        <v>-4207.3500000000004</v>
      </c>
    </row>
    <row r="2635" spans="1:9" x14ac:dyDescent="0.2">
      <c r="A2635" s="293" t="s">
        <v>8381</v>
      </c>
      <c r="B2635" s="293" t="s">
        <v>5666</v>
      </c>
      <c r="C2635" s="293" t="s">
        <v>6272</v>
      </c>
      <c r="D2635" s="293" t="s">
        <v>5878</v>
      </c>
      <c r="E2635" s="293" t="s">
        <v>6273</v>
      </c>
      <c r="F2635" s="293" t="s">
        <v>6514</v>
      </c>
      <c r="G2635" s="293" t="s">
        <v>5576</v>
      </c>
      <c r="H2635" s="294">
        <v>41425</v>
      </c>
      <c r="I2635" s="295">
        <v>-3340.78</v>
      </c>
    </row>
    <row r="2636" spans="1:9" x14ac:dyDescent="0.2">
      <c r="A2636" s="293" t="s">
        <v>8382</v>
      </c>
      <c r="B2636" s="293" t="s">
        <v>5666</v>
      </c>
      <c r="C2636" s="293" t="s">
        <v>6122</v>
      </c>
      <c r="D2636" s="293" t="s">
        <v>5878</v>
      </c>
      <c r="E2636" s="293" t="s">
        <v>6275</v>
      </c>
      <c r="F2636" s="293" t="s">
        <v>6514</v>
      </c>
      <c r="G2636" s="293" t="s">
        <v>5577</v>
      </c>
      <c r="H2636" s="294">
        <v>41425</v>
      </c>
      <c r="I2636" s="295">
        <v>-1179.21</v>
      </c>
    </row>
    <row r="2637" spans="1:9" x14ac:dyDescent="0.2">
      <c r="A2637" s="293" t="s">
        <v>8383</v>
      </c>
      <c r="B2637" s="293" t="s">
        <v>5666</v>
      </c>
      <c r="C2637" s="293" t="s">
        <v>6124</v>
      </c>
      <c r="D2637" s="293" t="s">
        <v>5878</v>
      </c>
      <c r="E2637" s="293" t="s">
        <v>6277</v>
      </c>
      <c r="F2637" s="293" t="s">
        <v>6514</v>
      </c>
      <c r="G2637" s="293" t="s">
        <v>5578</v>
      </c>
      <c r="H2637" s="294">
        <v>41425</v>
      </c>
      <c r="I2637" s="295">
        <v>-1019.33</v>
      </c>
    </row>
    <row r="2638" spans="1:9" x14ac:dyDescent="0.2">
      <c r="A2638" s="293" t="s">
        <v>8384</v>
      </c>
      <c r="B2638" s="293" t="s">
        <v>5666</v>
      </c>
      <c r="C2638" s="293" t="s">
        <v>6126</v>
      </c>
      <c r="D2638" s="293" t="s">
        <v>5878</v>
      </c>
      <c r="E2638" s="293" t="s">
        <v>6279</v>
      </c>
      <c r="F2638" s="293" t="s">
        <v>6514</v>
      </c>
      <c r="G2638" s="293" t="s">
        <v>5579</v>
      </c>
      <c r="H2638" s="294">
        <v>41425</v>
      </c>
      <c r="I2638" s="295">
        <v>-857.57</v>
      </c>
    </row>
    <row r="2639" spans="1:9" x14ac:dyDescent="0.2">
      <c r="A2639" s="293" t="s">
        <v>8385</v>
      </c>
      <c r="B2639" s="293" t="s">
        <v>5666</v>
      </c>
      <c r="C2639" s="293" t="s">
        <v>6091</v>
      </c>
      <c r="D2639" s="293" t="s">
        <v>5878</v>
      </c>
      <c r="E2639" s="293" t="s">
        <v>6281</v>
      </c>
      <c r="F2639" s="293" t="s">
        <v>6514</v>
      </c>
      <c r="G2639" s="293" t="s">
        <v>5573</v>
      </c>
      <c r="H2639" s="294">
        <v>41425</v>
      </c>
      <c r="I2639" s="295">
        <v>-3125.47</v>
      </c>
    </row>
    <row r="2640" spans="1:9" x14ac:dyDescent="0.2">
      <c r="A2640" s="293" t="s">
        <v>8386</v>
      </c>
      <c r="B2640" s="293" t="s">
        <v>5666</v>
      </c>
      <c r="C2640" s="293" t="s">
        <v>6093</v>
      </c>
      <c r="D2640" s="293" t="s">
        <v>5878</v>
      </c>
      <c r="E2640" s="293" t="s">
        <v>6283</v>
      </c>
      <c r="F2640" s="293" t="s">
        <v>6514</v>
      </c>
      <c r="G2640" s="293" t="s">
        <v>5573</v>
      </c>
      <c r="H2640" s="294">
        <v>41425</v>
      </c>
      <c r="I2640" s="295">
        <v>-4451.78</v>
      </c>
    </row>
    <row r="2641" spans="1:9" x14ac:dyDescent="0.2">
      <c r="A2641" s="293" t="s">
        <v>8387</v>
      </c>
      <c r="B2641" s="293" t="s">
        <v>5666</v>
      </c>
      <c r="C2641" s="293" t="s">
        <v>6080</v>
      </c>
      <c r="D2641" s="293" t="s">
        <v>5878</v>
      </c>
      <c r="E2641" s="293" t="s">
        <v>6285</v>
      </c>
      <c r="F2641" s="293" t="s">
        <v>6514</v>
      </c>
      <c r="G2641" s="293" t="s">
        <v>5573</v>
      </c>
      <c r="H2641" s="294">
        <v>41425</v>
      </c>
      <c r="I2641" s="295">
        <v>-10077.08</v>
      </c>
    </row>
    <row r="2642" spans="1:9" x14ac:dyDescent="0.2">
      <c r="A2642" s="293" t="s">
        <v>8388</v>
      </c>
      <c r="B2642" s="293" t="s">
        <v>5666</v>
      </c>
      <c r="C2642" s="293" t="s">
        <v>6095</v>
      </c>
      <c r="D2642" s="293" t="s">
        <v>5878</v>
      </c>
      <c r="E2642" s="293" t="s">
        <v>6287</v>
      </c>
      <c r="F2642" s="293" t="s">
        <v>6514</v>
      </c>
      <c r="G2642" s="293" t="s">
        <v>5580</v>
      </c>
      <c r="H2642" s="294">
        <v>41425</v>
      </c>
      <c r="I2642" s="295">
        <v>-5589.54</v>
      </c>
    </row>
    <row r="2643" spans="1:9" x14ac:dyDescent="0.2">
      <c r="A2643" s="293" t="s">
        <v>8389</v>
      </c>
      <c r="B2643" s="293" t="s">
        <v>5666</v>
      </c>
      <c r="C2643" s="293" t="s">
        <v>6097</v>
      </c>
      <c r="D2643" s="293" t="s">
        <v>5878</v>
      </c>
      <c r="E2643" s="293" t="s">
        <v>6289</v>
      </c>
      <c r="F2643" s="293" t="s">
        <v>6514</v>
      </c>
      <c r="G2643" s="293" t="s">
        <v>5580</v>
      </c>
      <c r="H2643" s="294">
        <v>41425</v>
      </c>
      <c r="I2643" s="295">
        <v>-10099.59</v>
      </c>
    </row>
    <row r="2644" spans="1:9" x14ac:dyDescent="0.2">
      <c r="A2644" s="293" t="s">
        <v>8390</v>
      </c>
      <c r="B2644" s="293" t="s">
        <v>5666</v>
      </c>
      <c r="C2644" s="293" t="s">
        <v>6099</v>
      </c>
      <c r="D2644" s="293" t="s">
        <v>5878</v>
      </c>
      <c r="E2644" s="293" t="s">
        <v>6291</v>
      </c>
      <c r="F2644" s="293" t="s">
        <v>6514</v>
      </c>
      <c r="G2644" s="293" t="s">
        <v>5579</v>
      </c>
      <c r="H2644" s="294">
        <v>41425</v>
      </c>
      <c r="I2644" s="295">
        <v>-1407.23</v>
      </c>
    </row>
    <row r="2645" spans="1:9" x14ac:dyDescent="0.2">
      <c r="A2645" s="293" t="s">
        <v>8391</v>
      </c>
      <c r="B2645" s="293" t="s">
        <v>5666</v>
      </c>
      <c r="C2645" s="293" t="s">
        <v>6083</v>
      </c>
      <c r="D2645" s="293" t="s">
        <v>5878</v>
      </c>
      <c r="E2645" s="293" t="s">
        <v>6293</v>
      </c>
      <c r="F2645" s="293" t="s">
        <v>6514</v>
      </c>
      <c r="G2645" s="293" t="s">
        <v>5579</v>
      </c>
      <c r="H2645" s="294">
        <v>41425</v>
      </c>
      <c r="I2645" s="295">
        <v>-2524.9</v>
      </c>
    </row>
    <row r="2646" spans="1:9" x14ac:dyDescent="0.2">
      <c r="A2646" s="293" t="s">
        <v>8392</v>
      </c>
      <c r="B2646" s="293" t="s">
        <v>5666</v>
      </c>
      <c r="C2646" s="293" t="s">
        <v>6101</v>
      </c>
      <c r="D2646" s="293" t="s">
        <v>5878</v>
      </c>
      <c r="E2646" s="293" t="s">
        <v>6295</v>
      </c>
      <c r="F2646" s="293" t="s">
        <v>6514</v>
      </c>
      <c r="G2646" s="293" t="s">
        <v>5580</v>
      </c>
      <c r="H2646" s="294">
        <v>41425</v>
      </c>
      <c r="I2646" s="295">
        <v>-193.73</v>
      </c>
    </row>
    <row r="2647" spans="1:9" x14ac:dyDescent="0.2">
      <c r="A2647" s="293" t="s">
        <v>8393</v>
      </c>
      <c r="B2647" s="293" t="s">
        <v>5666</v>
      </c>
      <c r="C2647" s="293" t="s">
        <v>6104</v>
      </c>
      <c r="D2647" s="293" t="s">
        <v>5878</v>
      </c>
      <c r="E2647" s="293" t="s">
        <v>6297</v>
      </c>
      <c r="F2647" s="293" t="s">
        <v>6514</v>
      </c>
      <c r="G2647" s="293" t="s">
        <v>5580</v>
      </c>
      <c r="H2647" s="294">
        <v>41425</v>
      </c>
      <c r="I2647" s="295">
        <v>-274.12</v>
      </c>
    </row>
    <row r="2648" spans="1:9" x14ac:dyDescent="0.2">
      <c r="A2648" s="293" t="s">
        <v>8394</v>
      </c>
      <c r="B2648" s="293" t="s">
        <v>5666</v>
      </c>
      <c r="C2648" s="293" t="s">
        <v>6106</v>
      </c>
      <c r="D2648" s="293" t="s">
        <v>5878</v>
      </c>
      <c r="E2648" s="293" t="s">
        <v>6299</v>
      </c>
      <c r="F2648" s="293" t="s">
        <v>6514</v>
      </c>
      <c r="G2648" s="293" t="s">
        <v>5580</v>
      </c>
      <c r="H2648" s="294">
        <v>41425</v>
      </c>
      <c r="I2648" s="295">
        <v>-1347.95</v>
      </c>
    </row>
    <row r="2649" spans="1:9" x14ac:dyDescent="0.2">
      <c r="A2649" s="293" t="s">
        <v>8395</v>
      </c>
      <c r="B2649" s="293" t="s">
        <v>5666</v>
      </c>
      <c r="C2649" s="293" t="s">
        <v>6108</v>
      </c>
      <c r="D2649" s="293" t="s">
        <v>5878</v>
      </c>
      <c r="E2649" s="293" t="s">
        <v>6301</v>
      </c>
      <c r="F2649" s="293" t="s">
        <v>6514</v>
      </c>
      <c r="G2649" s="293" t="s">
        <v>5580</v>
      </c>
      <c r="H2649" s="294">
        <v>41425</v>
      </c>
      <c r="I2649" s="295">
        <v>-1918.86</v>
      </c>
    </row>
    <row r="2650" spans="1:9" x14ac:dyDescent="0.2">
      <c r="A2650" s="293" t="s">
        <v>8396</v>
      </c>
      <c r="B2650" s="293" t="s">
        <v>5666</v>
      </c>
      <c r="C2650" s="293" t="s">
        <v>6110</v>
      </c>
      <c r="D2650" s="293" t="s">
        <v>5878</v>
      </c>
      <c r="E2650" s="293" t="s">
        <v>6303</v>
      </c>
      <c r="F2650" s="293" t="s">
        <v>6514</v>
      </c>
      <c r="G2650" s="293" t="s">
        <v>5573</v>
      </c>
      <c r="H2650" s="294">
        <v>41425</v>
      </c>
      <c r="I2650" s="295">
        <v>-1780.13</v>
      </c>
    </row>
    <row r="2651" spans="1:9" x14ac:dyDescent="0.2">
      <c r="A2651" s="293" t="s">
        <v>8397</v>
      </c>
      <c r="B2651" s="293" t="s">
        <v>5666</v>
      </c>
      <c r="C2651" s="293" t="s">
        <v>6115</v>
      </c>
      <c r="D2651" s="293" t="s">
        <v>5878</v>
      </c>
      <c r="E2651" s="293" t="s">
        <v>6305</v>
      </c>
      <c r="F2651" s="293" t="s">
        <v>6514</v>
      </c>
      <c r="G2651" s="293" t="s">
        <v>5581</v>
      </c>
      <c r="H2651" s="294">
        <v>41425</v>
      </c>
      <c r="I2651" s="295">
        <v>-2230.71</v>
      </c>
    </row>
    <row r="2652" spans="1:9" x14ac:dyDescent="0.2">
      <c r="A2652" s="293" t="s">
        <v>8398</v>
      </c>
      <c r="B2652" s="293" t="s">
        <v>5666</v>
      </c>
      <c r="C2652" s="293" t="s">
        <v>6086</v>
      </c>
      <c r="D2652" s="293" t="s">
        <v>5878</v>
      </c>
      <c r="E2652" s="293" t="s">
        <v>6307</v>
      </c>
      <c r="F2652" s="293" t="s">
        <v>6514</v>
      </c>
      <c r="G2652" s="293" t="s">
        <v>5581</v>
      </c>
      <c r="H2652" s="294">
        <v>41425</v>
      </c>
      <c r="I2652" s="295">
        <v>-2490.34</v>
      </c>
    </row>
    <row r="2653" spans="1:9" x14ac:dyDescent="0.2">
      <c r="A2653" s="293" t="s">
        <v>8399</v>
      </c>
      <c r="B2653" s="293" t="s">
        <v>5666</v>
      </c>
      <c r="C2653" s="293" t="s">
        <v>6113</v>
      </c>
      <c r="D2653" s="293" t="s">
        <v>5878</v>
      </c>
      <c r="E2653" s="293" t="s">
        <v>6316</v>
      </c>
      <c r="F2653" s="293" t="s">
        <v>6514</v>
      </c>
      <c r="G2653" s="293" t="s">
        <v>5573</v>
      </c>
      <c r="H2653" s="294">
        <v>41425</v>
      </c>
      <c r="I2653" s="295">
        <v>-5336.81</v>
      </c>
    </row>
    <row r="2654" spans="1:9" x14ac:dyDescent="0.2">
      <c r="A2654" s="293" t="s">
        <v>8400</v>
      </c>
      <c r="B2654" s="293" t="s">
        <v>5666</v>
      </c>
      <c r="C2654" s="293" t="s">
        <v>6313</v>
      </c>
      <c r="D2654" s="293" t="s">
        <v>5878</v>
      </c>
      <c r="E2654" s="293" t="s">
        <v>6314</v>
      </c>
      <c r="F2654" s="293" t="s">
        <v>6514</v>
      </c>
      <c r="G2654" s="293" t="s">
        <v>5576</v>
      </c>
      <c r="H2654" s="294">
        <v>41425</v>
      </c>
      <c r="I2654" s="295">
        <v>-4207.3500000000004</v>
      </c>
    </row>
    <row r="2655" spans="1:9" x14ac:dyDescent="0.2">
      <c r="A2655" s="293" t="s">
        <v>6531</v>
      </c>
      <c r="B2655" s="293" t="s">
        <v>5666</v>
      </c>
      <c r="C2655" s="293" t="s">
        <v>6532</v>
      </c>
      <c r="D2655" s="293" t="s">
        <v>5878</v>
      </c>
      <c r="E2655" s="293" t="s">
        <v>8401</v>
      </c>
      <c r="F2655" s="293" t="s">
        <v>6533</v>
      </c>
      <c r="G2655" s="293" t="s">
        <v>5581</v>
      </c>
      <c r="H2655" s="294">
        <v>41455</v>
      </c>
      <c r="I2655" s="295">
        <v>-35.22</v>
      </c>
    </row>
    <row r="2656" spans="1:9" x14ac:dyDescent="0.2">
      <c r="A2656" s="293" t="s">
        <v>8402</v>
      </c>
      <c r="B2656" s="293" t="s">
        <v>5666</v>
      </c>
      <c r="C2656" s="293" t="s">
        <v>6272</v>
      </c>
      <c r="D2656" s="293" t="s">
        <v>5878</v>
      </c>
      <c r="E2656" s="293" t="s">
        <v>6273</v>
      </c>
      <c r="F2656" s="293" t="s">
        <v>6537</v>
      </c>
      <c r="G2656" s="293" t="s">
        <v>5576</v>
      </c>
      <c r="H2656" s="294">
        <v>41455</v>
      </c>
      <c r="I2656" s="295">
        <v>-3340.78</v>
      </c>
    </row>
    <row r="2657" spans="1:9" x14ac:dyDescent="0.2">
      <c r="A2657" s="293" t="s">
        <v>8403</v>
      </c>
      <c r="B2657" s="293" t="s">
        <v>5666</v>
      </c>
      <c r="C2657" s="293" t="s">
        <v>6122</v>
      </c>
      <c r="D2657" s="293" t="s">
        <v>5878</v>
      </c>
      <c r="E2657" s="293" t="s">
        <v>6275</v>
      </c>
      <c r="F2657" s="293" t="s">
        <v>6537</v>
      </c>
      <c r="G2657" s="293" t="s">
        <v>5577</v>
      </c>
      <c r="H2657" s="294">
        <v>41455</v>
      </c>
      <c r="I2657" s="295">
        <v>-1179.21</v>
      </c>
    </row>
    <row r="2658" spans="1:9" x14ac:dyDescent="0.2">
      <c r="A2658" s="293" t="s">
        <v>8404</v>
      </c>
      <c r="B2658" s="293" t="s">
        <v>5666</v>
      </c>
      <c r="C2658" s="293" t="s">
        <v>6124</v>
      </c>
      <c r="D2658" s="293" t="s">
        <v>5878</v>
      </c>
      <c r="E2658" s="293" t="s">
        <v>6277</v>
      </c>
      <c r="F2658" s="293" t="s">
        <v>6537</v>
      </c>
      <c r="G2658" s="293" t="s">
        <v>5578</v>
      </c>
      <c r="H2658" s="294">
        <v>41455</v>
      </c>
      <c r="I2658" s="295">
        <v>-1019.33</v>
      </c>
    </row>
    <row r="2659" spans="1:9" x14ac:dyDescent="0.2">
      <c r="A2659" s="293" t="s">
        <v>8405</v>
      </c>
      <c r="B2659" s="293" t="s">
        <v>5666</v>
      </c>
      <c r="C2659" s="293" t="s">
        <v>6126</v>
      </c>
      <c r="D2659" s="293" t="s">
        <v>5878</v>
      </c>
      <c r="E2659" s="293" t="s">
        <v>6279</v>
      </c>
      <c r="F2659" s="293" t="s">
        <v>6537</v>
      </c>
      <c r="G2659" s="293" t="s">
        <v>5579</v>
      </c>
      <c r="H2659" s="294">
        <v>41455</v>
      </c>
      <c r="I2659" s="295">
        <v>-857.57</v>
      </c>
    </row>
    <row r="2660" spans="1:9" x14ac:dyDescent="0.2">
      <c r="A2660" s="293" t="s">
        <v>8406</v>
      </c>
      <c r="B2660" s="293" t="s">
        <v>5666</v>
      </c>
      <c r="C2660" s="293" t="s">
        <v>6091</v>
      </c>
      <c r="D2660" s="293" t="s">
        <v>5878</v>
      </c>
      <c r="E2660" s="293" t="s">
        <v>6281</v>
      </c>
      <c r="F2660" s="293" t="s">
        <v>6537</v>
      </c>
      <c r="G2660" s="293" t="s">
        <v>5573</v>
      </c>
      <c r="H2660" s="294">
        <v>41455</v>
      </c>
      <c r="I2660" s="295">
        <v>-3125.47</v>
      </c>
    </row>
    <row r="2661" spans="1:9" x14ac:dyDescent="0.2">
      <c r="A2661" s="293" t="s">
        <v>8407</v>
      </c>
      <c r="B2661" s="293" t="s">
        <v>5666</v>
      </c>
      <c r="C2661" s="293" t="s">
        <v>6093</v>
      </c>
      <c r="D2661" s="293" t="s">
        <v>5878</v>
      </c>
      <c r="E2661" s="293" t="s">
        <v>6283</v>
      </c>
      <c r="F2661" s="293" t="s">
        <v>6537</v>
      </c>
      <c r="G2661" s="293" t="s">
        <v>5573</v>
      </c>
      <c r="H2661" s="294">
        <v>41455</v>
      </c>
      <c r="I2661" s="295">
        <v>-4451.78</v>
      </c>
    </row>
    <row r="2662" spans="1:9" x14ac:dyDescent="0.2">
      <c r="A2662" s="293" t="s">
        <v>8408</v>
      </c>
      <c r="B2662" s="293" t="s">
        <v>5666</v>
      </c>
      <c r="C2662" s="293" t="s">
        <v>6080</v>
      </c>
      <c r="D2662" s="293" t="s">
        <v>5878</v>
      </c>
      <c r="E2662" s="293" t="s">
        <v>6285</v>
      </c>
      <c r="F2662" s="293" t="s">
        <v>6537</v>
      </c>
      <c r="G2662" s="293" t="s">
        <v>5573</v>
      </c>
      <c r="H2662" s="294">
        <v>41455</v>
      </c>
      <c r="I2662" s="295">
        <v>-10077.08</v>
      </c>
    </row>
    <row r="2663" spans="1:9" x14ac:dyDescent="0.2">
      <c r="A2663" s="293" t="s">
        <v>8409</v>
      </c>
      <c r="B2663" s="293" t="s">
        <v>5666</v>
      </c>
      <c r="C2663" s="293" t="s">
        <v>6095</v>
      </c>
      <c r="D2663" s="293" t="s">
        <v>5878</v>
      </c>
      <c r="E2663" s="293" t="s">
        <v>6287</v>
      </c>
      <c r="F2663" s="293" t="s">
        <v>6537</v>
      </c>
      <c r="G2663" s="293" t="s">
        <v>5580</v>
      </c>
      <c r="H2663" s="294">
        <v>41455</v>
      </c>
      <c r="I2663" s="295">
        <v>-5589.54</v>
      </c>
    </row>
    <row r="2664" spans="1:9" x14ac:dyDescent="0.2">
      <c r="A2664" s="293" t="s">
        <v>8410</v>
      </c>
      <c r="B2664" s="293" t="s">
        <v>5666</v>
      </c>
      <c r="C2664" s="293" t="s">
        <v>6097</v>
      </c>
      <c r="D2664" s="293" t="s">
        <v>5878</v>
      </c>
      <c r="E2664" s="293" t="s">
        <v>6289</v>
      </c>
      <c r="F2664" s="293" t="s">
        <v>6537</v>
      </c>
      <c r="G2664" s="293" t="s">
        <v>5580</v>
      </c>
      <c r="H2664" s="294">
        <v>41455</v>
      </c>
      <c r="I2664" s="295">
        <v>-10099.59</v>
      </c>
    </row>
    <row r="2665" spans="1:9" x14ac:dyDescent="0.2">
      <c r="A2665" s="293" t="s">
        <v>8411</v>
      </c>
      <c r="B2665" s="293" t="s">
        <v>5666</v>
      </c>
      <c r="C2665" s="293" t="s">
        <v>6099</v>
      </c>
      <c r="D2665" s="293" t="s">
        <v>5878</v>
      </c>
      <c r="E2665" s="293" t="s">
        <v>6291</v>
      </c>
      <c r="F2665" s="293" t="s">
        <v>6537</v>
      </c>
      <c r="G2665" s="293" t="s">
        <v>5579</v>
      </c>
      <c r="H2665" s="294">
        <v>41455</v>
      </c>
      <c r="I2665" s="295">
        <v>-1407.23</v>
      </c>
    </row>
    <row r="2666" spans="1:9" x14ac:dyDescent="0.2">
      <c r="A2666" s="293" t="s">
        <v>8412</v>
      </c>
      <c r="B2666" s="293" t="s">
        <v>5666</v>
      </c>
      <c r="C2666" s="293" t="s">
        <v>6083</v>
      </c>
      <c r="D2666" s="293" t="s">
        <v>5878</v>
      </c>
      <c r="E2666" s="293" t="s">
        <v>6293</v>
      </c>
      <c r="F2666" s="293" t="s">
        <v>6537</v>
      </c>
      <c r="G2666" s="293" t="s">
        <v>5579</v>
      </c>
      <c r="H2666" s="294">
        <v>41455</v>
      </c>
      <c r="I2666" s="295">
        <v>-2524.9</v>
      </c>
    </row>
    <row r="2667" spans="1:9" x14ac:dyDescent="0.2">
      <c r="A2667" s="293" t="s">
        <v>8413</v>
      </c>
      <c r="B2667" s="293" t="s">
        <v>5666</v>
      </c>
      <c r="C2667" s="293" t="s">
        <v>6101</v>
      </c>
      <c r="D2667" s="293" t="s">
        <v>5878</v>
      </c>
      <c r="E2667" s="293" t="s">
        <v>6295</v>
      </c>
      <c r="F2667" s="293" t="s">
        <v>6537</v>
      </c>
      <c r="G2667" s="293" t="s">
        <v>5580</v>
      </c>
      <c r="H2667" s="294">
        <v>41455</v>
      </c>
      <c r="I2667" s="295">
        <v>-193.73</v>
      </c>
    </row>
    <row r="2668" spans="1:9" x14ac:dyDescent="0.2">
      <c r="A2668" s="293" t="s">
        <v>8414</v>
      </c>
      <c r="B2668" s="293" t="s">
        <v>5666</v>
      </c>
      <c r="C2668" s="293" t="s">
        <v>6104</v>
      </c>
      <c r="D2668" s="293" t="s">
        <v>5878</v>
      </c>
      <c r="E2668" s="293" t="s">
        <v>6297</v>
      </c>
      <c r="F2668" s="293" t="s">
        <v>6537</v>
      </c>
      <c r="G2668" s="293" t="s">
        <v>5580</v>
      </c>
      <c r="H2668" s="294">
        <v>41455</v>
      </c>
      <c r="I2668" s="295">
        <v>-274.12</v>
      </c>
    </row>
    <row r="2669" spans="1:9" x14ac:dyDescent="0.2">
      <c r="A2669" s="293" t="s">
        <v>8415</v>
      </c>
      <c r="B2669" s="293" t="s">
        <v>5666</v>
      </c>
      <c r="C2669" s="293" t="s">
        <v>6106</v>
      </c>
      <c r="D2669" s="293" t="s">
        <v>5878</v>
      </c>
      <c r="E2669" s="293" t="s">
        <v>6299</v>
      </c>
      <c r="F2669" s="293" t="s">
        <v>6537</v>
      </c>
      <c r="G2669" s="293" t="s">
        <v>5580</v>
      </c>
      <c r="H2669" s="294">
        <v>41455</v>
      </c>
      <c r="I2669" s="295">
        <v>-1347.95</v>
      </c>
    </row>
    <row r="2670" spans="1:9" x14ac:dyDescent="0.2">
      <c r="A2670" s="293" t="s">
        <v>8416</v>
      </c>
      <c r="B2670" s="293" t="s">
        <v>5666</v>
      </c>
      <c r="C2670" s="293" t="s">
        <v>6108</v>
      </c>
      <c r="D2670" s="293" t="s">
        <v>5878</v>
      </c>
      <c r="E2670" s="293" t="s">
        <v>6301</v>
      </c>
      <c r="F2670" s="293" t="s">
        <v>6537</v>
      </c>
      <c r="G2670" s="293" t="s">
        <v>5580</v>
      </c>
      <c r="H2670" s="294">
        <v>41455</v>
      </c>
      <c r="I2670" s="295">
        <v>-1918.86</v>
      </c>
    </row>
    <row r="2671" spans="1:9" x14ac:dyDescent="0.2">
      <c r="A2671" s="293" t="s">
        <v>8417</v>
      </c>
      <c r="B2671" s="293" t="s">
        <v>5666</v>
      </c>
      <c r="C2671" s="293" t="s">
        <v>6110</v>
      </c>
      <c r="D2671" s="293" t="s">
        <v>5878</v>
      </c>
      <c r="E2671" s="293" t="s">
        <v>6303</v>
      </c>
      <c r="F2671" s="293" t="s">
        <v>6537</v>
      </c>
      <c r="G2671" s="293" t="s">
        <v>5573</v>
      </c>
      <c r="H2671" s="294">
        <v>41455</v>
      </c>
      <c r="I2671" s="295">
        <v>-1780.13</v>
      </c>
    </row>
    <row r="2672" spans="1:9" x14ac:dyDescent="0.2">
      <c r="A2672" s="293" t="s">
        <v>8418</v>
      </c>
      <c r="B2672" s="293" t="s">
        <v>5666</v>
      </c>
      <c r="C2672" s="293" t="s">
        <v>6115</v>
      </c>
      <c r="D2672" s="293" t="s">
        <v>5878</v>
      </c>
      <c r="E2672" s="293" t="s">
        <v>6305</v>
      </c>
      <c r="F2672" s="293" t="s">
        <v>6537</v>
      </c>
      <c r="G2672" s="293" t="s">
        <v>5581</v>
      </c>
      <c r="H2672" s="294">
        <v>41455</v>
      </c>
      <c r="I2672" s="295">
        <v>-2230.71</v>
      </c>
    </row>
    <row r="2673" spans="1:9" x14ac:dyDescent="0.2">
      <c r="A2673" s="293" t="s">
        <v>8419</v>
      </c>
      <c r="B2673" s="293" t="s">
        <v>5666</v>
      </c>
      <c r="C2673" s="293" t="s">
        <v>6086</v>
      </c>
      <c r="D2673" s="293" t="s">
        <v>5878</v>
      </c>
      <c r="E2673" s="293" t="s">
        <v>6307</v>
      </c>
      <c r="F2673" s="293" t="s">
        <v>6537</v>
      </c>
      <c r="G2673" s="293" t="s">
        <v>5581</v>
      </c>
      <c r="H2673" s="294">
        <v>41455</v>
      </c>
      <c r="I2673" s="295">
        <v>-2490.34</v>
      </c>
    </row>
    <row r="2674" spans="1:9" x14ac:dyDescent="0.2">
      <c r="A2674" s="293" t="s">
        <v>8420</v>
      </c>
      <c r="B2674" s="293" t="s">
        <v>5666</v>
      </c>
      <c r="C2674" s="293" t="s">
        <v>6113</v>
      </c>
      <c r="D2674" s="293" t="s">
        <v>5878</v>
      </c>
      <c r="E2674" s="293" t="s">
        <v>6316</v>
      </c>
      <c r="F2674" s="293" t="s">
        <v>6537</v>
      </c>
      <c r="G2674" s="293" t="s">
        <v>5573</v>
      </c>
      <c r="H2674" s="294">
        <v>41455</v>
      </c>
      <c r="I2674" s="295">
        <v>-5336.81</v>
      </c>
    </row>
    <row r="2675" spans="1:9" x14ac:dyDescent="0.2">
      <c r="A2675" s="293" t="s">
        <v>8421</v>
      </c>
      <c r="B2675" s="293" t="s">
        <v>5666</v>
      </c>
      <c r="C2675" s="293" t="s">
        <v>6313</v>
      </c>
      <c r="D2675" s="293" t="s">
        <v>5878</v>
      </c>
      <c r="E2675" s="293" t="s">
        <v>6314</v>
      </c>
      <c r="F2675" s="293" t="s">
        <v>6537</v>
      </c>
      <c r="G2675" s="293" t="s">
        <v>5576</v>
      </c>
      <c r="H2675" s="294">
        <v>41455</v>
      </c>
      <c r="I2675" s="295">
        <v>-4207.3500000000004</v>
      </c>
    </row>
    <row r="2676" spans="1:9" x14ac:dyDescent="0.2">
      <c r="A2676" s="293" t="s">
        <v>8422</v>
      </c>
      <c r="B2676" s="293" t="s">
        <v>5666</v>
      </c>
      <c r="C2676" s="293" t="s">
        <v>6272</v>
      </c>
      <c r="D2676" s="293" t="s">
        <v>5878</v>
      </c>
      <c r="E2676" s="293" t="s">
        <v>6273</v>
      </c>
      <c r="F2676" s="293" t="s">
        <v>6561</v>
      </c>
      <c r="G2676" s="293" t="s">
        <v>5576</v>
      </c>
      <c r="H2676" s="294">
        <v>41486</v>
      </c>
      <c r="I2676" s="295">
        <v>-3340.78</v>
      </c>
    </row>
    <row r="2677" spans="1:9" x14ac:dyDescent="0.2">
      <c r="A2677" s="293" t="s">
        <v>8423</v>
      </c>
      <c r="B2677" s="293" t="s">
        <v>5666</v>
      </c>
      <c r="C2677" s="293" t="s">
        <v>6122</v>
      </c>
      <c r="D2677" s="293" t="s">
        <v>5878</v>
      </c>
      <c r="E2677" s="293" t="s">
        <v>6275</v>
      </c>
      <c r="F2677" s="293" t="s">
        <v>6561</v>
      </c>
      <c r="G2677" s="293" t="s">
        <v>5577</v>
      </c>
      <c r="H2677" s="294">
        <v>41486</v>
      </c>
      <c r="I2677" s="295">
        <v>-1179.21</v>
      </c>
    </row>
    <row r="2678" spans="1:9" x14ac:dyDescent="0.2">
      <c r="A2678" s="293" t="s">
        <v>8424</v>
      </c>
      <c r="B2678" s="293" t="s">
        <v>5666</v>
      </c>
      <c r="C2678" s="293" t="s">
        <v>6124</v>
      </c>
      <c r="D2678" s="293" t="s">
        <v>5878</v>
      </c>
      <c r="E2678" s="293" t="s">
        <v>6277</v>
      </c>
      <c r="F2678" s="293" t="s">
        <v>6561</v>
      </c>
      <c r="G2678" s="293" t="s">
        <v>5578</v>
      </c>
      <c r="H2678" s="294">
        <v>41486</v>
      </c>
      <c r="I2678" s="295">
        <v>-1019.33</v>
      </c>
    </row>
    <row r="2679" spans="1:9" x14ac:dyDescent="0.2">
      <c r="A2679" s="293" t="s">
        <v>8425</v>
      </c>
      <c r="B2679" s="293" t="s">
        <v>5666</v>
      </c>
      <c r="C2679" s="293" t="s">
        <v>6126</v>
      </c>
      <c r="D2679" s="293" t="s">
        <v>5878</v>
      </c>
      <c r="E2679" s="293" t="s">
        <v>6279</v>
      </c>
      <c r="F2679" s="293" t="s">
        <v>6561</v>
      </c>
      <c r="G2679" s="293" t="s">
        <v>5579</v>
      </c>
      <c r="H2679" s="294">
        <v>41486</v>
      </c>
      <c r="I2679" s="295">
        <v>-857.57</v>
      </c>
    </row>
    <row r="2680" spans="1:9" x14ac:dyDescent="0.2">
      <c r="A2680" s="293" t="s">
        <v>8426</v>
      </c>
      <c r="B2680" s="293" t="s">
        <v>5666</v>
      </c>
      <c r="C2680" s="293" t="s">
        <v>6091</v>
      </c>
      <c r="D2680" s="293" t="s">
        <v>5878</v>
      </c>
      <c r="E2680" s="293" t="s">
        <v>6281</v>
      </c>
      <c r="F2680" s="293" t="s">
        <v>6561</v>
      </c>
      <c r="G2680" s="293" t="s">
        <v>5573</v>
      </c>
      <c r="H2680" s="294">
        <v>41486</v>
      </c>
      <c r="I2680" s="295">
        <v>-3125.47</v>
      </c>
    </row>
    <row r="2681" spans="1:9" x14ac:dyDescent="0.2">
      <c r="A2681" s="293" t="s">
        <v>8427</v>
      </c>
      <c r="B2681" s="293" t="s">
        <v>5666</v>
      </c>
      <c r="C2681" s="293" t="s">
        <v>6093</v>
      </c>
      <c r="D2681" s="293" t="s">
        <v>5878</v>
      </c>
      <c r="E2681" s="293" t="s">
        <v>6283</v>
      </c>
      <c r="F2681" s="293" t="s">
        <v>6561</v>
      </c>
      <c r="G2681" s="293" t="s">
        <v>5573</v>
      </c>
      <c r="H2681" s="294">
        <v>41486</v>
      </c>
      <c r="I2681" s="295">
        <v>-4451.78</v>
      </c>
    </row>
    <row r="2682" spans="1:9" x14ac:dyDescent="0.2">
      <c r="A2682" s="293" t="s">
        <v>8428</v>
      </c>
      <c r="B2682" s="293" t="s">
        <v>5666</v>
      </c>
      <c r="C2682" s="293" t="s">
        <v>6080</v>
      </c>
      <c r="D2682" s="293" t="s">
        <v>5878</v>
      </c>
      <c r="E2682" s="293" t="s">
        <v>6285</v>
      </c>
      <c r="F2682" s="293" t="s">
        <v>6561</v>
      </c>
      <c r="G2682" s="293" t="s">
        <v>5573</v>
      </c>
      <c r="H2682" s="294">
        <v>41486</v>
      </c>
      <c r="I2682" s="295">
        <v>-10077.08</v>
      </c>
    </row>
    <row r="2683" spans="1:9" x14ac:dyDescent="0.2">
      <c r="A2683" s="293" t="s">
        <v>8429</v>
      </c>
      <c r="B2683" s="293" t="s">
        <v>5666</v>
      </c>
      <c r="C2683" s="293" t="s">
        <v>6095</v>
      </c>
      <c r="D2683" s="293" t="s">
        <v>5878</v>
      </c>
      <c r="E2683" s="293" t="s">
        <v>6287</v>
      </c>
      <c r="F2683" s="293" t="s">
        <v>6561</v>
      </c>
      <c r="G2683" s="293" t="s">
        <v>5580</v>
      </c>
      <c r="H2683" s="294">
        <v>41486</v>
      </c>
      <c r="I2683" s="295">
        <v>-5589.54</v>
      </c>
    </row>
    <row r="2684" spans="1:9" x14ac:dyDescent="0.2">
      <c r="A2684" s="293" t="s">
        <v>8430</v>
      </c>
      <c r="B2684" s="293" t="s">
        <v>5666</v>
      </c>
      <c r="C2684" s="293" t="s">
        <v>6097</v>
      </c>
      <c r="D2684" s="293" t="s">
        <v>5878</v>
      </c>
      <c r="E2684" s="293" t="s">
        <v>6289</v>
      </c>
      <c r="F2684" s="293" t="s">
        <v>6561</v>
      </c>
      <c r="G2684" s="293" t="s">
        <v>5580</v>
      </c>
      <c r="H2684" s="294">
        <v>41486</v>
      </c>
      <c r="I2684" s="295">
        <v>-10099.59</v>
      </c>
    </row>
    <row r="2685" spans="1:9" x14ac:dyDescent="0.2">
      <c r="A2685" s="293" t="s">
        <v>8431</v>
      </c>
      <c r="B2685" s="293" t="s">
        <v>5666</v>
      </c>
      <c r="C2685" s="293" t="s">
        <v>6099</v>
      </c>
      <c r="D2685" s="293" t="s">
        <v>5878</v>
      </c>
      <c r="E2685" s="293" t="s">
        <v>6291</v>
      </c>
      <c r="F2685" s="293" t="s">
        <v>6561</v>
      </c>
      <c r="G2685" s="293" t="s">
        <v>5579</v>
      </c>
      <c r="H2685" s="294">
        <v>41486</v>
      </c>
      <c r="I2685" s="295">
        <v>-1407.23</v>
      </c>
    </row>
    <row r="2686" spans="1:9" x14ac:dyDescent="0.2">
      <c r="A2686" s="293" t="s">
        <v>8432</v>
      </c>
      <c r="B2686" s="293" t="s">
        <v>5666</v>
      </c>
      <c r="C2686" s="293" t="s">
        <v>6083</v>
      </c>
      <c r="D2686" s="293" t="s">
        <v>5878</v>
      </c>
      <c r="E2686" s="293" t="s">
        <v>6293</v>
      </c>
      <c r="F2686" s="293" t="s">
        <v>6561</v>
      </c>
      <c r="G2686" s="293" t="s">
        <v>5579</v>
      </c>
      <c r="H2686" s="294">
        <v>41486</v>
      </c>
      <c r="I2686" s="295">
        <v>-2524.9</v>
      </c>
    </row>
    <row r="2687" spans="1:9" x14ac:dyDescent="0.2">
      <c r="A2687" s="293" t="s">
        <v>8433</v>
      </c>
      <c r="B2687" s="293" t="s">
        <v>5666</v>
      </c>
      <c r="C2687" s="293" t="s">
        <v>6101</v>
      </c>
      <c r="D2687" s="293" t="s">
        <v>5878</v>
      </c>
      <c r="E2687" s="293" t="s">
        <v>6295</v>
      </c>
      <c r="F2687" s="293" t="s">
        <v>6561</v>
      </c>
      <c r="G2687" s="293" t="s">
        <v>5580</v>
      </c>
      <c r="H2687" s="294">
        <v>41486</v>
      </c>
      <c r="I2687" s="295">
        <v>-193.73</v>
      </c>
    </row>
    <row r="2688" spans="1:9" x14ac:dyDescent="0.2">
      <c r="A2688" s="293" t="s">
        <v>8434</v>
      </c>
      <c r="B2688" s="293" t="s">
        <v>5666</v>
      </c>
      <c r="C2688" s="293" t="s">
        <v>6104</v>
      </c>
      <c r="D2688" s="293" t="s">
        <v>5878</v>
      </c>
      <c r="E2688" s="293" t="s">
        <v>6297</v>
      </c>
      <c r="F2688" s="293" t="s">
        <v>6561</v>
      </c>
      <c r="G2688" s="293" t="s">
        <v>5580</v>
      </c>
      <c r="H2688" s="294">
        <v>41486</v>
      </c>
      <c r="I2688" s="295">
        <v>-274.12</v>
      </c>
    </row>
    <row r="2689" spans="1:9" x14ac:dyDescent="0.2">
      <c r="A2689" s="293" t="s">
        <v>8435</v>
      </c>
      <c r="B2689" s="293" t="s">
        <v>5666</v>
      </c>
      <c r="C2689" s="293" t="s">
        <v>6106</v>
      </c>
      <c r="D2689" s="293" t="s">
        <v>5878</v>
      </c>
      <c r="E2689" s="293" t="s">
        <v>6299</v>
      </c>
      <c r="F2689" s="293" t="s">
        <v>6561</v>
      </c>
      <c r="G2689" s="293" t="s">
        <v>5580</v>
      </c>
      <c r="H2689" s="294">
        <v>41486</v>
      </c>
      <c r="I2689" s="295">
        <v>-1347.95</v>
      </c>
    </row>
    <row r="2690" spans="1:9" x14ac:dyDescent="0.2">
      <c r="A2690" s="293" t="s">
        <v>8436</v>
      </c>
      <c r="B2690" s="293" t="s">
        <v>5666</v>
      </c>
      <c r="C2690" s="293" t="s">
        <v>6108</v>
      </c>
      <c r="D2690" s="293" t="s">
        <v>5878</v>
      </c>
      <c r="E2690" s="293" t="s">
        <v>6301</v>
      </c>
      <c r="F2690" s="293" t="s">
        <v>6561</v>
      </c>
      <c r="G2690" s="293" t="s">
        <v>5580</v>
      </c>
      <c r="H2690" s="294">
        <v>41486</v>
      </c>
      <c r="I2690" s="295">
        <v>-1918.86</v>
      </c>
    </row>
    <row r="2691" spans="1:9" x14ac:dyDescent="0.2">
      <c r="A2691" s="293" t="s">
        <v>8437</v>
      </c>
      <c r="B2691" s="293" t="s">
        <v>5666</v>
      </c>
      <c r="C2691" s="293" t="s">
        <v>6110</v>
      </c>
      <c r="D2691" s="293" t="s">
        <v>5878</v>
      </c>
      <c r="E2691" s="293" t="s">
        <v>6303</v>
      </c>
      <c r="F2691" s="293" t="s">
        <v>6561</v>
      </c>
      <c r="G2691" s="293" t="s">
        <v>5573</v>
      </c>
      <c r="H2691" s="294">
        <v>41486</v>
      </c>
      <c r="I2691" s="295">
        <v>-1780.13</v>
      </c>
    </row>
    <row r="2692" spans="1:9" x14ac:dyDescent="0.2">
      <c r="A2692" s="293" t="s">
        <v>8438</v>
      </c>
      <c r="B2692" s="293" t="s">
        <v>5666</v>
      </c>
      <c r="C2692" s="293" t="s">
        <v>6115</v>
      </c>
      <c r="D2692" s="293" t="s">
        <v>5878</v>
      </c>
      <c r="E2692" s="293" t="s">
        <v>6305</v>
      </c>
      <c r="F2692" s="293" t="s">
        <v>6561</v>
      </c>
      <c r="G2692" s="293" t="s">
        <v>5581</v>
      </c>
      <c r="H2692" s="294">
        <v>41486</v>
      </c>
      <c r="I2692" s="295">
        <v>-2230.71</v>
      </c>
    </row>
    <row r="2693" spans="1:9" x14ac:dyDescent="0.2">
      <c r="A2693" s="293" t="s">
        <v>8439</v>
      </c>
      <c r="B2693" s="293" t="s">
        <v>5666</v>
      </c>
      <c r="C2693" s="293" t="s">
        <v>6086</v>
      </c>
      <c r="D2693" s="293" t="s">
        <v>5878</v>
      </c>
      <c r="E2693" s="293" t="s">
        <v>6307</v>
      </c>
      <c r="F2693" s="293" t="s">
        <v>6561</v>
      </c>
      <c r="G2693" s="293" t="s">
        <v>5581</v>
      </c>
      <c r="H2693" s="294">
        <v>41486</v>
      </c>
      <c r="I2693" s="295">
        <v>-2490.34</v>
      </c>
    </row>
    <row r="2694" spans="1:9" x14ac:dyDescent="0.2">
      <c r="A2694" s="293" t="s">
        <v>8440</v>
      </c>
      <c r="B2694" s="293" t="s">
        <v>5666</v>
      </c>
      <c r="C2694" s="293" t="s">
        <v>6113</v>
      </c>
      <c r="D2694" s="293" t="s">
        <v>5878</v>
      </c>
      <c r="E2694" s="293" t="s">
        <v>6316</v>
      </c>
      <c r="F2694" s="293" t="s">
        <v>6561</v>
      </c>
      <c r="G2694" s="293" t="s">
        <v>5573</v>
      </c>
      <c r="H2694" s="294">
        <v>41486</v>
      </c>
      <c r="I2694" s="295">
        <v>-5336.81</v>
      </c>
    </row>
    <row r="2695" spans="1:9" x14ac:dyDescent="0.2">
      <c r="A2695" s="293" t="s">
        <v>8441</v>
      </c>
      <c r="B2695" s="293" t="s">
        <v>5666</v>
      </c>
      <c r="C2695" s="293" t="s">
        <v>6313</v>
      </c>
      <c r="D2695" s="293" t="s">
        <v>5878</v>
      </c>
      <c r="E2695" s="293" t="s">
        <v>6314</v>
      </c>
      <c r="F2695" s="293" t="s">
        <v>6561</v>
      </c>
      <c r="G2695" s="293" t="s">
        <v>5576</v>
      </c>
      <c r="H2695" s="294">
        <v>41486</v>
      </c>
      <c r="I2695" s="295">
        <v>-4207.3500000000004</v>
      </c>
    </row>
    <row r="2696" spans="1:9" x14ac:dyDescent="0.2">
      <c r="A2696" s="293" t="s">
        <v>8442</v>
      </c>
      <c r="B2696" s="293" t="s">
        <v>5666</v>
      </c>
      <c r="C2696" s="293" t="s">
        <v>6272</v>
      </c>
      <c r="D2696" s="293" t="s">
        <v>5878</v>
      </c>
      <c r="E2696" s="293" t="s">
        <v>6273</v>
      </c>
      <c r="F2696" s="293" t="s">
        <v>6579</v>
      </c>
      <c r="G2696" s="293" t="s">
        <v>5576</v>
      </c>
      <c r="H2696" s="294">
        <v>41517</v>
      </c>
      <c r="I2696" s="295">
        <v>-3340.78</v>
      </c>
    </row>
    <row r="2697" spans="1:9" x14ac:dyDescent="0.2">
      <c r="A2697" s="293" t="s">
        <v>8443</v>
      </c>
      <c r="B2697" s="293" t="s">
        <v>5666</v>
      </c>
      <c r="C2697" s="293" t="s">
        <v>6122</v>
      </c>
      <c r="D2697" s="293" t="s">
        <v>5878</v>
      </c>
      <c r="E2697" s="293" t="s">
        <v>6275</v>
      </c>
      <c r="F2697" s="293" t="s">
        <v>6579</v>
      </c>
      <c r="G2697" s="293" t="s">
        <v>5577</v>
      </c>
      <c r="H2697" s="294">
        <v>41517</v>
      </c>
      <c r="I2697" s="295">
        <v>-1179.21</v>
      </c>
    </row>
    <row r="2698" spans="1:9" x14ac:dyDescent="0.2">
      <c r="A2698" s="293" t="s">
        <v>8444</v>
      </c>
      <c r="B2698" s="293" t="s">
        <v>5666</v>
      </c>
      <c r="C2698" s="293" t="s">
        <v>6124</v>
      </c>
      <c r="D2698" s="293" t="s">
        <v>5878</v>
      </c>
      <c r="E2698" s="293" t="s">
        <v>6277</v>
      </c>
      <c r="F2698" s="293" t="s">
        <v>6579</v>
      </c>
      <c r="G2698" s="293" t="s">
        <v>5578</v>
      </c>
      <c r="H2698" s="294">
        <v>41517</v>
      </c>
      <c r="I2698" s="295">
        <v>-1019.33</v>
      </c>
    </row>
    <row r="2699" spans="1:9" x14ac:dyDescent="0.2">
      <c r="A2699" s="293" t="s">
        <v>8445</v>
      </c>
      <c r="B2699" s="293" t="s">
        <v>5666</v>
      </c>
      <c r="C2699" s="293" t="s">
        <v>6126</v>
      </c>
      <c r="D2699" s="293" t="s">
        <v>5878</v>
      </c>
      <c r="E2699" s="293" t="s">
        <v>6279</v>
      </c>
      <c r="F2699" s="293" t="s">
        <v>6579</v>
      </c>
      <c r="G2699" s="293" t="s">
        <v>5579</v>
      </c>
      <c r="H2699" s="294">
        <v>41517</v>
      </c>
      <c r="I2699" s="295">
        <v>-857.57</v>
      </c>
    </row>
    <row r="2700" spans="1:9" x14ac:dyDescent="0.2">
      <c r="A2700" s="293" t="s">
        <v>8446</v>
      </c>
      <c r="B2700" s="293" t="s">
        <v>5666</v>
      </c>
      <c r="C2700" s="293" t="s">
        <v>6091</v>
      </c>
      <c r="D2700" s="293" t="s">
        <v>5878</v>
      </c>
      <c r="E2700" s="293" t="s">
        <v>6281</v>
      </c>
      <c r="F2700" s="293" t="s">
        <v>6579</v>
      </c>
      <c r="G2700" s="293" t="s">
        <v>5573</v>
      </c>
      <c r="H2700" s="294">
        <v>41517</v>
      </c>
      <c r="I2700" s="295">
        <v>-3125.47</v>
      </c>
    </row>
    <row r="2701" spans="1:9" x14ac:dyDescent="0.2">
      <c r="A2701" s="293" t="s">
        <v>8447</v>
      </c>
      <c r="B2701" s="293" t="s">
        <v>5666</v>
      </c>
      <c r="C2701" s="293" t="s">
        <v>6093</v>
      </c>
      <c r="D2701" s="293" t="s">
        <v>5878</v>
      </c>
      <c r="E2701" s="293" t="s">
        <v>6283</v>
      </c>
      <c r="F2701" s="293" t="s">
        <v>6579</v>
      </c>
      <c r="G2701" s="293" t="s">
        <v>5573</v>
      </c>
      <c r="H2701" s="294">
        <v>41517</v>
      </c>
      <c r="I2701" s="295">
        <v>-4451.78</v>
      </c>
    </row>
    <row r="2702" spans="1:9" x14ac:dyDescent="0.2">
      <c r="A2702" s="293" t="s">
        <v>8448</v>
      </c>
      <c r="B2702" s="293" t="s">
        <v>5666</v>
      </c>
      <c r="C2702" s="293" t="s">
        <v>6080</v>
      </c>
      <c r="D2702" s="293" t="s">
        <v>5878</v>
      </c>
      <c r="E2702" s="293" t="s">
        <v>6285</v>
      </c>
      <c r="F2702" s="293" t="s">
        <v>6579</v>
      </c>
      <c r="G2702" s="293" t="s">
        <v>5573</v>
      </c>
      <c r="H2702" s="294">
        <v>41517</v>
      </c>
      <c r="I2702" s="295">
        <v>-10077.08</v>
      </c>
    </row>
    <row r="2703" spans="1:9" x14ac:dyDescent="0.2">
      <c r="A2703" s="293" t="s">
        <v>8449</v>
      </c>
      <c r="B2703" s="293" t="s">
        <v>5666</v>
      </c>
      <c r="C2703" s="293" t="s">
        <v>6095</v>
      </c>
      <c r="D2703" s="293" t="s">
        <v>5878</v>
      </c>
      <c r="E2703" s="293" t="s">
        <v>6287</v>
      </c>
      <c r="F2703" s="293" t="s">
        <v>6579</v>
      </c>
      <c r="G2703" s="293" t="s">
        <v>5580</v>
      </c>
      <c r="H2703" s="294">
        <v>41517</v>
      </c>
      <c r="I2703" s="295">
        <v>-5589.54</v>
      </c>
    </row>
    <row r="2704" spans="1:9" x14ac:dyDescent="0.2">
      <c r="A2704" s="293" t="s">
        <v>8450</v>
      </c>
      <c r="B2704" s="293" t="s">
        <v>5666</v>
      </c>
      <c r="C2704" s="293" t="s">
        <v>6097</v>
      </c>
      <c r="D2704" s="293" t="s">
        <v>5878</v>
      </c>
      <c r="E2704" s="293" t="s">
        <v>6289</v>
      </c>
      <c r="F2704" s="293" t="s">
        <v>6579</v>
      </c>
      <c r="G2704" s="293" t="s">
        <v>5580</v>
      </c>
      <c r="H2704" s="294">
        <v>41517</v>
      </c>
      <c r="I2704" s="295">
        <v>-10099.59</v>
      </c>
    </row>
    <row r="2705" spans="1:9" x14ac:dyDescent="0.2">
      <c r="A2705" s="293" t="s">
        <v>8451</v>
      </c>
      <c r="B2705" s="293" t="s">
        <v>5666</v>
      </c>
      <c r="C2705" s="293" t="s">
        <v>6099</v>
      </c>
      <c r="D2705" s="293" t="s">
        <v>5878</v>
      </c>
      <c r="E2705" s="293" t="s">
        <v>6291</v>
      </c>
      <c r="F2705" s="293" t="s">
        <v>6579</v>
      </c>
      <c r="G2705" s="293" t="s">
        <v>5579</v>
      </c>
      <c r="H2705" s="294">
        <v>41517</v>
      </c>
      <c r="I2705" s="295">
        <v>-1407.23</v>
      </c>
    </row>
    <row r="2706" spans="1:9" x14ac:dyDescent="0.2">
      <c r="A2706" s="293" t="s">
        <v>8452</v>
      </c>
      <c r="B2706" s="293" t="s">
        <v>5666</v>
      </c>
      <c r="C2706" s="293" t="s">
        <v>6083</v>
      </c>
      <c r="D2706" s="293" t="s">
        <v>5878</v>
      </c>
      <c r="E2706" s="293" t="s">
        <v>6293</v>
      </c>
      <c r="F2706" s="293" t="s">
        <v>6579</v>
      </c>
      <c r="G2706" s="293" t="s">
        <v>5579</v>
      </c>
      <c r="H2706" s="294">
        <v>41517</v>
      </c>
      <c r="I2706" s="295">
        <v>-2524.9</v>
      </c>
    </row>
    <row r="2707" spans="1:9" x14ac:dyDescent="0.2">
      <c r="A2707" s="293" t="s">
        <v>8453</v>
      </c>
      <c r="B2707" s="293" t="s">
        <v>5666</v>
      </c>
      <c r="C2707" s="293" t="s">
        <v>6101</v>
      </c>
      <c r="D2707" s="293" t="s">
        <v>5878</v>
      </c>
      <c r="E2707" s="293" t="s">
        <v>6295</v>
      </c>
      <c r="F2707" s="293" t="s">
        <v>6579</v>
      </c>
      <c r="G2707" s="293" t="s">
        <v>5580</v>
      </c>
      <c r="H2707" s="294">
        <v>41517</v>
      </c>
      <c r="I2707" s="295">
        <v>-193.73</v>
      </c>
    </row>
    <row r="2708" spans="1:9" x14ac:dyDescent="0.2">
      <c r="A2708" s="293" t="s">
        <v>8454</v>
      </c>
      <c r="B2708" s="293" t="s">
        <v>5666</v>
      </c>
      <c r="C2708" s="293" t="s">
        <v>6104</v>
      </c>
      <c r="D2708" s="293" t="s">
        <v>5878</v>
      </c>
      <c r="E2708" s="293" t="s">
        <v>6297</v>
      </c>
      <c r="F2708" s="293" t="s">
        <v>6579</v>
      </c>
      <c r="G2708" s="293" t="s">
        <v>5580</v>
      </c>
      <c r="H2708" s="294">
        <v>41517</v>
      </c>
      <c r="I2708" s="295">
        <v>-274.12</v>
      </c>
    </row>
    <row r="2709" spans="1:9" x14ac:dyDescent="0.2">
      <c r="A2709" s="293" t="s">
        <v>8455</v>
      </c>
      <c r="B2709" s="293" t="s">
        <v>5666</v>
      </c>
      <c r="C2709" s="293" t="s">
        <v>6106</v>
      </c>
      <c r="D2709" s="293" t="s">
        <v>5878</v>
      </c>
      <c r="E2709" s="293" t="s">
        <v>6299</v>
      </c>
      <c r="F2709" s="293" t="s">
        <v>6579</v>
      </c>
      <c r="G2709" s="293" t="s">
        <v>5580</v>
      </c>
      <c r="H2709" s="294">
        <v>41517</v>
      </c>
      <c r="I2709" s="295">
        <v>-1347.95</v>
      </c>
    </row>
    <row r="2710" spans="1:9" x14ac:dyDescent="0.2">
      <c r="A2710" s="293" t="s">
        <v>8456</v>
      </c>
      <c r="B2710" s="293" t="s">
        <v>5666</v>
      </c>
      <c r="C2710" s="293" t="s">
        <v>6108</v>
      </c>
      <c r="D2710" s="293" t="s">
        <v>5878</v>
      </c>
      <c r="E2710" s="293" t="s">
        <v>6301</v>
      </c>
      <c r="F2710" s="293" t="s">
        <v>6579</v>
      </c>
      <c r="G2710" s="293" t="s">
        <v>5580</v>
      </c>
      <c r="H2710" s="294">
        <v>41517</v>
      </c>
      <c r="I2710" s="295">
        <v>-1918.86</v>
      </c>
    </row>
    <row r="2711" spans="1:9" x14ac:dyDescent="0.2">
      <c r="A2711" s="293" t="s">
        <v>8457</v>
      </c>
      <c r="B2711" s="293" t="s">
        <v>5666</v>
      </c>
      <c r="C2711" s="293" t="s">
        <v>6110</v>
      </c>
      <c r="D2711" s="293" t="s">
        <v>5878</v>
      </c>
      <c r="E2711" s="293" t="s">
        <v>6303</v>
      </c>
      <c r="F2711" s="293" t="s">
        <v>6579</v>
      </c>
      <c r="G2711" s="293" t="s">
        <v>5573</v>
      </c>
      <c r="H2711" s="294">
        <v>41517</v>
      </c>
      <c r="I2711" s="295">
        <v>-1780.13</v>
      </c>
    </row>
    <row r="2712" spans="1:9" x14ac:dyDescent="0.2">
      <c r="A2712" s="293" t="s">
        <v>8458</v>
      </c>
      <c r="B2712" s="293" t="s">
        <v>5666</v>
      </c>
      <c r="C2712" s="293" t="s">
        <v>6115</v>
      </c>
      <c r="D2712" s="293" t="s">
        <v>5878</v>
      </c>
      <c r="E2712" s="293" t="s">
        <v>6305</v>
      </c>
      <c r="F2712" s="293" t="s">
        <v>6579</v>
      </c>
      <c r="G2712" s="293" t="s">
        <v>5581</v>
      </c>
      <c r="H2712" s="294">
        <v>41517</v>
      </c>
      <c r="I2712" s="295">
        <v>-2230.71</v>
      </c>
    </row>
    <row r="2713" spans="1:9" x14ac:dyDescent="0.2">
      <c r="A2713" s="293" t="s">
        <v>8459</v>
      </c>
      <c r="B2713" s="293" t="s">
        <v>5666</v>
      </c>
      <c r="C2713" s="293" t="s">
        <v>6086</v>
      </c>
      <c r="D2713" s="293" t="s">
        <v>5878</v>
      </c>
      <c r="E2713" s="293" t="s">
        <v>6307</v>
      </c>
      <c r="F2713" s="293" t="s">
        <v>6579</v>
      </c>
      <c r="G2713" s="293" t="s">
        <v>5581</v>
      </c>
      <c r="H2713" s="294">
        <v>41517</v>
      </c>
      <c r="I2713" s="295">
        <v>-2490.34</v>
      </c>
    </row>
    <row r="2714" spans="1:9" x14ac:dyDescent="0.2">
      <c r="A2714" s="293" t="s">
        <v>8460</v>
      </c>
      <c r="B2714" s="293" t="s">
        <v>5666</v>
      </c>
      <c r="C2714" s="293" t="s">
        <v>6113</v>
      </c>
      <c r="D2714" s="293" t="s">
        <v>5878</v>
      </c>
      <c r="E2714" s="293" t="s">
        <v>6316</v>
      </c>
      <c r="F2714" s="293" t="s">
        <v>6579</v>
      </c>
      <c r="G2714" s="293" t="s">
        <v>5573</v>
      </c>
      <c r="H2714" s="294">
        <v>41517</v>
      </c>
      <c r="I2714" s="295">
        <v>-5336.81</v>
      </c>
    </row>
    <row r="2715" spans="1:9" x14ac:dyDescent="0.2">
      <c r="A2715" s="293" t="s">
        <v>8461</v>
      </c>
      <c r="B2715" s="293" t="s">
        <v>5666</v>
      </c>
      <c r="C2715" s="293" t="s">
        <v>6313</v>
      </c>
      <c r="D2715" s="293" t="s">
        <v>5878</v>
      </c>
      <c r="E2715" s="293" t="s">
        <v>6314</v>
      </c>
      <c r="F2715" s="293" t="s">
        <v>6579</v>
      </c>
      <c r="G2715" s="293" t="s">
        <v>5576</v>
      </c>
      <c r="H2715" s="294">
        <v>41517</v>
      </c>
      <c r="I2715" s="295">
        <v>-4207.3500000000004</v>
      </c>
    </row>
    <row r="2716" spans="1:9" x14ac:dyDescent="0.2">
      <c r="A2716" s="293" t="s">
        <v>8462</v>
      </c>
      <c r="B2716" s="293" t="s">
        <v>5666</v>
      </c>
      <c r="C2716" s="293" t="s">
        <v>6272</v>
      </c>
      <c r="D2716" s="293" t="s">
        <v>5878</v>
      </c>
      <c r="E2716" s="293" t="s">
        <v>6273</v>
      </c>
      <c r="F2716" s="293" t="s">
        <v>6601</v>
      </c>
      <c r="G2716" s="293" t="s">
        <v>5576</v>
      </c>
      <c r="H2716" s="294">
        <v>41547</v>
      </c>
      <c r="I2716" s="295">
        <v>-3340.78</v>
      </c>
    </row>
    <row r="2717" spans="1:9" x14ac:dyDescent="0.2">
      <c r="A2717" s="293" t="s">
        <v>8463</v>
      </c>
      <c r="B2717" s="293" t="s">
        <v>5666</v>
      </c>
      <c r="C2717" s="293" t="s">
        <v>6122</v>
      </c>
      <c r="D2717" s="293" t="s">
        <v>5878</v>
      </c>
      <c r="E2717" s="293" t="s">
        <v>6275</v>
      </c>
      <c r="F2717" s="293" t="s">
        <v>6601</v>
      </c>
      <c r="G2717" s="293" t="s">
        <v>5577</v>
      </c>
      <c r="H2717" s="294">
        <v>41547</v>
      </c>
      <c r="I2717" s="295">
        <v>-1179.21</v>
      </c>
    </row>
    <row r="2718" spans="1:9" x14ac:dyDescent="0.2">
      <c r="A2718" s="293" t="s">
        <v>8464</v>
      </c>
      <c r="B2718" s="293" t="s">
        <v>5666</v>
      </c>
      <c r="C2718" s="293" t="s">
        <v>6124</v>
      </c>
      <c r="D2718" s="293" t="s">
        <v>5878</v>
      </c>
      <c r="E2718" s="293" t="s">
        <v>6277</v>
      </c>
      <c r="F2718" s="293" t="s">
        <v>6601</v>
      </c>
      <c r="G2718" s="293" t="s">
        <v>5578</v>
      </c>
      <c r="H2718" s="294">
        <v>41547</v>
      </c>
      <c r="I2718" s="295">
        <v>-1019.33</v>
      </c>
    </row>
    <row r="2719" spans="1:9" x14ac:dyDescent="0.2">
      <c r="A2719" s="293" t="s">
        <v>8465</v>
      </c>
      <c r="B2719" s="293" t="s">
        <v>5666</v>
      </c>
      <c r="C2719" s="293" t="s">
        <v>6126</v>
      </c>
      <c r="D2719" s="293" t="s">
        <v>5878</v>
      </c>
      <c r="E2719" s="293" t="s">
        <v>6279</v>
      </c>
      <c r="F2719" s="293" t="s">
        <v>6601</v>
      </c>
      <c r="G2719" s="293" t="s">
        <v>5579</v>
      </c>
      <c r="H2719" s="294">
        <v>41547</v>
      </c>
      <c r="I2719" s="295">
        <v>-857.57</v>
      </c>
    </row>
    <row r="2720" spans="1:9" x14ac:dyDescent="0.2">
      <c r="A2720" s="293" t="s">
        <v>8466</v>
      </c>
      <c r="B2720" s="293" t="s">
        <v>5666</v>
      </c>
      <c r="C2720" s="293" t="s">
        <v>6091</v>
      </c>
      <c r="D2720" s="293" t="s">
        <v>5878</v>
      </c>
      <c r="E2720" s="293" t="s">
        <v>6281</v>
      </c>
      <c r="F2720" s="293" t="s">
        <v>6601</v>
      </c>
      <c r="G2720" s="293" t="s">
        <v>5573</v>
      </c>
      <c r="H2720" s="294">
        <v>41547</v>
      </c>
      <c r="I2720" s="295">
        <v>-3125.47</v>
      </c>
    </row>
    <row r="2721" spans="1:9" x14ac:dyDescent="0.2">
      <c r="A2721" s="293" t="s">
        <v>8467</v>
      </c>
      <c r="B2721" s="293" t="s">
        <v>5666</v>
      </c>
      <c r="C2721" s="293" t="s">
        <v>6093</v>
      </c>
      <c r="D2721" s="293" t="s">
        <v>5878</v>
      </c>
      <c r="E2721" s="293" t="s">
        <v>6283</v>
      </c>
      <c r="F2721" s="293" t="s">
        <v>6601</v>
      </c>
      <c r="G2721" s="293" t="s">
        <v>5573</v>
      </c>
      <c r="H2721" s="294">
        <v>41547</v>
      </c>
      <c r="I2721" s="295">
        <v>-4451.78</v>
      </c>
    </row>
    <row r="2722" spans="1:9" x14ac:dyDescent="0.2">
      <c r="A2722" s="293" t="s">
        <v>8468</v>
      </c>
      <c r="B2722" s="293" t="s">
        <v>5666</v>
      </c>
      <c r="C2722" s="293" t="s">
        <v>6080</v>
      </c>
      <c r="D2722" s="293" t="s">
        <v>5878</v>
      </c>
      <c r="E2722" s="293" t="s">
        <v>6285</v>
      </c>
      <c r="F2722" s="293" t="s">
        <v>6601</v>
      </c>
      <c r="G2722" s="293" t="s">
        <v>5573</v>
      </c>
      <c r="H2722" s="294">
        <v>41547</v>
      </c>
      <c r="I2722" s="295">
        <v>-10077.08</v>
      </c>
    </row>
    <row r="2723" spans="1:9" x14ac:dyDescent="0.2">
      <c r="A2723" s="293" t="s">
        <v>8469</v>
      </c>
      <c r="B2723" s="293" t="s">
        <v>5666</v>
      </c>
      <c r="C2723" s="293" t="s">
        <v>6095</v>
      </c>
      <c r="D2723" s="293" t="s">
        <v>5878</v>
      </c>
      <c r="E2723" s="293" t="s">
        <v>6287</v>
      </c>
      <c r="F2723" s="293" t="s">
        <v>6601</v>
      </c>
      <c r="G2723" s="293" t="s">
        <v>5580</v>
      </c>
      <c r="H2723" s="294">
        <v>41547</v>
      </c>
      <c r="I2723" s="295">
        <v>-5589.54</v>
      </c>
    </row>
    <row r="2724" spans="1:9" x14ac:dyDescent="0.2">
      <c r="A2724" s="293" t="s">
        <v>8470</v>
      </c>
      <c r="B2724" s="293" t="s">
        <v>5666</v>
      </c>
      <c r="C2724" s="293" t="s">
        <v>6097</v>
      </c>
      <c r="D2724" s="293" t="s">
        <v>5878</v>
      </c>
      <c r="E2724" s="293" t="s">
        <v>6289</v>
      </c>
      <c r="F2724" s="293" t="s">
        <v>6601</v>
      </c>
      <c r="G2724" s="293" t="s">
        <v>5580</v>
      </c>
      <c r="H2724" s="294">
        <v>41547</v>
      </c>
      <c r="I2724" s="295">
        <v>-10099.59</v>
      </c>
    </row>
    <row r="2725" spans="1:9" x14ac:dyDescent="0.2">
      <c r="A2725" s="293" t="s">
        <v>8471</v>
      </c>
      <c r="B2725" s="293" t="s">
        <v>5666</v>
      </c>
      <c r="C2725" s="293" t="s">
        <v>6099</v>
      </c>
      <c r="D2725" s="293" t="s">
        <v>5878</v>
      </c>
      <c r="E2725" s="293" t="s">
        <v>6291</v>
      </c>
      <c r="F2725" s="293" t="s">
        <v>6601</v>
      </c>
      <c r="G2725" s="293" t="s">
        <v>5579</v>
      </c>
      <c r="H2725" s="294">
        <v>41547</v>
      </c>
      <c r="I2725" s="295">
        <v>-1407.23</v>
      </c>
    </row>
    <row r="2726" spans="1:9" x14ac:dyDescent="0.2">
      <c r="A2726" s="293" t="s">
        <v>8472</v>
      </c>
      <c r="B2726" s="293" t="s">
        <v>5666</v>
      </c>
      <c r="C2726" s="293" t="s">
        <v>6083</v>
      </c>
      <c r="D2726" s="293" t="s">
        <v>5878</v>
      </c>
      <c r="E2726" s="293" t="s">
        <v>6293</v>
      </c>
      <c r="F2726" s="293" t="s">
        <v>6601</v>
      </c>
      <c r="G2726" s="293" t="s">
        <v>5579</v>
      </c>
      <c r="H2726" s="294">
        <v>41547</v>
      </c>
      <c r="I2726" s="295">
        <v>-2524.9</v>
      </c>
    </row>
    <row r="2727" spans="1:9" x14ac:dyDescent="0.2">
      <c r="A2727" s="293" t="s">
        <v>8473</v>
      </c>
      <c r="B2727" s="293" t="s">
        <v>5666</v>
      </c>
      <c r="C2727" s="293" t="s">
        <v>6101</v>
      </c>
      <c r="D2727" s="293" t="s">
        <v>5878</v>
      </c>
      <c r="E2727" s="293" t="s">
        <v>6295</v>
      </c>
      <c r="F2727" s="293" t="s">
        <v>6601</v>
      </c>
      <c r="G2727" s="293" t="s">
        <v>5580</v>
      </c>
      <c r="H2727" s="294">
        <v>41547</v>
      </c>
      <c r="I2727" s="295">
        <v>-193.73</v>
      </c>
    </row>
    <row r="2728" spans="1:9" x14ac:dyDescent="0.2">
      <c r="A2728" s="293" t="s">
        <v>8474</v>
      </c>
      <c r="B2728" s="293" t="s">
        <v>5666</v>
      </c>
      <c r="C2728" s="293" t="s">
        <v>6104</v>
      </c>
      <c r="D2728" s="293" t="s">
        <v>5878</v>
      </c>
      <c r="E2728" s="293" t="s">
        <v>6297</v>
      </c>
      <c r="F2728" s="293" t="s">
        <v>6601</v>
      </c>
      <c r="G2728" s="293" t="s">
        <v>5580</v>
      </c>
      <c r="H2728" s="294">
        <v>41547</v>
      </c>
      <c r="I2728" s="295">
        <v>-274.12</v>
      </c>
    </row>
    <row r="2729" spans="1:9" x14ac:dyDescent="0.2">
      <c r="A2729" s="293" t="s">
        <v>8475</v>
      </c>
      <c r="B2729" s="293" t="s">
        <v>5666</v>
      </c>
      <c r="C2729" s="293" t="s">
        <v>6106</v>
      </c>
      <c r="D2729" s="293" t="s">
        <v>5878</v>
      </c>
      <c r="E2729" s="293" t="s">
        <v>6299</v>
      </c>
      <c r="F2729" s="293" t="s">
        <v>6601</v>
      </c>
      <c r="G2729" s="293" t="s">
        <v>5580</v>
      </c>
      <c r="H2729" s="294">
        <v>41547</v>
      </c>
      <c r="I2729" s="295">
        <v>-1347.95</v>
      </c>
    </row>
    <row r="2730" spans="1:9" x14ac:dyDescent="0.2">
      <c r="A2730" s="293" t="s">
        <v>8476</v>
      </c>
      <c r="B2730" s="293" t="s">
        <v>5666</v>
      </c>
      <c r="C2730" s="293" t="s">
        <v>6108</v>
      </c>
      <c r="D2730" s="293" t="s">
        <v>5878</v>
      </c>
      <c r="E2730" s="293" t="s">
        <v>6301</v>
      </c>
      <c r="F2730" s="293" t="s">
        <v>6601</v>
      </c>
      <c r="G2730" s="293" t="s">
        <v>5580</v>
      </c>
      <c r="H2730" s="294">
        <v>41547</v>
      </c>
      <c r="I2730" s="295">
        <v>-1918.86</v>
      </c>
    </row>
    <row r="2731" spans="1:9" x14ac:dyDescent="0.2">
      <c r="A2731" s="293" t="s">
        <v>8477</v>
      </c>
      <c r="B2731" s="293" t="s">
        <v>5666</v>
      </c>
      <c r="C2731" s="293" t="s">
        <v>6110</v>
      </c>
      <c r="D2731" s="293" t="s">
        <v>5878</v>
      </c>
      <c r="E2731" s="293" t="s">
        <v>6303</v>
      </c>
      <c r="F2731" s="293" t="s">
        <v>6601</v>
      </c>
      <c r="G2731" s="293" t="s">
        <v>5573</v>
      </c>
      <c r="H2731" s="294">
        <v>41547</v>
      </c>
      <c r="I2731" s="295">
        <v>-1780.13</v>
      </c>
    </row>
    <row r="2732" spans="1:9" x14ac:dyDescent="0.2">
      <c r="A2732" s="293" t="s">
        <v>8478</v>
      </c>
      <c r="B2732" s="293" t="s">
        <v>5666</v>
      </c>
      <c r="C2732" s="293" t="s">
        <v>6115</v>
      </c>
      <c r="D2732" s="293" t="s">
        <v>5878</v>
      </c>
      <c r="E2732" s="293" t="s">
        <v>6305</v>
      </c>
      <c r="F2732" s="293" t="s">
        <v>6601</v>
      </c>
      <c r="G2732" s="293" t="s">
        <v>5581</v>
      </c>
      <c r="H2732" s="294">
        <v>41547</v>
      </c>
      <c r="I2732" s="295">
        <v>-2230.71</v>
      </c>
    </row>
    <row r="2733" spans="1:9" x14ac:dyDescent="0.2">
      <c r="A2733" s="293" t="s">
        <v>8479</v>
      </c>
      <c r="B2733" s="293" t="s">
        <v>5666</v>
      </c>
      <c r="C2733" s="293" t="s">
        <v>6086</v>
      </c>
      <c r="D2733" s="293" t="s">
        <v>5878</v>
      </c>
      <c r="E2733" s="293" t="s">
        <v>6307</v>
      </c>
      <c r="F2733" s="293" t="s">
        <v>6601</v>
      </c>
      <c r="G2733" s="293" t="s">
        <v>5581</v>
      </c>
      <c r="H2733" s="294">
        <v>41547</v>
      </c>
      <c r="I2733" s="295">
        <v>-2490.34</v>
      </c>
    </row>
    <row r="2734" spans="1:9" x14ac:dyDescent="0.2">
      <c r="A2734" s="293" t="s">
        <v>8480</v>
      </c>
      <c r="B2734" s="293" t="s">
        <v>5666</v>
      </c>
      <c r="C2734" s="293" t="s">
        <v>6113</v>
      </c>
      <c r="D2734" s="293" t="s">
        <v>5878</v>
      </c>
      <c r="E2734" s="293" t="s">
        <v>6316</v>
      </c>
      <c r="F2734" s="293" t="s">
        <v>6601</v>
      </c>
      <c r="G2734" s="293" t="s">
        <v>5573</v>
      </c>
      <c r="H2734" s="294">
        <v>41547</v>
      </c>
      <c r="I2734" s="295">
        <v>-5336.81</v>
      </c>
    </row>
    <row r="2735" spans="1:9" x14ac:dyDescent="0.2">
      <c r="A2735" s="293" t="s">
        <v>8481</v>
      </c>
      <c r="B2735" s="293" t="s">
        <v>5666</v>
      </c>
      <c r="C2735" s="293" t="s">
        <v>6313</v>
      </c>
      <c r="D2735" s="293" t="s">
        <v>5878</v>
      </c>
      <c r="E2735" s="293" t="s">
        <v>6314</v>
      </c>
      <c r="F2735" s="293" t="s">
        <v>6601</v>
      </c>
      <c r="G2735" s="293" t="s">
        <v>5576</v>
      </c>
      <c r="H2735" s="294">
        <v>41547</v>
      </c>
      <c r="I2735" s="295">
        <v>-4207.3500000000004</v>
      </c>
    </row>
    <row r="2736" spans="1:9" x14ac:dyDescent="0.2">
      <c r="A2736" s="293" t="s">
        <v>8482</v>
      </c>
      <c r="B2736" s="293" t="s">
        <v>5666</v>
      </c>
      <c r="C2736" s="293" t="s">
        <v>6272</v>
      </c>
      <c r="D2736" s="293" t="s">
        <v>5878</v>
      </c>
      <c r="E2736" s="293" t="s">
        <v>6273</v>
      </c>
      <c r="F2736" s="293" t="s">
        <v>6621</v>
      </c>
      <c r="G2736" s="293" t="s">
        <v>5576</v>
      </c>
      <c r="H2736" s="294">
        <v>41578</v>
      </c>
      <c r="I2736" s="295">
        <v>-3340.78</v>
      </c>
    </row>
    <row r="2737" spans="1:9" x14ac:dyDescent="0.2">
      <c r="A2737" s="293" t="s">
        <v>8483</v>
      </c>
      <c r="B2737" s="293" t="s">
        <v>5666</v>
      </c>
      <c r="C2737" s="293" t="s">
        <v>6122</v>
      </c>
      <c r="D2737" s="293" t="s">
        <v>5878</v>
      </c>
      <c r="E2737" s="293" t="s">
        <v>6275</v>
      </c>
      <c r="F2737" s="293" t="s">
        <v>6621</v>
      </c>
      <c r="G2737" s="293" t="s">
        <v>5577</v>
      </c>
      <c r="H2737" s="294">
        <v>41578</v>
      </c>
      <c r="I2737" s="295">
        <v>-1179.21</v>
      </c>
    </row>
    <row r="2738" spans="1:9" x14ac:dyDescent="0.2">
      <c r="A2738" s="293" t="s">
        <v>8484</v>
      </c>
      <c r="B2738" s="293" t="s">
        <v>5666</v>
      </c>
      <c r="C2738" s="293" t="s">
        <v>6124</v>
      </c>
      <c r="D2738" s="293" t="s">
        <v>5878</v>
      </c>
      <c r="E2738" s="293" t="s">
        <v>6277</v>
      </c>
      <c r="F2738" s="293" t="s">
        <v>6621</v>
      </c>
      <c r="G2738" s="293" t="s">
        <v>5578</v>
      </c>
      <c r="H2738" s="294">
        <v>41578</v>
      </c>
      <c r="I2738" s="295">
        <v>-1019.33</v>
      </c>
    </row>
    <row r="2739" spans="1:9" x14ac:dyDescent="0.2">
      <c r="A2739" s="293" t="s">
        <v>8485</v>
      </c>
      <c r="B2739" s="293" t="s">
        <v>5666</v>
      </c>
      <c r="C2739" s="293" t="s">
        <v>6126</v>
      </c>
      <c r="D2739" s="293" t="s">
        <v>5878</v>
      </c>
      <c r="E2739" s="293" t="s">
        <v>6279</v>
      </c>
      <c r="F2739" s="293" t="s">
        <v>6621</v>
      </c>
      <c r="G2739" s="293" t="s">
        <v>5579</v>
      </c>
      <c r="H2739" s="294">
        <v>41578</v>
      </c>
      <c r="I2739" s="295">
        <v>-857.57</v>
      </c>
    </row>
    <row r="2740" spans="1:9" x14ac:dyDescent="0.2">
      <c r="A2740" s="293" t="s">
        <v>8486</v>
      </c>
      <c r="B2740" s="293" t="s">
        <v>5666</v>
      </c>
      <c r="C2740" s="293" t="s">
        <v>6091</v>
      </c>
      <c r="D2740" s="293" t="s">
        <v>5878</v>
      </c>
      <c r="E2740" s="293" t="s">
        <v>6281</v>
      </c>
      <c r="F2740" s="293" t="s">
        <v>6621</v>
      </c>
      <c r="G2740" s="293" t="s">
        <v>5573</v>
      </c>
      <c r="H2740" s="294">
        <v>41578</v>
      </c>
      <c r="I2740" s="295">
        <v>-3125.47</v>
      </c>
    </row>
    <row r="2741" spans="1:9" x14ac:dyDescent="0.2">
      <c r="A2741" s="293" t="s">
        <v>8487</v>
      </c>
      <c r="B2741" s="293" t="s">
        <v>5666</v>
      </c>
      <c r="C2741" s="293" t="s">
        <v>6093</v>
      </c>
      <c r="D2741" s="293" t="s">
        <v>5878</v>
      </c>
      <c r="E2741" s="293" t="s">
        <v>6283</v>
      </c>
      <c r="F2741" s="293" t="s">
        <v>6621</v>
      </c>
      <c r="G2741" s="293" t="s">
        <v>5573</v>
      </c>
      <c r="H2741" s="294">
        <v>41578</v>
      </c>
      <c r="I2741" s="295">
        <v>-4451.78</v>
      </c>
    </row>
    <row r="2742" spans="1:9" x14ac:dyDescent="0.2">
      <c r="A2742" s="293" t="s">
        <v>8488</v>
      </c>
      <c r="B2742" s="293" t="s">
        <v>5666</v>
      </c>
      <c r="C2742" s="293" t="s">
        <v>6080</v>
      </c>
      <c r="D2742" s="293" t="s">
        <v>5878</v>
      </c>
      <c r="E2742" s="293" t="s">
        <v>6285</v>
      </c>
      <c r="F2742" s="293" t="s">
        <v>6621</v>
      </c>
      <c r="G2742" s="293" t="s">
        <v>5573</v>
      </c>
      <c r="H2742" s="294">
        <v>41578</v>
      </c>
      <c r="I2742" s="295">
        <v>-10077.08</v>
      </c>
    </row>
    <row r="2743" spans="1:9" x14ac:dyDescent="0.2">
      <c r="A2743" s="293" t="s">
        <v>8489</v>
      </c>
      <c r="B2743" s="293" t="s">
        <v>5666</v>
      </c>
      <c r="C2743" s="293" t="s">
        <v>6095</v>
      </c>
      <c r="D2743" s="293" t="s">
        <v>5878</v>
      </c>
      <c r="E2743" s="293" t="s">
        <v>6287</v>
      </c>
      <c r="F2743" s="293" t="s">
        <v>6621</v>
      </c>
      <c r="G2743" s="293" t="s">
        <v>5580</v>
      </c>
      <c r="H2743" s="294">
        <v>41578</v>
      </c>
      <c r="I2743" s="295">
        <v>-5589.54</v>
      </c>
    </row>
    <row r="2744" spans="1:9" x14ac:dyDescent="0.2">
      <c r="A2744" s="293" t="s">
        <v>8490</v>
      </c>
      <c r="B2744" s="293" t="s">
        <v>5666</v>
      </c>
      <c r="C2744" s="293" t="s">
        <v>6097</v>
      </c>
      <c r="D2744" s="293" t="s">
        <v>5878</v>
      </c>
      <c r="E2744" s="293" t="s">
        <v>6289</v>
      </c>
      <c r="F2744" s="293" t="s">
        <v>6621</v>
      </c>
      <c r="G2744" s="293" t="s">
        <v>5580</v>
      </c>
      <c r="H2744" s="294">
        <v>41578</v>
      </c>
      <c r="I2744" s="295">
        <v>-10099.59</v>
      </c>
    </row>
    <row r="2745" spans="1:9" x14ac:dyDescent="0.2">
      <c r="A2745" s="293" t="s">
        <v>8491</v>
      </c>
      <c r="B2745" s="293" t="s">
        <v>5666</v>
      </c>
      <c r="C2745" s="293" t="s">
        <v>6099</v>
      </c>
      <c r="D2745" s="293" t="s">
        <v>5878</v>
      </c>
      <c r="E2745" s="293" t="s">
        <v>6291</v>
      </c>
      <c r="F2745" s="293" t="s">
        <v>6621</v>
      </c>
      <c r="G2745" s="293" t="s">
        <v>5579</v>
      </c>
      <c r="H2745" s="294">
        <v>41578</v>
      </c>
      <c r="I2745" s="295">
        <v>-1407.23</v>
      </c>
    </row>
    <row r="2746" spans="1:9" x14ac:dyDescent="0.2">
      <c r="A2746" s="293" t="s">
        <v>8492</v>
      </c>
      <c r="B2746" s="293" t="s">
        <v>5666</v>
      </c>
      <c r="C2746" s="293" t="s">
        <v>6083</v>
      </c>
      <c r="D2746" s="293" t="s">
        <v>5878</v>
      </c>
      <c r="E2746" s="293" t="s">
        <v>6293</v>
      </c>
      <c r="F2746" s="293" t="s">
        <v>6621</v>
      </c>
      <c r="G2746" s="293" t="s">
        <v>5579</v>
      </c>
      <c r="H2746" s="294">
        <v>41578</v>
      </c>
      <c r="I2746" s="295">
        <v>-2524.9</v>
      </c>
    </row>
    <row r="2747" spans="1:9" x14ac:dyDescent="0.2">
      <c r="A2747" s="293" t="s">
        <v>8493</v>
      </c>
      <c r="B2747" s="293" t="s">
        <v>5666</v>
      </c>
      <c r="C2747" s="293" t="s">
        <v>6101</v>
      </c>
      <c r="D2747" s="293" t="s">
        <v>5878</v>
      </c>
      <c r="E2747" s="293" t="s">
        <v>6295</v>
      </c>
      <c r="F2747" s="293" t="s">
        <v>6621</v>
      </c>
      <c r="G2747" s="293" t="s">
        <v>5580</v>
      </c>
      <c r="H2747" s="294">
        <v>41578</v>
      </c>
      <c r="I2747" s="295">
        <v>-193.73</v>
      </c>
    </row>
    <row r="2748" spans="1:9" x14ac:dyDescent="0.2">
      <c r="A2748" s="293" t="s">
        <v>8494</v>
      </c>
      <c r="B2748" s="293" t="s">
        <v>5666</v>
      </c>
      <c r="C2748" s="293" t="s">
        <v>6104</v>
      </c>
      <c r="D2748" s="293" t="s">
        <v>5878</v>
      </c>
      <c r="E2748" s="293" t="s">
        <v>6297</v>
      </c>
      <c r="F2748" s="293" t="s">
        <v>6621</v>
      </c>
      <c r="G2748" s="293" t="s">
        <v>5580</v>
      </c>
      <c r="H2748" s="294">
        <v>41578</v>
      </c>
      <c r="I2748" s="295">
        <v>-274.12</v>
      </c>
    </row>
    <row r="2749" spans="1:9" x14ac:dyDescent="0.2">
      <c r="A2749" s="293" t="s">
        <v>8495</v>
      </c>
      <c r="B2749" s="293" t="s">
        <v>5666</v>
      </c>
      <c r="C2749" s="293" t="s">
        <v>6106</v>
      </c>
      <c r="D2749" s="293" t="s">
        <v>5878</v>
      </c>
      <c r="E2749" s="293" t="s">
        <v>6299</v>
      </c>
      <c r="F2749" s="293" t="s">
        <v>6621</v>
      </c>
      <c r="G2749" s="293" t="s">
        <v>5580</v>
      </c>
      <c r="H2749" s="294">
        <v>41578</v>
      </c>
      <c r="I2749" s="295">
        <v>-1347.95</v>
      </c>
    </row>
    <row r="2750" spans="1:9" x14ac:dyDescent="0.2">
      <c r="A2750" s="293" t="s">
        <v>8496</v>
      </c>
      <c r="B2750" s="293" t="s">
        <v>5666</v>
      </c>
      <c r="C2750" s="293" t="s">
        <v>6108</v>
      </c>
      <c r="D2750" s="293" t="s">
        <v>5878</v>
      </c>
      <c r="E2750" s="293" t="s">
        <v>6301</v>
      </c>
      <c r="F2750" s="293" t="s">
        <v>6621</v>
      </c>
      <c r="G2750" s="293" t="s">
        <v>5580</v>
      </c>
      <c r="H2750" s="294">
        <v>41578</v>
      </c>
      <c r="I2750" s="295">
        <v>-1918.86</v>
      </c>
    </row>
    <row r="2751" spans="1:9" x14ac:dyDescent="0.2">
      <c r="A2751" s="293" t="s">
        <v>8497</v>
      </c>
      <c r="B2751" s="293" t="s">
        <v>5666</v>
      </c>
      <c r="C2751" s="293" t="s">
        <v>6110</v>
      </c>
      <c r="D2751" s="293" t="s">
        <v>5878</v>
      </c>
      <c r="E2751" s="293" t="s">
        <v>6303</v>
      </c>
      <c r="F2751" s="293" t="s">
        <v>6621</v>
      </c>
      <c r="G2751" s="293" t="s">
        <v>5573</v>
      </c>
      <c r="H2751" s="294">
        <v>41578</v>
      </c>
      <c r="I2751" s="295">
        <v>-1780.13</v>
      </c>
    </row>
    <row r="2752" spans="1:9" x14ac:dyDescent="0.2">
      <c r="A2752" s="293" t="s">
        <v>8498</v>
      </c>
      <c r="B2752" s="293" t="s">
        <v>5666</v>
      </c>
      <c r="C2752" s="293" t="s">
        <v>6115</v>
      </c>
      <c r="D2752" s="293" t="s">
        <v>5878</v>
      </c>
      <c r="E2752" s="293" t="s">
        <v>6305</v>
      </c>
      <c r="F2752" s="293" t="s">
        <v>6621</v>
      </c>
      <c r="G2752" s="293" t="s">
        <v>5581</v>
      </c>
      <c r="H2752" s="294">
        <v>41578</v>
      </c>
      <c r="I2752" s="295">
        <v>-2230.71</v>
      </c>
    </row>
    <row r="2753" spans="1:9" x14ac:dyDescent="0.2">
      <c r="A2753" s="293" t="s">
        <v>8499</v>
      </c>
      <c r="B2753" s="293" t="s">
        <v>5666</v>
      </c>
      <c r="C2753" s="293" t="s">
        <v>6086</v>
      </c>
      <c r="D2753" s="293" t="s">
        <v>5878</v>
      </c>
      <c r="E2753" s="293" t="s">
        <v>6307</v>
      </c>
      <c r="F2753" s="293" t="s">
        <v>6621</v>
      </c>
      <c r="G2753" s="293" t="s">
        <v>5581</v>
      </c>
      <c r="H2753" s="294">
        <v>41578</v>
      </c>
      <c r="I2753" s="295">
        <v>-2490.34</v>
      </c>
    </row>
    <row r="2754" spans="1:9" x14ac:dyDescent="0.2">
      <c r="A2754" s="293" t="s">
        <v>8500</v>
      </c>
      <c r="B2754" s="293" t="s">
        <v>5666</v>
      </c>
      <c r="C2754" s="293" t="s">
        <v>6113</v>
      </c>
      <c r="D2754" s="293" t="s">
        <v>5878</v>
      </c>
      <c r="E2754" s="293" t="s">
        <v>6316</v>
      </c>
      <c r="F2754" s="293" t="s">
        <v>6621</v>
      </c>
      <c r="G2754" s="293" t="s">
        <v>5573</v>
      </c>
      <c r="H2754" s="294">
        <v>41578</v>
      </c>
      <c r="I2754" s="295">
        <v>-5336.81</v>
      </c>
    </row>
    <row r="2755" spans="1:9" x14ac:dyDescent="0.2">
      <c r="A2755" s="293" t="s">
        <v>8501</v>
      </c>
      <c r="B2755" s="293" t="s">
        <v>5666</v>
      </c>
      <c r="C2755" s="293" t="s">
        <v>6313</v>
      </c>
      <c r="D2755" s="293" t="s">
        <v>5878</v>
      </c>
      <c r="E2755" s="293" t="s">
        <v>6314</v>
      </c>
      <c r="F2755" s="293" t="s">
        <v>6621</v>
      </c>
      <c r="G2755" s="293" t="s">
        <v>5576</v>
      </c>
      <c r="H2755" s="294">
        <v>41578</v>
      </c>
      <c r="I2755" s="295">
        <v>-4207.3500000000004</v>
      </c>
    </row>
    <row r="2756" spans="1:9" x14ac:dyDescent="0.2">
      <c r="A2756" s="293" t="s">
        <v>8502</v>
      </c>
      <c r="B2756" s="293" t="s">
        <v>5666</v>
      </c>
      <c r="C2756" s="293" t="s">
        <v>6272</v>
      </c>
      <c r="D2756" s="293" t="s">
        <v>5878</v>
      </c>
      <c r="E2756" s="293" t="s">
        <v>6273</v>
      </c>
      <c r="F2756" s="293" t="s">
        <v>6640</v>
      </c>
      <c r="G2756" s="293" t="s">
        <v>5576</v>
      </c>
      <c r="H2756" s="294">
        <v>41608</v>
      </c>
      <c r="I2756" s="295">
        <v>-3340.78</v>
      </c>
    </row>
    <row r="2757" spans="1:9" x14ac:dyDescent="0.2">
      <c r="A2757" s="293" t="s">
        <v>8503</v>
      </c>
      <c r="B2757" s="293" t="s">
        <v>5666</v>
      </c>
      <c r="C2757" s="293" t="s">
        <v>6122</v>
      </c>
      <c r="D2757" s="293" t="s">
        <v>5878</v>
      </c>
      <c r="E2757" s="293" t="s">
        <v>6275</v>
      </c>
      <c r="F2757" s="293" t="s">
        <v>6640</v>
      </c>
      <c r="G2757" s="293" t="s">
        <v>5577</v>
      </c>
      <c r="H2757" s="294">
        <v>41608</v>
      </c>
      <c r="I2757" s="295">
        <v>-1179.21</v>
      </c>
    </row>
    <row r="2758" spans="1:9" x14ac:dyDescent="0.2">
      <c r="A2758" s="293" t="s">
        <v>8504</v>
      </c>
      <c r="B2758" s="293" t="s">
        <v>5666</v>
      </c>
      <c r="C2758" s="293" t="s">
        <v>6124</v>
      </c>
      <c r="D2758" s="293" t="s">
        <v>5878</v>
      </c>
      <c r="E2758" s="293" t="s">
        <v>6277</v>
      </c>
      <c r="F2758" s="293" t="s">
        <v>6640</v>
      </c>
      <c r="G2758" s="293" t="s">
        <v>5578</v>
      </c>
      <c r="H2758" s="294">
        <v>41608</v>
      </c>
      <c r="I2758" s="295">
        <v>-1019.33</v>
      </c>
    </row>
    <row r="2759" spans="1:9" x14ac:dyDescent="0.2">
      <c r="A2759" s="293" t="s">
        <v>8505</v>
      </c>
      <c r="B2759" s="293" t="s">
        <v>5666</v>
      </c>
      <c r="C2759" s="293" t="s">
        <v>6126</v>
      </c>
      <c r="D2759" s="293" t="s">
        <v>5878</v>
      </c>
      <c r="E2759" s="293" t="s">
        <v>6279</v>
      </c>
      <c r="F2759" s="293" t="s">
        <v>6640</v>
      </c>
      <c r="G2759" s="293" t="s">
        <v>5579</v>
      </c>
      <c r="H2759" s="294">
        <v>41608</v>
      </c>
      <c r="I2759" s="295">
        <v>-857.57</v>
      </c>
    </row>
    <row r="2760" spans="1:9" x14ac:dyDescent="0.2">
      <c r="A2760" s="293" t="s">
        <v>8506</v>
      </c>
      <c r="B2760" s="293" t="s">
        <v>5666</v>
      </c>
      <c r="C2760" s="293" t="s">
        <v>6091</v>
      </c>
      <c r="D2760" s="293" t="s">
        <v>5878</v>
      </c>
      <c r="E2760" s="293" t="s">
        <v>6281</v>
      </c>
      <c r="F2760" s="293" t="s">
        <v>6640</v>
      </c>
      <c r="G2760" s="293" t="s">
        <v>5573</v>
      </c>
      <c r="H2760" s="294">
        <v>41608</v>
      </c>
      <c r="I2760" s="295">
        <v>-3125.47</v>
      </c>
    </row>
    <row r="2761" spans="1:9" x14ac:dyDescent="0.2">
      <c r="A2761" s="293" t="s">
        <v>8507</v>
      </c>
      <c r="B2761" s="293" t="s">
        <v>5666</v>
      </c>
      <c r="C2761" s="293" t="s">
        <v>6093</v>
      </c>
      <c r="D2761" s="293" t="s">
        <v>5878</v>
      </c>
      <c r="E2761" s="293" t="s">
        <v>6283</v>
      </c>
      <c r="F2761" s="293" t="s">
        <v>6640</v>
      </c>
      <c r="G2761" s="293" t="s">
        <v>5573</v>
      </c>
      <c r="H2761" s="294">
        <v>41608</v>
      </c>
      <c r="I2761" s="295">
        <v>-4451.78</v>
      </c>
    </row>
    <row r="2762" spans="1:9" x14ac:dyDescent="0.2">
      <c r="A2762" s="293" t="s">
        <v>8508</v>
      </c>
      <c r="B2762" s="293" t="s">
        <v>5666</v>
      </c>
      <c r="C2762" s="293" t="s">
        <v>6080</v>
      </c>
      <c r="D2762" s="293" t="s">
        <v>5878</v>
      </c>
      <c r="E2762" s="293" t="s">
        <v>6285</v>
      </c>
      <c r="F2762" s="293" t="s">
        <v>6640</v>
      </c>
      <c r="G2762" s="293" t="s">
        <v>5573</v>
      </c>
      <c r="H2762" s="294">
        <v>41608</v>
      </c>
      <c r="I2762" s="295">
        <v>-10077.08</v>
      </c>
    </row>
    <row r="2763" spans="1:9" x14ac:dyDescent="0.2">
      <c r="A2763" s="293" t="s">
        <v>8509</v>
      </c>
      <c r="B2763" s="293" t="s">
        <v>5666</v>
      </c>
      <c r="C2763" s="293" t="s">
        <v>6095</v>
      </c>
      <c r="D2763" s="293" t="s">
        <v>5878</v>
      </c>
      <c r="E2763" s="293" t="s">
        <v>6287</v>
      </c>
      <c r="F2763" s="293" t="s">
        <v>6640</v>
      </c>
      <c r="G2763" s="293" t="s">
        <v>5580</v>
      </c>
      <c r="H2763" s="294">
        <v>41608</v>
      </c>
      <c r="I2763" s="295">
        <v>-5589.54</v>
      </c>
    </row>
    <row r="2764" spans="1:9" x14ac:dyDescent="0.2">
      <c r="A2764" s="293" t="s">
        <v>8510</v>
      </c>
      <c r="B2764" s="293" t="s">
        <v>5666</v>
      </c>
      <c r="C2764" s="293" t="s">
        <v>6097</v>
      </c>
      <c r="D2764" s="293" t="s">
        <v>5878</v>
      </c>
      <c r="E2764" s="293" t="s">
        <v>6289</v>
      </c>
      <c r="F2764" s="293" t="s">
        <v>6640</v>
      </c>
      <c r="G2764" s="293" t="s">
        <v>5580</v>
      </c>
      <c r="H2764" s="294">
        <v>41608</v>
      </c>
      <c r="I2764" s="295">
        <v>-10099.59</v>
      </c>
    </row>
    <row r="2765" spans="1:9" x14ac:dyDescent="0.2">
      <c r="A2765" s="293" t="s">
        <v>8511</v>
      </c>
      <c r="B2765" s="293" t="s">
        <v>5666</v>
      </c>
      <c r="C2765" s="293" t="s">
        <v>6099</v>
      </c>
      <c r="D2765" s="293" t="s">
        <v>5878</v>
      </c>
      <c r="E2765" s="293" t="s">
        <v>6291</v>
      </c>
      <c r="F2765" s="293" t="s">
        <v>6640</v>
      </c>
      <c r="G2765" s="293" t="s">
        <v>5579</v>
      </c>
      <c r="H2765" s="294">
        <v>41608</v>
      </c>
      <c r="I2765" s="295">
        <v>-1407.23</v>
      </c>
    </row>
    <row r="2766" spans="1:9" x14ac:dyDescent="0.2">
      <c r="A2766" s="293" t="s">
        <v>8512</v>
      </c>
      <c r="B2766" s="293" t="s">
        <v>5666</v>
      </c>
      <c r="C2766" s="293" t="s">
        <v>6083</v>
      </c>
      <c r="D2766" s="293" t="s">
        <v>5878</v>
      </c>
      <c r="E2766" s="293" t="s">
        <v>6293</v>
      </c>
      <c r="F2766" s="293" t="s">
        <v>6640</v>
      </c>
      <c r="G2766" s="293" t="s">
        <v>5579</v>
      </c>
      <c r="H2766" s="294">
        <v>41608</v>
      </c>
      <c r="I2766" s="295">
        <v>-2524.9</v>
      </c>
    </row>
    <row r="2767" spans="1:9" x14ac:dyDescent="0.2">
      <c r="A2767" s="293" t="s">
        <v>8513</v>
      </c>
      <c r="B2767" s="293" t="s">
        <v>5666</v>
      </c>
      <c r="C2767" s="293" t="s">
        <v>6101</v>
      </c>
      <c r="D2767" s="293" t="s">
        <v>5878</v>
      </c>
      <c r="E2767" s="293" t="s">
        <v>6295</v>
      </c>
      <c r="F2767" s="293" t="s">
        <v>6640</v>
      </c>
      <c r="G2767" s="293" t="s">
        <v>5580</v>
      </c>
      <c r="H2767" s="294">
        <v>41608</v>
      </c>
      <c r="I2767" s="295">
        <v>-193.73</v>
      </c>
    </row>
    <row r="2768" spans="1:9" x14ac:dyDescent="0.2">
      <c r="A2768" s="293" t="s">
        <v>8514</v>
      </c>
      <c r="B2768" s="293" t="s">
        <v>5666</v>
      </c>
      <c r="C2768" s="293" t="s">
        <v>6104</v>
      </c>
      <c r="D2768" s="293" t="s">
        <v>5878</v>
      </c>
      <c r="E2768" s="293" t="s">
        <v>6297</v>
      </c>
      <c r="F2768" s="293" t="s">
        <v>6640</v>
      </c>
      <c r="G2768" s="293" t="s">
        <v>5580</v>
      </c>
      <c r="H2768" s="294">
        <v>41608</v>
      </c>
      <c r="I2768" s="295">
        <v>-274.12</v>
      </c>
    </row>
    <row r="2769" spans="1:9" x14ac:dyDescent="0.2">
      <c r="A2769" s="293" t="s">
        <v>8515</v>
      </c>
      <c r="B2769" s="293" t="s">
        <v>5666</v>
      </c>
      <c r="C2769" s="293" t="s">
        <v>6106</v>
      </c>
      <c r="D2769" s="293" t="s">
        <v>5878</v>
      </c>
      <c r="E2769" s="293" t="s">
        <v>6299</v>
      </c>
      <c r="F2769" s="293" t="s">
        <v>6640</v>
      </c>
      <c r="G2769" s="293" t="s">
        <v>5580</v>
      </c>
      <c r="H2769" s="294">
        <v>41608</v>
      </c>
      <c r="I2769" s="295">
        <v>-1347.95</v>
      </c>
    </row>
    <row r="2770" spans="1:9" x14ac:dyDescent="0.2">
      <c r="A2770" s="293" t="s">
        <v>8516</v>
      </c>
      <c r="B2770" s="293" t="s">
        <v>5666</v>
      </c>
      <c r="C2770" s="293" t="s">
        <v>6108</v>
      </c>
      <c r="D2770" s="293" t="s">
        <v>5878</v>
      </c>
      <c r="E2770" s="293" t="s">
        <v>6301</v>
      </c>
      <c r="F2770" s="293" t="s">
        <v>6640</v>
      </c>
      <c r="G2770" s="293" t="s">
        <v>5580</v>
      </c>
      <c r="H2770" s="294">
        <v>41608</v>
      </c>
      <c r="I2770" s="295">
        <v>-1918.86</v>
      </c>
    </row>
    <row r="2771" spans="1:9" x14ac:dyDescent="0.2">
      <c r="A2771" s="293" t="s">
        <v>8517</v>
      </c>
      <c r="B2771" s="293" t="s">
        <v>5666</v>
      </c>
      <c r="C2771" s="293" t="s">
        <v>6110</v>
      </c>
      <c r="D2771" s="293" t="s">
        <v>5878</v>
      </c>
      <c r="E2771" s="293" t="s">
        <v>6303</v>
      </c>
      <c r="F2771" s="293" t="s">
        <v>6640</v>
      </c>
      <c r="G2771" s="293" t="s">
        <v>5573</v>
      </c>
      <c r="H2771" s="294">
        <v>41608</v>
      </c>
      <c r="I2771" s="295">
        <v>-1780.13</v>
      </c>
    </row>
    <row r="2772" spans="1:9" x14ac:dyDescent="0.2">
      <c r="A2772" s="293" t="s">
        <v>8518</v>
      </c>
      <c r="B2772" s="293" t="s">
        <v>5666</v>
      </c>
      <c r="C2772" s="293" t="s">
        <v>6115</v>
      </c>
      <c r="D2772" s="293" t="s">
        <v>5878</v>
      </c>
      <c r="E2772" s="293" t="s">
        <v>6305</v>
      </c>
      <c r="F2772" s="293" t="s">
        <v>6640</v>
      </c>
      <c r="G2772" s="293" t="s">
        <v>5581</v>
      </c>
      <c r="H2772" s="294">
        <v>41608</v>
      </c>
      <c r="I2772" s="295">
        <v>-2230.71</v>
      </c>
    </row>
    <row r="2773" spans="1:9" x14ac:dyDescent="0.2">
      <c r="A2773" s="293" t="s">
        <v>8519</v>
      </c>
      <c r="B2773" s="293" t="s">
        <v>5666</v>
      </c>
      <c r="C2773" s="293" t="s">
        <v>6086</v>
      </c>
      <c r="D2773" s="293" t="s">
        <v>5878</v>
      </c>
      <c r="E2773" s="293" t="s">
        <v>6307</v>
      </c>
      <c r="F2773" s="293" t="s">
        <v>6640</v>
      </c>
      <c r="G2773" s="293" t="s">
        <v>5581</v>
      </c>
      <c r="H2773" s="294">
        <v>41608</v>
      </c>
      <c r="I2773" s="295">
        <v>-2490.34</v>
      </c>
    </row>
    <row r="2774" spans="1:9" x14ac:dyDescent="0.2">
      <c r="A2774" s="293" t="s">
        <v>8520</v>
      </c>
      <c r="B2774" s="293" t="s">
        <v>5666</v>
      </c>
      <c r="C2774" s="293" t="s">
        <v>6113</v>
      </c>
      <c r="D2774" s="293" t="s">
        <v>5878</v>
      </c>
      <c r="E2774" s="293" t="s">
        <v>6316</v>
      </c>
      <c r="F2774" s="293" t="s">
        <v>6640</v>
      </c>
      <c r="G2774" s="293" t="s">
        <v>5573</v>
      </c>
      <c r="H2774" s="294">
        <v>41608</v>
      </c>
      <c r="I2774" s="295">
        <v>-5336.81</v>
      </c>
    </row>
    <row r="2775" spans="1:9" x14ac:dyDescent="0.2">
      <c r="A2775" s="293" t="s">
        <v>8521</v>
      </c>
      <c r="B2775" s="293" t="s">
        <v>5666</v>
      </c>
      <c r="C2775" s="293" t="s">
        <v>6313</v>
      </c>
      <c r="D2775" s="293" t="s">
        <v>5878</v>
      </c>
      <c r="E2775" s="293" t="s">
        <v>6314</v>
      </c>
      <c r="F2775" s="293" t="s">
        <v>6640</v>
      </c>
      <c r="G2775" s="293" t="s">
        <v>5576</v>
      </c>
      <c r="H2775" s="294">
        <v>41608</v>
      </c>
      <c r="I2775" s="295">
        <v>-4207.3500000000004</v>
      </c>
    </row>
    <row r="2776" spans="1:9" x14ac:dyDescent="0.2">
      <c r="A2776" s="293" t="s">
        <v>8522</v>
      </c>
      <c r="B2776" s="293" t="s">
        <v>5666</v>
      </c>
      <c r="C2776" s="293" t="s">
        <v>6272</v>
      </c>
      <c r="D2776" s="293" t="s">
        <v>5878</v>
      </c>
      <c r="E2776" s="293" t="s">
        <v>6273</v>
      </c>
      <c r="F2776" s="293" t="s">
        <v>6657</v>
      </c>
      <c r="G2776" s="293" t="s">
        <v>5576</v>
      </c>
      <c r="H2776" s="294">
        <v>41639</v>
      </c>
      <c r="I2776" s="295">
        <v>-3340.78</v>
      </c>
    </row>
    <row r="2777" spans="1:9" x14ac:dyDescent="0.2">
      <c r="A2777" s="293" t="s">
        <v>8523</v>
      </c>
      <c r="B2777" s="293" t="s">
        <v>5666</v>
      </c>
      <c r="C2777" s="293" t="s">
        <v>6122</v>
      </c>
      <c r="D2777" s="293" t="s">
        <v>5878</v>
      </c>
      <c r="E2777" s="293" t="s">
        <v>6275</v>
      </c>
      <c r="F2777" s="293" t="s">
        <v>6657</v>
      </c>
      <c r="G2777" s="293" t="s">
        <v>5577</v>
      </c>
      <c r="H2777" s="294">
        <v>41639</v>
      </c>
      <c r="I2777" s="295">
        <v>-1179.21</v>
      </c>
    </row>
    <row r="2778" spans="1:9" x14ac:dyDescent="0.2">
      <c r="A2778" s="293" t="s">
        <v>8524</v>
      </c>
      <c r="B2778" s="293" t="s">
        <v>5666</v>
      </c>
      <c r="C2778" s="293" t="s">
        <v>6124</v>
      </c>
      <c r="D2778" s="293" t="s">
        <v>5878</v>
      </c>
      <c r="E2778" s="293" t="s">
        <v>6277</v>
      </c>
      <c r="F2778" s="293" t="s">
        <v>6657</v>
      </c>
      <c r="G2778" s="293" t="s">
        <v>5578</v>
      </c>
      <c r="H2778" s="294">
        <v>41639</v>
      </c>
      <c r="I2778" s="295">
        <v>-1019.33</v>
      </c>
    </row>
    <row r="2779" spans="1:9" x14ac:dyDescent="0.2">
      <c r="A2779" s="293" t="s">
        <v>8525</v>
      </c>
      <c r="B2779" s="293" t="s">
        <v>5666</v>
      </c>
      <c r="C2779" s="293" t="s">
        <v>6126</v>
      </c>
      <c r="D2779" s="293" t="s">
        <v>5878</v>
      </c>
      <c r="E2779" s="293" t="s">
        <v>6279</v>
      </c>
      <c r="F2779" s="293" t="s">
        <v>6657</v>
      </c>
      <c r="G2779" s="293" t="s">
        <v>5579</v>
      </c>
      <c r="H2779" s="294">
        <v>41639</v>
      </c>
      <c r="I2779" s="295">
        <v>-857.57</v>
      </c>
    </row>
    <row r="2780" spans="1:9" x14ac:dyDescent="0.2">
      <c r="A2780" s="293" t="s">
        <v>8526</v>
      </c>
      <c r="B2780" s="293" t="s">
        <v>5666</v>
      </c>
      <c r="C2780" s="293" t="s">
        <v>6091</v>
      </c>
      <c r="D2780" s="293" t="s">
        <v>5878</v>
      </c>
      <c r="E2780" s="293" t="s">
        <v>6281</v>
      </c>
      <c r="F2780" s="293" t="s">
        <v>6657</v>
      </c>
      <c r="G2780" s="293" t="s">
        <v>5573</v>
      </c>
      <c r="H2780" s="294">
        <v>41639</v>
      </c>
      <c r="I2780" s="295">
        <v>-3125.47</v>
      </c>
    </row>
    <row r="2781" spans="1:9" x14ac:dyDescent="0.2">
      <c r="A2781" s="293" t="s">
        <v>8527</v>
      </c>
      <c r="B2781" s="293" t="s">
        <v>5666</v>
      </c>
      <c r="C2781" s="293" t="s">
        <v>6093</v>
      </c>
      <c r="D2781" s="293" t="s">
        <v>5878</v>
      </c>
      <c r="E2781" s="293" t="s">
        <v>6283</v>
      </c>
      <c r="F2781" s="293" t="s">
        <v>6657</v>
      </c>
      <c r="G2781" s="293" t="s">
        <v>5573</v>
      </c>
      <c r="H2781" s="294">
        <v>41639</v>
      </c>
      <c r="I2781" s="295">
        <v>-4451.78</v>
      </c>
    </row>
    <row r="2782" spans="1:9" x14ac:dyDescent="0.2">
      <c r="A2782" s="293" t="s">
        <v>8528</v>
      </c>
      <c r="B2782" s="293" t="s">
        <v>5666</v>
      </c>
      <c r="C2782" s="293" t="s">
        <v>6080</v>
      </c>
      <c r="D2782" s="293" t="s">
        <v>5878</v>
      </c>
      <c r="E2782" s="293" t="s">
        <v>6285</v>
      </c>
      <c r="F2782" s="293" t="s">
        <v>6657</v>
      </c>
      <c r="G2782" s="293" t="s">
        <v>5573</v>
      </c>
      <c r="H2782" s="294">
        <v>41639</v>
      </c>
      <c r="I2782" s="295">
        <v>-10077.08</v>
      </c>
    </row>
    <row r="2783" spans="1:9" x14ac:dyDescent="0.2">
      <c r="A2783" s="293" t="s">
        <v>8529</v>
      </c>
      <c r="B2783" s="293" t="s">
        <v>5666</v>
      </c>
      <c r="C2783" s="293" t="s">
        <v>6095</v>
      </c>
      <c r="D2783" s="293" t="s">
        <v>5878</v>
      </c>
      <c r="E2783" s="293" t="s">
        <v>6287</v>
      </c>
      <c r="F2783" s="293" t="s">
        <v>6657</v>
      </c>
      <c r="G2783" s="293" t="s">
        <v>5580</v>
      </c>
      <c r="H2783" s="294">
        <v>41639</v>
      </c>
      <c r="I2783" s="295">
        <v>-5589.54</v>
      </c>
    </row>
    <row r="2784" spans="1:9" x14ac:dyDescent="0.2">
      <c r="A2784" s="293" t="s">
        <v>8530</v>
      </c>
      <c r="B2784" s="293" t="s">
        <v>5666</v>
      </c>
      <c r="C2784" s="293" t="s">
        <v>6097</v>
      </c>
      <c r="D2784" s="293" t="s">
        <v>5878</v>
      </c>
      <c r="E2784" s="293" t="s">
        <v>6289</v>
      </c>
      <c r="F2784" s="293" t="s">
        <v>6657</v>
      </c>
      <c r="G2784" s="293" t="s">
        <v>5580</v>
      </c>
      <c r="H2784" s="294">
        <v>41639</v>
      </c>
      <c r="I2784" s="295">
        <v>-10099.59</v>
      </c>
    </row>
    <row r="2785" spans="1:9" x14ac:dyDescent="0.2">
      <c r="A2785" s="293" t="s">
        <v>8531</v>
      </c>
      <c r="B2785" s="293" t="s">
        <v>5666</v>
      </c>
      <c r="C2785" s="293" t="s">
        <v>6099</v>
      </c>
      <c r="D2785" s="293" t="s">
        <v>5878</v>
      </c>
      <c r="E2785" s="293" t="s">
        <v>6291</v>
      </c>
      <c r="F2785" s="293" t="s">
        <v>6657</v>
      </c>
      <c r="G2785" s="293" t="s">
        <v>5579</v>
      </c>
      <c r="H2785" s="294">
        <v>41639</v>
      </c>
      <c r="I2785" s="295">
        <v>-1407.23</v>
      </c>
    </row>
    <row r="2786" spans="1:9" x14ac:dyDescent="0.2">
      <c r="A2786" s="293" t="s">
        <v>8532</v>
      </c>
      <c r="B2786" s="293" t="s">
        <v>5666</v>
      </c>
      <c r="C2786" s="293" t="s">
        <v>6083</v>
      </c>
      <c r="D2786" s="293" t="s">
        <v>5878</v>
      </c>
      <c r="E2786" s="293" t="s">
        <v>6293</v>
      </c>
      <c r="F2786" s="293" t="s">
        <v>6657</v>
      </c>
      <c r="G2786" s="293" t="s">
        <v>5579</v>
      </c>
      <c r="H2786" s="294">
        <v>41639</v>
      </c>
      <c r="I2786" s="295">
        <v>-2524.9</v>
      </c>
    </row>
    <row r="2787" spans="1:9" x14ac:dyDescent="0.2">
      <c r="A2787" s="293" t="s">
        <v>8533</v>
      </c>
      <c r="B2787" s="293" t="s">
        <v>5666</v>
      </c>
      <c r="C2787" s="293" t="s">
        <v>6101</v>
      </c>
      <c r="D2787" s="293" t="s">
        <v>5878</v>
      </c>
      <c r="E2787" s="293" t="s">
        <v>6295</v>
      </c>
      <c r="F2787" s="293" t="s">
        <v>6657</v>
      </c>
      <c r="G2787" s="293" t="s">
        <v>5580</v>
      </c>
      <c r="H2787" s="294">
        <v>41639</v>
      </c>
      <c r="I2787" s="295">
        <v>-193.73</v>
      </c>
    </row>
    <row r="2788" spans="1:9" x14ac:dyDescent="0.2">
      <c r="A2788" s="293" t="s">
        <v>8534</v>
      </c>
      <c r="B2788" s="293" t="s">
        <v>5666</v>
      </c>
      <c r="C2788" s="293" t="s">
        <v>6104</v>
      </c>
      <c r="D2788" s="293" t="s">
        <v>5878</v>
      </c>
      <c r="E2788" s="293" t="s">
        <v>6297</v>
      </c>
      <c r="F2788" s="293" t="s">
        <v>6657</v>
      </c>
      <c r="G2788" s="293" t="s">
        <v>5580</v>
      </c>
      <c r="H2788" s="294">
        <v>41639</v>
      </c>
      <c r="I2788" s="295">
        <v>-274.12</v>
      </c>
    </row>
    <row r="2789" spans="1:9" x14ac:dyDescent="0.2">
      <c r="A2789" s="293" t="s">
        <v>8535</v>
      </c>
      <c r="B2789" s="293" t="s">
        <v>5666</v>
      </c>
      <c r="C2789" s="293" t="s">
        <v>6106</v>
      </c>
      <c r="D2789" s="293" t="s">
        <v>5878</v>
      </c>
      <c r="E2789" s="293" t="s">
        <v>6299</v>
      </c>
      <c r="F2789" s="293" t="s">
        <v>6657</v>
      </c>
      <c r="G2789" s="293" t="s">
        <v>5580</v>
      </c>
      <c r="H2789" s="294">
        <v>41639</v>
      </c>
      <c r="I2789" s="295">
        <v>-1347.95</v>
      </c>
    </row>
    <row r="2790" spans="1:9" x14ac:dyDescent="0.2">
      <c r="A2790" s="293" t="s">
        <v>8536</v>
      </c>
      <c r="B2790" s="293" t="s">
        <v>5666</v>
      </c>
      <c r="C2790" s="293" t="s">
        <v>6108</v>
      </c>
      <c r="D2790" s="293" t="s">
        <v>5878</v>
      </c>
      <c r="E2790" s="293" t="s">
        <v>6301</v>
      </c>
      <c r="F2790" s="293" t="s">
        <v>6657</v>
      </c>
      <c r="G2790" s="293" t="s">
        <v>5580</v>
      </c>
      <c r="H2790" s="294">
        <v>41639</v>
      </c>
      <c r="I2790" s="295">
        <v>-1918.86</v>
      </c>
    </row>
    <row r="2791" spans="1:9" x14ac:dyDescent="0.2">
      <c r="A2791" s="293" t="s">
        <v>8537</v>
      </c>
      <c r="B2791" s="293" t="s">
        <v>5666</v>
      </c>
      <c r="C2791" s="293" t="s">
        <v>6110</v>
      </c>
      <c r="D2791" s="293" t="s">
        <v>5878</v>
      </c>
      <c r="E2791" s="293" t="s">
        <v>6303</v>
      </c>
      <c r="F2791" s="293" t="s">
        <v>6657</v>
      </c>
      <c r="G2791" s="293" t="s">
        <v>5573</v>
      </c>
      <c r="H2791" s="294">
        <v>41639</v>
      </c>
      <c r="I2791" s="295">
        <v>-1780.13</v>
      </c>
    </row>
    <row r="2792" spans="1:9" x14ac:dyDescent="0.2">
      <c r="A2792" s="293" t="s">
        <v>8538</v>
      </c>
      <c r="B2792" s="293" t="s">
        <v>5666</v>
      </c>
      <c r="C2792" s="293" t="s">
        <v>6115</v>
      </c>
      <c r="D2792" s="293" t="s">
        <v>5878</v>
      </c>
      <c r="E2792" s="293" t="s">
        <v>6305</v>
      </c>
      <c r="F2792" s="293" t="s">
        <v>6657</v>
      </c>
      <c r="G2792" s="293" t="s">
        <v>5581</v>
      </c>
      <c r="H2792" s="294">
        <v>41639</v>
      </c>
      <c r="I2792" s="295">
        <v>-2230.71</v>
      </c>
    </row>
    <row r="2793" spans="1:9" x14ac:dyDescent="0.2">
      <c r="A2793" s="293" t="s">
        <v>8539</v>
      </c>
      <c r="B2793" s="293" t="s">
        <v>5666</v>
      </c>
      <c r="C2793" s="293" t="s">
        <v>6086</v>
      </c>
      <c r="D2793" s="293" t="s">
        <v>5878</v>
      </c>
      <c r="E2793" s="293" t="s">
        <v>6307</v>
      </c>
      <c r="F2793" s="293" t="s">
        <v>6657</v>
      </c>
      <c r="G2793" s="293" t="s">
        <v>5581</v>
      </c>
      <c r="H2793" s="294">
        <v>41639</v>
      </c>
      <c r="I2793" s="295">
        <v>-2490.34</v>
      </c>
    </row>
    <row r="2794" spans="1:9" x14ac:dyDescent="0.2">
      <c r="A2794" s="293" t="s">
        <v>8540</v>
      </c>
      <c r="B2794" s="293" t="s">
        <v>5666</v>
      </c>
      <c r="C2794" s="293" t="s">
        <v>6113</v>
      </c>
      <c r="D2794" s="293" t="s">
        <v>5878</v>
      </c>
      <c r="E2794" s="293" t="s">
        <v>6316</v>
      </c>
      <c r="F2794" s="293" t="s">
        <v>6657</v>
      </c>
      <c r="G2794" s="293" t="s">
        <v>5573</v>
      </c>
      <c r="H2794" s="294">
        <v>41639</v>
      </c>
      <c r="I2794" s="295">
        <v>-5336.81</v>
      </c>
    </row>
    <row r="2795" spans="1:9" x14ac:dyDescent="0.2">
      <c r="A2795" s="293" t="s">
        <v>8541</v>
      </c>
      <c r="B2795" s="293" t="s">
        <v>5666</v>
      </c>
      <c r="C2795" s="293" t="s">
        <v>6313</v>
      </c>
      <c r="D2795" s="293" t="s">
        <v>5878</v>
      </c>
      <c r="E2795" s="293" t="s">
        <v>6314</v>
      </c>
      <c r="F2795" s="293" t="s">
        <v>6657</v>
      </c>
      <c r="G2795" s="293" t="s">
        <v>5576</v>
      </c>
      <c r="H2795" s="294">
        <v>41639</v>
      </c>
      <c r="I2795" s="295">
        <v>-4207.3500000000004</v>
      </c>
    </row>
    <row r="2796" spans="1:9" x14ac:dyDescent="0.2">
      <c r="A2796" s="293" t="s">
        <v>8542</v>
      </c>
      <c r="B2796" s="293" t="s">
        <v>5666</v>
      </c>
      <c r="C2796" s="293" t="s">
        <v>6272</v>
      </c>
      <c r="D2796" s="293" t="s">
        <v>5878</v>
      </c>
      <c r="E2796" s="293" t="s">
        <v>6273</v>
      </c>
      <c r="F2796" s="293" t="s">
        <v>6677</v>
      </c>
      <c r="G2796" s="293" t="s">
        <v>5576</v>
      </c>
      <c r="H2796" s="294">
        <v>41670</v>
      </c>
      <c r="I2796" s="295">
        <v>-3340.78</v>
      </c>
    </row>
    <row r="2797" spans="1:9" x14ac:dyDescent="0.2">
      <c r="A2797" s="293" t="s">
        <v>8543</v>
      </c>
      <c r="B2797" s="293" t="s">
        <v>5666</v>
      </c>
      <c r="C2797" s="293" t="s">
        <v>6122</v>
      </c>
      <c r="D2797" s="293" t="s">
        <v>5878</v>
      </c>
      <c r="E2797" s="293" t="s">
        <v>6275</v>
      </c>
      <c r="F2797" s="293" t="s">
        <v>6677</v>
      </c>
      <c r="G2797" s="293" t="s">
        <v>5577</v>
      </c>
      <c r="H2797" s="294">
        <v>41670</v>
      </c>
      <c r="I2797" s="295">
        <v>-1179.21</v>
      </c>
    </row>
    <row r="2798" spans="1:9" x14ac:dyDescent="0.2">
      <c r="A2798" s="293" t="s">
        <v>8544</v>
      </c>
      <c r="B2798" s="293" t="s">
        <v>5666</v>
      </c>
      <c r="C2798" s="293" t="s">
        <v>6124</v>
      </c>
      <c r="D2798" s="293" t="s">
        <v>5878</v>
      </c>
      <c r="E2798" s="293" t="s">
        <v>6277</v>
      </c>
      <c r="F2798" s="293" t="s">
        <v>6677</v>
      </c>
      <c r="G2798" s="293" t="s">
        <v>5578</v>
      </c>
      <c r="H2798" s="294">
        <v>41670</v>
      </c>
      <c r="I2798" s="295">
        <v>-1019.33</v>
      </c>
    </row>
    <row r="2799" spans="1:9" x14ac:dyDescent="0.2">
      <c r="A2799" s="293" t="s">
        <v>8545</v>
      </c>
      <c r="B2799" s="293" t="s">
        <v>5666</v>
      </c>
      <c r="C2799" s="293" t="s">
        <v>6126</v>
      </c>
      <c r="D2799" s="293" t="s">
        <v>5878</v>
      </c>
      <c r="E2799" s="293" t="s">
        <v>6279</v>
      </c>
      <c r="F2799" s="293" t="s">
        <v>6677</v>
      </c>
      <c r="G2799" s="293" t="s">
        <v>5579</v>
      </c>
      <c r="H2799" s="294">
        <v>41670</v>
      </c>
      <c r="I2799" s="295">
        <v>-857.57</v>
      </c>
    </row>
    <row r="2800" spans="1:9" x14ac:dyDescent="0.2">
      <c r="A2800" s="293" t="s">
        <v>8546</v>
      </c>
      <c r="B2800" s="293" t="s">
        <v>5666</v>
      </c>
      <c r="C2800" s="293" t="s">
        <v>6091</v>
      </c>
      <c r="D2800" s="293" t="s">
        <v>5878</v>
      </c>
      <c r="E2800" s="293" t="s">
        <v>6281</v>
      </c>
      <c r="F2800" s="293" t="s">
        <v>6677</v>
      </c>
      <c r="G2800" s="293" t="s">
        <v>5573</v>
      </c>
      <c r="H2800" s="294">
        <v>41670</v>
      </c>
      <c r="I2800" s="295">
        <v>-3125.47</v>
      </c>
    </row>
    <row r="2801" spans="1:9" x14ac:dyDescent="0.2">
      <c r="A2801" s="293" t="s">
        <v>8547</v>
      </c>
      <c r="B2801" s="293" t="s">
        <v>5666</v>
      </c>
      <c r="C2801" s="293" t="s">
        <v>6093</v>
      </c>
      <c r="D2801" s="293" t="s">
        <v>5878</v>
      </c>
      <c r="E2801" s="293" t="s">
        <v>6283</v>
      </c>
      <c r="F2801" s="293" t="s">
        <v>6677</v>
      </c>
      <c r="G2801" s="293" t="s">
        <v>5573</v>
      </c>
      <c r="H2801" s="294">
        <v>41670</v>
      </c>
      <c r="I2801" s="295">
        <v>-4451.78</v>
      </c>
    </row>
    <row r="2802" spans="1:9" x14ac:dyDescent="0.2">
      <c r="A2802" s="293" t="s">
        <v>8548</v>
      </c>
      <c r="B2802" s="293" t="s">
        <v>5666</v>
      </c>
      <c r="C2802" s="293" t="s">
        <v>6080</v>
      </c>
      <c r="D2802" s="293" t="s">
        <v>5878</v>
      </c>
      <c r="E2802" s="293" t="s">
        <v>6285</v>
      </c>
      <c r="F2802" s="293" t="s">
        <v>6677</v>
      </c>
      <c r="G2802" s="293" t="s">
        <v>5573</v>
      </c>
      <c r="H2802" s="294">
        <v>41670</v>
      </c>
      <c r="I2802" s="295">
        <v>-10077.08</v>
      </c>
    </row>
    <row r="2803" spans="1:9" x14ac:dyDescent="0.2">
      <c r="A2803" s="293" t="s">
        <v>8549</v>
      </c>
      <c r="B2803" s="293" t="s">
        <v>5666</v>
      </c>
      <c r="C2803" s="293" t="s">
        <v>6095</v>
      </c>
      <c r="D2803" s="293" t="s">
        <v>5878</v>
      </c>
      <c r="E2803" s="293" t="s">
        <v>6287</v>
      </c>
      <c r="F2803" s="293" t="s">
        <v>6677</v>
      </c>
      <c r="G2803" s="293" t="s">
        <v>5580</v>
      </c>
      <c r="H2803" s="294">
        <v>41670</v>
      </c>
      <c r="I2803" s="295">
        <v>-5589.54</v>
      </c>
    </row>
    <row r="2804" spans="1:9" x14ac:dyDescent="0.2">
      <c r="A2804" s="293" t="s">
        <v>8550</v>
      </c>
      <c r="B2804" s="293" t="s">
        <v>5666</v>
      </c>
      <c r="C2804" s="293" t="s">
        <v>6097</v>
      </c>
      <c r="D2804" s="293" t="s">
        <v>5878</v>
      </c>
      <c r="E2804" s="293" t="s">
        <v>6289</v>
      </c>
      <c r="F2804" s="293" t="s">
        <v>6677</v>
      </c>
      <c r="G2804" s="293" t="s">
        <v>5580</v>
      </c>
      <c r="H2804" s="294">
        <v>41670</v>
      </c>
      <c r="I2804" s="295">
        <v>-10099.59</v>
      </c>
    </row>
    <row r="2805" spans="1:9" x14ac:dyDescent="0.2">
      <c r="A2805" s="293" t="s">
        <v>8551</v>
      </c>
      <c r="B2805" s="293" t="s">
        <v>5666</v>
      </c>
      <c r="C2805" s="293" t="s">
        <v>6099</v>
      </c>
      <c r="D2805" s="293" t="s">
        <v>5878</v>
      </c>
      <c r="E2805" s="293" t="s">
        <v>6291</v>
      </c>
      <c r="F2805" s="293" t="s">
        <v>6677</v>
      </c>
      <c r="G2805" s="293" t="s">
        <v>5579</v>
      </c>
      <c r="H2805" s="294">
        <v>41670</v>
      </c>
      <c r="I2805" s="295">
        <v>-1407.23</v>
      </c>
    </row>
    <row r="2806" spans="1:9" x14ac:dyDescent="0.2">
      <c r="A2806" s="293" t="s">
        <v>8552</v>
      </c>
      <c r="B2806" s="293" t="s">
        <v>5666</v>
      </c>
      <c r="C2806" s="293" t="s">
        <v>6083</v>
      </c>
      <c r="D2806" s="293" t="s">
        <v>5878</v>
      </c>
      <c r="E2806" s="293" t="s">
        <v>6293</v>
      </c>
      <c r="F2806" s="293" t="s">
        <v>6677</v>
      </c>
      <c r="G2806" s="293" t="s">
        <v>5579</v>
      </c>
      <c r="H2806" s="294">
        <v>41670</v>
      </c>
      <c r="I2806" s="295">
        <v>-2524.9</v>
      </c>
    </row>
    <row r="2807" spans="1:9" x14ac:dyDescent="0.2">
      <c r="A2807" s="293" t="s">
        <v>8553</v>
      </c>
      <c r="B2807" s="293" t="s">
        <v>5666</v>
      </c>
      <c r="C2807" s="293" t="s">
        <v>6101</v>
      </c>
      <c r="D2807" s="293" t="s">
        <v>5878</v>
      </c>
      <c r="E2807" s="293" t="s">
        <v>6295</v>
      </c>
      <c r="F2807" s="293" t="s">
        <v>6677</v>
      </c>
      <c r="G2807" s="293" t="s">
        <v>5580</v>
      </c>
      <c r="H2807" s="294">
        <v>41670</v>
      </c>
      <c r="I2807" s="295">
        <v>-193.73</v>
      </c>
    </row>
    <row r="2808" spans="1:9" x14ac:dyDescent="0.2">
      <c r="A2808" s="293" t="s">
        <v>8554</v>
      </c>
      <c r="B2808" s="293" t="s">
        <v>5666</v>
      </c>
      <c r="C2808" s="293" t="s">
        <v>6104</v>
      </c>
      <c r="D2808" s="293" t="s">
        <v>5878</v>
      </c>
      <c r="E2808" s="293" t="s">
        <v>6297</v>
      </c>
      <c r="F2808" s="293" t="s">
        <v>6677</v>
      </c>
      <c r="G2808" s="293" t="s">
        <v>5580</v>
      </c>
      <c r="H2808" s="294">
        <v>41670</v>
      </c>
      <c r="I2808" s="295">
        <v>-274.12</v>
      </c>
    </row>
    <row r="2809" spans="1:9" x14ac:dyDescent="0.2">
      <c r="A2809" s="293" t="s">
        <v>8555</v>
      </c>
      <c r="B2809" s="293" t="s">
        <v>5666</v>
      </c>
      <c r="C2809" s="293" t="s">
        <v>6106</v>
      </c>
      <c r="D2809" s="293" t="s">
        <v>5878</v>
      </c>
      <c r="E2809" s="293" t="s">
        <v>6299</v>
      </c>
      <c r="F2809" s="293" t="s">
        <v>6677</v>
      </c>
      <c r="G2809" s="293" t="s">
        <v>5580</v>
      </c>
      <c r="H2809" s="294">
        <v>41670</v>
      </c>
      <c r="I2809" s="295">
        <v>-1347.95</v>
      </c>
    </row>
    <row r="2810" spans="1:9" x14ac:dyDescent="0.2">
      <c r="A2810" s="293" t="s">
        <v>8556</v>
      </c>
      <c r="B2810" s="293" t="s">
        <v>5666</v>
      </c>
      <c r="C2810" s="293" t="s">
        <v>6108</v>
      </c>
      <c r="D2810" s="293" t="s">
        <v>5878</v>
      </c>
      <c r="E2810" s="293" t="s">
        <v>6301</v>
      </c>
      <c r="F2810" s="293" t="s">
        <v>6677</v>
      </c>
      <c r="G2810" s="293" t="s">
        <v>5580</v>
      </c>
      <c r="H2810" s="294">
        <v>41670</v>
      </c>
      <c r="I2810" s="295">
        <v>-1918.86</v>
      </c>
    </row>
    <row r="2811" spans="1:9" x14ac:dyDescent="0.2">
      <c r="A2811" s="293" t="s">
        <v>8557</v>
      </c>
      <c r="B2811" s="293" t="s">
        <v>5666</v>
      </c>
      <c r="C2811" s="293" t="s">
        <v>6110</v>
      </c>
      <c r="D2811" s="293" t="s">
        <v>5878</v>
      </c>
      <c r="E2811" s="293" t="s">
        <v>6303</v>
      </c>
      <c r="F2811" s="293" t="s">
        <v>6677</v>
      </c>
      <c r="G2811" s="293" t="s">
        <v>5573</v>
      </c>
      <c r="H2811" s="294">
        <v>41670</v>
      </c>
      <c r="I2811" s="295">
        <v>-1780.13</v>
      </c>
    </row>
    <row r="2812" spans="1:9" x14ac:dyDescent="0.2">
      <c r="A2812" s="293" t="s">
        <v>8558</v>
      </c>
      <c r="B2812" s="293" t="s">
        <v>5666</v>
      </c>
      <c r="C2812" s="293" t="s">
        <v>6115</v>
      </c>
      <c r="D2812" s="293" t="s">
        <v>5878</v>
      </c>
      <c r="E2812" s="293" t="s">
        <v>6305</v>
      </c>
      <c r="F2812" s="293" t="s">
        <v>6677</v>
      </c>
      <c r="G2812" s="293" t="s">
        <v>5581</v>
      </c>
      <c r="H2812" s="294">
        <v>41670</v>
      </c>
      <c r="I2812" s="295">
        <v>-2230.71</v>
      </c>
    </row>
    <row r="2813" spans="1:9" x14ac:dyDescent="0.2">
      <c r="A2813" s="293" t="s">
        <v>8559</v>
      </c>
      <c r="B2813" s="293" t="s">
        <v>5666</v>
      </c>
      <c r="C2813" s="293" t="s">
        <v>6086</v>
      </c>
      <c r="D2813" s="293" t="s">
        <v>5878</v>
      </c>
      <c r="E2813" s="293" t="s">
        <v>6307</v>
      </c>
      <c r="F2813" s="293" t="s">
        <v>6677</v>
      </c>
      <c r="G2813" s="293" t="s">
        <v>5581</v>
      </c>
      <c r="H2813" s="294">
        <v>41670</v>
      </c>
      <c r="I2813" s="295">
        <v>-2490.34</v>
      </c>
    </row>
    <row r="2814" spans="1:9" x14ac:dyDescent="0.2">
      <c r="A2814" s="293" t="s">
        <v>8560</v>
      </c>
      <c r="B2814" s="293" t="s">
        <v>5666</v>
      </c>
      <c r="C2814" s="293" t="s">
        <v>6113</v>
      </c>
      <c r="D2814" s="293" t="s">
        <v>5878</v>
      </c>
      <c r="E2814" s="293" t="s">
        <v>6316</v>
      </c>
      <c r="F2814" s="293" t="s">
        <v>6677</v>
      </c>
      <c r="G2814" s="293" t="s">
        <v>5573</v>
      </c>
      <c r="H2814" s="294">
        <v>41670</v>
      </c>
      <c r="I2814" s="295">
        <v>-5336.81</v>
      </c>
    </row>
    <row r="2815" spans="1:9" x14ac:dyDescent="0.2">
      <c r="A2815" s="293" t="s">
        <v>8561</v>
      </c>
      <c r="B2815" s="293" t="s">
        <v>5666</v>
      </c>
      <c r="C2815" s="293" t="s">
        <v>6313</v>
      </c>
      <c r="D2815" s="293" t="s">
        <v>5878</v>
      </c>
      <c r="E2815" s="293" t="s">
        <v>6314</v>
      </c>
      <c r="F2815" s="293" t="s">
        <v>6677</v>
      </c>
      <c r="G2815" s="293" t="s">
        <v>5576</v>
      </c>
      <c r="H2815" s="294">
        <v>41670</v>
      </c>
      <c r="I2815" s="295">
        <v>-4207.3500000000004</v>
      </c>
    </row>
    <row r="2816" spans="1:9" x14ac:dyDescent="0.2">
      <c r="A2816" s="293" t="s">
        <v>8562</v>
      </c>
      <c r="B2816" s="293" t="s">
        <v>5666</v>
      </c>
      <c r="C2816" s="293" t="s">
        <v>6272</v>
      </c>
      <c r="D2816" s="293" t="s">
        <v>5878</v>
      </c>
      <c r="E2816" s="293" t="s">
        <v>6273</v>
      </c>
      <c r="F2816" s="293" t="s">
        <v>6694</v>
      </c>
      <c r="G2816" s="293" t="s">
        <v>5576</v>
      </c>
      <c r="H2816" s="294">
        <v>41698</v>
      </c>
      <c r="I2816" s="295">
        <v>-3340.78</v>
      </c>
    </row>
    <row r="2817" spans="1:9" x14ac:dyDescent="0.2">
      <c r="A2817" s="293" t="s">
        <v>8563</v>
      </c>
      <c r="B2817" s="293" t="s">
        <v>5666</v>
      </c>
      <c r="C2817" s="293" t="s">
        <v>6122</v>
      </c>
      <c r="D2817" s="293" t="s">
        <v>5878</v>
      </c>
      <c r="E2817" s="293" t="s">
        <v>6275</v>
      </c>
      <c r="F2817" s="293" t="s">
        <v>6694</v>
      </c>
      <c r="G2817" s="293" t="s">
        <v>5577</v>
      </c>
      <c r="H2817" s="294">
        <v>41698</v>
      </c>
      <c r="I2817" s="295">
        <v>-1179.21</v>
      </c>
    </row>
    <row r="2818" spans="1:9" x14ac:dyDescent="0.2">
      <c r="A2818" s="293" t="s">
        <v>8564</v>
      </c>
      <c r="B2818" s="293" t="s">
        <v>5666</v>
      </c>
      <c r="C2818" s="293" t="s">
        <v>6124</v>
      </c>
      <c r="D2818" s="293" t="s">
        <v>5878</v>
      </c>
      <c r="E2818" s="293" t="s">
        <v>6277</v>
      </c>
      <c r="F2818" s="293" t="s">
        <v>6694</v>
      </c>
      <c r="G2818" s="293" t="s">
        <v>5578</v>
      </c>
      <c r="H2818" s="294">
        <v>41698</v>
      </c>
      <c r="I2818" s="295">
        <v>-1019.33</v>
      </c>
    </row>
    <row r="2819" spans="1:9" x14ac:dyDescent="0.2">
      <c r="A2819" s="293" t="s">
        <v>8565</v>
      </c>
      <c r="B2819" s="293" t="s">
        <v>5666</v>
      </c>
      <c r="C2819" s="293" t="s">
        <v>6126</v>
      </c>
      <c r="D2819" s="293" t="s">
        <v>5878</v>
      </c>
      <c r="E2819" s="293" t="s">
        <v>6279</v>
      </c>
      <c r="F2819" s="293" t="s">
        <v>6694</v>
      </c>
      <c r="G2819" s="293" t="s">
        <v>5579</v>
      </c>
      <c r="H2819" s="294">
        <v>41698</v>
      </c>
      <c r="I2819" s="295">
        <v>-857.57</v>
      </c>
    </row>
    <row r="2820" spans="1:9" x14ac:dyDescent="0.2">
      <c r="A2820" s="293" t="s">
        <v>8566</v>
      </c>
      <c r="B2820" s="293" t="s">
        <v>5666</v>
      </c>
      <c r="C2820" s="293" t="s">
        <v>6091</v>
      </c>
      <c r="D2820" s="293" t="s">
        <v>5878</v>
      </c>
      <c r="E2820" s="293" t="s">
        <v>6281</v>
      </c>
      <c r="F2820" s="293" t="s">
        <v>6694</v>
      </c>
      <c r="G2820" s="293" t="s">
        <v>5573</v>
      </c>
      <c r="H2820" s="294">
        <v>41698</v>
      </c>
      <c r="I2820" s="295">
        <v>-3125.47</v>
      </c>
    </row>
    <row r="2821" spans="1:9" x14ac:dyDescent="0.2">
      <c r="A2821" s="293" t="s">
        <v>8567</v>
      </c>
      <c r="B2821" s="293" t="s">
        <v>5666</v>
      </c>
      <c r="C2821" s="293" t="s">
        <v>6093</v>
      </c>
      <c r="D2821" s="293" t="s">
        <v>5878</v>
      </c>
      <c r="E2821" s="293" t="s">
        <v>6283</v>
      </c>
      <c r="F2821" s="293" t="s">
        <v>6694</v>
      </c>
      <c r="G2821" s="293" t="s">
        <v>5573</v>
      </c>
      <c r="H2821" s="294">
        <v>41698</v>
      </c>
      <c r="I2821" s="295">
        <v>-4451.78</v>
      </c>
    </row>
    <row r="2822" spans="1:9" x14ac:dyDescent="0.2">
      <c r="A2822" s="293" t="s">
        <v>8568</v>
      </c>
      <c r="B2822" s="293" t="s">
        <v>5666</v>
      </c>
      <c r="C2822" s="293" t="s">
        <v>6080</v>
      </c>
      <c r="D2822" s="293" t="s">
        <v>5878</v>
      </c>
      <c r="E2822" s="293" t="s">
        <v>6285</v>
      </c>
      <c r="F2822" s="293" t="s">
        <v>6694</v>
      </c>
      <c r="G2822" s="293" t="s">
        <v>5573</v>
      </c>
      <c r="H2822" s="294">
        <v>41698</v>
      </c>
      <c r="I2822" s="295">
        <v>-10077.08</v>
      </c>
    </row>
    <row r="2823" spans="1:9" x14ac:dyDescent="0.2">
      <c r="A2823" s="293" t="s">
        <v>8569</v>
      </c>
      <c r="B2823" s="293" t="s">
        <v>5666</v>
      </c>
      <c r="C2823" s="293" t="s">
        <v>6095</v>
      </c>
      <c r="D2823" s="293" t="s">
        <v>5878</v>
      </c>
      <c r="E2823" s="293" t="s">
        <v>6287</v>
      </c>
      <c r="F2823" s="293" t="s">
        <v>6694</v>
      </c>
      <c r="G2823" s="293" t="s">
        <v>5580</v>
      </c>
      <c r="H2823" s="294">
        <v>41698</v>
      </c>
      <c r="I2823" s="295">
        <v>-5589.54</v>
      </c>
    </row>
    <row r="2824" spans="1:9" x14ac:dyDescent="0.2">
      <c r="A2824" s="293" t="s">
        <v>8570</v>
      </c>
      <c r="B2824" s="293" t="s">
        <v>5666</v>
      </c>
      <c r="C2824" s="293" t="s">
        <v>6097</v>
      </c>
      <c r="D2824" s="293" t="s">
        <v>5878</v>
      </c>
      <c r="E2824" s="293" t="s">
        <v>6289</v>
      </c>
      <c r="F2824" s="293" t="s">
        <v>6694</v>
      </c>
      <c r="G2824" s="293" t="s">
        <v>5580</v>
      </c>
      <c r="H2824" s="294">
        <v>41698</v>
      </c>
      <c r="I2824" s="295">
        <v>-10099.59</v>
      </c>
    </row>
    <row r="2825" spans="1:9" x14ac:dyDescent="0.2">
      <c r="A2825" s="293" t="s">
        <v>8571</v>
      </c>
      <c r="B2825" s="293" t="s">
        <v>5666</v>
      </c>
      <c r="C2825" s="293" t="s">
        <v>6099</v>
      </c>
      <c r="D2825" s="293" t="s">
        <v>5878</v>
      </c>
      <c r="E2825" s="293" t="s">
        <v>6291</v>
      </c>
      <c r="F2825" s="293" t="s">
        <v>6694</v>
      </c>
      <c r="G2825" s="293" t="s">
        <v>5579</v>
      </c>
      <c r="H2825" s="294">
        <v>41698</v>
      </c>
      <c r="I2825" s="295">
        <v>-1407.23</v>
      </c>
    </row>
    <row r="2826" spans="1:9" x14ac:dyDescent="0.2">
      <c r="A2826" s="293" t="s">
        <v>8572</v>
      </c>
      <c r="B2826" s="293" t="s">
        <v>5666</v>
      </c>
      <c r="C2826" s="293" t="s">
        <v>6083</v>
      </c>
      <c r="D2826" s="293" t="s">
        <v>5878</v>
      </c>
      <c r="E2826" s="293" t="s">
        <v>6293</v>
      </c>
      <c r="F2826" s="293" t="s">
        <v>6694</v>
      </c>
      <c r="G2826" s="293" t="s">
        <v>5579</v>
      </c>
      <c r="H2826" s="294">
        <v>41698</v>
      </c>
      <c r="I2826" s="295">
        <v>-2524.9</v>
      </c>
    </row>
    <row r="2827" spans="1:9" x14ac:dyDescent="0.2">
      <c r="A2827" s="293" t="s">
        <v>8573</v>
      </c>
      <c r="B2827" s="293" t="s">
        <v>5666</v>
      </c>
      <c r="C2827" s="293" t="s">
        <v>6101</v>
      </c>
      <c r="D2827" s="293" t="s">
        <v>5878</v>
      </c>
      <c r="E2827" s="293" t="s">
        <v>6295</v>
      </c>
      <c r="F2827" s="293" t="s">
        <v>6694</v>
      </c>
      <c r="G2827" s="293" t="s">
        <v>5580</v>
      </c>
      <c r="H2827" s="294">
        <v>41698</v>
      </c>
      <c r="I2827" s="295">
        <v>-193.73</v>
      </c>
    </row>
    <row r="2828" spans="1:9" x14ac:dyDescent="0.2">
      <c r="A2828" s="293" t="s">
        <v>8574</v>
      </c>
      <c r="B2828" s="293" t="s">
        <v>5666</v>
      </c>
      <c r="C2828" s="293" t="s">
        <v>6104</v>
      </c>
      <c r="D2828" s="293" t="s">
        <v>5878</v>
      </c>
      <c r="E2828" s="293" t="s">
        <v>6297</v>
      </c>
      <c r="F2828" s="293" t="s">
        <v>6694</v>
      </c>
      <c r="G2828" s="293" t="s">
        <v>5580</v>
      </c>
      <c r="H2828" s="294">
        <v>41698</v>
      </c>
      <c r="I2828" s="295">
        <v>-274.12</v>
      </c>
    </row>
    <row r="2829" spans="1:9" x14ac:dyDescent="0.2">
      <c r="A2829" s="293" t="s">
        <v>8575</v>
      </c>
      <c r="B2829" s="293" t="s">
        <v>5666</v>
      </c>
      <c r="C2829" s="293" t="s">
        <v>6106</v>
      </c>
      <c r="D2829" s="293" t="s">
        <v>5878</v>
      </c>
      <c r="E2829" s="293" t="s">
        <v>6299</v>
      </c>
      <c r="F2829" s="293" t="s">
        <v>6694</v>
      </c>
      <c r="G2829" s="293" t="s">
        <v>5580</v>
      </c>
      <c r="H2829" s="294">
        <v>41698</v>
      </c>
      <c r="I2829" s="295">
        <v>-1347.95</v>
      </c>
    </row>
    <row r="2830" spans="1:9" x14ac:dyDescent="0.2">
      <c r="A2830" s="293" t="s">
        <v>8576</v>
      </c>
      <c r="B2830" s="293" t="s">
        <v>5666</v>
      </c>
      <c r="C2830" s="293" t="s">
        <v>6108</v>
      </c>
      <c r="D2830" s="293" t="s">
        <v>5878</v>
      </c>
      <c r="E2830" s="293" t="s">
        <v>6301</v>
      </c>
      <c r="F2830" s="293" t="s">
        <v>6694</v>
      </c>
      <c r="G2830" s="293" t="s">
        <v>5580</v>
      </c>
      <c r="H2830" s="294">
        <v>41698</v>
      </c>
      <c r="I2830" s="295">
        <v>-1918.86</v>
      </c>
    </row>
    <row r="2831" spans="1:9" x14ac:dyDescent="0.2">
      <c r="A2831" s="293" t="s">
        <v>8577</v>
      </c>
      <c r="B2831" s="293" t="s">
        <v>5666</v>
      </c>
      <c r="C2831" s="293" t="s">
        <v>6110</v>
      </c>
      <c r="D2831" s="293" t="s">
        <v>5878</v>
      </c>
      <c r="E2831" s="293" t="s">
        <v>6303</v>
      </c>
      <c r="F2831" s="293" t="s">
        <v>6694</v>
      </c>
      <c r="G2831" s="293" t="s">
        <v>5573</v>
      </c>
      <c r="H2831" s="294">
        <v>41698</v>
      </c>
      <c r="I2831" s="295">
        <v>-1780.13</v>
      </c>
    </row>
    <row r="2832" spans="1:9" x14ac:dyDescent="0.2">
      <c r="A2832" s="293" t="s">
        <v>8578</v>
      </c>
      <c r="B2832" s="293" t="s">
        <v>5666</v>
      </c>
      <c r="C2832" s="293" t="s">
        <v>6115</v>
      </c>
      <c r="D2832" s="293" t="s">
        <v>5878</v>
      </c>
      <c r="E2832" s="293" t="s">
        <v>6305</v>
      </c>
      <c r="F2832" s="293" t="s">
        <v>6694</v>
      </c>
      <c r="G2832" s="293" t="s">
        <v>5581</v>
      </c>
      <c r="H2832" s="294">
        <v>41698</v>
      </c>
      <c r="I2832" s="295">
        <v>-2230.71</v>
      </c>
    </row>
    <row r="2833" spans="1:9" x14ac:dyDescent="0.2">
      <c r="A2833" s="293" t="s">
        <v>8579</v>
      </c>
      <c r="B2833" s="293" t="s">
        <v>5666</v>
      </c>
      <c r="C2833" s="293" t="s">
        <v>6086</v>
      </c>
      <c r="D2833" s="293" t="s">
        <v>5878</v>
      </c>
      <c r="E2833" s="293" t="s">
        <v>6307</v>
      </c>
      <c r="F2833" s="293" t="s">
        <v>6694</v>
      </c>
      <c r="G2833" s="293" t="s">
        <v>5581</v>
      </c>
      <c r="H2833" s="294">
        <v>41698</v>
      </c>
      <c r="I2833" s="295">
        <v>-2490.34</v>
      </c>
    </row>
    <row r="2834" spans="1:9" x14ac:dyDescent="0.2">
      <c r="A2834" s="293" t="s">
        <v>8580</v>
      </c>
      <c r="B2834" s="293" t="s">
        <v>5666</v>
      </c>
      <c r="C2834" s="293" t="s">
        <v>6113</v>
      </c>
      <c r="D2834" s="293" t="s">
        <v>5878</v>
      </c>
      <c r="E2834" s="293" t="s">
        <v>6316</v>
      </c>
      <c r="F2834" s="293" t="s">
        <v>6694</v>
      </c>
      <c r="G2834" s="293" t="s">
        <v>5573</v>
      </c>
      <c r="H2834" s="294">
        <v>41698</v>
      </c>
      <c r="I2834" s="295">
        <v>-5336.81</v>
      </c>
    </row>
    <row r="2835" spans="1:9" x14ac:dyDescent="0.2">
      <c r="A2835" s="293" t="s">
        <v>8581</v>
      </c>
      <c r="B2835" s="293" t="s">
        <v>5666</v>
      </c>
      <c r="C2835" s="293" t="s">
        <v>6313</v>
      </c>
      <c r="D2835" s="293" t="s">
        <v>5878</v>
      </c>
      <c r="E2835" s="293" t="s">
        <v>6314</v>
      </c>
      <c r="F2835" s="293" t="s">
        <v>6694</v>
      </c>
      <c r="G2835" s="293" t="s">
        <v>5576</v>
      </c>
      <c r="H2835" s="294">
        <v>41698</v>
      </c>
      <c r="I2835" s="295">
        <v>-4207.3500000000004</v>
      </c>
    </row>
    <row r="2836" spans="1:9" x14ac:dyDescent="0.2">
      <c r="A2836" s="293" t="s">
        <v>8582</v>
      </c>
      <c r="B2836" s="293" t="s">
        <v>5666</v>
      </c>
      <c r="C2836" s="293" t="s">
        <v>6272</v>
      </c>
      <c r="D2836" s="293" t="s">
        <v>5878</v>
      </c>
      <c r="E2836" s="293" t="s">
        <v>6273</v>
      </c>
      <c r="F2836" s="293" t="s">
        <v>6711</v>
      </c>
      <c r="G2836" s="293" t="s">
        <v>5576</v>
      </c>
      <c r="H2836" s="294">
        <v>41729</v>
      </c>
      <c r="I2836" s="295">
        <v>-3340.78</v>
      </c>
    </row>
    <row r="2837" spans="1:9" x14ac:dyDescent="0.2">
      <c r="A2837" s="293" t="s">
        <v>8583</v>
      </c>
      <c r="B2837" s="293" t="s">
        <v>5666</v>
      </c>
      <c r="C2837" s="293" t="s">
        <v>6122</v>
      </c>
      <c r="D2837" s="293" t="s">
        <v>5878</v>
      </c>
      <c r="E2837" s="293" t="s">
        <v>6275</v>
      </c>
      <c r="F2837" s="293" t="s">
        <v>6711</v>
      </c>
      <c r="G2837" s="293" t="s">
        <v>5577</v>
      </c>
      <c r="H2837" s="294">
        <v>41729</v>
      </c>
      <c r="I2837" s="295">
        <v>-1179.21</v>
      </c>
    </row>
    <row r="2838" spans="1:9" x14ac:dyDescent="0.2">
      <c r="A2838" s="293" t="s">
        <v>8584</v>
      </c>
      <c r="B2838" s="293" t="s">
        <v>5666</v>
      </c>
      <c r="C2838" s="293" t="s">
        <v>6124</v>
      </c>
      <c r="D2838" s="293" t="s">
        <v>5878</v>
      </c>
      <c r="E2838" s="293" t="s">
        <v>6277</v>
      </c>
      <c r="F2838" s="293" t="s">
        <v>6711</v>
      </c>
      <c r="G2838" s="293" t="s">
        <v>5578</v>
      </c>
      <c r="H2838" s="294">
        <v>41729</v>
      </c>
      <c r="I2838" s="295">
        <v>-1019.33</v>
      </c>
    </row>
    <row r="2839" spans="1:9" x14ac:dyDescent="0.2">
      <c r="A2839" s="293" t="s">
        <v>8585</v>
      </c>
      <c r="B2839" s="293" t="s">
        <v>5666</v>
      </c>
      <c r="C2839" s="293" t="s">
        <v>6126</v>
      </c>
      <c r="D2839" s="293" t="s">
        <v>5878</v>
      </c>
      <c r="E2839" s="293" t="s">
        <v>6279</v>
      </c>
      <c r="F2839" s="293" t="s">
        <v>6711</v>
      </c>
      <c r="G2839" s="293" t="s">
        <v>5579</v>
      </c>
      <c r="H2839" s="294">
        <v>41729</v>
      </c>
      <c r="I2839" s="295">
        <v>-857.57</v>
      </c>
    </row>
    <row r="2840" spans="1:9" x14ac:dyDescent="0.2">
      <c r="A2840" s="293" t="s">
        <v>8586</v>
      </c>
      <c r="B2840" s="293" t="s">
        <v>5666</v>
      </c>
      <c r="C2840" s="293" t="s">
        <v>6091</v>
      </c>
      <c r="D2840" s="293" t="s">
        <v>5878</v>
      </c>
      <c r="E2840" s="293" t="s">
        <v>6281</v>
      </c>
      <c r="F2840" s="293" t="s">
        <v>6711</v>
      </c>
      <c r="G2840" s="293" t="s">
        <v>5573</v>
      </c>
      <c r="H2840" s="294">
        <v>41729</v>
      </c>
      <c r="I2840" s="295">
        <v>-3125.47</v>
      </c>
    </row>
    <row r="2841" spans="1:9" x14ac:dyDescent="0.2">
      <c r="A2841" s="293" t="s">
        <v>8587</v>
      </c>
      <c r="B2841" s="293" t="s">
        <v>5666</v>
      </c>
      <c r="C2841" s="293" t="s">
        <v>6093</v>
      </c>
      <c r="D2841" s="293" t="s">
        <v>5878</v>
      </c>
      <c r="E2841" s="293" t="s">
        <v>6283</v>
      </c>
      <c r="F2841" s="293" t="s">
        <v>6711</v>
      </c>
      <c r="G2841" s="293" t="s">
        <v>5573</v>
      </c>
      <c r="H2841" s="294">
        <v>41729</v>
      </c>
      <c r="I2841" s="295">
        <v>-4451.78</v>
      </c>
    </row>
    <row r="2842" spans="1:9" x14ac:dyDescent="0.2">
      <c r="A2842" s="293" t="s">
        <v>8588</v>
      </c>
      <c r="B2842" s="293" t="s">
        <v>5666</v>
      </c>
      <c r="C2842" s="293" t="s">
        <v>6080</v>
      </c>
      <c r="D2842" s="293" t="s">
        <v>5878</v>
      </c>
      <c r="E2842" s="293" t="s">
        <v>6285</v>
      </c>
      <c r="F2842" s="293" t="s">
        <v>6711</v>
      </c>
      <c r="G2842" s="293" t="s">
        <v>5573</v>
      </c>
      <c r="H2842" s="294">
        <v>41729</v>
      </c>
      <c r="I2842" s="295">
        <v>-10077.08</v>
      </c>
    </row>
    <row r="2843" spans="1:9" x14ac:dyDescent="0.2">
      <c r="A2843" s="293" t="s">
        <v>8589</v>
      </c>
      <c r="B2843" s="293" t="s">
        <v>5666</v>
      </c>
      <c r="C2843" s="293" t="s">
        <v>6095</v>
      </c>
      <c r="D2843" s="293" t="s">
        <v>5878</v>
      </c>
      <c r="E2843" s="293" t="s">
        <v>6287</v>
      </c>
      <c r="F2843" s="293" t="s">
        <v>6711</v>
      </c>
      <c r="G2843" s="293" t="s">
        <v>5580</v>
      </c>
      <c r="H2843" s="294">
        <v>41729</v>
      </c>
      <c r="I2843" s="295">
        <v>-5589.54</v>
      </c>
    </row>
    <row r="2844" spans="1:9" x14ac:dyDescent="0.2">
      <c r="A2844" s="293" t="s">
        <v>8590</v>
      </c>
      <c r="B2844" s="293" t="s">
        <v>5666</v>
      </c>
      <c r="C2844" s="293" t="s">
        <v>6097</v>
      </c>
      <c r="D2844" s="293" t="s">
        <v>5878</v>
      </c>
      <c r="E2844" s="293" t="s">
        <v>6289</v>
      </c>
      <c r="F2844" s="293" t="s">
        <v>6711</v>
      </c>
      <c r="G2844" s="293" t="s">
        <v>5580</v>
      </c>
      <c r="H2844" s="294">
        <v>41729</v>
      </c>
      <c r="I2844" s="295">
        <v>-10099.59</v>
      </c>
    </row>
    <row r="2845" spans="1:9" x14ac:dyDescent="0.2">
      <c r="A2845" s="293" t="s">
        <v>8591</v>
      </c>
      <c r="B2845" s="293" t="s">
        <v>5666</v>
      </c>
      <c r="C2845" s="293" t="s">
        <v>6099</v>
      </c>
      <c r="D2845" s="293" t="s">
        <v>5878</v>
      </c>
      <c r="E2845" s="293" t="s">
        <v>6291</v>
      </c>
      <c r="F2845" s="293" t="s">
        <v>6711</v>
      </c>
      <c r="G2845" s="293" t="s">
        <v>5579</v>
      </c>
      <c r="H2845" s="294">
        <v>41729</v>
      </c>
      <c r="I2845" s="295">
        <v>-1407.23</v>
      </c>
    </row>
    <row r="2846" spans="1:9" x14ac:dyDescent="0.2">
      <c r="A2846" s="293" t="s">
        <v>8592</v>
      </c>
      <c r="B2846" s="293" t="s">
        <v>5666</v>
      </c>
      <c r="C2846" s="293" t="s">
        <v>6083</v>
      </c>
      <c r="D2846" s="293" t="s">
        <v>5878</v>
      </c>
      <c r="E2846" s="293" t="s">
        <v>6293</v>
      </c>
      <c r="F2846" s="293" t="s">
        <v>6711</v>
      </c>
      <c r="G2846" s="293" t="s">
        <v>5579</v>
      </c>
      <c r="H2846" s="294">
        <v>41729</v>
      </c>
      <c r="I2846" s="295">
        <v>-2524.9</v>
      </c>
    </row>
    <row r="2847" spans="1:9" x14ac:dyDescent="0.2">
      <c r="A2847" s="293" t="s">
        <v>8593</v>
      </c>
      <c r="B2847" s="293" t="s">
        <v>5666</v>
      </c>
      <c r="C2847" s="293" t="s">
        <v>6101</v>
      </c>
      <c r="D2847" s="293" t="s">
        <v>5878</v>
      </c>
      <c r="E2847" s="293" t="s">
        <v>6295</v>
      </c>
      <c r="F2847" s="293" t="s">
        <v>6711</v>
      </c>
      <c r="G2847" s="293" t="s">
        <v>5580</v>
      </c>
      <c r="H2847" s="294">
        <v>41729</v>
      </c>
      <c r="I2847" s="295">
        <v>-193.73</v>
      </c>
    </row>
    <row r="2848" spans="1:9" x14ac:dyDescent="0.2">
      <c r="A2848" s="293" t="s">
        <v>8594</v>
      </c>
      <c r="B2848" s="293" t="s">
        <v>5666</v>
      </c>
      <c r="C2848" s="293" t="s">
        <v>6104</v>
      </c>
      <c r="D2848" s="293" t="s">
        <v>5878</v>
      </c>
      <c r="E2848" s="293" t="s">
        <v>6297</v>
      </c>
      <c r="F2848" s="293" t="s">
        <v>6711</v>
      </c>
      <c r="G2848" s="293" t="s">
        <v>5580</v>
      </c>
      <c r="H2848" s="294">
        <v>41729</v>
      </c>
      <c r="I2848" s="295">
        <v>-274.12</v>
      </c>
    </row>
    <row r="2849" spans="1:9" x14ac:dyDescent="0.2">
      <c r="A2849" s="293" t="s">
        <v>8595</v>
      </c>
      <c r="B2849" s="293" t="s">
        <v>5666</v>
      </c>
      <c r="C2849" s="293" t="s">
        <v>6106</v>
      </c>
      <c r="D2849" s="293" t="s">
        <v>5878</v>
      </c>
      <c r="E2849" s="293" t="s">
        <v>6299</v>
      </c>
      <c r="F2849" s="293" t="s">
        <v>6711</v>
      </c>
      <c r="G2849" s="293" t="s">
        <v>5580</v>
      </c>
      <c r="H2849" s="294">
        <v>41729</v>
      </c>
      <c r="I2849" s="295">
        <v>-1347.95</v>
      </c>
    </row>
    <row r="2850" spans="1:9" x14ac:dyDescent="0.2">
      <c r="A2850" s="293" t="s">
        <v>8596</v>
      </c>
      <c r="B2850" s="293" t="s">
        <v>5666</v>
      </c>
      <c r="C2850" s="293" t="s">
        <v>6108</v>
      </c>
      <c r="D2850" s="293" t="s">
        <v>5878</v>
      </c>
      <c r="E2850" s="293" t="s">
        <v>6301</v>
      </c>
      <c r="F2850" s="293" t="s">
        <v>6711</v>
      </c>
      <c r="G2850" s="293" t="s">
        <v>5580</v>
      </c>
      <c r="H2850" s="294">
        <v>41729</v>
      </c>
      <c r="I2850" s="295">
        <v>-1918.86</v>
      </c>
    </row>
    <row r="2851" spans="1:9" x14ac:dyDescent="0.2">
      <c r="A2851" s="293" t="s">
        <v>8597</v>
      </c>
      <c r="B2851" s="293" t="s">
        <v>5666</v>
      </c>
      <c r="C2851" s="293" t="s">
        <v>6110</v>
      </c>
      <c r="D2851" s="293" t="s">
        <v>5878</v>
      </c>
      <c r="E2851" s="293" t="s">
        <v>6303</v>
      </c>
      <c r="F2851" s="293" t="s">
        <v>6711</v>
      </c>
      <c r="G2851" s="293" t="s">
        <v>5573</v>
      </c>
      <c r="H2851" s="294">
        <v>41729</v>
      </c>
      <c r="I2851" s="295">
        <v>-1780.13</v>
      </c>
    </row>
    <row r="2852" spans="1:9" x14ac:dyDescent="0.2">
      <c r="A2852" s="293" t="s">
        <v>8598</v>
      </c>
      <c r="B2852" s="293" t="s">
        <v>5666</v>
      </c>
      <c r="C2852" s="293" t="s">
        <v>6115</v>
      </c>
      <c r="D2852" s="293" t="s">
        <v>5878</v>
      </c>
      <c r="E2852" s="293" t="s">
        <v>6305</v>
      </c>
      <c r="F2852" s="293" t="s">
        <v>6711</v>
      </c>
      <c r="G2852" s="293" t="s">
        <v>5581</v>
      </c>
      <c r="H2852" s="294">
        <v>41729</v>
      </c>
      <c r="I2852" s="295">
        <v>-2230.71</v>
      </c>
    </row>
    <row r="2853" spans="1:9" x14ac:dyDescent="0.2">
      <c r="A2853" s="293" t="s">
        <v>8599</v>
      </c>
      <c r="B2853" s="293" t="s">
        <v>5666</v>
      </c>
      <c r="C2853" s="293" t="s">
        <v>6086</v>
      </c>
      <c r="D2853" s="293" t="s">
        <v>5878</v>
      </c>
      <c r="E2853" s="293" t="s">
        <v>6307</v>
      </c>
      <c r="F2853" s="293" t="s">
        <v>6711</v>
      </c>
      <c r="G2853" s="293" t="s">
        <v>5581</v>
      </c>
      <c r="H2853" s="294">
        <v>41729</v>
      </c>
      <c r="I2853" s="295">
        <v>-2490.34</v>
      </c>
    </row>
    <row r="2854" spans="1:9" x14ac:dyDescent="0.2">
      <c r="A2854" s="293" t="s">
        <v>8600</v>
      </c>
      <c r="B2854" s="293" t="s">
        <v>5666</v>
      </c>
      <c r="C2854" s="293" t="s">
        <v>6113</v>
      </c>
      <c r="D2854" s="293" t="s">
        <v>5878</v>
      </c>
      <c r="E2854" s="293" t="s">
        <v>6316</v>
      </c>
      <c r="F2854" s="293" t="s">
        <v>6711</v>
      </c>
      <c r="G2854" s="293" t="s">
        <v>5573</v>
      </c>
      <c r="H2854" s="294">
        <v>41729</v>
      </c>
      <c r="I2854" s="295">
        <v>-5336.81</v>
      </c>
    </row>
    <row r="2855" spans="1:9" x14ac:dyDescent="0.2">
      <c r="A2855" s="293" t="s">
        <v>8601</v>
      </c>
      <c r="B2855" s="293" t="s">
        <v>5666</v>
      </c>
      <c r="C2855" s="293" t="s">
        <v>6313</v>
      </c>
      <c r="D2855" s="293" t="s">
        <v>5878</v>
      </c>
      <c r="E2855" s="293" t="s">
        <v>6314</v>
      </c>
      <c r="F2855" s="293" t="s">
        <v>6711</v>
      </c>
      <c r="G2855" s="293" t="s">
        <v>5576</v>
      </c>
      <c r="H2855" s="294">
        <v>41729</v>
      </c>
      <c r="I2855" s="295">
        <v>-4207.3500000000004</v>
      </c>
    </row>
    <row r="2856" spans="1:9" x14ac:dyDescent="0.2">
      <c r="A2856" s="293" t="s">
        <v>8602</v>
      </c>
      <c r="B2856" s="293" t="s">
        <v>5666</v>
      </c>
      <c r="C2856" s="293" t="s">
        <v>6272</v>
      </c>
      <c r="D2856" s="293" t="s">
        <v>5878</v>
      </c>
      <c r="E2856" s="293" t="s">
        <v>6273</v>
      </c>
      <c r="F2856" s="293" t="s">
        <v>6731</v>
      </c>
      <c r="G2856" s="293" t="s">
        <v>5576</v>
      </c>
      <c r="H2856" s="294">
        <v>41759</v>
      </c>
      <c r="I2856" s="295">
        <v>-3340.78</v>
      </c>
    </row>
    <row r="2857" spans="1:9" x14ac:dyDescent="0.2">
      <c r="A2857" s="293" t="s">
        <v>8603</v>
      </c>
      <c r="B2857" s="293" t="s">
        <v>5666</v>
      </c>
      <c r="C2857" s="293" t="s">
        <v>6122</v>
      </c>
      <c r="D2857" s="293" t="s">
        <v>5878</v>
      </c>
      <c r="E2857" s="293" t="s">
        <v>6275</v>
      </c>
      <c r="F2857" s="293" t="s">
        <v>6731</v>
      </c>
      <c r="G2857" s="293" t="s">
        <v>5577</v>
      </c>
      <c r="H2857" s="294">
        <v>41759</v>
      </c>
      <c r="I2857" s="295">
        <v>-1179.21</v>
      </c>
    </row>
    <row r="2858" spans="1:9" x14ac:dyDescent="0.2">
      <c r="A2858" s="293" t="s">
        <v>8604</v>
      </c>
      <c r="B2858" s="293" t="s">
        <v>5666</v>
      </c>
      <c r="C2858" s="293" t="s">
        <v>6124</v>
      </c>
      <c r="D2858" s="293" t="s">
        <v>5878</v>
      </c>
      <c r="E2858" s="293" t="s">
        <v>6277</v>
      </c>
      <c r="F2858" s="293" t="s">
        <v>6731</v>
      </c>
      <c r="G2858" s="293" t="s">
        <v>5578</v>
      </c>
      <c r="H2858" s="294">
        <v>41759</v>
      </c>
      <c r="I2858" s="295">
        <v>-1019.33</v>
      </c>
    </row>
    <row r="2859" spans="1:9" x14ac:dyDescent="0.2">
      <c r="A2859" s="293" t="s">
        <v>8605</v>
      </c>
      <c r="B2859" s="293" t="s">
        <v>5666</v>
      </c>
      <c r="C2859" s="293" t="s">
        <v>6126</v>
      </c>
      <c r="D2859" s="293" t="s">
        <v>5878</v>
      </c>
      <c r="E2859" s="293" t="s">
        <v>6279</v>
      </c>
      <c r="F2859" s="293" t="s">
        <v>6731</v>
      </c>
      <c r="G2859" s="293" t="s">
        <v>5579</v>
      </c>
      <c r="H2859" s="294">
        <v>41759</v>
      </c>
      <c r="I2859" s="295">
        <v>-857.57</v>
      </c>
    </row>
    <row r="2860" spans="1:9" x14ac:dyDescent="0.2">
      <c r="A2860" s="293" t="s">
        <v>8606</v>
      </c>
      <c r="B2860" s="293" t="s">
        <v>5666</v>
      </c>
      <c r="C2860" s="293" t="s">
        <v>6091</v>
      </c>
      <c r="D2860" s="293" t="s">
        <v>5878</v>
      </c>
      <c r="E2860" s="293" t="s">
        <v>6281</v>
      </c>
      <c r="F2860" s="293" t="s">
        <v>6731</v>
      </c>
      <c r="G2860" s="293" t="s">
        <v>5573</v>
      </c>
      <c r="H2860" s="294">
        <v>41759</v>
      </c>
      <c r="I2860" s="295">
        <v>-3125.47</v>
      </c>
    </row>
    <row r="2861" spans="1:9" x14ac:dyDescent="0.2">
      <c r="A2861" s="293" t="s">
        <v>8607</v>
      </c>
      <c r="B2861" s="293" t="s">
        <v>5666</v>
      </c>
      <c r="C2861" s="293" t="s">
        <v>6093</v>
      </c>
      <c r="D2861" s="293" t="s">
        <v>5878</v>
      </c>
      <c r="E2861" s="293" t="s">
        <v>6283</v>
      </c>
      <c r="F2861" s="293" t="s">
        <v>6731</v>
      </c>
      <c r="G2861" s="293" t="s">
        <v>5573</v>
      </c>
      <c r="H2861" s="294">
        <v>41759</v>
      </c>
      <c r="I2861" s="295">
        <v>-4451.78</v>
      </c>
    </row>
    <row r="2862" spans="1:9" x14ac:dyDescent="0.2">
      <c r="A2862" s="293" t="s">
        <v>8608</v>
      </c>
      <c r="B2862" s="293" t="s">
        <v>5666</v>
      </c>
      <c r="C2862" s="293" t="s">
        <v>6080</v>
      </c>
      <c r="D2862" s="293" t="s">
        <v>5878</v>
      </c>
      <c r="E2862" s="293" t="s">
        <v>6285</v>
      </c>
      <c r="F2862" s="293" t="s">
        <v>6731</v>
      </c>
      <c r="G2862" s="293" t="s">
        <v>5573</v>
      </c>
      <c r="H2862" s="294">
        <v>41759</v>
      </c>
      <c r="I2862" s="295">
        <v>-10077.08</v>
      </c>
    </row>
    <row r="2863" spans="1:9" x14ac:dyDescent="0.2">
      <c r="A2863" s="293" t="s">
        <v>8609</v>
      </c>
      <c r="B2863" s="293" t="s">
        <v>5666</v>
      </c>
      <c r="C2863" s="293" t="s">
        <v>6095</v>
      </c>
      <c r="D2863" s="293" t="s">
        <v>5878</v>
      </c>
      <c r="E2863" s="293" t="s">
        <v>6287</v>
      </c>
      <c r="F2863" s="293" t="s">
        <v>6731</v>
      </c>
      <c r="G2863" s="293" t="s">
        <v>5580</v>
      </c>
      <c r="H2863" s="294">
        <v>41759</v>
      </c>
      <c r="I2863" s="295">
        <v>-5589.54</v>
      </c>
    </row>
    <row r="2864" spans="1:9" x14ac:dyDescent="0.2">
      <c r="A2864" s="293" t="s">
        <v>8610</v>
      </c>
      <c r="B2864" s="293" t="s">
        <v>5666</v>
      </c>
      <c r="C2864" s="293" t="s">
        <v>6097</v>
      </c>
      <c r="D2864" s="293" t="s">
        <v>5878</v>
      </c>
      <c r="E2864" s="293" t="s">
        <v>6289</v>
      </c>
      <c r="F2864" s="293" t="s">
        <v>6731</v>
      </c>
      <c r="G2864" s="293" t="s">
        <v>5580</v>
      </c>
      <c r="H2864" s="294">
        <v>41759</v>
      </c>
      <c r="I2864" s="295">
        <v>-10099.59</v>
      </c>
    </row>
    <row r="2865" spans="1:9" x14ac:dyDescent="0.2">
      <c r="A2865" s="293" t="s">
        <v>8611</v>
      </c>
      <c r="B2865" s="293" t="s">
        <v>5666</v>
      </c>
      <c r="C2865" s="293" t="s">
        <v>6099</v>
      </c>
      <c r="D2865" s="293" t="s">
        <v>5878</v>
      </c>
      <c r="E2865" s="293" t="s">
        <v>6291</v>
      </c>
      <c r="F2865" s="293" t="s">
        <v>6731</v>
      </c>
      <c r="G2865" s="293" t="s">
        <v>5579</v>
      </c>
      <c r="H2865" s="294">
        <v>41759</v>
      </c>
      <c r="I2865" s="295">
        <v>-1407.23</v>
      </c>
    </row>
    <row r="2866" spans="1:9" x14ac:dyDescent="0.2">
      <c r="A2866" s="293" t="s">
        <v>8612</v>
      </c>
      <c r="B2866" s="293" t="s">
        <v>5666</v>
      </c>
      <c r="C2866" s="293" t="s">
        <v>6083</v>
      </c>
      <c r="D2866" s="293" t="s">
        <v>5878</v>
      </c>
      <c r="E2866" s="293" t="s">
        <v>6293</v>
      </c>
      <c r="F2866" s="293" t="s">
        <v>6731</v>
      </c>
      <c r="G2866" s="293" t="s">
        <v>5579</v>
      </c>
      <c r="H2866" s="294">
        <v>41759</v>
      </c>
      <c r="I2866" s="295">
        <v>-2524.9</v>
      </c>
    </row>
    <row r="2867" spans="1:9" x14ac:dyDescent="0.2">
      <c r="A2867" s="293" t="s">
        <v>8613</v>
      </c>
      <c r="B2867" s="293" t="s">
        <v>5666</v>
      </c>
      <c r="C2867" s="293" t="s">
        <v>6101</v>
      </c>
      <c r="D2867" s="293" t="s">
        <v>5878</v>
      </c>
      <c r="E2867" s="293" t="s">
        <v>6295</v>
      </c>
      <c r="F2867" s="293" t="s">
        <v>6731</v>
      </c>
      <c r="G2867" s="293" t="s">
        <v>5580</v>
      </c>
      <c r="H2867" s="294">
        <v>41759</v>
      </c>
      <c r="I2867" s="295">
        <v>-193.73</v>
      </c>
    </row>
    <row r="2868" spans="1:9" x14ac:dyDescent="0.2">
      <c r="A2868" s="293" t="s">
        <v>8614</v>
      </c>
      <c r="B2868" s="293" t="s">
        <v>5666</v>
      </c>
      <c r="C2868" s="293" t="s">
        <v>6104</v>
      </c>
      <c r="D2868" s="293" t="s">
        <v>5878</v>
      </c>
      <c r="E2868" s="293" t="s">
        <v>6297</v>
      </c>
      <c r="F2868" s="293" t="s">
        <v>6731</v>
      </c>
      <c r="G2868" s="293" t="s">
        <v>5580</v>
      </c>
      <c r="H2868" s="294">
        <v>41759</v>
      </c>
      <c r="I2868" s="295">
        <v>-274.12</v>
      </c>
    </row>
    <row r="2869" spans="1:9" x14ac:dyDescent="0.2">
      <c r="A2869" s="293" t="s">
        <v>8615</v>
      </c>
      <c r="B2869" s="293" t="s">
        <v>5666</v>
      </c>
      <c r="C2869" s="293" t="s">
        <v>6106</v>
      </c>
      <c r="D2869" s="293" t="s">
        <v>5878</v>
      </c>
      <c r="E2869" s="293" t="s">
        <v>6299</v>
      </c>
      <c r="F2869" s="293" t="s">
        <v>6731</v>
      </c>
      <c r="G2869" s="293" t="s">
        <v>5580</v>
      </c>
      <c r="H2869" s="294">
        <v>41759</v>
      </c>
      <c r="I2869" s="295">
        <v>-1347.95</v>
      </c>
    </row>
    <row r="2870" spans="1:9" x14ac:dyDescent="0.2">
      <c r="A2870" s="293" t="s">
        <v>8616</v>
      </c>
      <c r="B2870" s="293" t="s">
        <v>5666</v>
      </c>
      <c r="C2870" s="293" t="s">
        <v>6108</v>
      </c>
      <c r="D2870" s="293" t="s">
        <v>5878</v>
      </c>
      <c r="E2870" s="293" t="s">
        <v>6301</v>
      </c>
      <c r="F2870" s="293" t="s">
        <v>6731</v>
      </c>
      <c r="G2870" s="293" t="s">
        <v>5580</v>
      </c>
      <c r="H2870" s="294">
        <v>41759</v>
      </c>
      <c r="I2870" s="295">
        <v>-1918.86</v>
      </c>
    </row>
    <row r="2871" spans="1:9" x14ac:dyDescent="0.2">
      <c r="A2871" s="293" t="s">
        <v>8617</v>
      </c>
      <c r="B2871" s="293" t="s">
        <v>5666</v>
      </c>
      <c r="C2871" s="293" t="s">
        <v>6110</v>
      </c>
      <c r="D2871" s="293" t="s">
        <v>5878</v>
      </c>
      <c r="E2871" s="293" t="s">
        <v>6303</v>
      </c>
      <c r="F2871" s="293" t="s">
        <v>6731</v>
      </c>
      <c r="G2871" s="293" t="s">
        <v>5573</v>
      </c>
      <c r="H2871" s="294">
        <v>41759</v>
      </c>
      <c r="I2871" s="295">
        <v>-1780.13</v>
      </c>
    </row>
    <row r="2872" spans="1:9" x14ac:dyDescent="0.2">
      <c r="A2872" s="293" t="s">
        <v>8618</v>
      </c>
      <c r="B2872" s="293" t="s">
        <v>5666</v>
      </c>
      <c r="C2872" s="293" t="s">
        <v>6115</v>
      </c>
      <c r="D2872" s="293" t="s">
        <v>5878</v>
      </c>
      <c r="E2872" s="293" t="s">
        <v>6305</v>
      </c>
      <c r="F2872" s="293" t="s">
        <v>6731</v>
      </c>
      <c r="G2872" s="293" t="s">
        <v>5581</v>
      </c>
      <c r="H2872" s="294">
        <v>41759</v>
      </c>
      <c r="I2872" s="295">
        <v>-2230.71</v>
      </c>
    </row>
    <row r="2873" spans="1:9" x14ac:dyDescent="0.2">
      <c r="A2873" s="293" t="s">
        <v>8619</v>
      </c>
      <c r="B2873" s="293" t="s">
        <v>5666</v>
      </c>
      <c r="C2873" s="293" t="s">
        <v>6086</v>
      </c>
      <c r="D2873" s="293" t="s">
        <v>5878</v>
      </c>
      <c r="E2873" s="293" t="s">
        <v>6307</v>
      </c>
      <c r="F2873" s="293" t="s">
        <v>6731</v>
      </c>
      <c r="G2873" s="293" t="s">
        <v>5581</v>
      </c>
      <c r="H2873" s="294">
        <v>41759</v>
      </c>
      <c r="I2873" s="295">
        <v>-2490.34</v>
      </c>
    </row>
    <row r="2874" spans="1:9" x14ac:dyDescent="0.2">
      <c r="A2874" s="293" t="s">
        <v>8620</v>
      </c>
      <c r="B2874" s="293" t="s">
        <v>5666</v>
      </c>
      <c r="C2874" s="293" t="s">
        <v>6113</v>
      </c>
      <c r="D2874" s="293" t="s">
        <v>5878</v>
      </c>
      <c r="E2874" s="293" t="s">
        <v>6316</v>
      </c>
      <c r="F2874" s="293" t="s">
        <v>6731</v>
      </c>
      <c r="G2874" s="293" t="s">
        <v>5573</v>
      </c>
      <c r="H2874" s="294">
        <v>41759</v>
      </c>
      <c r="I2874" s="295">
        <v>-5336.81</v>
      </c>
    </row>
    <row r="2875" spans="1:9" x14ac:dyDescent="0.2">
      <c r="A2875" s="293" t="s">
        <v>8621</v>
      </c>
      <c r="B2875" s="293" t="s">
        <v>5666</v>
      </c>
      <c r="C2875" s="293" t="s">
        <v>6313</v>
      </c>
      <c r="D2875" s="293" t="s">
        <v>5878</v>
      </c>
      <c r="E2875" s="293" t="s">
        <v>6314</v>
      </c>
      <c r="F2875" s="293" t="s">
        <v>6731</v>
      </c>
      <c r="G2875" s="293" t="s">
        <v>5576</v>
      </c>
      <c r="H2875" s="294">
        <v>41759</v>
      </c>
      <c r="I2875" s="295">
        <v>-4207.3500000000004</v>
      </c>
    </row>
    <row r="2876" spans="1:9" x14ac:dyDescent="0.2">
      <c r="A2876" s="293" t="s">
        <v>8622</v>
      </c>
      <c r="B2876" s="293" t="s">
        <v>5666</v>
      </c>
      <c r="C2876" s="293" t="s">
        <v>6272</v>
      </c>
      <c r="D2876" s="293" t="s">
        <v>5878</v>
      </c>
      <c r="E2876" s="293" t="s">
        <v>6273</v>
      </c>
      <c r="F2876" s="293" t="s">
        <v>6767</v>
      </c>
      <c r="G2876" s="293" t="s">
        <v>5576</v>
      </c>
      <c r="H2876" s="294">
        <v>41790</v>
      </c>
      <c r="I2876" s="295">
        <v>-3340.78</v>
      </c>
    </row>
    <row r="2877" spans="1:9" x14ac:dyDescent="0.2">
      <c r="A2877" s="293" t="s">
        <v>8623</v>
      </c>
      <c r="B2877" s="293" t="s">
        <v>5666</v>
      </c>
      <c r="C2877" s="293" t="s">
        <v>6122</v>
      </c>
      <c r="D2877" s="293" t="s">
        <v>5878</v>
      </c>
      <c r="E2877" s="293" t="s">
        <v>6275</v>
      </c>
      <c r="F2877" s="293" t="s">
        <v>6767</v>
      </c>
      <c r="G2877" s="293" t="s">
        <v>5577</v>
      </c>
      <c r="H2877" s="294">
        <v>41790</v>
      </c>
      <c r="I2877" s="295">
        <v>-1179.21</v>
      </c>
    </row>
    <row r="2878" spans="1:9" x14ac:dyDescent="0.2">
      <c r="A2878" s="293" t="s">
        <v>8624</v>
      </c>
      <c r="B2878" s="293" t="s">
        <v>5666</v>
      </c>
      <c r="C2878" s="293" t="s">
        <v>6124</v>
      </c>
      <c r="D2878" s="293" t="s">
        <v>5878</v>
      </c>
      <c r="E2878" s="293" t="s">
        <v>6277</v>
      </c>
      <c r="F2878" s="293" t="s">
        <v>6767</v>
      </c>
      <c r="G2878" s="293" t="s">
        <v>5578</v>
      </c>
      <c r="H2878" s="294">
        <v>41790</v>
      </c>
      <c r="I2878" s="295">
        <v>-1019.33</v>
      </c>
    </row>
    <row r="2879" spans="1:9" x14ac:dyDescent="0.2">
      <c r="A2879" s="293" t="s">
        <v>8625</v>
      </c>
      <c r="B2879" s="293" t="s">
        <v>5666</v>
      </c>
      <c r="C2879" s="293" t="s">
        <v>6126</v>
      </c>
      <c r="D2879" s="293" t="s">
        <v>5878</v>
      </c>
      <c r="E2879" s="293" t="s">
        <v>6279</v>
      </c>
      <c r="F2879" s="293" t="s">
        <v>6767</v>
      </c>
      <c r="G2879" s="293" t="s">
        <v>5579</v>
      </c>
      <c r="H2879" s="294">
        <v>41790</v>
      </c>
      <c r="I2879" s="295">
        <v>-857.57</v>
      </c>
    </row>
    <row r="2880" spans="1:9" x14ac:dyDescent="0.2">
      <c r="A2880" s="293" t="s">
        <v>8626</v>
      </c>
      <c r="B2880" s="293" t="s">
        <v>5666</v>
      </c>
      <c r="C2880" s="293" t="s">
        <v>6091</v>
      </c>
      <c r="D2880" s="293" t="s">
        <v>5878</v>
      </c>
      <c r="E2880" s="293" t="s">
        <v>6281</v>
      </c>
      <c r="F2880" s="293" t="s">
        <v>6767</v>
      </c>
      <c r="G2880" s="293" t="s">
        <v>5573</v>
      </c>
      <c r="H2880" s="294">
        <v>41790</v>
      </c>
      <c r="I2880" s="295">
        <v>-3125.47</v>
      </c>
    </row>
    <row r="2881" spans="1:9" x14ac:dyDescent="0.2">
      <c r="A2881" s="293" t="s">
        <v>8627</v>
      </c>
      <c r="B2881" s="293" t="s">
        <v>5666</v>
      </c>
      <c r="C2881" s="293" t="s">
        <v>6093</v>
      </c>
      <c r="D2881" s="293" t="s">
        <v>5878</v>
      </c>
      <c r="E2881" s="293" t="s">
        <v>6283</v>
      </c>
      <c r="F2881" s="293" t="s">
        <v>6767</v>
      </c>
      <c r="G2881" s="293" t="s">
        <v>5573</v>
      </c>
      <c r="H2881" s="294">
        <v>41790</v>
      </c>
      <c r="I2881" s="295">
        <v>-4451.78</v>
      </c>
    </row>
    <row r="2882" spans="1:9" x14ac:dyDescent="0.2">
      <c r="A2882" s="293" t="s">
        <v>8628</v>
      </c>
      <c r="B2882" s="293" t="s">
        <v>5666</v>
      </c>
      <c r="C2882" s="293" t="s">
        <v>6080</v>
      </c>
      <c r="D2882" s="293" t="s">
        <v>5878</v>
      </c>
      <c r="E2882" s="293" t="s">
        <v>6285</v>
      </c>
      <c r="F2882" s="293" t="s">
        <v>6767</v>
      </c>
      <c r="G2882" s="293" t="s">
        <v>5573</v>
      </c>
      <c r="H2882" s="294">
        <v>41790</v>
      </c>
      <c r="I2882" s="295">
        <v>-10077.08</v>
      </c>
    </row>
    <row r="2883" spans="1:9" x14ac:dyDescent="0.2">
      <c r="A2883" s="293" t="s">
        <v>8629</v>
      </c>
      <c r="B2883" s="293" t="s">
        <v>5666</v>
      </c>
      <c r="C2883" s="293" t="s">
        <v>6095</v>
      </c>
      <c r="D2883" s="293" t="s">
        <v>5878</v>
      </c>
      <c r="E2883" s="293" t="s">
        <v>6287</v>
      </c>
      <c r="F2883" s="293" t="s">
        <v>6767</v>
      </c>
      <c r="G2883" s="293" t="s">
        <v>5580</v>
      </c>
      <c r="H2883" s="294">
        <v>41790</v>
      </c>
      <c r="I2883" s="295">
        <v>-5589.54</v>
      </c>
    </row>
    <row r="2884" spans="1:9" x14ac:dyDescent="0.2">
      <c r="A2884" s="293" t="s">
        <v>8630</v>
      </c>
      <c r="B2884" s="293" t="s">
        <v>5666</v>
      </c>
      <c r="C2884" s="293" t="s">
        <v>6097</v>
      </c>
      <c r="D2884" s="293" t="s">
        <v>5878</v>
      </c>
      <c r="E2884" s="293" t="s">
        <v>6289</v>
      </c>
      <c r="F2884" s="293" t="s">
        <v>6767</v>
      </c>
      <c r="G2884" s="293" t="s">
        <v>5580</v>
      </c>
      <c r="H2884" s="294">
        <v>41790</v>
      </c>
      <c r="I2884" s="295">
        <v>-10099.59</v>
      </c>
    </row>
    <row r="2885" spans="1:9" x14ac:dyDescent="0.2">
      <c r="A2885" s="293" t="s">
        <v>8631</v>
      </c>
      <c r="B2885" s="293" t="s">
        <v>5666</v>
      </c>
      <c r="C2885" s="293" t="s">
        <v>6099</v>
      </c>
      <c r="D2885" s="293" t="s">
        <v>5878</v>
      </c>
      <c r="E2885" s="293" t="s">
        <v>6291</v>
      </c>
      <c r="F2885" s="293" t="s">
        <v>6767</v>
      </c>
      <c r="G2885" s="293" t="s">
        <v>5579</v>
      </c>
      <c r="H2885" s="294">
        <v>41790</v>
      </c>
      <c r="I2885" s="295">
        <v>-1407.23</v>
      </c>
    </row>
    <row r="2886" spans="1:9" x14ac:dyDescent="0.2">
      <c r="A2886" s="293" t="s">
        <v>8632</v>
      </c>
      <c r="B2886" s="293" t="s">
        <v>5666</v>
      </c>
      <c r="C2886" s="293" t="s">
        <v>6083</v>
      </c>
      <c r="D2886" s="293" t="s">
        <v>5878</v>
      </c>
      <c r="E2886" s="293" t="s">
        <v>6293</v>
      </c>
      <c r="F2886" s="293" t="s">
        <v>6767</v>
      </c>
      <c r="G2886" s="293" t="s">
        <v>5579</v>
      </c>
      <c r="H2886" s="294">
        <v>41790</v>
      </c>
      <c r="I2886" s="295">
        <v>-2524.9</v>
      </c>
    </row>
    <row r="2887" spans="1:9" x14ac:dyDescent="0.2">
      <c r="A2887" s="293" t="s">
        <v>8633</v>
      </c>
      <c r="B2887" s="293" t="s">
        <v>5666</v>
      </c>
      <c r="C2887" s="293" t="s">
        <v>6101</v>
      </c>
      <c r="D2887" s="293" t="s">
        <v>5878</v>
      </c>
      <c r="E2887" s="293" t="s">
        <v>6295</v>
      </c>
      <c r="F2887" s="293" t="s">
        <v>6767</v>
      </c>
      <c r="G2887" s="293" t="s">
        <v>5580</v>
      </c>
      <c r="H2887" s="294">
        <v>41790</v>
      </c>
      <c r="I2887" s="295">
        <v>-193.73</v>
      </c>
    </row>
    <row r="2888" spans="1:9" x14ac:dyDescent="0.2">
      <c r="A2888" s="293" t="s">
        <v>8634</v>
      </c>
      <c r="B2888" s="293" t="s">
        <v>5666</v>
      </c>
      <c r="C2888" s="293" t="s">
        <v>6104</v>
      </c>
      <c r="D2888" s="293" t="s">
        <v>5878</v>
      </c>
      <c r="E2888" s="293" t="s">
        <v>6297</v>
      </c>
      <c r="F2888" s="293" t="s">
        <v>6767</v>
      </c>
      <c r="G2888" s="293" t="s">
        <v>5580</v>
      </c>
      <c r="H2888" s="294">
        <v>41790</v>
      </c>
      <c r="I2888" s="295">
        <v>-274.12</v>
      </c>
    </row>
    <row r="2889" spans="1:9" x14ac:dyDescent="0.2">
      <c r="A2889" s="293" t="s">
        <v>8635</v>
      </c>
      <c r="B2889" s="293" t="s">
        <v>5666</v>
      </c>
      <c r="C2889" s="293" t="s">
        <v>6106</v>
      </c>
      <c r="D2889" s="293" t="s">
        <v>5878</v>
      </c>
      <c r="E2889" s="293" t="s">
        <v>6299</v>
      </c>
      <c r="F2889" s="293" t="s">
        <v>6767</v>
      </c>
      <c r="G2889" s="293" t="s">
        <v>5580</v>
      </c>
      <c r="H2889" s="294">
        <v>41790</v>
      </c>
      <c r="I2889" s="295">
        <v>-1347.95</v>
      </c>
    </row>
    <row r="2890" spans="1:9" x14ac:dyDescent="0.2">
      <c r="A2890" s="293" t="s">
        <v>8636</v>
      </c>
      <c r="B2890" s="293" t="s">
        <v>5666</v>
      </c>
      <c r="C2890" s="293" t="s">
        <v>6108</v>
      </c>
      <c r="D2890" s="293" t="s">
        <v>5878</v>
      </c>
      <c r="E2890" s="293" t="s">
        <v>6301</v>
      </c>
      <c r="F2890" s="293" t="s">
        <v>6767</v>
      </c>
      <c r="G2890" s="293" t="s">
        <v>5580</v>
      </c>
      <c r="H2890" s="294">
        <v>41790</v>
      </c>
      <c r="I2890" s="295">
        <v>-1918.86</v>
      </c>
    </row>
    <row r="2891" spans="1:9" x14ac:dyDescent="0.2">
      <c r="A2891" s="293" t="s">
        <v>8637</v>
      </c>
      <c r="B2891" s="293" t="s">
        <v>5666</v>
      </c>
      <c r="C2891" s="293" t="s">
        <v>6110</v>
      </c>
      <c r="D2891" s="293" t="s">
        <v>5878</v>
      </c>
      <c r="E2891" s="293" t="s">
        <v>6303</v>
      </c>
      <c r="F2891" s="293" t="s">
        <v>6767</v>
      </c>
      <c r="G2891" s="293" t="s">
        <v>5573</v>
      </c>
      <c r="H2891" s="294">
        <v>41790</v>
      </c>
      <c r="I2891" s="295">
        <v>-1780.13</v>
      </c>
    </row>
    <row r="2892" spans="1:9" x14ac:dyDescent="0.2">
      <c r="A2892" s="293" t="s">
        <v>8638</v>
      </c>
      <c r="B2892" s="293" t="s">
        <v>5666</v>
      </c>
      <c r="C2892" s="293" t="s">
        <v>6115</v>
      </c>
      <c r="D2892" s="293" t="s">
        <v>5878</v>
      </c>
      <c r="E2892" s="293" t="s">
        <v>6305</v>
      </c>
      <c r="F2892" s="293" t="s">
        <v>6767</v>
      </c>
      <c r="G2892" s="293" t="s">
        <v>5581</v>
      </c>
      <c r="H2892" s="294">
        <v>41790</v>
      </c>
      <c r="I2892" s="295">
        <v>-2230.71</v>
      </c>
    </row>
    <row r="2893" spans="1:9" x14ac:dyDescent="0.2">
      <c r="A2893" s="293" t="s">
        <v>8639</v>
      </c>
      <c r="B2893" s="293" t="s">
        <v>5666</v>
      </c>
      <c r="C2893" s="293" t="s">
        <v>6086</v>
      </c>
      <c r="D2893" s="293" t="s">
        <v>5878</v>
      </c>
      <c r="E2893" s="293" t="s">
        <v>6307</v>
      </c>
      <c r="F2893" s="293" t="s">
        <v>6767</v>
      </c>
      <c r="G2893" s="293" t="s">
        <v>5581</v>
      </c>
      <c r="H2893" s="294">
        <v>41790</v>
      </c>
      <c r="I2893" s="295">
        <v>-2490.34</v>
      </c>
    </row>
    <row r="2894" spans="1:9" x14ac:dyDescent="0.2">
      <c r="A2894" s="293" t="s">
        <v>8640</v>
      </c>
      <c r="B2894" s="293" t="s">
        <v>5666</v>
      </c>
      <c r="C2894" s="293" t="s">
        <v>6113</v>
      </c>
      <c r="D2894" s="293" t="s">
        <v>5878</v>
      </c>
      <c r="E2894" s="293" t="s">
        <v>6316</v>
      </c>
      <c r="F2894" s="293" t="s">
        <v>6767</v>
      </c>
      <c r="G2894" s="293" t="s">
        <v>5573</v>
      </c>
      <c r="H2894" s="294">
        <v>41790</v>
      </c>
      <c r="I2894" s="295">
        <v>-5336.81</v>
      </c>
    </row>
    <row r="2895" spans="1:9" x14ac:dyDescent="0.2">
      <c r="A2895" s="293" t="s">
        <v>8641</v>
      </c>
      <c r="B2895" s="293" t="s">
        <v>5666</v>
      </c>
      <c r="C2895" s="293" t="s">
        <v>6313</v>
      </c>
      <c r="D2895" s="293" t="s">
        <v>5878</v>
      </c>
      <c r="E2895" s="293" t="s">
        <v>6314</v>
      </c>
      <c r="F2895" s="293" t="s">
        <v>6767</v>
      </c>
      <c r="G2895" s="293" t="s">
        <v>5576</v>
      </c>
      <c r="H2895" s="294">
        <v>41790</v>
      </c>
      <c r="I2895" s="295">
        <v>-4207.3500000000004</v>
      </c>
    </row>
    <row r="2896" spans="1:9" x14ac:dyDescent="0.2">
      <c r="A2896" s="293" t="s">
        <v>8642</v>
      </c>
      <c r="B2896" s="293" t="s">
        <v>5666</v>
      </c>
      <c r="C2896" s="293" t="s">
        <v>6272</v>
      </c>
      <c r="D2896" s="293" t="s">
        <v>5878</v>
      </c>
      <c r="E2896" s="293" t="s">
        <v>6273</v>
      </c>
      <c r="F2896" s="293" t="s">
        <v>6790</v>
      </c>
      <c r="G2896" s="293" t="s">
        <v>5576</v>
      </c>
      <c r="H2896" s="294">
        <v>41820</v>
      </c>
      <c r="I2896" s="295">
        <v>-3340.78</v>
      </c>
    </row>
    <row r="2897" spans="1:9" x14ac:dyDescent="0.2">
      <c r="A2897" s="293" t="s">
        <v>8643</v>
      </c>
      <c r="B2897" s="293" t="s">
        <v>5666</v>
      </c>
      <c r="C2897" s="293" t="s">
        <v>6122</v>
      </c>
      <c r="D2897" s="293" t="s">
        <v>5878</v>
      </c>
      <c r="E2897" s="293" t="s">
        <v>6275</v>
      </c>
      <c r="F2897" s="293" t="s">
        <v>6790</v>
      </c>
      <c r="G2897" s="293" t="s">
        <v>5577</v>
      </c>
      <c r="H2897" s="294">
        <v>41820</v>
      </c>
      <c r="I2897" s="295">
        <v>-1179.21</v>
      </c>
    </row>
    <row r="2898" spans="1:9" x14ac:dyDescent="0.2">
      <c r="A2898" s="293" t="s">
        <v>8644</v>
      </c>
      <c r="B2898" s="293" t="s">
        <v>5666</v>
      </c>
      <c r="C2898" s="293" t="s">
        <v>6124</v>
      </c>
      <c r="D2898" s="293" t="s">
        <v>5878</v>
      </c>
      <c r="E2898" s="293" t="s">
        <v>6277</v>
      </c>
      <c r="F2898" s="293" t="s">
        <v>6790</v>
      </c>
      <c r="G2898" s="293" t="s">
        <v>5578</v>
      </c>
      <c r="H2898" s="294">
        <v>41820</v>
      </c>
      <c r="I2898" s="295">
        <v>-1019.33</v>
      </c>
    </row>
    <row r="2899" spans="1:9" x14ac:dyDescent="0.2">
      <c r="A2899" s="293" t="s">
        <v>8645</v>
      </c>
      <c r="B2899" s="293" t="s">
        <v>5666</v>
      </c>
      <c r="C2899" s="293" t="s">
        <v>6126</v>
      </c>
      <c r="D2899" s="293" t="s">
        <v>5878</v>
      </c>
      <c r="E2899" s="293" t="s">
        <v>6279</v>
      </c>
      <c r="F2899" s="293" t="s">
        <v>6790</v>
      </c>
      <c r="G2899" s="293" t="s">
        <v>5579</v>
      </c>
      <c r="H2899" s="294">
        <v>41820</v>
      </c>
      <c r="I2899" s="295">
        <v>-857.57</v>
      </c>
    </row>
    <row r="2900" spans="1:9" x14ac:dyDescent="0.2">
      <c r="A2900" s="293" t="s">
        <v>8646</v>
      </c>
      <c r="B2900" s="293" t="s">
        <v>5666</v>
      </c>
      <c r="C2900" s="293" t="s">
        <v>6091</v>
      </c>
      <c r="D2900" s="293" t="s">
        <v>5878</v>
      </c>
      <c r="E2900" s="293" t="s">
        <v>6281</v>
      </c>
      <c r="F2900" s="293" t="s">
        <v>6790</v>
      </c>
      <c r="G2900" s="293" t="s">
        <v>5573</v>
      </c>
      <c r="H2900" s="294">
        <v>41820</v>
      </c>
      <c r="I2900" s="295">
        <v>-3125.47</v>
      </c>
    </row>
    <row r="2901" spans="1:9" x14ac:dyDescent="0.2">
      <c r="A2901" s="293" t="s">
        <v>8647</v>
      </c>
      <c r="B2901" s="293" t="s">
        <v>5666</v>
      </c>
      <c r="C2901" s="293" t="s">
        <v>6093</v>
      </c>
      <c r="D2901" s="293" t="s">
        <v>5878</v>
      </c>
      <c r="E2901" s="293" t="s">
        <v>6283</v>
      </c>
      <c r="F2901" s="293" t="s">
        <v>6790</v>
      </c>
      <c r="G2901" s="293" t="s">
        <v>5573</v>
      </c>
      <c r="H2901" s="294">
        <v>41820</v>
      </c>
      <c r="I2901" s="295">
        <v>-4451.78</v>
      </c>
    </row>
    <row r="2902" spans="1:9" x14ac:dyDescent="0.2">
      <c r="A2902" s="293" t="s">
        <v>8648</v>
      </c>
      <c r="B2902" s="293" t="s">
        <v>5666</v>
      </c>
      <c r="C2902" s="293" t="s">
        <v>6080</v>
      </c>
      <c r="D2902" s="293" t="s">
        <v>5878</v>
      </c>
      <c r="E2902" s="293" t="s">
        <v>6285</v>
      </c>
      <c r="F2902" s="293" t="s">
        <v>6790</v>
      </c>
      <c r="G2902" s="293" t="s">
        <v>5573</v>
      </c>
      <c r="H2902" s="294">
        <v>41820</v>
      </c>
      <c r="I2902" s="295">
        <v>-10077.08</v>
      </c>
    </row>
    <row r="2903" spans="1:9" x14ac:dyDescent="0.2">
      <c r="A2903" s="293" t="s">
        <v>8649</v>
      </c>
      <c r="B2903" s="293" t="s">
        <v>5666</v>
      </c>
      <c r="C2903" s="293" t="s">
        <v>6095</v>
      </c>
      <c r="D2903" s="293" t="s">
        <v>5878</v>
      </c>
      <c r="E2903" s="293" t="s">
        <v>6287</v>
      </c>
      <c r="F2903" s="293" t="s">
        <v>6790</v>
      </c>
      <c r="G2903" s="293" t="s">
        <v>5580</v>
      </c>
      <c r="H2903" s="294">
        <v>41820</v>
      </c>
      <c r="I2903" s="295">
        <v>-5589.54</v>
      </c>
    </row>
    <row r="2904" spans="1:9" x14ac:dyDescent="0.2">
      <c r="A2904" s="293" t="s">
        <v>8650</v>
      </c>
      <c r="B2904" s="293" t="s">
        <v>5666</v>
      </c>
      <c r="C2904" s="293" t="s">
        <v>6097</v>
      </c>
      <c r="D2904" s="293" t="s">
        <v>5878</v>
      </c>
      <c r="E2904" s="293" t="s">
        <v>6289</v>
      </c>
      <c r="F2904" s="293" t="s">
        <v>6790</v>
      </c>
      <c r="G2904" s="293" t="s">
        <v>5580</v>
      </c>
      <c r="H2904" s="294">
        <v>41820</v>
      </c>
      <c r="I2904" s="295">
        <v>-10099.59</v>
      </c>
    </row>
    <row r="2905" spans="1:9" x14ac:dyDescent="0.2">
      <c r="A2905" s="293" t="s">
        <v>8651</v>
      </c>
      <c r="B2905" s="293" t="s">
        <v>5666</v>
      </c>
      <c r="C2905" s="293" t="s">
        <v>6099</v>
      </c>
      <c r="D2905" s="293" t="s">
        <v>5878</v>
      </c>
      <c r="E2905" s="293" t="s">
        <v>6291</v>
      </c>
      <c r="F2905" s="293" t="s">
        <v>6790</v>
      </c>
      <c r="G2905" s="293" t="s">
        <v>5579</v>
      </c>
      <c r="H2905" s="294">
        <v>41820</v>
      </c>
      <c r="I2905" s="295">
        <v>-1407.23</v>
      </c>
    </row>
    <row r="2906" spans="1:9" x14ac:dyDescent="0.2">
      <c r="A2906" s="293" t="s">
        <v>8652</v>
      </c>
      <c r="B2906" s="293" t="s">
        <v>5666</v>
      </c>
      <c r="C2906" s="293" t="s">
        <v>6083</v>
      </c>
      <c r="D2906" s="293" t="s">
        <v>5878</v>
      </c>
      <c r="E2906" s="293" t="s">
        <v>6293</v>
      </c>
      <c r="F2906" s="293" t="s">
        <v>6790</v>
      </c>
      <c r="G2906" s="293" t="s">
        <v>5579</v>
      </c>
      <c r="H2906" s="294">
        <v>41820</v>
      </c>
      <c r="I2906" s="295">
        <v>-2524.9</v>
      </c>
    </row>
    <row r="2907" spans="1:9" x14ac:dyDescent="0.2">
      <c r="A2907" s="293" t="s">
        <v>8653</v>
      </c>
      <c r="B2907" s="293" t="s">
        <v>5666</v>
      </c>
      <c r="C2907" s="293" t="s">
        <v>6101</v>
      </c>
      <c r="D2907" s="293" t="s">
        <v>5878</v>
      </c>
      <c r="E2907" s="293" t="s">
        <v>6295</v>
      </c>
      <c r="F2907" s="293" t="s">
        <v>6790</v>
      </c>
      <c r="G2907" s="293" t="s">
        <v>5580</v>
      </c>
      <c r="H2907" s="294">
        <v>41820</v>
      </c>
      <c r="I2907" s="295">
        <v>-193.73</v>
      </c>
    </row>
    <row r="2908" spans="1:9" x14ac:dyDescent="0.2">
      <c r="A2908" s="293" t="s">
        <v>8654</v>
      </c>
      <c r="B2908" s="293" t="s">
        <v>5666</v>
      </c>
      <c r="C2908" s="293" t="s">
        <v>6104</v>
      </c>
      <c r="D2908" s="293" t="s">
        <v>5878</v>
      </c>
      <c r="E2908" s="293" t="s">
        <v>6297</v>
      </c>
      <c r="F2908" s="293" t="s">
        <v>6790</v>
      </c>
      <c r="G2908" s="293" t="s">
        <v>5580</v>
      </c>
      <c r="H2908" s="294">
        <v>41820</v>
      </c>
      <c r="I2908" s="295">
        <v>-274.12</v>
      </c>
    </row>
    <row r="2909" spans="1:9" x14ac:dyDescent="0.2">
      <c r="A2909" s="293" t="s">
        <v>8655</v>
      </c>
      <c r="B2909" s="293" t="s">
        <v>5666</v>
      </c>
      <c r="C2909" s="293" t="s">
        <v>6106</v>
      </c>
      <c r="D2909" s="293" t="s">
        <v>5878</v>
      </c>
      <c r="E2909" s="293" t="s">
        <v>6299</v>
      </c>
      <c r="F2909" s="293" t="s">
        <v>6790</v>
      </c>
      <c r="G2909" s="293" t="s">
        <v>5580</v>
      </c>
      <c r="H2909" s="294">
        <v>41820</v>
      </c>
      <c r="I2909" s="295">
        <v>-1347.95</v>
      </c>
    </row>
    <row r="2910" spans="1:9" x14ac:dyDescent="0.2">
      <c r="A2910" s="293" t="s">
        <v>8656</v>
      </c>
      <c r="B2910" s="293" t="s">
        <v>5666</v>
      </c>
      <c r="C2910" s="293" t="s">
        <v>6108</v>
      </c>
      <c r="D2910" s="293" t="s">
        <v>5878</v>
      </c>
      <c r="E2910" s="293" t="s">
        <v>6301</v>
      </c>
      <c r="F2910" s="293" t="s">
        <v>6790</v>
      </c>
      <c r="G2910" s="293" t="s">
        <v>5580</v>
      </c>
      <c r="H2910" s="294">
        <v>41820</v>
      </c>
      <c r="I2910" s="295">
        <v>-1918.86</v>
      </c>
    </row>
    <row r="2911" spans="1:9" x14ac:dyDescent="0.2">
      <c r="A2911" s="293" t="s">
        <v>8657</v>
      </c>
      <c r="B2911" s="293" t="s">
        <v>5666</v>
      </c>
      <c r="C2911" s="293" t="s">
        <v>6110</v>
      </c>
      <c r="D2911" s="293" t="s">
        <v>5878</v>
      </c>
      <c r="E2911" s="293" t="s">
        <v>6303</v>
      </c>
      <c r="F2911" s="293" t="s">
        <v>6790</v>
      </c>
      <c r="G2911" s="293" t="s">
        <v>5573</v>
      </c>
      <c r="H2911" s="294">
        <v>41820</v>
      </c>
      <c r="I2911" s="295">
        <v>-1780.13</v>
      </c>
    </row>
    <row r="2912" spans="1:9" x14ac:dyDescent="0.2">
      <c r="A2912" s="293" t="s">
        <v>8658</v>
      </c>
      <c r="B2912" s="293" t="s">
        <v>5666</v>
      </c>
      <c r="C2912" s="293" t="s">
        <v>6115</v>
      </c>
      <c r="D2912" s="293" t="s">
        <v>5878</v>
      </c>
      <c r="E2912" s="293" t="s">
        <v>6305</v>
      </c>
      <c r="F2912" s="293" t="s">
        <v>6790</v>
      </c>
      <c r="G2912" s="293" t="s">
        <v>5581</v>
      </c>
      <c r="H2912" s="294">
        <v>41820</v>
      </c>
      <c r="I2912" s="295">
        <v>-2230.71</v>
      </c>
    </row>
    <row r="2913" spans="1:9" x14ac:dyDescent="0.2">
      <c r="A2913" s="293" t="s">
        <v>8659</v>
      </c>
      <c r="B2913" s="293" t="s">
        <v>5666</v>
      </c>
      <c r="C2913" s="293" t="s">
        <v>6086</v>
      </c>
      <c r="D2913" s="293" t="s">
        <v>5878</v>
      </c>
      <c r="E2913" s="293" t="s">
        <v>6307</v>
      </c>
      <c r="F2913" s="293" t="s">
        <v>6790</v>
      </c>
      <c r="G2913" s="293" t="s">
        <v>5581</v>
      </c>
      <c r="H2913" s="294">
        <v>41820</v>
      </c>
      <c r="I2913" s="295">
        <v>-2490.34</v>
      </c>
    </row>
    <row r="2914" spans="1:9" x14ac:dyDescent="0.2">
      <c r="A2914" s="293" t="s">
        <v>8660</v>
      </c>
      <c r="B2914" s="293" t="s">
        <v>5666</v>
      </c>
      <c r="C2914" s="293" t="s">
        <v>6113</v>
      </c>
      <c r="D2914" s="293" t="s">
        <v>5878</v>
      </c>
      <c r="E2914" s="293" t="s">
        <v>6316</v>
      </c>
      <c r="F2914" s="293" t="s">
        <v>6790</v>
      </c>
      <c r="G2914" s="293" t="s">
        <v>5573</v>
      </c>
      <c r="H2914" s="294">
        <v>41820</v>
      </c>
      <c r="I2914" s="295">
        <v>-5336.81</v>
      </c>
    </row>
    <row r="2915" spans="1:9" x14ac:dyDescent="0.2">
      <c r="A2915" s="293" t="s">
        <v>8661</v>
      </c>
      <c r="B2915" s="293" t="s">
        <v>5666</v>
      </c>
      <c r="C2915" s="293" t="s">
        <v>6313</v>
      </c>
      <c r="D2915" s="293" t="s">
        <v>5878</v>
      </c>
      <c r="E2915" s="293" t="s">
        <v>6314</v>
      </c>
      <c r="F2915" s="293" t="s">
        <v>6790</v>
      </c>
      <c r="G2915" s="293" t="s">
        <v>5576</v>
      </c>
      <c r="H2915" s="294">
        <v>41820</v>
      </c>
      <c r="I2915" s="295">
        <v>-4207.3500000000004</v>
      </c>
    </row>
    <row r="2916" spans="1:9" x14ac:dyDescent="0.2">
      <c r="A2916" s="293" t="s">
        <v>8662</v>
      </c>
      <c r="B2916" s="293" t="s">
        <v>5666</v>
      </c>
      <c r="C2916" s="293" t="s">
        <v>6272</v>
      </c>
      <c r="D2916" s="293" t="s">
        <v>5878</v>
      </c>
      <c r="E2916" s="293" t="s">
        <v>6273</v>
      </c>
      <c r="F2916" s="293" t="s">
        <v>6814</v>
      </c>
      <c r="G2916" s="293" t="s">
        <v>5576</v>
      </c>
      <c r="H2916" s="294">
        <v>41851</v>
      </c>
      <c r="I2916" s="295">
        <v>-3340.78</v>
      </c>
    </row>
    <row r="2917" spans="1:9" x14ac:dyDescent="0.2">
      <c r="A2917" s="293" t="s">
        <v>8663</v>
      </c>
      <c r="B2917" s="293" t="s">
        <v>5666</v>
      </c>
      <c r="C2917" s="293" t="s">
        <v>6122</v>
      </c>
      <c r="D2917" s="293" t="s">
        <v>5878</v>
      </c>
      <c r="E2917" s="293" t="s">
        <v>6275</v>
      </c>
      <c r="F2917" s="293" t="s">
        <v>6814</v>
      </c>
      <c r="G2917" s="293" t="s">
        <v>5577</v>
      </c>
      <c r="H2917" s="294">
        <v>41851</v>
      </c>
      <c r="I2917" s="295">
        <v>-1179.21</v>
      </c>
    </row>
    <row r="2918" spans="1:9" x14ac:dyDescent="0.2">
      <c r="A2918" s="293" t="s">
        <v>8664</v>
      </c>
      <c r="B2918" s="293" t="s">
        <v>5666</v>
      </c>
      <c r="C2918" s="293" t="s">
        <v>6124</v>
      </c>
      <c r="D2918" s="293" t="s">
        <v>5878</v>
      </c>
      <c r="E2918" s="293" t="s">
        <v>6277</v>
      </c>
      <c r="F2918" s="293" t="s">
        <v>6814</v>
      </c>
      <c r="G2918" s="293" t="s">
        <v>5578</v>
      </c>
      <c r="H2918" s="294">
        <v>41851</v>
      </c>
      <c r="I2918" s="295">
        <v>-1019.33</v>
      </c>
    </row>
    <row r="2919" spans="1:9" x14ac:dyDescent="0.2">
      <c r="A2919" s="293" t="s">
        <v>8665</v>
      </c>
      <c r="B2919" s="293" t="s">
        <v>5666</v>
      </c>
      <c r="C2919" s="293" t="s">
        <v>6126</v>
      </c>
      <c r="D2919" s="293" t="s">
        <v>5878</v>
      </c>
      <c r="E2919" s="293" t="s">
        <v>6279</v>
      </c>
      <c r="F2919" s="293" t="s">
        <v>6814</v>
      </c>
      <c r="G2919" s="293" t="s">
        <v>5579</v>
      </c>
      <c r="H2919" s="294">
        <v>41851</v>
      </c>
      <c r="I2919" s="295">
        <v>-857.57</v>
      </c>
    </row>
    <row r="2920" spans="1:9" x14ac:dyDescent="0.2">
      <c r="A2920" s="293" t="s">
        <v>8666</v>
      </c>
      <c r="B2920" s="293" t="s">
        <v>5666</v>
      </c>
      <c r="C2920" s="293" t="s">
        <v>6091</v>
      </c>
      <c r="D2920" s="293" t="s">
        <v>5878</v>
      </c>
      <c r="E2920" s="293" t="s">
        <v>6281</v>
      </c>
      <c r="F2920" s="293" t="s">
        <v>6814</v>
      </c>
      <c r="G2920" s="293" t="s">
        <v>5573</v>
      </c>
      <c r="H2920" s="294">
        <v>41851</v>
      </c>
      <c r="I2920" s="295">
        <v>-3125.47</v>
      </c>
    </row>
    <row r="2921" spans="1:9" x14ac:dyDescent="0.2">
      <c r="A2921" s="293" t="s">
        <v>8667</v>
      </c>
      <c r="B2921" s="293" t="s">
        <v>5666</v>
      </c>
      <c r="C2921" s="293" t="s">
        <v>6093</v>
      </c>
      <c r="D2921" s="293" t="s">
        <v>5878</v>
      </c>
      <c r="E2921" s="293" t="s">
        <v>6283</v>
      </c>
      <c r="F2921" s="293" t="s">
        <v>6814</v>
      </c>
      <c r="G2921" s="293" t="s">
        <v>5573</v>
      </c>
      <c r="H2921" s="294">
        <v>41851</v>
      </c>
      <c r="I2921" s="295">
        <v>-4451.78</v>
      </c>
    </row>
    <row r="2922" spans="1:9" x14ac:dyDescent="0.2">
      <c r="A2922" s="293" t="s">
        <v>8668</v>
      </c>
      <c r="B2922" s="293" t="s">
        <v>5666</v>
      </c>
      <c r="C2922" s="293" t="s">
        <v>6080</v>
      </c>
      <c r="D2922" s="293" t="s">
        <v>5878</v>
      </c>
      <c r="E2922" s="293" t="s">
        <v>6285</v>
      </c>
      <c r="F2922" s="293" t="s">
        <v>6814</v>
      </c>
      <c r="G2922" s="293" t="s">
        <v>5573</v>
      </c>
      <c r="H2922" s="294">
        <v>41851</v>
      </c>
      <c r="I2922" s="295">
        <v>-10077.08</v>
      </c>
    </row>
    <row r="2923" spans="1:9" x14ac:dyDescent="0.2">
      <c r="A2923" s="293" t="s">
        <v>8669</v>
      </c>
      <c r="B2923" s="293" t="s">
        <v>5666</v>
      </c>
      <c r="C2923" s="293" t="s">
        <v>6095</v>
      </c>
      <c r="D2923" s="293" t="s">
        <v>5878</v>
      </c>
      <c r="E2923" s="293" t="s">
        <v>6287</v>
      </c>
      <c r="F2923" s="293" t="s">
        <v>6814</v>
      </c>
      <c r="G2923" s="293" t="s">
        <v>5580</v>
      </c>
      <c r="H2923" s="294">
        <v>41851</v>
      </c>
      <c r="I2923" s="295">
        <v>-5589.54</v>
      </c>
    </row>
    <row r="2924" spans="1:9" x14ac:dyDescent="0.2">
      <c r="A2924" s="293" t="s">
        <v>8670</v>
      </c>
      <c r="B2924" s="293" t="s">
        <v>5666</v>
      </c>
      <c r="C2924" s="293" t="s">
        <v>6097</v>
      </c>
      <c r="D2924" s="293" t="s">
        <v>5878</v>
      </c>
      <c r="E2924" s="293" t="s">
        <v>6289</v>
      </c>
      <c r="F2924" s="293" t="s">
        <v>6814</v>
      </c>
      <c r="G2924" s="293" t="s">
        <v>5580</v>
      </c>
      <c r="H2924" s="294">
        <v>41851</v>
      </c>
      <c r="I2924" s="295">
        <v>-10099.59</v>
      </c>
    </row>
    <row r="2925" spans="1:9" x14ac:dyDescent="0.2">
      <c r="A2925" s="293" t="s">
        <v>8671</v>
      </c>
      <c r="B2925" s="293" t="s">
        <v>5666</v>
      </c>
      <c r="C2925" s="293" t="s">
        <v>6099</v>
      </c>
      <c r="D2925" s="293" t="s">
        <v>5878</v>
      </c>
      <c r="E2925" s="293" t="s">
        <v>6291</v>
      </c>
      <c r="F2925" s="293" t="s">
        <v>6814</v>
      </c>
      <c r="G2925" s="293" t="s">
        <v>5579</v>
      </c>
      <c r="H2925" s="294">
        <v>41851</v>
      </c>
      <c r="I2925" s="295">
        <v>-1407.23</v>
      </c>
    </row>
    <row r="2926" spans="1:9" x14ac:dyDescent="0.2">
      <c r="A2926" s="293" t="s">
        <v>8672</v>
      </c>
      <c r="B2926" s="293" t="s">
        <v>5666</v>
      </c>
      <c r="C2926" s="293" t="s">
        <v>6083</v>
      </c>
      <c r="D2926" s="293" t="s">
        <v>5878</v>
      </c>
      <c r="E2926" s="293" t="s">
        <v>6293</v>
      </c>
      <c r="F2926" s="293" t="s">
        <v>6814</v>
      </c>
      <c r="G2926" s="293" t="s">
        <v>5579</v>
      </c>
      <c r="H2926" s="294">
        <v>41851</v>
      </c>
      <c r="I2926" s="295">
        <v>-2524.9</v>
      </c>
    </row>
    <row r="2927" spans="1:9" x14ac:dyDescent="0.2">
      <c r="A2927" s="293" t="s">
        <v>8673</v>
      </c>
      <c r="B2927" s="293" t="s">
        <v>5666</v>
      </c>
      <c r="C2927" s="293" t="s">
        <v>6101</v>
      </c>
      <c r="D2927" s="293" t="s">
        <v>5878</v>
      </c>
      <c r="E2927" s="293" t="s">
        <v>6295</v>
      </c>
      <c r="F2927" s="293" t="s">
        <v>6814</v>
      </c>
      <c r="G2927" s="293" t="s">
        <v>5580</v>
      </c>
      <c r="H2927" s="294">
        <v>41851</v>
      </c>
      <c r="I2927" s="295">
        <v>-193.73</v>
      </c>
    </row>
    <row r="2928" spans="1:9" x14ac:dyDescent="0.2">
      <c r="A2928" s="293" t="s">
        <v>8674</v>
      </c>
      <c r="B2928" s="293" t="s">
        <v>5666</v>
      </c>
      <c r="C2928" s="293" t="s">
        <v>6104</v>
      </c>
      <c r="D2928" s="293" t="s">
        <v>5878</v>
      </c>
      <c r="E2928" s="293" t="s">
        <v>6297</v>
      </c>
      <c r="F2928" s="293" t="s">
        <v>6814</v>
      </c>
      <c r="G2928" s="293" t="s">
        <v>5580</v>
      </c>
      <c r="H2928" s="294">
        <v>41851</v>
      </c>
      <c r="I2928" s="295">
        <v>-274.12</v>
      </c>
    </row>
    <row r="2929" spans="1:9" x14ac:dyDescent="0.2">
      <c r="A2929" s="293" t="s">
        <v>8675</v>
      </c>
      <c r="B2929" s="293" t="s">
        <v>5666</v>
      </c>
      <c r="C2929" s="293" t="s">
        <v>6106</v>
      </c>
      <c r="D2929" s="293" t="s">
        <v>5878</v>
      </c>
      <c r="E2929" s="293" t="s">
        <v>6299</v>
      </c>
      <c r="F2929" s="293" t="s">
        <v>6814</v>
      </c>
      <c r="G2929" s="293" t="s">
        <v>5580</v>
      </c>
      <c r="H2929" s="294">
        <v>41851</v>
      </c>
      <c r="I2929" s="295">
        <v>-1347.95</v>
      </c>
    </row>
    <row r="2930" spans="1:9" x14ac:dyDescent="0.2">
      <c r="A2930" s="293" t="s">
        <v>8676</v>
      </c>
      <c r="B2930" s="293" t="s">
        <v>5666</v>
      </c>
      <c r="C2930" s="293" t="s">
        <v>6108</v>
      </c>
      <c r="D2930" s="293" t="s">
        <v>5878</v>
      </c>
      <c r="E2930" s="293" t="s">
        <v>6301</v>
      </c>
      <c r="F2930" s="293" t="s">
        <v>6814</v>
      </c>
      <c r="G2930" s="293" t="s">
        <v>5580</v>
      </c>
      <c r="H2930" s="294">
        <v>41851</v>
      </c>
      <c r="I2930" s="295">
        <v>-1918.86</v>
      </c>
    </row>
    <row r="2931" spans="1:9" x14ac:dyDescent="0.2">
      <c r="A2931" s="293" t="s">
        <v>8677</v>
      </c>
      <c r="B2931" s="293" t="s">
        <v>5666</v>
      </c>
      <c r="C2931" s="293" t="s">
        <v>6110</v>
      </c>
      <c r="D2931" s="293" t="s">
        <v>5878</v>
      </c>
      <c r="E2931" s="293" t="s">
        <v>6303</v>
      </c>
      <c r="F2931" s="293" t="s">
        <v>6814</v>
      </c>
      <c r="G2931" s="293" t="s">
        <v>5573</v>
      </c>
      <c r="H2931" s="294">
        <v>41851</v>
      </c>
      <c r="I2931" s="295">
        <v>-1780.13</v>
      </c>
    </row>
    <row r="2932" spans="1:9" x14ac:dyDescent="0.2">
      <c r="A2932" s="293" t="s">
        <v>8678</v>
      </c>
      <c r="B2932" s="293" t="s">
        <v>5666</v>
      </c>
      <c r="C2932" s="293" t="s">
        <v>6115</v>
      </c>
      <c r="D2932" s="293" t="s">
        <v>5878</v>
      </c>
      <c r="E2932" s="293" t="s">
        <v>6305</v>
      </c>
      <c r="F2932" s="293" t="s">
        <v>6814</v>
      </c>
      <c r="G2932" s="293" t="s">
        <v>5581</v>
      </c>
      <c r="H2932" s="294">
        <v>41851</v>
      </c>
      <c r="I2932" s="295">
        <v>-2230.71</v>
      </c>
    </row>
    <row r="2933" spans="1:9" x14ac:dyDescent="0.2">
      <c r="A2933" s="293" t="s">
        <v>8679</v>
      </c>
      <c r="B2933" s="293" t="s">
        <v>5666</v>
      </c>
      <c r="C2933" s="293" t="s">
        <v>6086</v>
      </c>
      <c r="D2933" s="293" t="s">
        <v>5878</v>
      </c>
      <c r="E2933" s="293" t="s">
        <v>6307</v>
      </c>
      <c r="F2933" s="293" t="s">
        <v>6814</v>
      </c>
      <c r="G2933" s="293" t="s">
        <v>5581</v>
      </c>
      <c r="H2933" s="294">
        <v>41851</v>
      </c>
      <c r="I2933" s="295">
        <v>-2490.34</v>
      </c>
    </row>
    <row r="2934" spans="1:9" x14ac:dyDescent="0.2">
      <c r="A2934" s="293" t="s">
        <v>8680</v>
      </c>
      <c r="B2934" s="293" t="s">
        <v>5666</v>
      </c>
      <c r="C2934" s="293" t="s">
        <v>6113</v>
      </c>
      <c r="D2934" s="293" t="s">
        <v>5878</v>
      </c>
      <c r="E2934" s="293" t="s">
        <v>6316</v>
      </c>
      <c r="F2934" s="293" t="s">
        <v>6814</v>
      </c>
      <c r="G2934" s="293" t="s">
        <v>5573</v>
      </c>
      <c r="H2934" s="294">
        <v>41851</v>
      </c>
      <c r="I2934" s="295">
        <v>-5336.81</v>
      </c>
    </row>
    <row r="2935" spans="1:9" x14ac:dyDescent="0.2">
      <c r="A2935" s="293" t="s">
        <v>8681</v>
      </c>
      <c r="B2935" s="293" t="s">
        <v>5666</v>
      </c>
      <c r="C2935" s="293" t="s">
        <v>6313</v>
      </c>
      <c r="D2935" s="293" t="s">
        <v>5878</v>
      </c>
      <c r="E2935" s="293" t="s">
        <v>6314</v>
      </c>
      <c r="F2935" s="293" t="s">
        <v>6814</v>
      </c>
      <c r="G2935" s="293" t="s">
        <v>5576</v>
      </c>
      <c r="H2935" s="294">
        <v>41851</v>
      </c>
      <c r="I2935" s="295">
        <v>-4207.3500000000004</v>
      </c>
    </row>
    <row r="2936" spans="1:9" x14ac:dyDescent="0.2">
      <c r="A2936" s="293" t="s">
        <v>8682</v>
      </c>
      <c r="B2936" s="293" t="s">
        <v>5666</v>
      </c>
      <c r="C2936" s="293" t="s">
        <v>6272</v>
      </c>
      <c r="D2936" s="293" t="s">
        <v>5878</v>
      </c>
      <c r="E2936" s="293" t="s">
        <v>6273</v>
      </c>
      <c r="F2936" s="293" t="s">
        <v>6836</v>
      </c>
      <c r="G2936" s="293" t="s">
        <v>5576</v>
      </c>
      <c r="H2936" s="294">
        <v>41882</v>
      </c>
      <c r="I2936" s="295">
        <v>-3340.78</v>
      </c>
    </row>
    <row r="2937" spans="1:9" x14ac:dyDescent="0.2">
      <c r="A2937" s="293" t="s">
        <v>8683</v>
      </c>
      <c r="B2937" s="293" t="s">
        <v>5666</v>
      </c>
      <c r="C2937" s="293" t="s">
        <v>6122</v>
      </c>
      <c r="D2937" s="293" t="s">
        <v>5878</v>
      </c>
      <c r="E2937" s="293" t="s">
        <v>6275</v>
      </c>
      <c r="F2937" s="293" t="s">
        <v>6836</v>
      </c>
      <c r="G2937" s="293" t="s">
        <v>5577</v>
      </c>
      <c r="H2937" s="294">
        <v>41882</v>
      </c>
      <c r="I2937" s="295">
        <v>-1179.21</v>
      </c>
    </row>
    <row r="2938" spans="1:9" x14ac:dyDescent="0.2">
      <c r="A2938" s="293" t="s">
        <v>8684</v>
      </c>
      <c r="B2938" s="293" t="s">
        <v>5666</v>
      </c>
      <c r="C2938" s="293" t="s">
        <v>6124</v>
      </c>
      <c r="D2938" s="293" t="s">
        <v>5878</v>
      </c>
      <c r="E2938" s="293" t="s">
        <v>6277</v>
      </c>
      <c r="F2938" s="293" t="s">
        <v>6836</v>
      </c>
      <c r="G2938" s="293" t="s">
        <v>5578</v>
      </c>
      <c r="H2938" s="294">
        <v>41882</v>
      </c>
      <c r="I2938" s="295">
        <v>-1019.33</v>
      </c>
    </row>
    <row r="2939" spans="1:9" x14ac:dyDescent="0.2">
      <c r="A2939" s="293" t="s">
        <v>8685</v>
      </c>
      <c r="B2939" s="293" t="s">
        <v>5666</v>
      </c>
      <c r="C2939" s="293" t="s">
        <v>6126</v>
      </c>
      <c r="D2939" s="293" t="s">
        <v>5878</v>
      </c>
      <c r="E2939" s="293" t="s">
        <v>6279</v>
      </c>
      <c r="F2939" s="293" t="s">
        <v>6836</v>
      </c>
      <c r="G2939" s="293" t="s">
        <v>5579</v>
      </c>
      <c r="H2939" s="294">
        <v>41882</v>
      </c>
      <c r="I2939" s="295">
        <v>-857.57</v>
      </c>
    </row>
    <row r="2940" spans="1:9" x14ac:dyDescent="0.2">
      <c r="A2940" s="293" t="s">
        <v>8686</v>
      </c>
      <c r="B2940" s="293" t="s">
        <v>5666</v>
      </c>
      <c r="C2940" s="293" t="s">
        <v>6091</v>
      </c>
      <c r="D2940" s="293" t="s">
        <v>5878</v>
      </c>
      <c r="E2940" s="293" t="s">
        <v>6281</v>
      </c>
      <c r="F2940" s="293" t="s">
        <v>6836</v>
      </c>
      <c r="G2940" s="293" t="s">
        <v>5573</v>
      </c>
      <c r="H2940" s="294">
        <v>41882</v>
      </c>
      <c r="I2940" s="295">
        <v>-3125.47</v>
      </c>
    </row>
    <row r="2941" spans="1:9" x14ac:dyDescent="0.2">
      <c r="A2941" s="293" t="s">
        <v>8687</v>
      </c>
      <c r="B2941" s="293" t="s">
        <v>5666</v>
      </c>
      <c r="C2941" s="293" t="s">
        <v>6093</v>
      </c>
      <c r="D2941" s="293" t="s">
        <v>5878</v>
      </c>
      <c r="E2941" s="293" t="s">
        <v>6283</v>
      </c>
      <c r="F2941" s="293" t="s">
        <v>6836</v>
      </c>
      <c r="G2941" s="293" t="s">
        <v>5573</v>
      </c>
      <c r="H2941" s="294">
        <v>41882</v>
      </c>
      <c r="I2941" s="295">
        <v>-4451.78</v>
      </c>
    </row>
    <row r="2942" spans="1:9" x14ac:dyDescent="0.2">
      <c r="A2942" s="293" t="s">
        <v>8688</v>
      </c>
      <c r="B2942" s="293" t="s">
        <v>5666</v>
      </c>
      <c r="C2942" s="293" t="s">
        <v>6080</v>
      </c>
      <c r="D2942" s="293" t="s">
        <v>5878</v>
      </c>
      <c r="E2942" s="293" t="s">
        <v>6285</v>
      </c>
      <c r="F2942" s="293" t="s">
        <v>6836</v>
      </c>
      <c r="G2942" s="293" t="s">
        <v>5573</v>
      </c>
      <c r="H2942" s="294">
        <v>41882</v>
      </c>
      <c r="I2942" s="295">
        <v>-10077.08</v>
      </c>
    </row>
    <row r="2943" spans="1:9" x14ac:dyDescent="0.2">
      <c r="A2943" s="293" t="s">
        <v>8689</v>
      </c>
      <c r="B2943" s="293" t="s">
        <v>5666</v>
      </c>
      <c r="C2943" s="293" t="s">
        <v>6095</v>
      </c>
      <c r="D2943" s="293" t="s">
        <v>5878</v>
      </c>
      <c r="E2943" s="293" t="s">
        <v>6287</v>
      </c>
      <c r="F2943" s="293" t="s">
        <v>6836</v>
      </c>
      <c r="G2943" s="293" t="s">
        <v>5580</v>
      </c>
      <c r="H2943" s="294">
        <v>41882</v>
      </c>
      <c r="I2943" s="295">
        <v>-5589.54</v>
      </c>
    </row>
    <row r="2944" spans="1:9" x14ac:dyDescent="0.2">
      <c r="A2944" s="293" t="s">
        <v>8690</v>
      </c>
      <c r="B2944" s="293" t="s">
        <v>5666</v>
      </c>
      <c r="C2944" s="293" t="s">
        <v>6097</v>
      </c>
      <c r="D2944" s="293" t="s">
        <v>5878</v>
      </c>
      <c r="E2944" s="293" t="s">
        <v>6289</v>
      </c>
      <c r="F2944" s="293" t="s">
        <v>6836</v>
      </c>
      <c r="G2944" s="293" t="s">
        <v>5580</v>
      </c>
      <c r="H2944" s="294">
        <v>41882</v>
      </c>
      <c r="I2944" s="295">
        <v>-10099.59</v>
      </c>
    </row>
    <row r="2945" spans="1:9" x14ac:dyDescent="0.2">
      <c r="A2945" s="293" t="s">
        <v>8691</v>
      </c>
      <c r="B2945" s="293" t="s">
        <v>5666</v>
      </c>
      <c r="C2945" s="293" t="s">
        <v>6099</v>
      </c>
      <c r="D2945" s="293" t="s">
        <v>5878</v>
      </c>
      <c r="E2945" s="293" t="s">
        <v>6291</v>
      </c>
      <c r="F2945" s="293" t="s">
        <v>6836</v>
      </c>
      <c r="G2945" s="293" t="s">
        <v>5579</v>
      </c>
      <c r="H2945" s="294">
        <v>41882</v>
      </c>
      <c r="I2945" s="295">
        <v>-1407.23</v>
      </c>
    </row>
    <row r="2946" spans="1:9" x14ac:dyDescent="0.2">
      <c r="A2946" s="293" t="s">
        <v>8692</v>
      </c>
      <c r="B2946" s="293" t="s">
        <v>5666</v>
      </c>
      <c r="C2946" s="293" t="s">
        <v>6083</v>
      </c>
      <c r="D2946" s="293" t="s">
        <v>5878</v>
      </c>
      <c r="E2946" s="293" t="s">
        <v>6293</v>
      </c>
      <c r="F2946" s="293" t="s">
        <v>6836</v>
      </c>
      <c r="G2946" s="293" t="s">
        <v>5579</v>
      </c>
      <c r="H2946" s="294">
        <v>41882</v>
      </c>
      <c r="I2946" s="295">
        <v>-2524.9</v>
      </c>
    </row>
    <row r="2947" spans="1:9" x14ac:dyDescent="0.2">
      <c r="A2947" s="293" t="s">
        <v>8693</v>
      </c>
      <c r="B2947" s="293" t="s">
        <v>5666</v>
      </c>
      <c r="C2947" s="293" t="s">
        <v>6101</v>
      </c>
      <c r="D2947" s="293" t="s">
        <v>5878</v>
      </c>
      <c r="E2947" s="293" t="s">
        <v>6295</v>
      </c>
      <c r="F2947" s="293" t="s">
        <v>6836</v>
      </c>
      <c r="G2947" s="293" t="s">
        <v>5580</v>
      </c>
      <c r="H2947" s="294">
        <v>41882</v>
      </c>
      <c r="I2947" s="295">
        <v>-193.73</v>
      </c>
    </row>
    <row r="2948" spans="1:9" x14ac:dyDescent="0.2">
      <c r="A2948" s="293" t="s">
        <v>8694</v>
      </c>
      <c r="B2948" s="293" t="s">
        <v>5666</v>
      </c>
      <c r="C2948" s="293" t="s">
        <v>6104</v>
      </c>
      <c r="D2948" s="293" t="s">
        <v>5878</v>
      </c>
      <c r="E2948" s="293" t="s">
        <v>6297</v>
      </c>
      <c r="F2948" s="293" t="s">
        <v>6836</v>
      </c>
      <c r="G2948" s="293" t="s">
        <v>5580</v>
      </c>
      <c r="H2948" s="294">
        <v>41882</v>
      </c>
      <c r="I2948" s="295">
        <v>-274.12</v>
      </c>
    </row>
    <row r="2949" spans="1:9" x14ac:dyDescent="0.2">
      <c r="A2949" s="293" t="s">
        <v>8695</v>
      </c>
      <c r="B2949" s="293" t="s">
        <v>5666</v>
      </c>
      <c r="C2949" s="293" t="s">
        <v>6106</v>
      </c>
      <c r="D2949" s="293" t="s">
        <v>5878</v>
      </c>
      <c r="E2949" s="293" t="s">
        <v>6299</v>
      </c>
      <c r="F2949" s="293" t="s">
        <v>6836</v>
      </c>
      <c r="G2949" s="293" t="s">
        <v>5580</v>
      </c>
      <c r="H2949" s="294">
        <v>41882</v>
      </c>
      <c r="I2949" s="295">
        <v>-1347.95</v>
      </c>
    </row>
    <row r="2950" spans="1:9" x14ac:dyDescent="0.2">
      <c r="A2950" s="293" t="s">
        <v>8696</v>
      </c>
      <c r="B2950" s="293" t="s">
        <v>5666</v>
      </c>
      <c r="C2950" s="293" t="s">
        <v>6108</v>
      </c>
      <c r="D2950" s="293" t="s">
        <v>5878</v>
      </c>
      <c r="E2950" s="293" t="s">
        <v>6301</v>
      </c>
      <c r="F2950" s="293" t="s">
        <v>6836</v>
      </c>
      <c r="G2950" s="293" t="s">
        <v>5580</v>
      </c>
      <c r="H2950" s="294">
        <v>41882</v>
      </c>
      <c r="I2950" s="295">
        <v>-1918.86</v>
      </c>
    </row>
    <row r="2951" spans="1:9" x14ac:dyDescent="0.2">
      <c r="A2951" s="293" t="s">
        <v>8697</v>
      </c>
      <c r="B2951" s="293" t="s">
        <v>5666</v>
      </c>
      <c r="C2951" s="293" t="s">
        <v>6110</v>
      </c>
      <c r="D2951" s="293" t="s">
        <v>5878</v>
      </c>
      <c r="E2951" s="293" t="s">
        <v>6303</v>
      </c>
      <c r="F2951" s="293" t="s">
        <v>6836</v>
      </c>
      <c r="G2951" s="293" t="s">
        <v>5573</v>
      </c>
      <c r="H2951" s="294">
        <v>41882</v>
      </c>
      <c r="I2951" s="295">
        <v>-1780.13</v>
      </c>
    </row>
    <row r="2952" spans="1:9" x14ac:dyDescent="0.2">
      <c r="A2952" s="293" t="s">
        <v>8698</v>
      </c>
      <c r="B2952" s="293" t="s">
        <v>5666</v>
      </c>
      <c r="C2952" s="293" t="s">
        <v>6115</v>
      </c>
      <c r="D2952" s="293" t="s">
        <v>5878</v>
      </c>
      <c r="E2952" s="293" t="s">
        <v>6305</v>
      </c>
      <c r="F2952" s="293" t="s">
        <v>6836</v>
      </c>
      <c r="G2952" s="293" t="s">
        <v>5581</v>
      </c>
      <c r="H2952" s="294">
        <v>41882</v>
      </c>
      <c r="I2952" s="295">
        <v>-2230.71</v>
      </c>
    </row>
    <row r="2953" spans="1:9" x14ac:dyDescent="0.2">
      <c r="A2953" s="293" t="s">
        <v>8699</v>
      </c>
      <c r="B2953" s="293" t="s">
        <v>5666</v>
      </c>
      <c r="C2953" s="293" t="s">
        <v>6086</v>
      </c>
      <c r="D2953" s="293" t="s">
        <v>5878</v>
      </c>
      <c r="E2953" s="293" t="s">
        <v>6307</v>
      </c>
      <c r="F2953" s="293" t="s">
        <v>6836</v>
      </c>
      <c r="G2953" s="293" t="s">
        <v>5581</v>
      </c>
      <c r="H2953" s="294">
        <v>41882</v>
      </c>
      <c r="I2953" s="295">
        <v>-2490.34</v>
      </c>
    </row>
    <row r="2954" spans="1:9" x14ac:dyDescent="0.2">
      <c r="A2954" s="293" t="s">
        <v>8700</v>
      </c>
      <c r="B2954" s="293" t="s">
        <v>5666</v>
      </c>
      <c r="C2954" s="293" t="s">
        <v>6113</v>
      </c>
      <c r="D2954" s="293" t="s">
        <v>5878</v>
      </c>
      <c r="E2954" s="293" t="s">
        <v>6316</v>
      </c>
      <c r="F2954" s="293" t="s">
        <v>6836</v>
      </c>
      <c r="G2954" s="293" t="s">
        <v>5573</v>
      </c>
      <c r="H2954" s="294">
        <v>41882</v>
      </c>
      <c r="I2954" s="295">
        <v>-5336.81</v>
      </c>
    </row>
    <row r="2955" spans="1:9" x14ac:dyDescent="0.2">
      <c r="A2955" s="293" t="s">
        <v>8701</v>
      </c>
      <c r="B2955" s="293" t="s">
        <v>5666</v>
      </c>
      <c r="C2955" s="293" t="s">
        <v>6313</v>
      </c>
      <c r="D2955" s="293" t="s">
        <v>5878</v>
      </c>
      <c r="E2955" s="293" t="s">
        <v>6314</v>
      </c>
      <c r="F2955" s="293" t="s">
        <v>6836</v>
      </c>
      <c r="G2955" s="293" t="s">
        <v>5576</v>
      </c>
      <c r="H2955" s="294">
        <v>41882</v>
      </c>
      <c r="I2955" s="295">
        <v>-4207.3500000000004</v>
      </c>
    </row>
    <row r="2956" spans="1:9" x14ac:dyDescent="0.2">
      <c r="A2956" s="293" t="s">
        <v>8702</v>
      </c>
      <c r="B2956" s="293" t="s">
        <v>5666</v>
      </c>
      <c r="C2956" s="293" t="s">
        <v>6272</v>
      </c>
      <c r="D2956" s="293" t="s">
        <v>5878</v>
      </c>
      <c r="E2956" s="293" t="s">
        <v>6273</v>
      </c>
      <c r="F2956" s="293" t="s">
        <v>6860</v>
      </c>
      <c r="G2956" s="293" t="s">
        <v>5576</v>
      </c>
      <c r="H2956" s="294">
        <v>41912</v>
      </c>
      <c r="I2956" s="295">
        <v>-3340.78</v>
      </c>
    </row>
    <row r="2957" spans="1:9" x14ac:dyDescent="0.2">
      <c r="A2957" s="293" t="s">
        <v>8703</v>
      </c>
      <c r="B2957" s="293" t="s">
        <v>5666</v>
      </c>
      <c r="C2957" s="293" t="s">
        <v>6122</v>
      </c>
      <c r="D2957" s="293" t="s">
        <v>5878</v>
      </c>
      <c r="E2957" s="293" t="s">
        <v>6275</v>
      </c>
      <c r="F2957" s="293" t="s">
        <v>6860</v>
      </c>
      <c r="G2957" s="293" t="s">
        <v>5577</v>
      </c>
      <c r="H2957" s="294">
        <v>41912</v>
      </c>
      <c r="I2957" s="295">
        <v>-1179.21</v>
      </c>
    </row>
    <row r="2958" spans="1:9" x14ac:dyDescent="0.2">
      <c r="A2958" s="293" t="s">
        <v>8704</v>
      </c>
      <c r="B2958" s="293" t="s">
        <v>5666</v>
      </c>
      <c r="C2958" s="293" t="s">
        <v>6124</v>
      </c>
      <c r="D2958" s="293" t="s">
        <v>5878</v>
      </c>
      <c r="E2958" s="293" t="s">
        <v>6277</v>
      </c>
      <c r="F2958" s="293" t="s">
        <v>6860</v>
      </c>
      <c r="G2958" s="293" t="s">
        <v>5578</v>
      </c>
      <c r="H2958" s="294">
        <v>41912</v>
      </c>
      <c r="I2958" s="295">
        <v>-1019.33</v>
      </c>
    </row>
    <row r="2959" spans="1:9" x14ac:dyDescent="0.2">
      <c r="A2959" s="293" t="s">
        <v>8705</v>
      </c>
      <c r="B2959" s="293" t="s">
        <v>5666</v>
      </c>
      <c r="C2959" s="293" t="s">
        <v>6126</v>
      </c>
      <c r="D2959" s="293" t="s">
        <v>5878</v>
      </c>
      <c r="E2959" s="293" t="s">
        <v>6279</v>
      </c>
      <c r="F2959" s="293" t="s">
        <v>6860</v>
      </c>
      <c r="G2959" s="293" t="s">
        <v>5579</v>
      </c>
      <c r="H2959" s="294">
        <v>41912</v>
      </c>
      <c r="I2959" s="295">
        <v>-857.57</v>
      </c>
    </row>
    <row r="2960" spans="1:9" x14ac:dyDescent="0.2">
      <c r="A2960" s="293" t="s">
        <v>8706</v>
      </c>
      <c r="B2960" s="293" t="s">
        <v>5666</v>
      </c>
      <c r="C2960" s="293" t="s">
        <v>6091</v>
      </c>
      <c r="D2960" s="293" t="s">
        <v>5878</v>
      </c>
      <c r="E2960" s="293" t="s">
        <v>6281</v>
      </c>
      <c r="F2960" s="293" t="s">
        <v>6860</v>
      </c>
      <c r="G2960" s="293" t="s">
        <v>5573</v>
      </c>
      <c r="H2960" s="294">
        <v>41912</v>
      </c>
      <c r="I2960" s="295">
        <v>-3125.47</v>
      </c>
    </row>
    <row r="2961" spans="1:9" x14ac:dyDescent="0.2">
      <c r="A2961" s="293" t="s">
        <v>8707</v>
      </c>
      <c r="B2961" s="293" t="s">
        <v>5666</v>
      </c>
      <c r="C2961" s="293" t="s">
        <v>6093</v>
      </c>
      <c r="D2961" s="293" t="s">
        <v>5878</v>
      </c>
      <c r="E2961" s="293" t="s">
        <v>6283</v>
      </c>
      <c r="F2961" s="293" t="s">
        <v>6860</v>
      </c>
      <c r="G2961" s="293" t="s">
        <v>5573</v>
      </c>
      <c r="H2961" s="294">
        <v>41912</v>
      </c>
      <c r="I2961" s="295">
        <v>-4451.78</v>
      </c>
    </row>
    <row r="2962" spans="1:9" x14ac:dyDescent="0.2">
      <c r="A2962" s="293" t="s">
        <v>8708</v>
      </c>
      <c r="B2962" s="293" t="s">
        <v>5666</v>
      </c>
      <c r="C2962" s="293" t="s">
        <v>6080</v>
      </c>
      <c r="D2962" s="293" t="s">
        <v>5878</v>
      </c>
      <c r="E2962" s="293" t="s">
        <v>6285</v>
      </c>
      <c r="F2962" s="293" t="s">
        <v>6860</v>
      </c>
      <c r="G2962" s="293" t="s">
        <v>5573</v>
      </c>
      <c r="H2962" s="294">
        <v>41912</v>
      </c>
      <c r="I2962" s="295">
        <v>-10077.08</v>
      </c>
    </row>
    <row r="2963" spans="1:9" x14ac:dyDescent="0.2">
      <c r="A2963" s="293" t="s">
        <v>8709</v>
      </c>
      <c r="B2963" s="293" t="s">
        <v>5666</v>
      </c>
      <c r="C2963" s="293" t="s">
        <v>6095</v>
      </c>
      <c r="D2963" s="293" t="s">
        <v>5878</v>
      </c>
      <c r="E2963" s="293" t="s">
        <v>6287</v>
      </c>
      <c r="F2963" s="293" t="s">
        <v>6860</v>
      </c>
      <c r="G2963" s="293" t="s">
        <v>5580</v>
      </c>
      <c r="H2963" s="294">
        <v>41912</v>
      </c>
      <c r="I2963" s="295">
        <v>-5589.54</v>
      </c>
    </row>
    <row r="2964" spans="1:9" x14ac:dyDescent="0.2">
      <c r="A2964" s="293" t="s">
        <v>8710</v>
      </c>
      <c r="B2964" s="293" t="s">
        <v>5666</v>
      </c>
      <c r="C2964" s="293" t="s">
        <v>6097</v>
      </c>
      <c r="D2964" s="293" t="s">
        <v>5878</v>
      </c>
      <c r="E2964" s="293" t="s">
        <v>6289</v>
      </c>
      <c r="F2964" s="293" t="s">
        <v>6860</v>
      </c>
      <c r="G2964" s="293" t="s">
        <v>5580</v>
      </c>
      <c r="H2964" s="294">
        <v>41912</v>
      </c>
      <c r="I2964" s="295">
        <v>-10099.59</v>
      </c>
    </row>
    <row r="2965" spans="1:9" x14ac:dyDescent="0.2">
      <c r="A2965" s="293" t="s">
        <v>8711</v>
      </c>
      <c r="B2965" s="293" t="s">
        <v>5666</v>
      </c>
      <c r="C2965" s="293" t="s">
        <v>6099</v>
      </c>
      <c r="D2965" s="293" t="s">
        <v>5878</v>
      </c>
      <c r="E2965" s="293" t="s">
        <v>6291</v>
      </c>
      <c r="F2965" s="293" t="s">
        <v>6860</v>
      </c>
      <c r="G2965" s="293" t="s">
        <v>5579</v>
      </c>
      <c r="H2965" s="294">
        <v>41912</v>
      </c>
      <c r="I2965" s="295">
        <v>-1407.23</v>
      </c>
    </row>
    <row r="2966" spans="1:9" x14ac:dyDescent="0.2">
      <c r="A2966" s="293" t="s">
        <v>8712</v>
      </c>
      <c r="B2966" s="293" t="s">
        <v>5666</v>
      </c>
      <c r="C2966" s="293" t="s">
        <v>6083</v>
      </c>
      <c r="D2966" s="293" t="s">
        <v>5878</v>
      </c>
      <c r="E2966" s="293" t="s">
        <v>6293</v>
      </c>
      <c r="F2966" s="293" t="s">
        <v>6860</v>
      </c>
      <c r="G2966" s="293" t="s">
        <v>5579</v>
      </c>
      <c r="H2966" s="294">
        <v>41912</v>
      </c>
      <c r="I2966" s="295">
        <v>-2524.9</v>
      </c>
    </row>
    <row r="2967" spans="1:9" x14ac:dyDescent="0.2">
      <c r="A2967" s="293" t="s">
        <v>8713</v>
      </c>
      <c r="B2967" s="293" t="s">
        <v>5666</v>
      </c>
      <c r="C2967" s="293" t="s">
        <v>6101</v>
      </c>
      <c r="D2967" s="293" t="s">
        <v>5878</v>
      </c>
      <c r="E2967" s="293" t="s">
        <v>6295</v>
      </c>
      <c r="F2967" s="293" t="s">
        <v>6860</v>
      </c>
      <c r="G2967" s="293" t="s">
        <v>5580</v>
      </c>
      <c r="H2967" s="294">
        <v>41912</v>
      </c>
      <c r="I2967" s="295">
        <v>-193.73</v>
      </c>
    </row>
    <row r="2968" spans="1:9" x14ac:dyDescent="0.2">
      <c r="A2968" s="293" t="s">
        <v>8714</v>
      </c>
      <c r="B2968" s="293" t="s">
        <v>5666</v>
      </c>
      <c r="C2968" s="293" t="s">
        <v>6104</v>
      </c>
      <c r="D2968" s="293" t="s">
        <v>5878</v>
      </c>
      <c r="E2968" s="293" t="s">
        <v>6297</v>
      </c>
      <c r="F2968" s="293" t="s">
        <v>6860</v>
      </c>
      <c r="G2968" s="293" t="s">
        <v>5580</v>
      </c>
      <c r="H2968" s="294">
        <v>41912</v>
      </c>
      <c r="I2968" s="295">
        <v>-274.12</v>
      </c>
    </row>
    <row r="2969" spans="1:9" x14ac:dyDescent="0.2">
      <c r="A2969" s="293" t="s">
        <v>8715</v>
      </c>
      <c r="B2969" s="293" t="s">
        <v>5666</v>
      </c>
      <c r="C2969" s="293" t="s">
        <v>6106</v>
      </c>
      <c r="D2969" s="293" t="s">
        <v>5878</v>
      </c>
      <c r="E2969" s="293" t="s">
        <v>6299</v>
      </c>
      <c r="F2969" s="293" t="s">
        <v>6860</v>
      </c>
      <c r="G2969" s="293" t="s">
        <v>5580</v>
      </c>
      <c r="H2969" s="294">
        <v>41912</v>
      </c>
      <c r="I2969" s="295">
        <v>-1347.95</v>
      </c>
    </row>
    <row r="2970" spans="1:9" x14ac:dyDescent="0.2">
      <c r="A2970" s="293" t="s">
        <v>8716</v>
      </c>
      <c r="B2970" s="293" t="s">
        <v>5666</v>
      </c>
      <c r="C2970" s="293" t="s">
        <v>6108</v>
      </c>
      <c r="D2970" s="293" t="s">
        <v>5878</v>
      </c>
      <c r="E2970" s="293" t="s">
        <v>6301</v>
      </c>
      <c r="F2970" s="293" t="s">
        <v>6860</v>
      </c>
      <c r="G2970" s="293" t="s">
        <v>5580</v>
      </c>
      <c r="H2970" s="294">
        <v>41912</v>
      </c>
      <c r="I2970" s="295">
        <v>-1918.86</v>
      </c>
    </row>
    <row r="2971" spans="1:9" x14ac:dyDescent="0.2">
      <c r="A2971" s="293" t="s">
        <v>8717</v>
      </c>
      <c r="B2971" s="293" t="s">
        <v>5666</v>
      </c>
      <c r="C2971" s="293" t="s">
        <v>6110</v>
      </c>
      <c r="D2971" s="293" t="s">
        <v>5878</v>
      </c>
      <c r="E2971" s="293" t="s">
        <v>6303</v>
      </c>
      <c r="F2971" s="293" t="s">
        <v>6860</v>
      </c>
      <c r="G2971" s="293" t="s">
        <v>5573</v>
      </c>
      <c r="H2971" s="294">
        <v>41912</v>
      </c>
      <c r="I2971" s="295">
        <v>-1780.13</v>
      </c>
    </row>
    <row r="2972" spans="1:9" x14ac:dyDescent="0.2">
      <c r="A2972" s="293" t="s">
        <v>8718</v>
      </c>
      <c r="B2972" s="293" t="s">
        <v>5666</v>
      </c>
      <c r="C2972" s="293" t="s">
        <v>6115</v>
      </c>
      <c r="D2972" s="293" t="s">
        <v>5878</v>
      </c>
      <c r="E2972" s="293" t="s">
        <v>6305</v>
      </c>
      <c r="F2972" s="293" t="s">
        <v>6860</v>
      </c>
      <c r="G2972" s="293" t="s">
        <v>5581</v>
      </c>
      <c r="H2972" s="294">
        <v>41912</v>
      </c>
      <c r="I2972" s="295">
        <v>-2230.71</v>
      </c>
    </row>
    <row r="2973" spans="1:9" x14ac:dyDescent="0.2">
      <c r="A2973" s="293" t="s">
        <v>8719</v>
      </c>
      <c r="B2973" s="293" t="s">
        <v>5666</v>
      </c>
      <c r="C2973" s="293" t="s">
        <v>6086</v>
      </c>
      <c r="D2973" s="293" t="s">
        <v>5878</v>
      </c>
      <c r="E2973" s="293" t="s">
        <v>6307</v>
      </c>
      <c r="F2973" s="293" t="s">
        <v>6860</v>
      </c>
      <c r="G2973" s="293" t="s">
        <v>5581</v>
      </c>
      <c r="H2973" s="294">
        <v>41912</v>
      </c>
      <c r="I2973" s="295">
        <v>-2490.34</v>
      </c>
    </row>
    <row r="2974" spans="1:9" x14ac:dyDescent="0.2">
      <c r="A2974" s="293" t="s">
        <v>8720</v>
      </c>
      <c r="B2974" s="293" t="s">
        <v>5666</v>
      </c>
      <c r="C2974" s="293" t="s">
        <v>6113</v>
      </c>
      <c r="D2974" s="293" t="s">
        <v>5878</v>
      </c>
      <c r="E2974" s="293" t="s">
        <v>6316</v>
      </c>
      <c r="F2974" s="293" t="s">
        <v>6860</v>
      </c>
      <c r="G2974" s="293" t="s">
        <v>5573</v>
      </c>
      <c r="H2974" s="294">
        <v>41912</v>
      </c>
      <c r="I2974" s="295">
        <v>-5336.81</v>
      </c>
    </row>
    <row r="2975" spans="1:9" x14ac:dyDescent="0.2">
      <c r="A2975" s="293" t="s">
        <v>8721</v>
      </c>
      <c r="B2975" s="293" t="s">
        <v>5666</v>
      </c>
      <c r="C2975" s="293" t="s">
        <v>6313</v>
      </c>
      <c r="D2975" s="293" t="s">
        <v>5878</v>
      </c>
      <c r="E2975" s="293" t="s">
        <v>6314</v>
      </c>
      <c r="F2975" s="293" t="s">
        <v>6860</v>
      </c>
      <c r="G2975" s="293" t="s">
        <v>5576</v>
      </c>
      <c r="H2975" s="294">
        <v>41912</v>
      </c>
      <c r="I2975" s="295">
        <v>-4207.3500000000004</v>
      </c>
    </row>
    <row r="2976" spans="1:9" x14ac:dyDescent="0.2">
      <c r="A2976" s="293" t="s">
        <v>8722</v>
      </c>
      <c r="B2976" s="293" t="s">
        <v>5666</v>
      </c>
      <c r="C2976" s="293" t="s">
        <v>6272</v>
      </c>
      <c r="D2976" s="293" t="s">
        <v>5878</v>
      </c>
      <c r="E2976" s="293" t="s">
        <v>6273</v>
      </c>
      <c r="F2976" s="293" t="s">
        <v>6884</v>
      </c>
      <c r="G2976" s="293" t="s">
        <v>5576</v>
      </c>
      <c r="H2976" s="294">
        <v>41943</v>
      </c>
      <c r="I2976" s="295">
        <v>-3340.78</v>
      </c>
    </row>
    <row r="2977" spans="1:9" x14ac:dyDescent="0.2">
      <c r="A2977" s="293" t="s">
        <v>8723</v>
      </c>
      <c r="B2977" s="293" t="s">
        <v>5666</v>
      </c>
      <c r="C2977" s="293" t="s">
        <v>6122</v>
      </c>
      <c r="D2977" s="293" t="s">
        <v>5878</v>
      </c>
      <c r="E2977" s="293" t="s">
        <v>6275</v>
      </c>
      <c r="F2977" s="293" t="s">
        <v>6884</v>
      </c>
      <c r="G2977" s="293" t="s">
        <v>5577</v>
      </c>
      <c r="H2977" s="294">
        <v>41943</v>
      </c>
      <c r="I2977" s="295">
        <v>-1179.21</v>
      </c>
    </row>
    <row r="2978" spans="1:9" x14ac:dyDescent="0.2">
      <c r="A2978" s="293" t="s">
        <v>8724</v>
      </c>
      <c r="B2978" s="293" t="s">
        <v>5666</v>
      </c>
      <c r="C2978" s="293" t="s">
        <v>6124</v>
      </c>
      <c r="D2978" s="293" t="s">
        <v>5878</v>
      </c>
      <c r="E2978" s="293" t="s">
        <v>6277</v>
      </c>
      <c r="F2978" s="293" t="s">
        <v>6884</v>
      </c>
      <c r="G2978" s="293" t="s">
        <v>5578</v>
      </c>
      <c r="H2978" s="294">
        <v>41943</v>
      </c>
      <c r="I2978" s="295">
        <v>-1019.33</v>
      </c>
    </row>
    <row r="2979" spans="1:9" x14ac:dyDescent="0.2">
      <c r="A2979" s="293" t="s">
        <v>8725</v>
      </c>
      <c r="B2979" s="293" t="s">
        <v>5666</v>
      </c>
      <c r="C2979" s="293" t="s">
        <v>6126</v>
      </c>
      <c r="D2979" s="293" t="s">
        <v>5878</v>
      </c>
      <c r="E2979" s="293" t="s">
        <v>6279</v>
      </c>
      <c r="F2979" s="293" t="s">
        <v>6884</v>
      </c>
      <c r="G2979" s="293" t="s">
        <v>5579</v>
      </c>
      <c r="H2979" s="294">
        <v>41943</v>
      </c>
      <c r="I2979" s="295">
        <v>-857.57</v>
      </c>
    </row>
    <row r="2980" spans="1:9" x14ac:dyDescent="0.2">
      <c r="A2980" s="293" t="s">
        <v>8726</v>
      </c>
      <c r="B2980" s="293" t="s">
        <v>5666</v>
      </c>
      <c r="C2980" s="293" t="s">
        <v>6091</v>
      </c>
      <c r="D2980" s="293" t="s">
        <v>5878</v>
      </c>
      <c r="E2980" s="293" t="s">
        <v>6281</v>
      </c>
      <c r="F2980" s="293" t="s">
        <v>6884</v>
      </c>
      <c r="G2980" s="293" t="s">
        <v>5573</v>
      </c>
      <c r="H2980" s="294">
        <v>41943</v>
      </c>
      <c r="I2980" s="295">
        <v>-3125.47</v>
      </c>
    </row>
    <row r="2981" spans="1:9" x14ac:dyDescent="0.2">
      <c r="A2981" s="293" t="s">
        <v>8727</v>
      </c>
      <c r="B2981" s="293" t="s">
        <v>5666</v>
      </c>
      <c r="C2981" s="293" t="s">
        <v>6093</v>
      </c>
      <c r="D2981" s="293" t="s">
        <v>5878</v>
      </c>
      <c r="E2981" s="293" t="s">
        <v>6283</v>
      </c>
      <c r="F2981" s="293" t="s">
        <v>6884</v>
      </c>
      <c r="G2981" s="293" t="s">
        <v>5573</v>
      </c>
      <c r="H2981" s="294">
        <v>41943</v>
      </c>
      <c r="I2981" s="295">
        <v>-4451.78</v>
      </c>
    </row>
    <row r="2982" spans="1:9" x14ac:dyDescent="0.2">
      <c r="A2982" s="293" t="s">
        <v>8728</v>
      </c>
      <c r="B2982" s="293" t="s">
        <v>5666</v>
      </c>
      <c r="C2982" s="293" t="s">
        <v>6080</v>
      </c>
      <c r="D2982" s="293" t="s">
        <v>5878</v>
      </c>
      <c r="E2982" s="293" t="s">
        <v>6285</v>
      </c>
      <c r="F2982" s="293" t="s">
        <v>6884</v>
      </c>
      <c r="G2982" s="293" t="s">
        <v>5573</v>
      </c>
      <c r="H2982" s="294">
        <v>41943</v>
      </c>
      <c r="I2982" s="295">
        <v>-10077.08</v>
      </c>
    </row>
    <row r="2983" spans="1:9" x14ac:dyDescent="0.2">
      <c r="A2983" s="293" t="s">
        <v>8729</v>
      </c>
      <c r="B2983" s="293" t="s">
        <v>5666</v>
      </c>
      <c r="C2983" s="293" t="s">
        <v>6095</v>
      </c>
      <c r="D2983" s="293" t="s">
        <v>5878</v>
      </c>
      <c r="E2983" s="293" t="s">
        <v>6287</v>
      </c>
      <c r="F2983" s="293" t="s">
        <v>6884</v>
      </c>
      <c r="G2983" s="293" t="s">
        <v>5580</v>
      </c>
      <c r="H2983" s="294">
        <v>41943</v>
      </c>
      <c r="I2983" s="295">
        <v>-5589.54</v>
      </c>
    </row>
    <row r="2984" spans="1:9" x14ac:dyDescent="0.2">
      <c r="A2984" s="293" t="s">
        <v>8730</v>
      </c>
      <c r="B2984" s="293" t="s">
        <v>5666</v>
      </c>
      <c r="C2984" s="293" t="s">
        <v>6097</v>
      </c>
      <c r="D2984" s="293" t="s">
        <v>5878</v>
      </c>
      <c r="E2984" s="293" t="s">
        <v>6289</v>
      </c>
      <c r="F2984" s="293" t="s">
        <v>6884</v>
      </c>
      <c r="G2984" s="293" t="s">
        <v>5580</v>
      </c>
      <c r="H2984" s="294">
        <v>41943</v>
      </c>
      <c r="I2984" s="295">
        <v>-10099.59</v>
      </c>
    </row>
    <row r="2985" spans="1:9" x14ac:dyDescent="0.2">
      <c r="A2985" s="293" t="s">
        <v>8731</v>
      </c>
      <c r="B2985" s="293" t="s">
        <v>5666</v>
      </c>
      <c r="C2985" s="293" t="s">
        <v>6099</v>
      </c>
      <c r="D2985" s="293" t="s">
        <v>5878</v>
      </c>
      <c r="E2985" s="293" t="s">
        <v>6291</v>
      </c>
      <c r="F2985" s="293" t="s">
        <v>6884</v>
      </c>
      <c r="G2985" s="293" t="s">
        <v>5579</v>
      </c>
      <c r="H2985" s="294">
        <v>41943</v>
      </c>
      <c r="I2985" s="295">
        <v>-1407.23</v>
      </c>
    </row>
    <row r="2986" spans="1:9" x14ac:dyDescent="0.2">
      <c r="A2986" s="293" t="s">
        <v>8732</v>
      </c>
      <c r="B2986" s="293" t="s">
        <v>5666</v>
      </c>
      <c r="C2986" s="293" t="s">
        <v>6083</v>
      </c>
      <c r="D2986" s="293" t="s">
        <v>5878</v>
      </c>
      <c r="E2986" s="293" t="s">
        <v>6293</v>
      </c>
      <c r="F2986" s="293" t="s">
        <v>6884</v>
      </c>
      <c r="G2986" s="293" t="s">
        <v>5579</v>
      </c>
      <c r="H2986" s="294">
        <v>41943</v>
      </c>
      <c r="I2986" s="295">
        <v>-2524.9</v>
      </c>
    </row>
    <row r="2987" spans="1:9" x14ac:dyDescent="0.2">
      <c r="A2987" s="293" t="s">
        <v>8733</v>
      </c>
      <c r="B2987" s="293" t="s">
        <v>5666</v>
      </c>
      <c r="C2987" s="293" t="s">
        <v>6101</v>
      </c>
      <c r="D2987" s="293" t="s">
        <v>5878</v>
      </c>
      <c r="E2987" s="293" t="s">
        <v>6295</v>
      </c>
      <c r="F2987" s="293" t="s">
        <v>6884</v>
      </c>
      <c r="G2987" s="293" t="s">
        <v>5580</v>
      </c>
      <c r="H2987" s="294">
        <v>41943</v>
      </c>
      <c r="I2987" s="295">
        <v>-193.73</v>
      </c>
    </row>
    <row r="2988" spans="1:9" x14ac:dyDescent="0.2">
      <c r="A2988" s="293" t="s">
        <v>8734</v>
      </c>
      <c r="B2988" s="293" t="s">
        <v>5666</v>
      </c>
      <c r="C2988" s="293" t="s">
        <v>6104</v>
      </c>
      <c r="D2988" s="293" t="s">
        <v>5878</v>
      </c>
      <c r="E2988" s="293" t="s">
        <v>6297</v>
      </c>
      <c r="F2988" s="293" t="s">
        <v>6884</v>
      </c>
      <c r="G2988" s="293" t="s">
        <v>5580</v>
      </c>
      <c r="H2988" s="294">
        <v>41943</v>
      </c>
      <c r="I2988" s="295">
        <v>-274.12</v>
      </c>
    </row>
    <row r="2989" spans="1:9" x14ac:dyDescent="0.2">
      <c r="A2989" s="293" t="s">
        <v>8735</v>
      </c>
      <c r="B2989" s="293" t="s">
        <v>5666</v>
      </c>
      <c r="C2989" s="293" t="s">
        <v>6106</v>
      </c>
      <c r="D2989" s="293" t="s">
        <v>5878</v>
      </c>
      <c r="E2989" s="293" t="s">
        <v>6299</v>
      </c>
      <c r="F2989" s="293" t="s">
        <v>6884</v>
      </c>
      <c r="G2989" s="293" t="s">
        <v>5580</v>
      </c>
      <c r="H2989" s="294">
        <v>41943</v>
      </c>
      <c r="I2989" s="295">
        <v>-1347.95</v>
      </c>
    </row>
    <row r="2990" spans="1:9" x14ac:dyDescent="0.2">
      <c r="A2990" s="293" t="s">
        <v>8736</v>
      </c>
      <c r="B2990" s="293" t="s">
        <v>5666</v>
      </c>
      <c r="C2990" s="293" t="s">
        <v>6108</v>
      </c>
      <c r="D2990" s="293" t="s">
        <v>5878</v>
      </c>
      <c r="E2990" s="293" t="s">
        <v>6301</v>
      </c>
      <c r="F2990" s="293" t="s">
        <v>6884</v>
      </c>
      <c r="G2990" s="293" t="s">
        <v>5580</v>
      </c>
      <c r="H2990" s="294">
        <v>41943</v>
      </c>
      <c r="I2990" s="295">
        <v>-1918.86</v>
      </c>
    </row>
    <row r="2991" spans="1:9" x14ac:dyDescent="0.2">
      <c r="A2991" s="293" t="s">
        <v>8737</v>
      </c>
      <c r="B2991" s="293" t="s">
        <v>5666</v>
      </c>
      <c r="C2991" s="293" t="s">
        <v>6110</v>
      </c>
      <c r="D2991" s="293" t="s">
        <v>5878</v>
      </c>
      <c r="E2991" s="293" t="s">
        <v>6303</v>
      </c>
      <c r="F2991" s="293" t="s">
        <v>6884</v>
      </c>
      <c r="G2991" s="293" t="s">
        <v>5573</v>
      </c>
      <c r="H2991" s="294">
        <v>41943</v>
      </c>
      <c r="I2991" s="295">
        <v>-1780.13</v>
      </c>
    </row>
    <row r="2992" spans="1:9" x14ac:dyDescent="0.2">
      <c r="A2992" s="293" t="s">
        <v>8738</v>
      </c>
      <c r="B2992" s="293" t="s">
        <v>5666</v>
      </c>
      <c r="C2992" s="293" t="s">
        <v>6115</v>
      </c>
      <c r="D2992" s="293" t="s">
        <v>5878</v>
      </c>
      <c r="E2992" s="293" t="s">
        <v>6305</v>
      </c>
      <c r="F2992" s="293" t="s">
        <v>6884</v>
      </c>
      <c r="G2992" s="293" t="s">
        <v>5581</v>
      </c>
      <c r="H2992" s="294">
        <v>41943</v>
      </c>
      <c r="I2992" s="295">
        <v>-2230.71</v>
      </c>
    </row>
    <row r="2993" spans="1:9" x14ac:dyDescent="0.2">
      <c r="A2993" s="293" t="s">
        <v>8739</v>
      </c>
      <c r="B2993" s="293" t="s">
        <v>5666</v>
      </c>
      <c r="C2993" s="293" t="s">
        <v>6086</v>
      </c>
      <c r="D2993" s="293" t="s">
        <v>5878</v>
      </c>
      <c r="E2993" s="293" t="s">
        <v>6307</v>
      </c>
      <c r="F2993" s="293" t="s">
        <v>6884</v>
      </c>
      <c r="G2993" s="293" t="s">
        <v>5581</v>
      </c>
      <c r="H2993" s="294">
        <v>41943</v>
      </c>
      <c r="I2993" s="295">
        <v>-2490.34</v>
      </c>
    </row>
    <row r="2994" spans="1:9" x14ac:dyDescent="0.2">
      <c r="A2994" s="293" t="s">
        <v>8740</v>
      </c>
      <c r="B2994" s="293" t="s">
        <v>5666</v>
      </c>
      <c r="C2994" s="293" t="s">
        <v>6113</v>
      </c>
      <c r="D2994" s="293" t="s">
        <v>5878</v>
      </c>
      <c r="E2994" s="293" t="s">
        <v>6316</v>
      </c>
      <c r="F2994" s="293" t="s">
        <v>6884</v>
      </c>
      <c r="G2994" s="293" t="s">
        <v>5573</v>
      </c>
      <c r="H2994" s="294">
        <v>41943</v>
      </c>
      <c r="I2994" s="295">
        <v>-5336.81</v>
      </c>
    </row>
    <row r="2995" spans="1:9" x14ac:dyDescent="0.2">
      <c r="A2995" s="293" t="s">
        <v>8741</v>
      </c>
      <c r="B2995" s="293" t="s">
        <v>5666</v>
      </c>
      <c r="C2995" s="293" t="s">
        <v>6313</v>
      </c>
      <c r="D2995" s="293" t="s">
        <v>5878</v>
      </c>
      <c r="E2995" s="293" t="s">
        <v>6314</v>
      </c>
      <c r="F2995" s="293" t="s">
        <v>6884</v>
      </c>
      <c r="G2995" s="293" t="s">
        <v>5576</v>
      </c>
      <c r="H2995" s="294">
        <v>41943</v>
      </c>
      <c r="I2995" s="295">
        <v>-4207.3500000000004</v>
      </c>
    </row>
    <row r="2996" spans="1:9" x14ac:dyDescent="0.2">
      <c r="A2996" s="293" t="s">
        <v>8742</v>
      </c>
      <c r="B2996" s="293" t="s">
        <v>5666</v>
      </c>
      <c r="C2996" s="293" t="s">
        <v>6272</v>
      </c>
      <c r="D2996" s="293" t="s">
        <v>5878</v>
      </c>
      <c r="E2996" s="293" t="s">
        <v>6273</v>
      </c>
      <c r="F2996" s="293" t="s">
        <v>6903</v>
      </c>
      <c r="G2996" s="293" t="s">
        <v>5576</v>
      </c>
      <c r="H2996" s="294">
        <v>41973</v>
      </c>
      <c r="I2996" s="295">
        <v>-3340.78</v>
      </c>
    </row>
    <row r="2997" spans="1:9" x14ac:dyDescent="0.2">
      <c r="A2997" s="293" t="s">
        <v>8743</v>
      </c>
      <c r="B2997" s="293" t="s">
        <v>5666</v>
      </c>
      <c r="C2997" s="293" t="s">
        <v>6122</v>
      </c>
      <c r="D2997" s="293" t="s">
        <v>5878</v>
      </c>
      <c r="E2997" s="293" t="s">
        <v>6275</v>
      </c>
      <c r="F2997" s="293" t="s">
        <v>6903</v>
      </c>
      <c r="G2997" s="293" t="s">
        <v>5577</v>
      </c>
      <c r="H2997" s="294">
        <v>41973</v>
      </c>
      <c r="I2997" s="295">
        <v>-1179.21</v>
      </c>
    </row>
    <row r="2998" spans="1:9" x14ac:dyDescent="0.2">
      <c r="A2998" s="293" t="s">
        <v>8744</v>
      </c>
      <c r="B2998" s="293" t="s">
        <v>5666</v>
      </c>
      <c r="C2998" s="293" t="s">
        <v>6124</v>
      </c>
      <c r="D2998" s="293" t="s">
        <v>5878</v>
      </c>
      <c r="E2998" s="293" t="s">
        <v>6277</v>
      </c>
      <c r="F2998" s="293" t="s">
        <v>6903</v>
      </c>
      <c r="G2998" s="293" t="s">
        <v>5578</v>
      </c>
      <c r="H2998" s="294">
        <v>41973</v>
      </c>
      <c r="I2998" s="295">
        <v>-1019.33</v>
      </c>
    </row>
    <row r="2999" spans="1:9" x14ac:dyDescent="0.2">
      <c r="A2999" s="293" t="s">
        <v>8745</v>
      </c>
      <c r="B2999" s="293" t="s">
        <v>5666</v>
      </c>
      <c r="C2999" s="293" t="s">
        <v>6126</v>
      </c>
      <c r="D2999" s="293" t="s">
        <v>5878</v>
      </c>
      <c r="E2999" s="293" t="s">
        <v>6279</v>
      </c>
      <c r="F2999" s="293" t="s">
        <v>6903</v>
      </c>
      <c r="G2999" s="293" t="s">
        <v>5579</v>
      </c>
      <c r="H2999" s="294">
        <v>41973</v>
      </c>
      <c r="I2999" s="295">
        <v>-857.57</v>
      </c>
    </row>
    <row r="3000" spans="1:9" x14ac:dyDescent="0.2">
      <c r="A3000" s="293" t="s">
        <v>8746</v>
      </c>
      <c r="B3000" s="293" t="s">
        <v>5666</v>
      </c>
      <c r="C3000" s="293" t="s">
        <v>6091</v>
      </c>
      <c r="D3000" s="293" t="s">
        <v>5878</v>
      </c>
      <c r="E3000" s="293" t="s">
        <v>6281</v>
      </c>
      <c r="F3000" s="293" t="s">
        <v>6903</v>
      </c>
      <c r="G3000" s="293" t="s">
        <v>5573</v>
      </c>
      <c r="H3000" s="294">
        <v>41973</v>
      </c>
      <c r="I3000" s="295">
        <v>-3125.47</v>
      </c>
    </row>
    <row r="3001" spans="1:9" x14ac:dyDescent="0.2">
      <c r="A3001" s="293" t="s">
        <v>8747</v>
      </c>
      <c r="B3001" s="293" t="s">
        <v>5666</v>
      </c>
      <c r="C3001" s="293" t="s">
        <v>6093</v>
      </c>
      <c r="D3001" s="293" t="s">
        <v>5878</v>
      </c>
      <c r="E3001" s="293" t="s">
        <v>6283</v>
      </c>
      <c r="F3001" s="293" t="s">
        <v>6903</v>
      </c>
      <c r="G3001" s="293" t="s">
        <v>5573</v>
      </c>
      <c r="H3001" s="294">
        <v>41973</v>
      </c>
      <c r="I3001" s="295">
        <v>-4451.78</v>
      </c>
    </row>
    <row r="3002" spans="1:9" x14ac:dyDescent="0.2">
      <c r="A3002" s="293" t="s">
        <v>8748</v>
      </c>
      <c r="B3002" s="293" t="s">
        <v>5666</v>
      </c>
      <c r="C3002" s="293" t="s">
        <v>6080</v>
      </c>
      <c r="D3002" s="293" t="s">
        <v>5878</v>
      </c>
      <c r="E3002" s="293" t="s">
        <v>6285</v>
      </c>
      <c r="F3002" s="293" t="s">
        <v>6903</v>
      </c>
      <c r="G3002" s="293" t="s">
        <v>5573</v>
      </c>
      <c r="H3002" s="294">
        <v>41973</v>
      </c>
      <c r="I3002" s="295">
        <v>-10077.08</v>
      </c>
    </row>
    <row r="3003" spans="1:9" x14ac:dyDescent="0.2">
      <c r="A3003" s="293" t="s">
        <v>8749</v>
      </c>
      <c r="B3003" s="293" t="s">
        <v>5666</v>
      </c>
      <c r="C3003" s="293" t="s">
        <v>6095</v>
      </c>
      <c r="D3003" s="293" t="s">
        <v>5878</v>
      </c>
      <c r="E3003" s="293" t="s">
        <v>6287</v>
      </c>
      <c r="F3003" s="293" t="s">
        <v>6903</v>
      </c>
      <c r="G3003" s="293" t="s">
        <v>5580</v>
      </c>
      <c r="H3003" s="294">
        <v>41973</v>
      </c>
      <c r="I3003" s="295">
        <v>-5589.54</v>
      </c>
    </row>
    <row r="3004" spans="1:9" x14ac:dyDescent="0.2">
      <c r="A3004" s="293" t="s">
        <v>8750</v>
      </c>
      <c r="B3004" s="293" t="s">
        <v>5666</v>
      </c>
      <c r="C3004" s="293" t="s">
        <v>6097</v>
      </c>
      <c r="D3004" s="293" t="s">
        <v>5878</v>
      </c>
      <c r="E3004" s="293" t="s">
        <v>6289</v>
      </c>
      <c r="F3004" s="293" t="s">
        <v>6903</v>
      </c>
      <c r="G3004" s="293" t="s">
        <v>5580</v>
      </c>
      <c r="H3004" s="294">
        <v>41973</v>
      </c>
      <c r="I3004" s="295">
        <v>-10099.59</v>
      </c>
    </row>
    <row r="3005" spans="1:9" x14ac:dyDescent="0.2">
      <c r="A3005" s="293" t="s">
        <v>8751</v>
      </c>
      <c r="B3005" s="293" t="s">
        <v>5666</v>
      </c>
      <c r="C3005" s="293" t="s">
        <v>6099</v>
      </c>
      <c r="D3005" s="293" t="s">
        <v>5878</v>
      </c>
      <c r="E3005" s="293" t="s">
        <v>6291</v>
      </c>
      <c r="F3005" s="293" t="s">
        <v>6903</v>
      </c>
      <c r="G3005" s="293" t="s">
        <v>5579</v>
      </c>
      <c r="H3005" s="294">
        <v>41973</v>
      </c>
      <c r="I3005" s="295">
        <v>-1407.23</v>
      </c>
    </row>
    <row r="3006" spans="1:9" x14ac:dyDescent="0.2">
      <c r="A3006" s="293" t="s">
        <v>8752</v>
      </c>
      <c r="B3006" s="293" t="s">
        <v>5666</v>
      </c>
      <c r="C3006" s="293" t="s">
        <v>6083</v>
      </c>
      <c r="D3006" s="293" t="s">
        <v>5878</v>
      </c>
      <c r="E3006" s="293" t="s">
        <v>6293</v>
      </c>
      <c r="F3006" s="293" t="s">
        <v>6903</v>
      </c>
      <c r="G3006" s="293" t="s">
        <v>5579</v>
      </c>
      <c r="H3006" s="294">
        <v>41973</v>
      </c>
      <c r="I3006" s="295">
        <v>-2524.9</v>
      </c>
    </row>
    <row r="3007" spans="1:9" x14ac:dyDescent="0.2">
      <c r="A3007" s="293" t="s">
        <v>8753</v>
      </c>
      <c r="B3007" s="293" t="s">
        <v>5666</v>
      </c>
      <c r="C3007" s="293" t="s">
        <v>6101</v>
      </c>
      <c r="D3007" s="293" t="s">
        <v>5878</v>
      </c>
      <c r="E3007" s="293" t="s">
        <v>6295</v>
      </c>
      <c r="F3007" s="293" t="s">
        <v>6903</v>
      </c>
      <c r="G3007" s="293" t="s">
        <v>5580</v>
      </c>
      <c r="H3007" s="294">
        <v>41973</v>
      </c>
      <c r="I3007" s="295">
        <v>-193.73</v>
      </c>
    </row>
    <row r="3008" spans="1:9" x14ac:dyDescent="0.2">
      <c r="A3008" s="293" t="s">
        <v>8754</v>
      </c>
      <c r="B3008" s="293" t="s">
        <v>5666</v>
      </c>
      <c r="C3008" s="293" t="s">
        <v>6104</v>
      </c>
      <c r="D3008" s="293" t="s">
        <v>5878</v>
      </c>
      <c r="E3008" s="293" t="s">
        <v>6297</v>
      </c>
      <c r="F3008" s="293" t="s">
        <v>6903</v>
      </c>
      <c r="G3008" s="293" t="s">
        <v>5580</v>
      </c>
      <c r="H3008" s="294">
        <v>41973</v>
      </c>
      <c r="I3008" s="295">
        <v>-274.12</v>
      </c>
    </row>
    <row r="3009" spans="1:9" x14ac:dyDescent="0.2">
      <c r="A3009" s="293" t="s">
        <v>8755</v>
      </c>
      <c r="B3009" s="293" t="s">
        <v>5666</v>
      </c>
      <c r="C3009" s="293" t="s">
        <v>6106</v>
      </c>
      <c r="D3009" s="293" t="s">
        <v>5878</v>
      </c>
      <c r="E3009" s="293" t="s">
        <v>6299</v>
      </c>
      <c r="F3009" s="293" t="s">
        <v>6903</v>
      </c>
      <c r="G3009" s="293" t="s">
        <v>5580</v>
      </c>
      <c r="H3009" s="294">
        <v>41973</v>
      </c>
      <c r="I3009" s="295">
        <v>-1347.95</v>
      </c>
    </row>
    <row r="3010" spans="1:9" x14ac:dyDescent="0.2">
      <c r="A3010" s="293" t="s">
        <v>8756</v>
      </c>
      <c r="B3010" s="293" t="s">
        <v>5666</v>
      </c>
      <c r="C3010" s="293" t="s">
        <v>6108</v>
      </c>
      <c r="D3010" s="293" t="s">
        <v>5878</v>
      </c>
      <c r="E3010" s="293" t="s">
        <v>6301</v>
      </c>
      <c r="F3010" s="293" t="s">
        <v>6903</v>
      </c>
      <c r="G3010" s="293" t="s">
        <v>5580</v>
      </c>
      <c r="H3010" s="294">
        <v>41973</v>
      </c>
      <c r="I3010" s="295">
        <v>-1918.86</v>
      </c>
    </row>
    <row r="3011" spans="1:9" x14ac:dyDescent="0.2">
      <c r="A3011" s="293" t="s">
        <v>8757</v>
      </c>
      <c r="B3011" s="293" t="s">
        <v>5666</v>
      </c>
      <c r="C3011" s="293" t="s">
        <v>6110</v>
      </c>
      <c r="D3011" s="293" t="s">
        <v>5878</v>
      </c>
      <c r="E3011" s="293" t="s">
        <v>6303</v>
      </c>
      <c r="F3011" s="293" t="s">
        <v>6903</v>
      </c>
      <c r="G3011" s="293" t="s">
        <v>5573</v>
      </c>
      <c r="H3011" s="294">
        <v>41973</v>
      </c>
      <c r="I3011" s="295">
        <v>-1780.13</v>
      </c>
    </row>
    <row r="3012" spans="1:9" x14ac:dyDescent="0.2">
      <c r="A3012" s="293" t="s">
        <v>8758</v>
      </c>
      <c r="B3012" s="293" t="s">
        <v>5666</v>
      </c>
      <c r="C3012" s="293" t="s">
        <v>6115</v>
      </c>
      <c r="D3012" s="293" t="s">
        <v>5878</v>
      </c>
      <c r="E3012" s="293" t="s">
        <v>6305</v>
      </c>
      <c r="F3012" s="293" t="s">
        <v>6903</v>
      </c>
      <c r="G3012" s="293" t="s">
        <v>5581</v>
      </c>
      <c r="H3012" s="294">
        <v>41973</v>
      </c>
      <c r="I3012" s="295">
        <v>-2230.71</v>
      </c>
    </row>
    <row r="3013" spans="1:9" x14ac:dyDescent="0.2">
      <c r="A3013" s="293" t="s">
        <v>8759</v>
      </c>
      <c r="B3013" s="293" t="s">
        <v>5666</v>
      </c>
      <c r="C3013" s="293" t="s">
        <v>6086</v>
      </c>
      <c r="D3013" s="293" t="s">
        <v>5878</v>
      </c>
      <c r="E3013" s="293" t="s">
        <v>6307</v>
      </c>
      <c r="F3013" s="293" t="s">
        <v>6903</v>
      </c>
      <c r="G3013" s="293" t="s">
        <v>5581</v>
      </c>
      <c r="H3013" s="294">
        <v>41973</v>
      </c>
      <c r="I3013" s="295">
        <v>-2490.34</v>
      </c>
    </row>
    <row r="3014" spans="1:9" x14ac:dyDescent="0.2">
      <c r="A3014" s="293" t="s">
        <v>8760</v>
      </c>
      <c r="B3014" s="293" t="s">
        <v>5666</v>
      </c>
      <c r="C3014" s="293" t="s">
        <v>6113</v>
      </c>
      <c r="D3014" s="293" t="s">
        <v>5878</v>
      </c>
      <c r="E3014" s="293" t="s">
        <v>6316</v>
      </c>
      <c r="F3014" s="293" t="s">
        <v>6903</v>
      </c>
      <c r="G3014" s="293" t="s">
        <v>5573</v>
      </c>
      <c r="H3014" s="294">
        <v>41973</v>
      </c>
      <c r="I3014" s="295">
        <v>-5336.81</v>
      </c>
    </row>
    <row r="3015" spans="1:9" x14ac:dyDescent="0.2">
      <c r="A3015" s="293" t="s">
        <v>8761</v>
      </c>
      <c r="B3015" s="293" t="s">
        <v>5666</v>
      </c>
      <c r="C3015" s="293" t="s">
        <v>6313</v>
      </c>
      <c r="D3015" s="293" t="s">
        <v>5878</v>
      </c>
      <c r="E3015" s="293" t="s">
        <v>6314</v>
      </c>
      <c r="F3015" s="293" t="s">
        <v>6903</v>
      </c>
      <c r="G3015" s="293" t="s">
        <v>5576</v>
      </c>
      <c r="H3015" s="294">
        <v>41973</v>
      </c>
      <c r="I3015" s="295">
        <v>-4207.3500000000004</v>
      </c>
    </row>
    <row r="3016" spans="1:9" x14ac:dyDescent="0.2">
      <c r="A3016" s="293" t="s">
        <v>8762</v>
      </c>
      <c r="B3016" s="293" t="s">
        <v>5666</v>
      </c>
      <c r="C3016" s="293" t="s">
        <v>6272</v>
      </c>
      <c r="D3016" s="293" t="s">
        <v>5878</v>
      </c>
      <c r="E3016" s="293" t="s">
        <v>6273</v>
      </c>
      <c r="F3016" s="293" t="s">
        <v>6923</v>
      </c>
      <c r="G3016" s="293" t="s">
        <v>5576</v>
      </c>
      <c r="H3016" s="294">
        <v>42004</v>
      </c>
      <c r="I3016" s="295">
        <v>-3340.78</v>
      </c>
    </row>
    <row r="3017" spans="1:9" x14ac:dyDescent="0.2">
      <c r="A3017" s="293" t="s">
        <v>8763</v>
      </c>
      <c r="B3017" s="293" t="s">
        <v>5666</v>
      </c>
      <c r="C3017" s="293" t="s">
        <v>6122</v>
      </c>
      <c r="D3017" s="293" t="s">
        <v>5878</v>
      </c>
      <c r="E3017" s="293" t="s">
        <v>6275</v>
      </c>
      <c r="F3017" s="293" t="s">
        <v>6923</v>
      </c>
      <c r="G3017" s="293" t="s">
        <v>5577</v>
      </c>
      <c r="H3017" s="294">
        <v>42004</v>
      </c>
      <c r="I3017" s="295">
        <v>-1179.21</v>
      </c>
    </row>
    <row r="3018" spans="1:9" x14ac:dyDescent="0.2">
      <c r="A3018" s="293" t="s">
        <v>8764</v>
      </c>
      <c r="B3018" s="293" t="s">
        <v>5666</v>
      </c>
      <c r="C3018" s="293" t="s">
        <v>6124</v>
      </c>
      <c r="D3018" s="293" t="s">
        <v>5878</v>
      </c>
      <c r="E3018" s="293" t="s">
        <v>6277</v>
      </c>
      <c r="F3018" s="293" t="s">
        <v>6923</v>
      </c>
      <c r="G3018" s="293" t="s">
        <v>5578</v>
      </c>
      <c r="H3018" s="294">
        <v>42004</v>
      </c>
      <c r="I3018" s="295">
        <v>-1019.33</v>
      </c>
    </row>
    <row r="3019" spans="1:9" x14ac:dyDescent="0.2">
      <c r="A3019" s="293" t="s">
        <v>8765</v>
      </c>
      <c r="B3019" s="293" t="s">
        <v>5666</v>
      </c>
      <c r="C3019" s="293" t="s">
        <v>6126</v>
      </c>
      <c r="D3019" s="293" t="s">
        <v>5878</v>
      </c>
      <c r="E3019" s="293" t="s">
        <v>6279</v>
      </c>
      <c r="F3019" s="293" t="s">
        <v>6923</v>
      </c>
      <c r="G3019" s="293" t="s">
        <v>5579</v>
      </c>
      <c r="H3019" s="294">
        <v>42004</v>
      </c>
      <c r="I3019" s="295">
        <v>-857.57</v>
      </c>
    </row>
    <row r="3020" spans="1:9" x14ac:dyDescent="0.2">
      <c r="A3020" s="293" t="s">
        <v>8766</v>
      </c>
      <c r="B3020" s="293" t="s">
        <v>5666</v>
      </c>
      <c r="C3020" s="293" t="s">
        <v>6091</v>
      </c>
      <c r="D3020" s="293" t="s">
        <v>5878</v>
      </c>
      <c r="E3020" s="293" t="s">
        <v>6281</v>
      </c>
      <c r="F3020" s="293" t="s">
        <v>6923</v>
      </c>
      <c r="G3020" s="293" t="s">
        <v>5573</v>
      </c>
      <c r="H3020" s="294">
        <v>42004</v>
      </c>
      <c r="I3020" s="295">
        <v>-3125.47</v>
      </c>
    </row>
    <row r="3021" spans="1:9" x14ac:dyDescent="0.2">
      <c r="A3021" s="293" t="s">
        <v>8767</v>
      </c>
      <c r="B3021" s="293" t="s">
        <v>5666</v>
      </c>
      <c r="C3021" s="293" t="s">
        <v>6093</v>
      </c>
      <c r="D3021" s="293" t="s">
        <v>5878</v>
      </c>
      <c r="E3021" s="293" t="s">
        <v>6283</v>
      </c>
      <c r="F3021" s="293" t="s">
        <v>6923</v>
      </c>
      <c r="G3021" s="293" t="s">
        <v>5573</v>
      </c>
      <c r="H3021" s="294">
        <v>42004</v>
      </c>
      <c r="I3021" s="295">
        <v>-4451.78</v>
      </c>
    </row>
    <row r="3022" spans="1:9" x14ac:dyDescent="0.2">
      <c r="A3022" s="293" t="s">
        <v>8768</v>
      </c>
      <c r="B3022" s="293" t="s">
        <v>5666</v>
      </c>
      <c r="C3022" s="293" t="s">
        <v>6080</v>
      </c>
      <c r="D3022" s="293" t="s">
        <v>5878</v>
      </c>
      <c r="E3022" s="293" t="s">
        <v>6285</v>
      </c>
      <c r="F3022" s="293" t="s">
        <v>6923</v>
      </c>
      <c r="G3022" s="293" t="s">
        <v>5573</v>
      </c>
      <c r="H3022" s="294">
        <v>42004</v>
      </c>
      <c r="I3022" s="295">
        <v>-10077.08</v>
      </c>
    </row>
    <row r="3023" spans="1:9" x14ac:dyDescent="0.2">
      <c r="A3023" s="293" t="s">
        <v>8769</v>
      </c>
      <c r="B3023" s="293" t="s">
        <v>5666</v>
      </c>
      <c r="C3023" s="293" t="s">
        <v>6095</v>
      </c>
      <c r="D3023" s="293" t="s">
        <v>5878</v>
      </c>
      <c r="E3023" s="293" t="s">
        <v>6287</v>
      </c>
      <c r="F3023" s="293" t="s">
        <v>6923</v>
      </c>
      <c r="G3023" s="293" t="s">
        <v>5580</v>
      </c>
      <c r="H3023" s="294">
        <v>42004</v>
      </c>
      <c r="I3023" s="295">
        <v>-5589.54</v>
      </c>
    </row>
    <row r="3024" spans="1:9" x14ac:dyDescent="0.2">
      <c r="A3024" s="293" t="s">
        <v>8770</v>
      </c>
      <c r="B3024" s="293" t="s">
        <v>5666</v>
      </c>
      <c r="C3024" s="293" t="s">
        <v>6097</v>
      </c>
      <c r="D3024" s="293" t="s">
        <v>5878</v>
      </c>
      <c r="E3024" s="293" t="s">
        <v>6289</v>
      </c>
      <c r="F3024" s="293" t="s">
        <v>6923</v>
      </c>
      <c r="G3024" s="293" t="s">
        <v>5580</v>
      </c>
      <c r="H3024" s="294">
        <v>42004</v>
      </c>
      <c r="I3024" s="295">
        <v>-10099.59</v>
      </c>
    </row>
    <row r="3025" spans="1:9" x14ac:dyDescent="0.2">
      <c r="A3025" s="293" t="s">
        <v>8771</v>
      </c>
      <c r="B3025" s="293" t="s">
        <v>5666</v>
      </c>
      <c r="C3025" s="293" t="s">
        <v>6099</v>
      </c>
      <c r="D3025" s="293" t="s">
        <v>5878</v>
      </c>
      <c r="E3025" s="293" t="s">
        <v>6291</v>
      </c>
      <c r="F3025" s="293" t="s">
        <v>6923</v>
      </c>
      <c r="G3025" s="293" t="s">
        <v>5579</v>
      </c>
      <c r="H3025" s="294">
        <v>42004</v>
      </c>
      <c r="I3025" s="295">
        <v>-1407.23</v>
      </c>
    </row>
    <row r="3026" spans="1:9" x14ac:dyDescent="0.2">
      <c r="A3026" s="293" t="s">
        <v>8772</v>
      </c>
      <c r="B3026" s="293" t="s">
        <v>5666</v>
      </c>
      <c r="C3026" s="293" t="s">
        <v>6083</v>
      </c>
      <c r="D3026" s="293" t="s">
        <v>5878</v>
      </c>
      <c r="E3026" s="293" t="s">
        <v>6293</v>
      </c>
      <c r="F3026" s="293" t="s">
        <v>6923</v>
      </c>
      <c r="G3026" s="293" t="s">
        <v>5579</v>
      </c>
      <c r="H3026" s="294">
        <v>42004</v>
      </c>
      <c r="I3026" s="295">
        <v>-2524.9</v>
      </c>
    </row>
    <row r="3027" spans="1:9" x14ac:dyDescent="0.2">
      <c r="A3027" s="293" t="s">
        <v>8773</v>
      </c>
      <c r="B3027" s="293" t="s">
        <v>5666</v>
      </c>
      <c r="C3027" s="293" t="s">
        <v>6101</v>
      </c>
      <c r="D3027" s="293" t="s">
        <v>5878</v>
      </c>
      <c r="E3027" s="293" t="s">
        <v>6295</v>
      </c>
      <c r="F3027" s="293" t="s">
        <v>6923</v>
      </c>
      <c r="G3027" s="293" t="s">
        <v>5580</v>
      </c>
      <c r="H3027" s="294">
        <v>42004</v>
      </c>
      <c r="I3027" s="295">
        <v>-193.73</v>
      </c>
    </row>
    <row r="3028" spans="1:9" x14ac:dyDescent="0.2">
      <c r="A3028" s="293" t="s">
        <v>8774</v>
      </c>
      <c r="B3028" s="293" t="s">
        <v>5666</v>
      </c>
      <c r="C3028" s="293" t="s">
        <v>6104</v>
      </c>
      <c r="D3028" s="293" t="s">
        <v>5878</v>
      </c>
      <c r="E3028" s="293" t="s">
        <v>6297</v>
      </c>
      <c r="F3028" s="293" t="s">
        <v>6923</v>
      </c>
      <c r="G3028" s="293" t="s">
        <v>5580</v>
      </c>
      <c r="H3028" s="294">
        <v>42004</v>
      </c>
      <c r="I3028" s="295">
        <v>-274.12</v>
      </c>
    </row>
    <row r="3029" spans="1:9" x14ac:dyDescent="0.2">
      <c r="A3029" s="293" t="s">
        <v>8775</v>
      </c>
      <c r="B3029" s="293" t="s">
        <v>5666</v>
      </c>
      <c r="C3029" s="293" t="s">
        <v>6106</v>
      </c>
      <c r="D3029" s="293" t="s">
        <v>5878</v>
      </c>
      <c r="E3029" s="293" t="s">
        <v>6299</v>
      </c>
      <c r="F3029" s="293" t="s">
        <v>6923</v>
      </c>
      <c r="G3029" s="293" t="s">
        <v>5580</v>
      </c>
      <c r="H3029" s="294">
        <v>42004</v>
      </c>
      <c r="I3029" s="295">
        <v>-1347.95</v>
      </c>
    </row>
    <row r="3030" spans="1:9" x14ac:dyDescent="0.2">
      <c r="A3030" s="293" t="s">
        <v>8776</v>
      </c>
      <c r="B3030" s="293" t="s">
        <v>5666</v>
      </c>
      <c r="C3030" s="293" t="s">
        <v>6108</v>
      </c>
      <c r="D3030" s="293" t="s">
        <v>5878</v>
      </c>
      <c r="E3030" s="293" t="s">
        <v>6301</v>
      </c>
      <c r="F3030" s="293" t="s">
        <v>6923</v>
      </c>
      <c r="G3030" s="293" t="s">
        <v>5580</v>
      </c>
      <c r="H3030" s="294">
        <v>42004</v>
      </c>
      <c r="I3030" s="295">
        <v>-1918.86</v>
      </c>
    </row>
    <row r="3031" spans="1:9" x14ac:dyDescent="0.2">
      <c r="A3031" s="293" t="s">
        <v>8777</v>
      </c>
      <c r="B3031" s="293" t="s">
        <v>5666</v>
      </c>
      <c r="C3031" s="293" t="s">
        <v>6110</v>
      </c>
      <c r="D3031" s="293" t="s">
        <v>5878</v>
      </c>
      <c r="E3031" s="293" t="s">
        <v>6303</v>
      </c>
      <c r="F3031" s="293" t="s">
        <v>6923</v>
      </c>
      <c r="G3031" s="293" t="s">
        <v>5573</v>
      </c>
      <c r="H3031" s="294">
        <v>42004</v>
      </c>
      <c r="I3031" s="295">
        <v>-1780.13</v>
      </c>
    </row>
    <row r="3032" spans="1:9" x14ac:dyDescent="0.2">
      <c r="A3032" s="293" t="s">
        <v>8778</v>
      </c>
      <c r="B3032" s="293" t="s">
        <v>5666</v>
      </c>
      <c r="C3032" s="293" t="s">
        <v>6115</v>
      </c>
      <c r="D3032" s="293" t="s">
        <v>5878</v>
      </c>
      <c r="E3032" s="293" t="s">
        <v>6305</v>
      </c>
      <c r="F3032" s="293" t="s">
        <v>6923</v>
      </c>
      <c r="G3032" s="293" t="s">
        <v>5581</v>
      </c>
      <c r="H3032" s="294">
        <v>42004</v>
      </c>
      <c r="I3032" s="295">
        <v>-2230.71</v>
      </c>
    </row>
    <row r="3033" spans="1:9" x14ac:dyDescent="0.2">
      <c r="A3033" s="293" t="s">
        <v>8779</v>
      </c>
      <c r="B3033" s="293" t="s">
        <v>5666</v>
      </c>
      <c r="C3033" s="293" t="s">
        <v>6086</v>
      </c>
      <c r="D3033" s="293" t="s">
        <v>5878</v>
      </c>
      <c r="E3033" s="293" t="s">
        <v>6307</v>
      </c>
      <c r="F3033" s="293" t="s">
        <v>6923</v>
      </c>
      <c r="G3033" s="293" t="s">
        <v>5581</v>
      </c>
      <c r="H3033" s="294">
        <v>42004</v>
      </c>
      <c r="I3033" s="295">
        <v>-2490.34</v>
      </c>
    </row>
    <row r="3034" spans="1:9" x14ac:dyDescent="0.2">
      <c r="A3034" s="293" t="s">
        <v>8780</v>
      </c>
      <c r="B3034" s="293" t="s">
        <v>5666</v>
      </c>
      <c r="C3034" s="293" t="s">
        <v>6113</v>
      </c>
      <c r="D3034" s="293" t="s">
        <v>5878</v>
      </c>
      <c r="E3034" s="293" t="s">
        <v>6316</v>
      </c>
      <c r="F3034" s="293" t="s">
        <v>6923</v>
      </c>
      <c r="G3034" s="293" t="s">
        <v>5573</v>
      </c>
      <c r="H3034" s="294">
        <v>42004</v>
      </c>
      <c r="I3034" s="295">
        <v>-5336.81</v>
      </c>
    </row>
    <row r="3035" spans="1:9" x14ac:dyDescent="0.2">
      <c r="A3035" s="293" t="s">
        <v>8781</v>
      </c>
      <c r="B3035" s="293" t="s">
        <v>5666</v>
      </c>
      <c r="C3035" s="293" t="s">
        <v>6313</v>
      </c>
      <c r="D3035" s="293" t="s">
        <v>5878</v>
      </c>
      <c r="E3035" s="293" t="s">
        <v>6314</v>
      </c>
      <c r="F3035" s="293" t="s">
        <v>6923</v>
      </c>
      <c r="G3035" s="293" t="s">
        <v>5576</v>
      </c>
      <c r="H3035" s="294">
        <v>42004</v>
      </c>
      <c r="I3035" s="295">
        <v>-4207.3500000000004</v>
      </c>
    </row>
    <row r="3036" spans="1:9" x14ac:dyDescent="0.2">
      <c r="A3036" s="293" t="s">
        <v>8782</v>
      </c>
      <c r="B3036" s="293" t="s">
        <v>5666</v>
      </c>
      <c r="C3036" s="293" t="s">
        <v>6272</v>
      </c>
      <c r="D3036" s="293" t="s">
        <v>5878</v>
      </c>
      <c r="E3036" s="293" t="s">
        <v>6273</v>
      </c>
      <c r="F3036" s="293" t="s">
        <v>6941</v>
      </c>
      <c r="G3036" s="293" t="s">
        <v>5576</v>
      </c>
      <c r="H3036" s="294">
        <v>42035</v>
      </c>
      <c r="I3036" s="295">
        <v>-3340.78</v>
      </c>
    </row>
    <row r="3037" spans="1:9" x14ac:dyDescent="0.2">
      <c r="A3037" s="293" t="s">
        <v>8783</v>
      </c>
      <c r="B3037" s="293" t="s">
        <v>5666</v>
      </c>
      <c r="C3037" s="293" t="s">
        <v>6122</v>
      </c>
      <c r="D3037" s="293" t="s">
        <v>5878</v>
      </c>
      <c r="E3037" s="293" t="s">
        <v>6275</v>
      </c>
      <c r="F3037" s="293" t="s">
        <v>6941</v>
      </c>
      <c r="G3037" s="293" t="s">
        <v>5577</v>
      </c>
      <c r="H3037" s="294">
        <v>42035</v>
      </c>
      <c r="I3037" s="295">
        <v>-1179.21</v>
      </c>
    </row>
    <row r="3038" spans="1:9" x14ac:dyDescent="0.2">
      <c r="A3038" s="293" t="s">
        <v>8784</v>
      </c>
      <c r="B3038" s="293" t="s">
        <v>5666</v>
      </c>
      <c r="C3038" s="293" t="s">
        <v>6124</v>
      </c>
      <c r="D3038" s="293" t="s">
        <v>5878</v>
      </c>
      <c r="E3038" s="293" t="s">
        <v>6277</v>
      </c>
      <c r="F3038" s="293" t="s">
        <v>6941</v>
      </c>
      <c r="G3038" s="293" t="s">
        <v>5578</v>
      </c>
      <c r="H3038" s="294">
        <v>42035</v>
      </c>
      <c r="I3038" s="295">
        <v>-1019.33</v>
      </c>
    </row>
    <row r="3039" spans="1:9" x14ac:dyDescent="0.2">
      <c r="A3039" s="293" t="s">
        <v>8785</v>
      </c>
      <c r="B3039" s="293" t="s">
        <v>5666</v>
      </c>
      <c r="C3039" s="293" t="s">
        <v>6126</v>
      </c>
      <c r="D3039" s="293" t="s">
        <v>5878</v>
      </c>
      <c r="E3039" s="293" t="s">
        <v>6279</v>
      </c>
      <c r="F3039" s="293" t="s">
        <v>6941</v>
      </c>
      <c r="G3039" s="293" t="s">
        <v>5579</v>
      </c>
      <c r="H3039" s="294">
        <v>42035</v>
      </c>
      <c r="I3039" s="295">
        <v>-857.57</v>
      </c>
    </row>
    <row r="3040" spans="1:9" x14ac:dyDescent="0.2">
      <c r="A3040" s="293" t="s">
        <v>8786</v>
      </c>
      <c r="B3040" s="293" t="s">
        <v>5666</v>
      </c>
      <c r="C3040" s="293" t="s">
        <v>6091</v>
      </c>
      <c r="D3040" s="293" t="s">
        <v>5878</v>
      </c>
      <c r="E3040" s="293" t="s">
        <v>6281</v>
      </c>
      <c r="F3040" s="293" t="s">
        <v>6941</v>
      </c>
      <c r="G3040" s="293" t="s">
        <v>5573</v>
      </c>
      <c r="H3040" s="294">
        <v>42035</v>
      </c>
      <c r="I3040" s="295">
        <v>-3125.47</v>
      </c>
    </row>
    <row r="3041" spans="1:9" x14ac:dyDescent="0.2">
      <c r="A3041" s="293" t="s">
        <v>8787</v>
      </c>
      <c r="B3041" s="293" t="s">
        <v>5666</v>
      </c>
      <c r="C3041" s="293" t="s">
        <v>6093</v>
      </c>
      <c r="D3041" s="293" t="s">
        <v>5878</v>
      </c>
      <c r="E3041" s="293" t="s">
        <v>6283</v>
      </c>
      <c r="F3041" s="293" t="s">
        <v>6941</v>
      </c>
      <c r="G3041" s="293" t="s">
        <v>5573</v>
      </c>
      <c r="H3041" s="294">
        <v>42035</v>
      </c>
      <c r="I3041" s="295">
        <v>-4451.78</v>
      </c>
    </row>
    <row r="3042" spans="1:9" x14ac:dyDescent="0.2">
      <c r="A3042" s="293" t="s">
        <v>8788</v>
      </c>
      <c r="B3042" s="293" t="s">
        <v>5666</v>
      </c>
      <c r="C3042" s="293" t="s">
        <v>6080</v>
      </c>
      <c r="D3042" s="293" t="s">
        <v>5878</v>
      </c>
      <c r="E3042" s="293" t="s">
        <v>6285</v>
      </c>
      <c r="F3042" s="293" t="s">
        <v>6941</v>
      </c>
      <c r="G3042" s="293" t="s">
        <v>5573</v>
      </c>
      <c r="H3042" s="294">
        <v>42035</v>
      </c>
      <c r="I3042" s="295">
        <v>-10077.08</v>
      </c>
    </row>
    <row r="3043" spans="1:9" x14ac:dyDescent="0.2">
      <c r="A3043" s="293" t="s">
        <v>8789</v>
      </c>
      <c r="B3043" s="293" t="s">
        <v>5666</v>
      </c>
      <c r="C3043" s="293" t="s">
        <v>6095</v>
      </c>
      <c r="D3043" s="293" t="s">
        <v>5878</v>
      </c>
      <c r="E3043" s="293" t="s">
        <v>6287</v>
      </c>
      <c r="F3043" s="293" t="s">
        <v>6941</v>
      </c>
      <c r="G3043" s="293" t="s">
        <v>5580</v>
      </c>
      <c r="H3043" s="294">
        <v>42035</v>
      </c>
      <c r="I3043" s="295">
        <v>-5589.54</v>
      </c>
    </row>
    <row r="3044" spans="1:9" x14ac:dyDescent="0.2">
      <c r="A3044" s="293" t="s">
        <v>8790</v>
      </c>
      <c r="B3044" s="293" t="s">
        <v>5666</v>
      </c>
      <c r="C3044" s="293" t="s">
        <v>6097</v>
      </c>
      <c r="D3044" s="293" t="s">
        <v>5878</v>
      </c>
      <c r="E3044" s="293" t="s">
        <v>6289</v>
      </c>
      <c r="F3044" s="293" t="s">
        <v>6941</v>
      </c>
      <c r="G3044" s="293" t="s">
        <v>5580</v>
      </c>
      <c r="H3044" s="294">
        <v>42035</v>
      </c>
      <c r="I3044" s="295">
        <v>-10099.59</v>
      </c>
    </row>
    <row r="3045" spans="1:9" x14ac:dyDescent="0.2">
      <c r="A3045" s="293" t="s">
        <v>8791</v>
      </c>
      <c r="B3045" s="293" t="s">
        <v>5666</v>
      </c>
      <c r="C3045" s="293" t="s">
        <v>6099</v>
      </c>
      <c r="D3045" s="293" t="s">
        <v>5878</v>
      </c>
      <c r="E3045" s="293" t="s">
        <v>6291</v>
      </c>
      <c r="F3045" s="293" t="s">
        <v>6941</v>
      </c>
      <c r="G3045" s="293" t="s">
        <v>5579</v>
      </c>
      <c r="H3045" s="294">
        <v>42035</v>
      </c>
      <c r="I3045" s="295">
        <v>-1407.23</v>
      </c>
    </row>
    <row r="3046" spans="1:9" x14ac:dyDescent="0.2">
      <c r="A3046" s="293" t="s">
        <v>8792</v>
      </c>
      <c r="B3046" s="293" t="s">
        <v>5666</v>
      </c>
      <c r="C3046" s="293" t="s">
        <v>6083</v>
      </c>
      <c r="D3046" s="293" t="s">
        <v>5878</v>
      </c>
      <c r="E3046" s="293" t="s">
        <v>6293</v>
      </c>
      <c r="F3046" s="293" t="s">
        <v>6941</v>
      </c>
      <c r="G3046" s="293" t="s">
        <v>5579</v>
      </c>
      <c r="H3046" s="294">
        <v>42035</v>
      </c>
      <c r="I3046" s="295">
        <v>-2524.9</v>
      </c>
    </row>
    <row r="3047" spans="1:9" x14ac:dyDescent="0.2">
      <c r="A3047" s="293" t="s">
        <v>8793</v>
      </c>
      <c r="B3047" s="293" t="s">
        <v>5666</v>
      </c>
      <c r="C3047" s="293" t="s">
        <v>6101</v>
      </c>
      <c r="D3047" s="293" t="s">
        <v>5878</v>
      </c>
      <c r="E3047" s="293" t="s">
        <v>6295</v>
      </c>
      <c r="F3047" s="293" t="s">
        <v>6941</v>
      </c>
      <c r="G3047" s="293" t="s">
        <v>5580</v>
      </c>
      <c r="H3047" s="294">
        <v>42035</v>
      </c>
      <c r="I3047" s="295">
        <v>-193.73</v>
      </c>
    </row>
    <row r="3048" spans="1:9" x14ac:dyDescent="0.2">
      <c r="A3048" s="293" t="s">
        <v>8794</v>
      </c>
      <c r="B3048" s="293" t="s">
        <v>5666</v>
      </c>
      <c r="C3048" s="293" t="s">
        <v>6104</v>
      </c>
      <c r="D3048" s="293" t="s">
        <v>5878</v>
      </c>
      <c r="E3048" s="293" t="s">
        <v>6297</v>
      </c>
      <c r="F3048" s="293" t="s">
        <v>6941</v>
      </c>
      <c r="G3048" s="293" t="s">
        <v>5580</v>
      </c>
      <c r="H3048" s="294">
        <v>42035</v>
      </c>
      <c r="I3048" s="295">
        <v>-274.12</v>
      </c>
    </row>
    <row r="3049" spans="1:9" x14ac:dyDescent="0.2">
      <c r="A3049" s="293" t="s">
        <v>8795</v>
      </c>
      <c r="B3049" s="293" t="s">
        <v>5666</v>
      </c>
      <c r="C3049" s="293" t="s">
        <v>6106</v>
      </c>
      <c r="D3049" s="293" t="s">
        <v>5878</v>
      </c>
      <c r="E3049" s="293" t="s">
        <v>6299</v>
      </c>
      <c r="F3049" s="293" t="s">
        <v>6941</v>
      </c>
      <c r="G3049" s="293" t="s">
        <v>5580</v>
      </c>
      <c r="H3049" s="294">
        <v>42035</v>
      </c>
      <c r="I3049" s="295">
        <v>-1347.95</v>
      </c>
    </row>
    <row r="3050" spans="1:9" x14ac:dyDescent="0.2">
      <c r="A3050" s="293" t="s">
        <v>8796</v>
      </c>
      <c r="B3050" s="293" t="s">
        <v>5666</v>
      </c>
      <c r="C3050" s="293" t="s">
        <v>6108</v>
      </c>
      <c r="D3050" s="293" t="s">
        <v>5878</v>
      </c>
      <c r="E3050" s="293" t="s">
        <v>6301</v>
      </c>
      <c r="F3050" s="293" t="s">
        <v>6941</v>
      </c>
      <c r="G3050" s="293" t="s">
        <v>5580</v>
      </c>
      <c r="H3050" s="294">
        <v>42035</v>
      </c>
      <c r="I3050" s="295">
        <v>-1918.86</v>
      </c>
    </row>
    <row r="3051" spans="1:9" x14ac:dyDescent="0.2">
      <c r="A3051" s="293" t="s">
        <v>8797</v>
      </c>
      <c r="B3051" s="293" t="s">
        <v>5666</v>
      </c>
      <c r="C3051" s="293" t="s">
        <v>6110</v>
      </c>
      <c r="D3051" s="293" t="s">
        <v>5878</v>
      </c>
      <c r="E3051" s="293" t="s">
        <v>6303</v>
      </c>
      <c r="F3051" s="293" t="s">
        <v>6941</v>
      </c>
      <c r="G3051" s="293" t="s">
        <v>5573</v>
      </c>
      <c r="H3051" s="294">
        <v>42035</v>
      </c>
      <c r="I3051" s="295">
        <v>-1780.13</v>
      </c>
    </row>
    <row r="3052" spans="1:9" x14ac:dyDescent="0.2">
      <c r="A3052" s="293" t="s">
        <v>8798</v>
      </c>
      <c r="B3052" s="293" t="s">
        <v>5666</v>
      </c>
      <c r="C3052" s="293" t="s">
        <v>6115</v>
      </c>
      <c r="D3052" s="293" t="s">
        <v>5878</v>
      </c>
      <c r="E3052" s="293" t="s">
        <v>6305</v>
      </c>
      <c r="F3052" s="293" t="s">
        <v>6941</v>
      </c>
      <c r="G3052" s="293" t="s">
        <v>5581</v>
      </c>
      <c r="H3052" s="294">
        <v>42035</v>
      </c>
      <c r="I3052" s="295">
        <v>-2230.71</v>
      </c>
    </row>
    <row r="3053" spans="1:9" x14ac:dyDescent="0.2">
      <c r="A3053" s="293" t="s">
        <v>8799</v>
      </c>
      <c r="B3053" s="293" t="s">
        <v>5666</v>
      </c>
      <c r="C3053" s="293" t="s">
        <v>6086</v>
      </c>
      <c r="D3053" s="293" t="s">
        <v>5878</v>
      </c>
      <c r="E3053" s="293" t="s">
        <v>6307</v>
      </c>
      <c r="F3053" s="293" t="s">
        <v>6941</v>
      </c>
      <c r="G3053" s="293" t="s">
        <v>5581</v>
      </c>
      <c r="H3053" s="294">
        <v>42035</v>
      </c>
      <c r="I3053" s="295">
        <v>-2490.34</v>
      </c>
    </row>
    <row r="3054" spans="1:9" x14ac:dyDescent="0.2">
      <c r="A3054" s="293" t="s">
        <v>8800</v>
      </c>
      <c r="B3054" s="293" t="s">
        <v>5666</v>
      </c>
      <c r="C3054" s="293" t="s">
        <v>6113</v>
      </c>
      <c r="D3054" s="293" t="s">
        <v>5878</v>
      </c>
      <c r="E3054" s="293" t="s">
        <v>6316</v>
      </c>
      <c r="F3054" s="293" t="s">
        <v>6941</v>
      </c>
      <c r="G3054" s="293" t="s">
        <v>5573</v>
      </c>
      <c r="H3054" s="294">
        <v>42035</v>
      </c>
      <c r="I3054" s="295">
        <v>-5336.81</v>
      </c>
    </row>
    <row r="3055" spans="1:9" x14ac:dyDescent="0.2">
      <c r="A3055" s="293" t="s">
        <v>8801</v>
      </c>
      <c r="B3055" s="293" t="s">
        <v>5666</v>
      </c>
      <c r="C3055" s="293" t="s">
        <v>6313</v>
      </c>
      <c r="D3055" s="293" t="s">
        <v>5878</v>
      </c>
      <c r="E3055" s="293" t="s">
        <v>6314</v>
      </c>
      <c r="F3055" s="293" t="s">
        <v>6941</v>
      </c>
      <c r="G3055" s="293" t="s">
        <v>5576</v>
      </c>
      <c r="H3055" s="294">
        <v>42035</v>
      </c>
      <c r="I3055" s="295">
        <v>-4207.3500000000004</v>
      </c>
    </row>
    <row r="3056" spans="1:9" x14ac:dyDescent="0.2">
      <c r="A3056" s="293" t="s">
        <v>8802</v>
      </c>
      <c r="B3056" s="293" t="s">
        <v>5666</v>
      </c>
      <c r="C3056" s="293" t="s">
        <v>6272</v>
      </c>
      <c r="D3056" s="293" t="s">
        <v>5878</v>
      </c>
      <c r="E3056" s="293" t="s">
        <v>6273</v>
      </c>
      <c r="F3056" s="293" t="s">
        <v>6959</v>
      </c>
      <c r="G3056" s="293" t="s">
        <v>5576</v>
      </c>
      <c r="H3056" s="294">
        <v>42063</v>
      </c>
      <c r="I3056" s="295">
        <v>-3340.78</v>
      </c>
    </row>
    <row r="3057" spans="1:9" x14ac:dyDescent="0.2">
      <c r="A3057" s="293" t="s">
        <v>8803</v>
      </c>
      <c r="B3057" s="293" t="s">
        <v>5666</v>
      </c>
      <c r="C3057" s="293" t="s">
        <v>6122</v>
      </c>
      <c r="D3057" s="293" t="s">
        <v>5878</v>
      </c>
      <c r="E3057" s="293" t="s">
        <v>6275</v>
      </c>
      <c r="F3057" s="293" t="s">
        <v>6959</v>
      </c>
      <c r="G3057" s="293" t="s">
        <v>5577</v>
      </c>
      <c r="H3057" s="294">
        <v>42063</v>
      </c>
      <c r="I3057" s="295">
        <v>-1179.21</v>
      </c>
    </row>
    <row r="3058" spans="1:9" x14ac:dyDescent="0.2">
      <c r="A3058" s="293" t="s">
        <v>8804</v>
      </c>
      <c r="B3058" s="293" t="s">
        <v>5666</v>
      </c>
      <c r="C3058" s="293" t="s">
        <v>6124</v>
      </c>
      <c r="D3058" s="293" t="s">
        <v>5878</v>
      </c>
      <c r="E3058" s="293" t="s">
        <v>6277</v>
      </c>
      <c r="F3058" s="293" t="s">
        <v>6959</v>
      </c>
      <c r="G3058" s="293" t="s">
        <v>5578</v>
      </c>
      <c r="H3058" s="294">
        <v>42063</v>
      </c>
      <c r="I3058" s="295">
        <v>-1019.33</v>
      </c>
    </row>
    <row r="3059" spans="1:9" x14ac:dyDescent="0.2">
      <c r="A3059" s="293" t="s">
        <v>8805</v>
      </c>
      <c r="B3059" s="293" t="s">
        <v>5666</v>
      </c>
      <c r="C3059" s="293" t="s">
        <v>6126</v>
      </c>
      <c r="D3059" s="293" t="s">
        <v>5878</v>
      </c>
      <c r="E3059" s="293" t="s">
        <v>6279</v>
      </c>
      <c r="F3059" s="293" t="s">
        <v>6959</v>
      </c>
      <c r="G3059" s="293" t="s">
        <v>5579</v>
      </c>
      <c r="H3059" s="294">
        <v>42063</v>
      </c>
      <c r="I3059" s="295">
        <v>-857.57</v>
      </c>
    </row>
    <row r="3060" spans="1:9" x14ac:dyDescent="0.2">
      <c r="A3060" s="293" t="s">
        <v>8806</v>
      </c>
      <c r="B3060" s="293" t="s">
        <v>5666</v>
      </c>
      <c r="C3060" s="293" t="s">
        <v>6091</v>
      </c>
      <c r="D3060" s="293" t="s">
        <v>5878</v>
      </c>
      <c r="E3060" s="293" t="s">
        <v>6281</v>
      </c>
      <c r="F3060" s="293" t="s">
        <v>6959</v>
      </c>
      <c r="G3060" s="293" t="s">
        <v>5573</v>
      </c>
      <c r="H3060" s="294">
        <v>42063</v>
      </c>
      <c r="I3060" s="295">
        <v>-3125.47</v>
      </c>
    </row>
    <row r="3061" spans="1:9" x14ac:dyDescent="0.2">
      <c r="A3061" s="293" t="s">
        <v>8807</v>
      </c>
      <c r="B3061" s="293" t="s">
        <v>5666</v>
      </c>
      <c r="C3061" s="293" t="s">
        <v>6093</v>
      </c>
      <c r="D3061" s="293" t="s">
        <v>5878</v>
      </c>
      <c r="E3061" s="293" t="s">
        <v>6283</v>
      </c>
      <c r="F3061" s="293" t="s">
        <v>6959</v>
      </c>
      <c r="G3061" s="293" t="s">
        <v>5573</v>
      </c>
      <c r="H3061" s="294">
        <v>42063</v>
      </c>
      <c r="I3061" s="295">
        <v>-4451.78</v>
      </c>
    </row>
    <row r="3062" spans="1:9" x14ac:dyDescent="0.2">
      <c r="A3062" s="293" t="s">
        <v>8808</v>
      </c>
      <c r="B3062" s="293" t="s">
        <v>5666</v>
      </c>
      <c r="C3062" s="293" t="s">
        <v>6080</v>
      </c>
      <c r="D3062" s="293" t="s">
        <v>5878</v>
      </c>
      <c r="E3062" s="293" t="s">
        <v>6285</v>
      </c>
      <c r="F3062" s="293" t="s">
        <v>6959</v>
      </c>
      <c r="G3062" s="293" t="s">
        <v>5573</v>
      </c>
      <c r="H3062" s="294">
        <v>42063</v>
      </c>
      <c r="I3062" s="295">
        <v>-10077.08</v>
      </c>
    </row>
    <row r="3063" spans="1:9" x14ac:dyDescent="0.2">
      <c r="A3063" s="293" t="s">
        <v>8809</v>
      </c>
      <c r="B3063" s="293" t="s">
        <v>5666</v>
      </c>
      <c r="C3063" s="293" t="s">
        <v>6095</v>
      </c>
      <c r="D3063" s="293" t="s">
        <v>5878</v>
      </c>
      <c r="E3063" s="293" t="s">
        <v>6287</v>
      </c>
      <c r="F3063" s="293" t="s">
        <v>6959</v>
      </c>
      <c r="G3063" s="293" t="s">
        <v>5580</v>
      </c>
      <c r="H3063" s="294">
        <v>42063</v>
      </c>
      <c r="I3063" s="295">
        <v>-5589.54</v>
      </c>
    </row>
    <row r="3064" spans="1:9" x14ac:dyDescent="0.2">
      <c r="A3064" s="293" t="s">
        <v>8810</v>
      </c>
      <c r="B3064" s="293" t="s">
        <v>5666</v>
      </c>
      <c r="C3064" s="293" t="s">
        <v>6097</v>
      </c>
      <c r="D3064" s="293" t="s">
        <v>5878</v>
      </c>
      <c r="E3064" s="293" t="s">
        <v>6289</v>
      </c>
      <c r="F3064" s="293" t="s">
        <v>6959</v>
      </c>
      <c r="G3064" s="293" t="s">
        <v>5580</v>
      </c>
      <c r="H3064" s="294">
        <v>42063</v>
      </c>
      <c r="I3064" s="295">
        <v>-10099.59</v>
      </c>
    </row>
    <row r="3065" spans="1:9" x14ac:dyDescent="0.2">
      <c r="A3065" s="293" t="s">
        <v>8811</v>
      </c>
      <c r="B3065" s="293" t="s">
        <v>5666</v>
      </c>
      <c r="C3065" s="293" t="s">
        <v>6099</v>
      </c>
      <c r="D3065" s="293" t="s">
        <v>5878</v>
      </c>
      <c r="E3065" s="293" t="s">
        <v>6291</v>
      </c>
      <c r="F3065" s="293" t="s">
        <v>6959</v>
      </c>
      <c r="G3065" s="293" t="s">
        <v>5579</v>
      </c>
      <c r="H3065" s="294">
        <v>42063</v>
      </c>
      <c r="I3065" s="295">
        <v>-1407.23</v>
      </c>
    </row>
    <row r="3066" spans="1:9" x14ac:dyDescent="0.2">
      <c r="A3066" s="293" t="s">
        <v>8812</v>
      </c>
      <c r="B3066" s="293" t="s">
        <v>5666</v>
      </c>
      <c r="C3066" s="293" t="s">
        <v>6083</v>
      </c>
      <c r="D3066" s="293" t="s">
        <v>5878</v>
      </c>
      <c r="E3066" s="293" t="s">
        <v>6293</v>
      </c>
      <c r="F3066" s="293" t="s">
        <v>6959</v>
      </c>
      <c r="G3066" s="293" t="s">
        <v>5579</v>
      </c>
      <c r="H3066" s="294">
        <v>42063</v>
      </c>
      <c r="I3066" s="295">
        <v>-2524.9</v>
      </c>
    </row>
    <row r="3067" spans="1:9" x14ac:dyDescent="0.2">
      <c r="A3067" s="293" t="s">
        <v>8813</v>
      </c>
      <c r="B3067" s="293" t="s">
        <v>5666</v>
      </c>
      <c r="C3067" s="293" t="s">
        <v>6101</v>
      </c>
      <c r="D3067" s="293" t="s">
        <v>5878</v>
      </c>
      <c r="E3067" s="293" t="s">
        <v>6295</v>
      </c>
      <c r="F3067" s="293" t="s">
        <v>6959</v>
      </c>
      <c r="G3067" s="293" t="s">
        <v>5580</v>
      </c>
      <c r="H3067" s="294">
        <v>42063</v>
      </c>
      <c r="I3067" s="295">
        <v>-193.73</v>
      </c>
    </row>
    <row r="3068" spans="1:9" x14ac:dyDescent="0.2">
      <c r="A3068" s="293" t="s">
        <v>8814</v>
      </c>
      <c r="B3068" s="293" t="s">
        <v>5666</v>
      </c>
      <c r="C3068" s="293" t="s">
        <v>6104</v>
      </c>
      <c r="D3068" s="293" t="s">
        <v>5878</v>
      </c>
      <c r="E3068" s="293" t="s">
        <v>6297</v>
      </c>
      <c r="F3068" s="293" t="s">
        <v>6959</v>
      </c>
      <c r="G3068" s="293" t="s">
        <v>5580</v>
      </c>
      <c r="H3068" s="294">
        <v>42063</v>
      </c>
      <c r="I3068" s="295">
        <v>-274.12</v>
      </c>
    </row>
    <row r="3069" spans="1:9" x14ac:dyDescent="0.2">
      <c r="A3069" s="293" t="s">
        <v>8815</v>
      </c>
      <c r="B3069" s="293" t="s">
        <v>5666</v>
      </c>
      <c r="C3069" s="293" t="s">
        <v>6106</v>
      </c>
      <c r="D3069" s="293" t="s">
        <v>5878</v>
      </c>
      <c r="E3069" s="293" t="s">
        <v>6299</v>
      </c>
      <c r="F3069" s="293" t="s">
        <v>6959</v>
      </c>
      <c r="G3069" s="293" t="s">
        <v>5580</v>
      </c>
      <c r="H3069" s="294">
        <v>42063</v>
      </c>
      <c r="I3069" s="295">
        <v>-1347.95</v>
      </c>
    </row>
    <row r="3070" spans="1:9" x14ac:dyDescent="0.2">
      <c r="A3070" s="293" t="s">
        <v>8816</v>
      </c>
      <c r="B3070" s="293" t="s">
        <v>5666</v>
      </c>
      <c r="C3070" s="293" t="s">
        <v>6108</v>
      </c>
      <c r="D3070" s="293" t="s">
        <v>5878</v>
      </c>
      <c r="E3070" s="293" t="s">
        <v>6301</v>
      </c>
      <c r="F3070" s="293" t="s">
        <v>6959</v>
      </c>
      <c r="G3070" s="293" t="s">
        <v>5580</v>
      </c>
      <c r="H3070" s="294">
        <v>42063</v>
      </c>
      <c r="I3070" s="295">
        <v>-1918.86</v>
      </c>
    </row>
    <row r="3071" spans="1:9" x14ac:dyDescent="0.2">
      <c r="A3071" s="293" t="s">
        <v>8817</v>
      </c>
      <c r="B3071" s="293" t="s">
        <v>5666</v>
      </c>
      <c r="C3071" s="293" t="s">
        <v>6110</v>
      </c>
      <c r="D3071" s="293" t="s">
        <v>5878</v>
      </c>
      <c r="E3071" s="293" t="s">
        <v>6303</v>
      </c>
      <c r="F3071" s="293" t="s">
        <v>6959</v>
      </c>
      <c r="G3071" s="293" t="s">
        <v>5573</v>
      </c>
      <c r="H3071" s="294">
        <v>42063</v>
      </c>
      <c r="I3071" s="295">
        <v>-1780.13</v>
      </c>
    </row>
    <row r="3072" spans="1:9" x14ac:dyDescent="0.2">
      <c r="A3072" s="293" t="s">
        <v>8818</v>
      </c>
      <c r="B3072" s="293" t="s">
        <v>5666</v>
      </c>
      <c r="C3072" s="293" t="s">
        <v>6115</v>
      </c>
      <c r="D3072" s="293" t="s">
        <v>5878</v>
      </c>
      <c r="E3072" s="293" t="s">
        <v>6305</v>
      </c>
      <c r="F3072" s="293" t="s">
        <v>6959</v>
      </c>
      <c r="G3072" s="293" t="s">
        <v>5581</v>
      </c>
      <c r="H3072" s="294">
        <v>42063</v>
      </c>
      <c r="I3072" s="295">
        <v>-2230.71</v>
      </c>
    </row>
    <row r="3073" spans="1:9" x14ac:dyDescent="0.2">
      <c r="A3073" s="293" t="s">
        <v>8819</v>
      </c>
      <c r="B3073" s="293" t="s">
        <v>5666</v>
      </c>
      <c r="C3073" s="293" t="s">
        <v>6086</v>
      </c>
      <c r="D3073" s="293" t="s">
        <v>5878</v>
      </c>
      <c r="E3073" s="293" t="s">
        <v>6307</v>
      </c>
      <c r="F3073" s="293" t="s">
        <v>6959</v>
      </c>
      <c r="G3073" s="293" t="s">
        <v>5581</v>
      </c>
      <c r="H3073" s="294">
        <v>42063</v>
      </c>
      <c r="I3073" s="295">
        <v>-2490.34</v>
      </c>
    </row>
    <row r="3074" spans="1:9" x14ac:dyDescent="0.2">
      <c r="A3074" s="293" t="s">
        <v>8820</v>
      </c>
      <c r="B3074" s="293" t="s">
        <v>5666</v>
      </c>
      <c r="C3074" s="293" t="s">
        <v>6113</v>
      </c>
      <c r="D3074" s="293" t="s">
        <v>5878</v>
      </c>
      <c r="E3074" s="293" t="s">
        <v>6316</v>
      </c>
      <c r="F3074" s="293" t="s">
        <v>6959</v>
      </c>
      <c r="G3074" s="293" t="s">
        <v>5573</v>
      </c>
      <c r="H3074" s="294">
        <v>42063</v>
      </c>
      <c r="I3074" s="295">
        <v>-5336.81</v>
      </c>
    </row>
    <row r="3075" spans="1:9" x14ac:dyDescent="0.2">
      <c r="A3075" s="293" t="s">
        <v>8821</v>
      </c>
      <c r="B3075" s="293" t="s">
        <v>5666</v>
      </c>
      <c r="C3075" s="293" t="s">
        <v>6313</v>
      </c>
      <c r="D3075" s="293" t="s">
        <v>5878</v>
      </c>
      <c r="E3075" s="293" t="s">
        <v>6314</v>
      </c>
      <c r="F3075" s="293" t="s">
        <v>6959</v>
      </c>
      <c r="G3075" s="293" t="s">
        <v>5576</v>
      </c>
      <c r="H3075" s="294">
        <v>42063</v>
      </c>
      <c r="I3075" s="295">
        <v>-4207.3500000000004</v>
      </c>
    </row>
    <row r="3076" spans="1:9" x14ac:dyDescent="0.2">
      <c r="A3076" s="293" t="s">
        <v>8822</v>
      </c>
      <c r="B3076" s="293" t="s">
        <v>5666</v>
      </c>
      <c r="C3076" s="293" t="s">
        <v>6272</v>
      </c>
      <c r="D3076" s="293" t="s">
        <v>5878</v>
      </c>
      <c r="E3076" s="293" t="s">
        <v>6273</v>
      </c>
      <c r="F3076" s="293" t="s">
        <v>6977</v>
      </c>
      <c r="G3076" s="293" t="s">
        <v>5576</v>
      </c>
      <c r="H3076" s="294">
        <v>42094</v>
      </c>
      <c r="I3076" s="295">
        <v>-3340.78</v>
      </c>
    </row>
    <row r="3077" spans="1:9" x14ac:dyDescent="0.2">
      <c r="A3077" s="293" t="s">
        <v>8823</v>
      </c>
      <c r="B3077" s="293" t="s">
        <v>5666</v>
      </c>
      <c r="C3077" s="293" t="s">
        <v>6122</v>
      </c>
      <c r="D3077" s="293" t="s">
        <v>5878</v>
      </c>
      <c r="E3077" s="293" t="s">
        <v>6275</v>
      </c>
      <c r="F3077" s="293" t="s">
        <v>6977</v>
      </c>
      <c r="G3077" s="293" t="s">
        <v>5577</v>
      </c>
      <c r="H3077" s="294">
        <v>42094</v>
      </c>
      <c r="I3077" s="295">
        <v>-1179.21</v>
      </c>
    </row>
    <row r="3078" spans="1:9" x14ac:dyDescent="0.2">
      <c r="A3078" s="293" t="s">
        <v>8824</v>
      </c>
      <c r="B3078" s="293" t="s">
        <v>5666</v>
      </c>
      <c r="C3078" s="293" t="s">
        <v>6124</v>
      </c>
      <c r="D3078" s="293" t="s">
        <v>5878</v>
      </c>
      <c r="E3078" s="293" t="s">
        <v>6277</v>
      </c>
      <c r="F3078" s="293" t="s">
        <v>6977</v>
      </c>
      <c r="G3078" s="293" t="s">
        <v>5578</v>
      </c>
      <c r="H3078" s="294">
        <v>42094</v>
      </c>
      <c r="I3078" s="295">
        <v>-1019.33</v>
      </c>
    </row>
    <row r="3079" spans="1:9" x14ac:dyDescent="0.2">
      <c r="A3079" s="293" t="s">
        <v>8825</v>
      </c>
      <c r="B3079" s="293" t="s">
        <v>5666</v>
      </c>
      <c r="C3079" s="293" t="s">
        <v>6126</v>
      </c>
      <c r="D3079" s="293" t="s">
        <v>5878</v>
      </c>
      <c r="E3079" s="293" t="s">
        <v>6279</v>
      </c>
      <c r="F3079" s="293" t="s">
        <v>6977</v>
      </c>
      <c r="G3079" s="293" t="s">
        <v>5579</v>
      </c>
      <c r="H3079" s="294">
        <v>42094</v>
      </c>
      <c r="I3079" s="295">
        <v>-857.57</v>
      </c>
    </row>
    <row r="3080" spans="1:9" x14ac:dyDescent="0.2">
      <c r="A3080" s="293" t="s">
        <v>8826</v>
      </c>
      <c r="B3080" s="293" t="s">
        <v>5666</v>
      </c>
      <c r="C3080" s="293" t="s">
        <v>6091</v>
      </c>
      <c r="D3080" s="293" t="s">
        <v>5878</v>
      </c>
      <c r="E3080" s="293" t="s">
        <v>6281</v>
      </c>
      <c r="F3080" s="293" t="s">
        <v>6977</v>
      </c>
      <c r="G3080" s="293" t="s">
        <v>5573</v>
      </c>
      <c r="H3080" s="294">
        <v>42094</v>
      </c>
      <c r="I3080" s="295">
        <v>-3125.47</v>
      </c>
    </row>
    <row r="3081" spans="1:9" x14ac:dyDescent="0.2">
      <c r="A3081" s="293" t="s">
        <v>8827</v>
      </c>
      <c r="B3081" s="293" t="s">
        <v>5666</v>
      </c>
      <c r="C3081" s="293" t="s">
        <v>6093</v>
      </c>
      <c r="D3081" s="293" t="s">
        <v>5878</v>
      </c>
      <c r="E3081" s="293" t="s">
        <v>6283</v>
      </c>
      <c r="F3081" s="293" t="s">
        <v>6977</v>
      </c>
      <c r="G3081" s="293" t="s">
        <v>5573</v>
      </c>
      <c r="H3081" s="294">
        <v>42094</v>
      </c>
      <c r="I3081" s="295">
        <v>-4451.78</v>
      </c>
    </row>
    <row r="3082" spans="1:9" x14ac:dyDescent="0.2">
      <c r="A3082" s="293" t="s">
        <v>8828</v>
      </c>
      <c r="B3082" s="293" t="s">
        <v>5666</v>
      </c>
      <c r="C3082" s="293" t="s">
        <v>6080</v>
      </c>
      <c r="D3082" s="293" t="s">
        <v>5878</v>
      </c>
      <c r="E3082" s="293" t="s">
        <v>6285</v>
      </c>
      <c r="F3082" s="293" t="s">
        <v>6977</v>
      </c>
      <c r="G3082" s="293" t="s">
        <v>5573</v>
      </c>
      <c r="H3082" s="294">
        <v>42094</v>
      </c>
      <c r="I3082" s="295">
        <v>-10077.08</v>
      </c>
    </row>
    <row r="3083" spans="1:9" x14ac:dyDescent="0.2">
      <c r="A3083" s="293" t="s">
        <v>8829</v>
      </c>
      <c r="B3083" s="293" t="s">
        <v>5666</v>
      </c>
      <c r="C3083" s="293" t="s">
        <v>6095</v>
      </c>
      <c r="D3083" s="293" t="s">
        <v>5878</v>
      </c>
      <c r="E3083" s="293" t="s">
        <v>6287</v>
      </c>
      <c r="F3083" s="293" t="s">
        <v>6977</v>
      </c>
      <c r="G3083" s="293" t="s">
        <v>5580</v>
      </c>
      <c r="H3083" s="294">
        <v>42094</v>
      </c>
      <c r="I3083" s="295">
        <v>-5589.54</v>
      </c>
    </row>
    <row r="3084" spans="1:9" x14ac:dyDescent="0.2">
      <c r="A3084" s="293" t="s">
        <v>8830</v>
      </c>
      <c r="B3084" s="293" t="s">
        <v>5666</v>
      </c>
      <c r="C3084" s="293" t="s">
        <v>6097</v>
      </c>
      <c r="D3084" s="293" t="s">
        <v>5878</v>
      </c>
      <c r="E3084" s="293" t="s">
        <v>6289</v>
      </c>
      <c r="F3084" s="293" t="s">
        <v>6977</v>
      </c>
      <c r="G3084" s="293" t="s">
        <v>5580</v>
      </c>
      <c r="H3084" s="294">
        <v>42094</v>
      </c>
      <c r="I3084" s="295">
        <v>-10099.59</v>
      </c>
    </row>
    <row r="3085" spans="1:9" x14ac:dyDescent="0.2">
      <c r="A3085" s="293" t="s">
        <v>8831</v>
      </c>
      <c r="B3085" s="293" t="s">
        <v>5666</v>
      </c>
      <c r="C3085" s="293" t="s">
        <v>6099</v>
      </c>
      <c r="D3085" s="293" t="s">
        <v>5878</v>
      </c>
      <c r="E3085" s="293" t="s">
        <v>6291</v>
      </c>
      <c r="F3085" s="293" t="s">
        <v>6977</v>
      </c>
      <c r="G3085" s="293" t="s">
        <v>5579</v>
      </c>
      <c r="H3085" s="294">
        <v>42094</v>
      </c>
      <c r="I3085" s="295">
        <v>-1407.23</v>
      </c>
    </row>
    <row r="3086" spans="1:9" x14ac:dyDescent="0.2">
      <c r="A3086" s="293" t="s">
        <v>8832</v>
      </c>
      <c r="B3086" s="293" t="s">
        <v>5666</v>
      </c>
      <c r="C3086" s="293" t="s">
        <v>6083</v>
      </c>
      <c r="D3086" s="293" t="s">
        <v>5878</v>
      </c>
      <c r="E3086" s="293" t="s">
        <v>6293</v>
      </c>
      <c r="F3086" s="293" t="s">
        <v>6977</v>
      </c>
      <c r="G3086" s="293" t="s">
        <v>5579</v>
      </c>
      <c r="H3086" s="294">
        <v>42094</v>
      </c>
      <c r="I3086" s="295">
        <v>-2524.9</v>
      </c>
    </row>
    <row r="3087" spans="1:9" x14ac:dyDescent="0.2">
      <c r="A3087" s="293" t="s">
        <v>8833</v>
      </c>
      <c r="B3087" s="293" t="s">
        <v>5666</v>
      </c>
      <c r="C3087" s="293" t="s">
        <v>6101</v>
      </c>
      <c r="D3087" s="293" t="s">
        <v>5878</v>
      </c>
      <c r="E3087" s="293" t="s">
        <v>6295</v>
      </c>
      <c r="F3087" s="293" t="s">
        <v>6977</v>
      </c>
      <c r="G3087" s="293" t="s">
        <v>5580</v>
      </c>
      <c r="H3087" s="294">
        <v>42094</v>
      </c>
      <c r="I3087" s="295">
        <v>-193.73</v>
      </c>
    </row>
    <row r="3088" spans="1:9" x14ac:dyDescent="0.2">
      <c r="A3088" s="293" t="s">
        <v>8834</v>
      </c>
      <c r="B3088" s="293" t="s">
        <v>5666</v>
      </c>
      <c r="C3088" s="293" t="s">
        <v>6104</v>
      </c>
      <c r="D3088" s="293" t="s">
        <v>5878</v>
      </c>
      <c r="E3088" s="293" t="s">
        <v>6297</v>
      </c>
      <c r="F3088" s="293" t="s">
        <v>6977</v>
      </c>
      <c r="G3088" s="293" t="s">
        <v>5580</v>
      </c>
      <c r="H3088" s="294">
        <v>42094</v>
      </c>
      <c r="I3088" s="295">
        <v>-274.12</v>
      </c>
    </row>
    <row r="3089" spans="1:9" x14ac:dyDescent="0.2">
      <c r="A3089" s="293" t="s">
        <v>8835</v>
      </c>
      <c r="B3089" s="293" t="s">
        <v>5666</v>
      </c>
      <c r="C3089" s="293" t="s">
        <v>6106</v>
      </c>
      <c r="D3089" s="293" t="s">
        <v>5878</v>
      </c>
      <c r="E3089" s="293" t="s">
        <v>6299</v>
      </c>
      <c r="F3089" s="293" t="s">
        <v>6977</v>
      </c>
      <c r="G3089" s="293" t="s">
        <v>5580</v>
      </c>
      <c r="H3089" s="294">
        <v>42094</v>
      </c>
      <c r="I3089" s="295">
        <v>-1347.95</v>
      </c>
    </row>
    <row r="3090" spans="1:9" x14ac:dyDescent="0.2">
      <c r="A3090" s="293" t="s">
        <v>8836</v>
      </c>
      <c r="B3090" s="293" t="s">
        <v>5666</v>
      </c>
      <c r="C3090" s="293" t="s">
        <v>6108</v>
      </c>
      <c r="D3090" s="293" t="s">
        <v>5878</v>
      </c>
      <c r="E3090" s="293" t="s">
        <v>6301</v>
      </c>
      <c r="F3090" s="293" t="s">
        <v>6977</v>
      </c>
      <c r="G3090" s="293" t="s">
        <v>5580</v>
      </c>
      <c r="H3090" s="294">
        <v>42094</v>
      </c>
      <c r="I3090" s="295">
        <v>-1918.86</v>
      </c>
    </row>
    <row r="3091" spans="1:9" x14ac:dyDescent="0.2">
      <c r="A3091" s="293" t="s">
        <v>8837</v>
      </c>
      <c r="B3091" s="293" t="s">
        <v>5666</v>
      </c>
      <c r="C3091" s="293" t="s">
        <v>6110</v>
      </c>
      <c r="D3091" s="293" t="s">
        <v>5878</v>
      </c>
      <c r="E3091" s="293" t="s">
        <v>6303</v>
      </c>
      <c r="F3091" s="293" t="s">
        <v>6977</v>
      </c>
      <c r="G3091" s="293" t="s">
        <v>5573</v>
      </c>
      <c r="H3091" s="294">
        <v>42094</v>
      </c>
      <c r="I3091" s="295">
        <v>-1780.13</v>
      </c>
    </row>
    <row r="3092" spans="1:9" x14ac:dyDescent="0.2">
      <c r="A3092" s="293" t="s">
        <v>8838</v>
      </c>
      <c r="B3092" s="293" t="s">
        <v>5666</v>
      </c>
      <c r="C3092" s="293" t="s">
        <v>6115</v>
      </c>
      <c r="D3092" s="293" t="s">
        <v>5878</v>
      </c>
      <c r="E3092" s="293" t="s">
        <v>6305</v>
      </c>
      <c r="F3092" s="293" t="s">
        <v>6977</v>
      </c>
      <c r="G3092" s="293" t="s">
        <v>5581</v>
      </c>
      <c r="H3092" s="294">
        <v>42094</v>
      </c>
      <c r="I3092" s="295">
        <v>-2230.71</v>
      </c>
    </row>
    <row r="3093" spans="1:9" x14ac:dyDescent="0.2">
      <c r="A3093" s="293" t="s">
        <v>8839</v>
      </c>
      <c r="B3093" s="293" t="s">
        <v>5666</v>
      </c>
      <c r="C3093" s="293" t="s">
        <v>6086</v>
      </c>
      <c r="D3093" s="293" t="s">
        <v>5878</v>
      </c>
      <c r="E3093" s="293" t="s">
        <v>6307</v>
      </c>
      <c r="F3093" s="293" t="s">
        <v>6977</v>
      </c>
      <c r="G3093" s="293" t="s">
        <v>5581</v>
      </c>
      <c r="H3093" s="294">
        <v>42094</v>
      </c>
      <c r="I3093" s="295">
        <v>-2490.34</v>
      </c>
    </row>
    <row r="3094" spans="1:9" x14ac:dyDescent="0.2">
      <c r="A3094" s="293" t="s">
        <v>8840</v>
      </c>
      <c r="B3094" s="293" t="s">
        <v>5666</v>
      </c>
      <c r="C3094" s="293" t="s">
        <v>6113</v>
      </c>
      <c r="D3094" s="293" t="s">
        <v>5878</v>
      </c>
      <c r="E3094" s="293" t="s">
        <v>6316</v>
      </c>
      <c r="F3094" s="293" t="s">
        <v>6977</v>
      </c>
      <c r="G3094" s="293" t="s">
        <v>5573</v>
      </c>
      <c r="H3094" s="294">
        <v>42094</v>
      </c>
      <c r="I3094" s="295">
        <v>-5336.81</v>
      </c>
    </row>
    <row r="3095" spans="1:9" x14ac:dyDescent="0.2">
      <c r="A3095" s="293" t="s">
        <v>8841</v>
      </c>
      <c r="B3095" s="293" t="s">
        <v>5666</v>
      </c>
      <c r="C3095" s="293" t="s">
        <v>6313</v>
      </c>
      <c r="D3095" s="293" t="s">
        <v>5878</v>
      </c>
      <c r="E3095" s="293" t="s">
        <v>6314</v>
      </c>
      <c r="F3095" s="293" t="s">
        <v>6977</v>
      </c>
      <c r="G3095" s="293" t="s">
        <v>5576</v>
      </c>
      <c r="H3095" s="294">
        <v>42094</v>
      </c>
      <c r="I3095" s="295">
        <v>-4207.3500000000004</v>
      </c>
    </row>
    <row r="3096" spans="1:9" x14ac:dyDescent="0.2">
      <c r="A3096" s="293" t="s">
        <v>8842</v>
      </c>
      <c r="B3096" s="293" t="s">
        <v>5666</v>
      </c>
      <c r="C3096" s="293" t="s">
        <v>6272</v>
      </c>
      <c r="D3096" s="293" t="s">
        <v>5878</v>
      </c>
      <c r="E3096" s="293" t="s">
        <v>6273</v>
      </c>
      <c r="F3096" s="293" t="s">
        <v>6995</v>
      </c>
      <c r="G3096" s="293" t="s">
        <v>5576</v>
      </c>
      <c r="H3096" s="294">
        <v>42124</v>
      </c>
      <c r="I3096" s="295">
        <v>-3340.78</v>
      </c>
    </row>
    <row r="3097" spans="1:9" x14ac:dyDescent="0.2">
      <c r="A3097" s="293" t="s">
        <v>8843</v>
      </c>
      <c r="B3097" s="293" t="s">
        <v>5666</v>
      </c>
      <c r="C3097" s="293" t="s">
        <v>6122</v>
      </c>
      <c r="D3097" s="293" t="s">
        <v>5878</v>
      </c>
      <c r="E3097" s="293" t="s">
        <v>6275</v>
      </c>
      <c r="F3097" s="293" t="s">
        <v>6995</v>
      </c>
      <c r="G3097" s="293" t="s">
        <v>5577</v>
      </c>
      <c r="H3097" s="294">
        <v>42124</v>
      </c>
      <c r="I3097" s="295">
        <v>-1179.21</v>
      </c>
    </row>
    <row r="3098" spans="1:9" x14ac:dyDescent="0.2">
      <c r="A3098" s="293" t="s">
        <v>8844</v>
      </c>
      <c r="B3098" s="293" t="s">
        <v>5666</v>
      </c>
      <c r="C3098" s="293" t="s">
        <v>6124</v>
      </c>
      <c r="D3098" s="293" t="s">
        <v>5878</v>
      </c>
      <c r="E3098" s="293" t="s">
        <v>6277</v>
      </c>
      <c r="F3098" s="293" t="s">
        <v>6995</v>
      </c>
      <c r="G3098" s="293" t="s">
        <v>5578</v>
      </c>
      <c r="H3098" s="294">
        <v>42124</v>
      </c>
      <c r="I3098" s="295">
        <v>-1019.33</v>
      </c>
    </row>
    <row r="3099" spans="1:9" x14ac:dyDescent="0.2">
      <c r="A3099" s="293" t="s">
        <v>8845</v>
      </c>
      <c r="B3099" s="293" t="s">
        <v>5666</v>
      </c>
      <c r="C3099" s="293" t="s">
        <v>6126</v>
      </c>
      <c r="D3099" s="293" t="s">
        <v>5878</v>
      </c>
      <c r="E3099" s="293" t="s">
        <v>6279</v>
      </c>
      <c r="F3099" s="293" t="s">
        <v>6995</v>
      </c>
      <c r="G3099" s="293" t="s">
        <v>5579</v>
      </c>
      <c r="H3099" s="294">
        <v>42124</v>
      </c>
      <c r="I3099" s="295">
        <v>-857.57</v>
      </c>
    </row>
    <row r="3100" spans="1:9" x14ac:dyDescent="0.2">
      <c r="A3100" s="293" t="s">
        <v>8846</v>
      </c>
      <c r="B3100" s="293" t="s">
        <v>5666</v>
      </c>
      <c r="C3100" s="293" t="s">
        <v>6091</v>
      </c>
      <c r="D3100" s="293" t="s">
        <v>5878</v>
      </c>
      <c r="E3100" s="293" t="s">
        <v>6281</v>
      </c>
      <c r="F3100" s="293" t="s">
        <v>6995</v>
      </c>
      <c r="G3100" s="293" t="s">
        <v>5573</v>
      </c>
      <c r="H3100" s="294">
        <v>42124</v>
      </c>
      <c r="I3100" s="295">
        <v>-3125.47</v>
      </c>
    </row>
    <row r="3101" spans="1:9" x14ac:dyDescent="0.2">
      <c r="A3101" s="293" t="s">
        <v>8847</v>
      </c>
      <c r="B3101" s="293" t="s">
        <v>5666</v>
      </c>
      <c r="C3101" s="293" t="s">
        <v>6093</v>
      </c>
      <c r="D3101" s="293" t="s">
        <v>5878</v>
      </c>
      <c r="E3101" s="293" t="s">
        <v>6283</v>
      </c>
      <c r="F3101" s="293" t="s">
        <v>6995</v>
      </c>
      <c r="G3101" s="293" t="s">
        <v>5573</v>
      </c>
      <c r="H3101" s="294">
        <v>42124</v>
      </c>
      <c r="I3101" s="295">
        <v>-4451.78</v>
      </c>
    </row>
    <row r="3102" spans="1:9" x14ac:dyDescent="0.2">
      <c r="A3102" s="293" t="s">
        <v>8848</v>
      </c>
      <c r="B3102" s="293" t="s">
        <v>5666</v>
      </c>
      <c r="C3102" s="293" t="s">
        <v>6080</v>
      </c>
      <c r="D3102" s="293" t="s">
        <v>5878</v>
      </c>
      <c r="E3102" s="293" t="s">
        <v>6285</v>
      </c>
      <c r="F3102" s="293" t="s">
        <v>6995</v>
      </c>
      <c r="G3102" s="293" t="s">
        <v>5573</v>
      </c>
      <c r="H3102" s="294">
        <v>42124</v>
      </c>
      <c r="I3102" s="295">
        <v>-10077.08</v>
      </c>
    </row>
    <row r="3103" spans="1:9" x14ac:dyDescent="0.2">
      <c r="A3103" s="293" t="s">
        <v>8849</v>
      </c>
      <c r="B3103" s="293" t="s">
        <v>5666</v>
      </c>
      <c r="C3103" s="293" t="s">
        <v>6095</v>
      </c>
      <c r="D3103" s="293" t="s">
        <v>5878</v>
      </c>
      <c r="E3103" s="293" t="s">
        <v>6287</v>
      </c>
      <c r="F3103" s="293" t="s">
        <v>6995</v>
      </c>
      <c r="G3103" s="293" t="s">
        <v>5580</v>
      </c>
      <c r="H3103" s="294">
        <v>42124</v>
      </c>
      <c r="I3103" s="295">
        <v>-5589.54</v>
      </c>
    </row>
    <row r="3104" spans="1:9" x14ac:dyDescent="0.2">
      <c r="A3104" s="293" t="s">
        <v>8850</v>
      </c>
      <c r="B3104" s="293" t="s">
        <v>5666</v>
      </c>
      <c r="C3104" s="293" t="s">
        <v>6097</v>
      </c>
      <c r="D3104" s="293" t="s">
        <v>5878</v>
      </c>
      <c r="E3104" s="293" t="s">
        <v>6289</v>
      </c>
      <c r="F3104" s="293" t="s">
        <v>6995</v>
      </c>
      <c r="G3104" s="293" t="s">
        <v>5580</v>
      </c>
      <c r="H3104" s="294">
        <v>42124</v>
      </c>
      <c r="I3104" s="295">
        <v>-10099.59</v>
      </c>
    </row>
    <row r="3105" spans="1:9" x14ac:dyDescent="0.2">
      <c r="A3105" s="293" t="s">
        <v>8851</v>
      </c>
      <c r="B3105" s="293" t="s">
        <v>5666</v>
      </c>
      <c r="C3105" s="293" t="s">
        <v>6099</v>
      </c>
      <c r="D3105" s="293" t="s">
        <v>5878</v>
      </c>
      <c r="E3105" s="293" t="s">
        <v>6291</v>
      </c>
      <c r="F3105" s="293" t="s">
        <v>6995</v>
      </c>
      <c r="G3105" s="293" t="s">
        <v>5579</v>
      </c>
      <c r="H3105" s="294">
        <v>42124</v>
      </c>
      <c r="I3105" s="295">
        <v>-1407.23</v>
      </c>
    </row>
    <row r="3106" spans="1:9" x14ac:dyDescent="0.2">
      <c r="A3106" s="293" t="s">
        <v>8852</v>
      </c>
      <c r="B3106" s="293" t="s">
        <v>5666</v>
      </c>
      <c r="C3106" s="293" t="s">
        <v>6083</v>
      </c>
      <c r="D3106" s="293" t="s">
        <v>5878</v>
      </c>
      <c r="E3106" s="293" t="s">
        <v>6293</v>
      </c>
      <c r="F3106" s="293" t="s">
        <v>6995</v>
      </c>
      <c r="G3106" s="293" t="s">
        <v>5579</v>
      </c>
      <c r="H3106" s="294">
        <v>42124</v>
      </c>
      <c r="I3106" s="295">
        <v>-2524.9</v>
      </c>
    </row>
    <row r="3107" spans="1:9" x14ac:dyDescent="0.2">
      <c r="A3107" s="293" t="s">
        <v>8853</v>
      </c>
      <c r="B3107" s="293" t="s">
        <v>5666</v>
      </c>
      <c r="C3107" s="293" t="s">
        <v>6101</v>
      </c>
      <c r="D3107" s="293" t="s">
        <v>5878</v>
      </c>
      <c r="E3107" s="293" t="s">
        <v>6295</v>
      </c>
      <c r="F3107" s="293" t="s">
        <v>6995</v>
      </c>
      <c r="G3107" s="293" t="s">
        <v>5580</v>
      </c>
      <c r="H3107" s="294">
        <v>42124</v>
      </c>
      <c r="I3107" s="295">
        <v>-193.73</v>
      </c>
    </row>
    <row r="3108" spans="1:9" x14ac:dyDescent="0.2">
      <c r="A3108" s="293" t="s">
        <v>8854</v>
      </c>
      <c r="B3108" s="293" t="s">
        <v>5666</v>
      </c>
      <c r="C3108" s="293" t="s">
        <v>6104</v>
      </c>
      <c r="D3108" s="293" t="s">
        <v>5878</v>
      </c>
      <c r="E3108" s="293" t="s">
        <v>6297</v>
      </c>
      <c r="F3108" s="293" t="s">
        <v>6995</v>
      </c>
      <c r="G3108" s="293" t="s">
        <v>5580</v>
      </c>
      <c r="H3108" s="294">
        <v>42124</v>
      </c>
      <c r="I3108" s="295">
        <v>-274.12</v>
      </c>
    </row>
    <row r="3109" spans="1:9" x14ac:dyDescent="0.2">
      <c r="A3109" s="293" t="s">
        <v>8855</v>
      </c>
      <c r="B3109" s="293" t="s">
        <v>5666</v>
      </c>
      <c r="C3109" s="293" t="s">
        <v>6106</v>
      </c>
      <c r="D3109" s="293" t="s">
        <v>5878</v>
      </c>
      <c r="E3109" s="293" t="s">
        <v>6299</v>
      </c>
      <c r="F3109" s="293" t="s">
        <v>6995</v>
      </c>
      <c r="G3109" s="293" t="s">
        <v>5580</v>
      </c>
      <c r="H3109" s="294">
        <v>42124</v>
      </c>
      <c r="I3109" s="295">
        <v>-1347.95</v>
      </c>
    </row>
    <row r="3110" spans="1:9" x14ac:dyDescent="0.2">
      <c r="A3110" s="293" t="s">
        <v>8856</v>
      </c>
      <c r="B3110" s="293" t="s">
        <v>5666</v>
      </c>
      <c r="C3110" s="293" t="s">
        <v>6108</v>
      </c>
      <c r="D3110" s="293" t="s">
        <v>5878</v>
      </c>
      <c r="E3110" s="293" t="s">
        <v>6301</v>
      </c>
      <c r="F3110" s="293" t="s">
        <v>6995</v>
      </c>
      <c r="G3110" s="293" t="s">
        <v>5580</v>
      </c>
      <c r="H3110" s="294">
        <v>42124</v>
      </c>
      <c r="I3110" s="295">
        <v>-1918.86</v>
      </c>
    </row>
    <row r="3111" spans="1:9" x14ac:dyDescent="0.2">
      <c r="A3111" s="293" t="s">
        <v>8857</v>
      </c>
      <c r="B3111" s="293" t="s">
        <v>5666</v>
      </c>
      <c r="C3111" s="293" t="s">
        <v>6110</v>
      </c>
      <c r="D3111" s="293" t="s">
        <v>5878</v>
      </c>
      <c r="E3111" s="293" t="s">
        <v>6303</v>
      </c>
      <c r="F3111" s="293" t="s">
        <v>6995</v>
      </c>
      <c r="G3111" s="293" t="s">
        <v>5573</v>
      </c>
      <c r="H3111" s="294">
        <v>42124</v>
      </c>
      <c r="I3111" s="295">
        <v>-1780.13</v>
      </c>
    </row>
    <row r="3112" spans="1:9" x14ac:dyDescent="0.2">
      <c r="A3112" s="293" t="s">
        <v>8858</v>
      </c>
      <c r="B3112" s="293" t="s">
        <v>5666</v>
      </c>
      <c r="C3112" s="293" t="s">
        <v>6115</v>
      </c>
      <c r="D3112" s="293" t="s">
        <v>5878</v>
      </c>
      <c r="E3112" s="293" t="s">
        <v>6305</v>
      </c>
      <c r="F3112" s="293" t="s">
        <v>6995</v>
      </c>
      <c r="G3112" s="293" t="s">
        <v>5581</v>
      </c>
      <c r="H3112" s="294">
        <v>42124</v>
      </c>
      <c r="I3112" s="295">
        <v>-2230.71</v>
      </c>
    </row>
    <row r="3113" spans="1:9" x14ac:dyDescent="0.2">
      <c r="A3113" s="293" t="s">
        <v>8859</v>
      </c>
      <c r="B3113" s="293" t="s">
        <v>5666</v>
      </c>
      <c r="C3113" s="293" t="s">
        <v>6086</v>
      </c>
      <c r="D3113" s="293" t="s">
        <v>5878</v>
      </c>
      <c r="E3113" s="293" t="s">
        <v>6307</v>
      </c>
      <c r="F3113" s="293" t="s">
        <v>6995</v>
      </c>
      <c r="G3113" s="293" t="s">
        <v>5581</v>
      </c>
      <c r="H3113" s="294">
        <v>42124</v>
      </c>
      <c r="I3113" s="295">
        <v>-2490.34</v>
      </c>
    </row>
    <row r="3114" spans="1:9" x14ac:dyDescent="0.2">
      <c r="A3114" s="293" t="s">
        <v>8860</v>
      </c>
      <c r="B3114" s="293" t="s">
        <v>5666</v>
      </c>
      <c r="C3114" s="293" t="s">
        <v>6113</v>
      </c>
      <c r="D3114" s="293" t="s">
        <v>5878</v>
      </c>
      <c r="E3114" s="293" t="s">
        <v>6316</v>
      </c>
      <c r="F3114" s="293" t="s">
        <v>6995</v>
      </c>
      <c r="G3114" s="293" t="s">
        <v>5573</v>
      </c>
      <c r="H3114" s="294">
        <v>42124</v>
      </c>
      <c r="I3114" s="295">
        <v>-5336.81</v>
      </c>
    </row>
    <row r="3115" spans="1:9" x14ac:dyDescent="0.2">
      <c r="A3115" s="293" t="s">
        <v>8861</v>
      </c>
      <c r="B3115" s="293" t="s">
        <v>5666</v>
      </c>
      <c r="C3115" s="293" t="s">
        <v>6313</v>
      </c>
      <c r="D3115" s="293" t="s">
        <v>5878</v>
      </c>
      <c r="E3115" s="293" t="s">
        <v>6314</v>
      </c>
      <c r="F3115" s="293" t="s">
        <v>6995</v>
      </c>
      <c r="G3115" s="293" t="s">
        <v>5576</v>
      </c>
      <c r="H3115" s="294">
        <v>42124</v>
      </c>
      <c r="I3115" s="295">
        <v>-4207.3500000000004</v>
      </c>
    </row>
    <row r="3116" spans="1:9" x14ac:dyDescent="0.2">
      <c r="A3116" s="293" t="s">
        <v>8862</v>
      </c>
      <c r="B3116" s="293" t="s">
        <v>5666</v>
      </c>
      <c r="C3116" s="293" t="s">
        <v>6272</v>
      </c>
      <c r="D3116" s="293" t="s">
        <v>5878</v>
      </c>
      <c r="E3116" s="293" t="s">
        <v>6273</v>
      </c>
      <c r="F3116" s="293" t="s">
        <v>7034</v>
      </c>
      <c r="G3116" s="293" t="s">
        <v>5576</v>
      </c>
      <c r="H3116" s="294">
        <v>42155</v>
      </c>
      <c r="I3116" s="295">
        <v>-3340.78</v>
      </c>
    </row>
    <row r="3117" spans="1:9" x14ac:dyDescent="0.2">
      <c r="A3117" s="293" t="s">
        <v>8863</v>
      </c>
      <c r="B3117" s="293" t="s">
        <v>5666</v>
      </c>
      <c r="C3117" s="293" t="s">
        <v>6122</v>
      </c>
      <c r="D3117" s="293" t="s">
        <v>5878</v>
      </c>
      <c r="E3117" s="293" t="s">
        <v>6275</v>
      </c>
      <c r="F3117" s="293" t="s">
        <v>7034</v>
      </c>
      <c r="G3117" s="293" t="s">
        <v>5577</v>
      </c>
      <c r="H3117" s="294">
        <v>42155</v>
      </c>
      <c r="I3117" s="295">
        <v>-1179.21</v>
      </c>
    </row>
    <row r="3118" spans="1:9" x14ac:dyDescent="0.2">
      <c r="A3118" s="293" t="s">
        <v>8864</v>
      </c>
      <c r="B3118" s="293" t="s">
        <v>5666</v>
      </c>
      <c r="C3118" s="293" t="s">
        <v>6124</v>
      </c>
      <c r="D3118" s="293" t="s">
        <v>5878</v>
      </c>
      <c r="E3118" s="293" t="s">
        <v>6277</v>
      </c>
      <c r="F3118" s="293" t="s">
        <v>7034</v>
      </c>
      <c r="G3118" s="293" t="s">
        <v>5578</v>
      </c>
      <c r="H3118" s="294">
        <v>42155</v>
      </c>
      <c r="I3118" s="295">
        <v>-1019.33</v>
      </c>
    </row>
    <row r="3119" spans="1:9" x14ac:dyDescent="0.2">
      <c r="A3119" s="293" t="s">
        <v>8865</v>
      </c>
      <c r="B3119" s="293" t="s">
        <v>5666</v>
      </c>
      <c r="C3119" s="293" t="s">
        <v>6126</v>
      </c>
      <c r="D3119" s="293" t="s">
        <v>5878</v>
      </c>
      <c r="E3119" s="293" t="s">
        <v>6279</v>
      </c>
      <c r="F3119" s="293" t="s">
        <v>7034</v>
      </c>
      <c r="G3119" s="293" t="s">
        <v>5579</v>
      </c>
      <c r="H3119" s="294">
        <v>42155</v>
      </c>
      <c r="I3119" s="295">
        <v>-857.57</v>
      </c>
    </row>
    <row r="3120" spans="1:9" x14ac:dyDescent="0.2">
      <c r="A3120" s="293" t="s">
        <v>8866</v>
      </c>
      <c r="B3120" s="293" t="s">
        <v>5666</v>
      </c>
      <c r="C3120" s="293" t="s">
        <v>6091</v>
      </c>
      <c r="D3120" s="293" t="s">
        <v>5878</v>
      </c>
      <c r="E3120" s="293" t="s">
        <v>6281</v>
      </c>
      <c r="F3120" s="293" t="s">
        <v>7034</v>
      </c>
      <c r="G3120" s="293" t="s">
        <v>5573</v>
      </c>
      <c r="H3120" s="294">
        <v>42155</v>
      </c>
      <c r="I3120" s="295">
        <v>-3125.47</v>
      </c>
    </row>
    <row r="3121" spans="1:9" x14ac:dyDescent="0.2">
      <c r="A3121" s="293" t="s">
        <v>8867</v>
      </c>
      <c r="B3121" s="293" t="s">
        <v>5666</v>
      </c>
      <c r="C3121" s="293" t="s">
        <v>6093</v>
      </c>
      <c r="D3121" s="293" t="s">
        <v>5878</v>
      </c>
      <c r="E3121" s="293" t="s">
        <v>6283</v>
      </c>
      <c r="F3121" s="293" t="s">
        <v>7034</v>
      </c>
      <c r="G3121" s="293" t="s">
        <v>5573</v>
      </c>
      <c r="H3121" s="294">
        <v>42155</v>
      </c>
      <c r="I3121" s="295">
        <v>-4451.78</v>
      </c>
    </row>
    <row r="3122" spans="1:9" x14ac:dyDescent="0.2">
      <c r="A3122" s="293" t="s">
        <v>8868</v>
      </c>
      <c r="B3122" s="293" t="s">
        <v>5666</v>
      </c>
      <c r="C3122" s="293" t="s">
        <v>6080</v>
      </c>
      <c r="D3122" s="293" t="s">
        <v>5878</v>
      </c>
      <c r="E3122" s="293" t="s">
        <v>6285</v>
      </c>
      <c r="F3122" s="293" t="s">
        <v>7034</v>
      </c>
      <c r="G3122" s="293" t="s">
        <v>5573</v>
      </c>
      <c r="H3122" s="294">
        <v>42155</v>
      </c>
      <c r="I3122" s="295">
        <v>-10077.08</v>
      </c>
    </row>
    <row r="3123" spans="1:9" x14ac:dyDescent="0.2">
      <c r="A3123" s="293" t="s">
        <v>8869</v>
      </c>
      <c r="B3123" s="293" t="s">
        <v>5666</v>
      </c>
      <c r="C3123" s="293" t="s">
        <v>6095</v>
      </c>
      <c r="D3123" s="293" t="s">
        <v>5878</v>
      </c>
      <c r="E3123" s="293" t="s">
        <v>6287</v>
      </c>
      <c r="F3123" s="293" t="s">
        <v>7034</v>
      </c>
      <c r="G3123" s="293" t="s">
        <v>5580</v>
      </c>
      <c r="H3123" s="294">
        <v>42155</v>
      </c>
      <c r="I3123" s="295">
        <v>-5589.54</v>
      </c>
    </row>
    <row r="3124" spans="1:9" x14ac:dyDescent="0.2">
      <c r="A3124" s="293" t="s">
        <v>8870</v>
      </c>
      <c r="B3124" s="293" t="s">
        <v>5666</v>
      </c>
      <c r="C3124" s="293" t="s">
        <v>6097</v>
      </c>
      <c r="D3124" s="293" t="s">
        <v>5878</v>
      </c>
      <c r="E3124" s="293" t="s">
        <v>6289</v>
      </c>
      <c r="F3124" s="293" t="s">
        <v>7034</v>
      </c>
      <c r="G3124" s="293" t="s">
        <v>5580</v>
      </c>
      <c r="H3124" s="294">
        <v>42155</v>
      </c>
      <c r="I3124" s="295">
        <v>-10099.59</v>
      </c>
    </row>
    <row r="3125" spans="1:9" x14ac:dyDescent="0.2">
      <c r="A3125" s="293" t="s">
        <v>8871</v>
      </c>
      <c r="B3125" s="293" t="s">
        <v>5666</v>
      </c>
      <c r="C3125" s="293" t="s">
        <v>6099</v>
      </c>
      <c r="D3125" s="293" t="s">
        <v>5878</v>
      </c>
      <c r="E3125" s="293" t="s">
        <v>6291</v>
      </c>
      <c r="F3125" s="293" t="s">
        <v>7034</v>
      </c>
      <c r="G3125" s="293" t="s">
        <v>5579</v>
      </c>
      <c r="H3125" s="294">
        <v>42155</v>
      </c>
      <c r="I3125" s="295">
        <v>-1407.23</v>
      </c>
    </row>
    <row r="3126" spans="1:9" x14ac:dyDescent="0.2">
      <c r="A3126" s="293" t="s">
        <v>8872</v>
      </c>
      <c r="B3126" s="293" t="s">
        <v>5666</v>
      </c>
      <c r="C3126" s="293" t="s">
        <v>6083</v>
      </c>
      <c r="D3126" s="293" t="s">
        <v>5878</v>
      </c>
      <c r="E3126" s="293" t="s">
        <v>6293</v>
      </c>
      <c r="F3126" s="293" t="s">
        <v>7034</v>
      </c>
      <c r="G3126" s="293" t="s">
        <v>5579</v>
      </c>
      <c r="H3126" s="294">
        <v>42155</v>
      </c>
      <c r="I3126" s="295">
        <v>-2524.9</v>
      </c>
    </row>
    <row r="3127" spans="1:9" x14ac:dyDescent="0.2">
      <c r="A3127" s="293" t="s">
        <v>8873</v>
      </c>
      <c r="B3127" s="293" t="s">
        <v>5666</v>
      </c>
      <c r="C3127" s="293" t="s">
        <v>6101</v>
      </c>
      <c r="D3127" s="293" t="s">
        <v>5878</v>
      </c>
      <c r="E3127" s="293" t="s">
        <v>6295</v>
      </c>
      <c r="F3127" s="293" t="s">
        <v>7034</v>
      </c>
      <c r="G3127" s="293" t="s">
        <v>5580</v>
      </c>
      <c r="H3127" s="294">
        <v>42155</v>
      </c>
      <c r="I3127" s="295">
        <v>-193.73</v>
      </c>
    </row>
    <row r="3128" spans="1:9" x14ac:dyDescent="0.2">
      <c r="A3128" s="293" t="s">
        <v>8874</v>
      </c>
      <c r="B3128" s="293" t="s">
        <v>5666</v>
      </c>
      <c r="C3128" s="293" t="s">
        <v>6104</v>
      </c>
      <c r="D3128" s="293" t="s">
        <v>5878</v>
      </c>
      <c r="E3128" s="293" t="s">
        <v>6297</v>
      </c>
      <c r="F3128" s="293" t="s">
        <v>7034</v>
      </c>
      <c r="G3128" s="293" t="s">
        <v>5580</v>
      </c>
      <c r="H3128" s="294">
        <v>42155</v>
      </c>
      <c r="I3128" s="295">
        <v>-274.12</v>
      </c>
    </row>
    <row r="3129" spans="1:9" x14ac:dyDescent="0.2">
      <c r="A3129" s="293" t="s">
        <v>8875</v>
      </c>
      <c r="B3129" s="293" t="s">
        <v>5666</v>
      </c>
      <c r="C3129" s="293" t="s">
        <v>6106</v>
      </c>
      <c r="D3129" s="293" t="s">
        <v>5878</v>
      </c>
      <c r="E3129" s="293" t="s">
        <v>6299</v>
      </c>
      <c r="F3129" s="293" t="s">
        <v>7034</v>
      </c>
      <c r="G3129" s="293" t="s">
        <v>5580</v>
      </c>
      <c r="H3129" s="294">
        <v>42155</v>
      </c>
      <c r="I3129" s="295">
        <v>-1347.95</v>
      </c>
    </row>
    <row r="3130" spans="1:9" x14ac:dyDescent="0.2">
      <c r="A3130" s="293" t="s">
        <v>8876</v>
      </c>
      <c r="B3130" s="293" t="s">
        <v>5666</v>
      </c>
      <c r="C3130" s="293" t="s">
        <v>6108</v>
      </c>
      <c r="D3130" s="293" t="s">
        <v>5878</v>
      </c>
      <c r="E3130" s="293" t="s">
        <v>6301</v>
      </c>
      <c r="F3130" s="293" t="s">
        <v>7034</v>
      </c>
      <c r="G3130" s="293" t="s">
        <v>5580</v>
      </c>
      <c r="H3130" s="294">
        <v>42155</v>
      </c>
      <c r="I3130" s="295">
        <v>-1918.86</v>
      </c>
    </row>
    <row r="3131" spans="1:9" x14ac:dyDescent="0.2">
      <c r="A3131" s="293" t="s">
        <v>8877</v>
      </c>
      <c r="B3131" s="293" t="s">
        <v>5666</v>
      </c>
      <c r="C3131" s="293" t="s">
        <v>6110</v>
      </c>
      <c r="D3131" s="293" t="s">
        <v>5878</v>
      </c>
      <c r="E3131" s="293" t="s">
        <v>6303</v>
      </c>
      <c r="F3131" s="293" t="s">
        <v>7034</v>
      </c>
      <c r="G3131" s="293" t="s">
        <v>5573</v>
      </c>
      <c r="H3131" s="294">
        <v>42155</v>
      </c>
      <c r="I3131" s="295">
        <v>-1780.13</v>
      </c>
    </row>
    <row r="3132" spans="1:9" x14ac:dyDescent="0.2">
      <c r="A3132" s="293" t="s">
        <v>8878</v>
      </c>
      <c r="B3132" s="293" t="s">
        <v>5666</v>
      </c>
      <c r="C3132" s="293" t="s">
        <v>6115</v>
      </c>
      <c r="D3132" s="293" t="s">
        <v>5878</v>
      </c>
      <c r="E3132" s="293" t="s">
        <v>6305</v>
      </c>
      <c r="F3132" s="293" t="s">
        <v>7034</v>
      </c>
      <c r="G3132" s="293" t="s">
        <v>5581</v>
      </c>
      <c r="H3132" s="294">
        <v>42155</v>
      </c>
      <c r="I3132" s="295">
        <v>-2230.71</v>
      </c>
    </row>
    <row r="3133" spans="1:9" x14ac:dyDescent="0.2">
      <c r="A3133" s="293" t="s">
        <v>8879</v>
      </c>
      <c r="B3133" s="293" t="s">
        <v>5666</v>
      </c>
      <c r="C3133" s="293" t="s">
        <v>6086</v>
      </c>
      <c r="D3133" s="293" t="s">
        <v>5878</v>
      </c>
      <c r="E3133" s="293" t="s">
        <v>6307</v>
      </c>
      <c r="F3133" s="293" t="s">
        <v>7034</v>
      </c>
      <c r="G3133" s="293" t="s">
        <v>5581</v>
      </c>
      <c r="H3133" s="294">
        <v>42155</v>
      </c>
      <c r="I3133" s="295">
        <v>-2490.34</v>
      </c>
    </row>
    <row r="3134" spans="1:9" x14ac:dyDescent="0.2">
      <c r="A3134" s="293" t="s">
        <v>8880</v>
      </c>
      <c r="B3134" s="293" t="s">
        <v>5666</v>
      </c>
      <c r="C3134" s="293" t="s">
        <v>6113</v>
      </c>
      <c r="D3134" s="293" t="s">
        <v>5878</v>
      </c>
      <c r="E3134" s="293" t="s">
        <v>6316</v>
      </c>
      <c r="F3134" s="293" t="s">
        <v>7034</v>
      </c>
      <c r="G3134" s="293" t="s">
        <v>5573</v>
      </c>
      <c r="H3134" s="294">
        <v>42155</v>
      </c>
      <c r="I3134" s="295">
        <v>-5336.81</v>
      </c>
    </row>
    <row r="3135" spans="1:9" x14ac:dyDescent="0.2">
      <c r="A3135" s="293" t="s">
        <v>8881</v>
      </c>
      <c r="B3135" s="293" t="s">
        <v>5666</v>
      </c>
      <c r="C3135" s="293" t="s">
        <v>6313</v>
      </c>
      <c r="D3135" s="293" t="s">
        <v>5878</v>
      </c>
      <c r="E3135" s="293" t="s">
        <v>6314</v>
      </c>
      <c r="F3135" s="293" t="s">
        <v>7034</v>
      </c>
      <c r="G3135" s="293" t="s">
        <v>5576</v>
      </c>
      <c r="H3135" s="294">
        <v>42155</v>
      </c>
      <c r="I3135" s="295">
        <v>-4207.3500000000004</v>
      </c>
    </row>
    <row r="3136" spans="1:9" x14ac:dyDescent="0.2">
      <c r="A3136" s="293" t="s">
        <v>8882</v>
      </c>
      <c r="B3136" s="293" t="s">
        <v>5666</v>
      </c>
      <c r="C3136" s="293" t="s">
        <v>6272</v>
      </c>
      <c r="D3136" s="293" t="s">
        <v>5878</v>
      </c>
      <c r="E3136" s="293" t="s">
        <v>6273</v>
      </c>
      <c r="F3136" s="293" t="s">
        <v>7061</v>
      </c>
      <c r="G3136" s="293" t="s">
        <v>5576</v>
      </c>
      <c r="H3136" s="294">
        <v>42185</v>
      </c>
      <c r="I3136" s="295">
        <v>-3340.78</v>
      </c>
    </row>
    <row r="3137" spans="1:9" x14ac:dyDescent="0.2">
      <c r="A3137" s="293" t="s">
        <v>8883</v>
      </c>
      <c r="B3137" s="293" t="s">
        <v>5666</v>
      </c>
      <c r="C3137" s="293" t="s">
        <v>6122</v>
      </c>
      <c r="D3137" s="293" t="s">
        <v>5878</v>
      </c>
      <c r="E3137" s="293" t="s">
        <v>6275</v>
      </c>
      <c r="F3137" s="293" t="s">
        <v>7061</v>
      </c>
      <c r="G3137" s="293" t="s">
        <v>5577</v>
      </c>
      <c r="H3137" s="294">
        <v>42185</v>
      </c>
      <c r="I3137" s="295">
        <v>-1179.21</v>
      </c>
    </row>
    <row r="3138" spans="1:9" x14ac:dyDescent="0.2">
      <c r="A3138" s="293" t="s">
        <v>8884</v>
      </c>
      <c r="B3138" s="293" t="s">
        <v>5666</v>
      </c>
      <c r="C3138" s="293" t="s">
        <v>6124</v>
      </c>
      <c r="D3138" s="293" t="s">
        <v>5878</v>
      </c>
      <c r="E3138" s="293" t="s">
        <v>6277</v>
      </c>
      <c r="F3138" s="293" t="s">
        <v>7061</v>
      </c>
      <c r="G3138" s="293" t="s">
        <v>5578</v>
      </c>
      <c r="H3138" s="294">
        <v>42185</v>
      </c>
      <c r="I3138" s="295">
        <v>-1019.33</v>
      </c>
    </row>
    <row r="3139" spans="1:9" x14ac:dyDescent="0.2">
      <c r="A3139" s="293" t="s">
        <v>8885</v>
      </c>
      <c r="B3139" s="293" t="s">
        <v>5666</v>
      </c>
      <c r="C3139" s="293" t="s">
        <v>6126</v>
      </c>
      <c r="D3139" s="293" t="s">
        <v>5878</v>
      </c>
      <c r="E3139" s="293" t="s">
        <v>6279</v>
      </c>
      <c r="F3139" s="293" t="s">
        <v>7061</v>
      </c>
      <c r="G3139" s="293" t="s">
        <v>5579</v>
      </c>
      <c r="H3139" s="294">
        <v>42185</v>
      </c>
      <c r="I3139" s="295">
        <v>-857.57</v>
      </c>
    </row>
    <row r="3140" spans="1:9" x14ac:dyDescent="0.2">
      <c r="A3140" s="293" t="s">
        <v>8886</v>
      </c>
      <c r="B3140" s="293" t="s">
        <v>5666</v>
      </c>
      <c r="C3140" s="293" t="s">
        <v>6091</v>
      </c>
      <c r="D3140" s="293" t="s">
        <v>5878</v>
      </c>
      <c r="E3140" s="293" t="s">
        <v>6281</v>
      </c>
      <c r="F3140" s="293" t="s">
        <v>7061</v>
      </c>
      <c r="G3140" s="293" t="s">
        <v>5573</v>
      </c>
      <c r="H3140" s="294">
        <v>42185</v>
      </c>
      <c r="I3140" s="295">
        <v>-3125.47</v>
      </c>
    </row>
    <row r="3141" spans="1:9" x14ac:dyDescent="0.2">
      <c r="A3141" s="293" t="s">
        <v>8887</v>
      </c>
      <c r="B3141" s="293" t="s">
        <v>5666</v>
      </c>
      <c r="C3141" s="293" t="s">
        <v>6093</v>
      </c>
      <c r="D3141" s="293" t="s">
        <v>5878</v>
      </c>
      <c r="E3141" s="293" t="s">
        <v>6283</v>
      </c>
      <c r="F3141" s="293" t="s">
        <v>7061</v>
      </c>
      <c r="G3141" s="293" t="s">
        <v>5573</v>
      </c>
      <c r="H3141" s="294">
        <v>42185</v>
      </c>
      <c r="I3141" s="295">
        <v>-4451.78</v>
      </c>
    </row>
    <row r="3142" spans="1:9" x14ac:dyDescent="0.2">
      <c r="A3142" s="293" t="s">
        <v>8888</v>
      </c>
      <c r="B3142" s="293" t="s">
        <v>5666</v>
      </c>
      <c r="C3142" s="293" t="s">
        <v>6080</v>
      </c>
      <c r="D3142" s="293" t="s">
        <v>5878</v>
      </c>
      <c r="E3142" s="293" t="s">
        <v>6285</v>
      </c>
      <c r="F3142" s="293" t="s">
        <v>7061</v>
      </c>
      <c r="G3142" s="293" t="s">
        <v>5573</v>
      </c>
      <c r="H3142" s="294">
        <v>42185</v>
      </c>
      <c r="I3142" s="295">
        <v>-10077.08</v>
      </c>
    </row>
    <row r="3143" spans="1:9" x14ac:dyDescent="0.2">
      <c r="A3143" s="293" t="s">
        <v>8889</v>
      </c>
      <c r="B3143" s="293" t="s">
        <v>5666</v>
      </c>
      <c r="C3143" s="293" t="s">
        <v>6095</v>
      </c>
      <c r="D3143" s="293" t="s">
        <v>5878</v>
      </c>
      <c r="E3143" s="293" t="s">
        <v>6287</v>
      </c>
      <c r="F3143" s="293" t="s">
        <v>7061</v>
      </c>
      <c r="G3143" s="293" t="s">
        <v>5580</v>
      </c>
      <c r="H3143" s="294">
        <v>42185</v>
      </c>
      <c r="I3143" s="295">
        <v>-5589.54</v>
      </c>
    </row>
    <row r="3144" spans="1:9" x14ac:dyDescent="0.2">
      <c r="A3144" s="293" t="s">
        <v>8890</v>
      </c>
      <c r="B3144" s="293" t="s">
        <v>5666</v>
      </c>
      <c r="C3144" s="293" t="s">
        <v>6097</v>
      </c>
      <c r="D3144" s="293" t="s">
        <v>5878</v>
      </c>
      <c r="E3144" s="293" t="s">
        <v>6289</v>
      </c>
      <c r="F3144" s="293" t="s">
        <v>7061</v>
      </c>
      <c r="G3144" s="293" t="s">
        <v>5580</v>
      </c>
      <c r="H3144" s="294">
        <v>42185</v>
      </c>
      <c r="I3144" s="295">
        <v>-10099.59</v>
      </c>
    </row>
    <row r="3145" spans="1:9" x14ac:dyDescent="0.2">
      <c r="A3145" s="293" t="s">
        <v>8891</v>
      </c>
      <c r="B3145" s="293" t="s">
        <v>5666</v>
      </c>
      <c r="C3145" s="293" t="s">
        <v>6099</v>
      </c>
      <c r="D3145" s="293" t="s">
        <v>5878</v>
      </c>
      <c r="E3145" s="293" t="s">
        <v>6291</v>
      </c>
      <c r="F3145" s="293" t="s">
        <v>7061</v>
      </c>
      <c r="G3145" s="293" t="s">
        <v>5579</v>
      </c>
      <c r="H3145" s="294">
        <v>42185</v>
      </c>
      <c r="I3145" s="295">
        <v>-1407.23</v>
      </c>
    </row>
    <row r="3146" spans="1:9" x14ac:dyDescent="0.2">
      <c r="A3146" s="293" t="s">
        <v>8892</v>
      </c>
      <c r="B3146" s="293" t="s">
        <v>5666</v>
      </c>
      <c r="C3146" s="293" t="s">
        <v>6083</v>
      </c>
      <c r="D3146" s="293" t="s">
        <v>5878</v>
      </c>
      <c r="E3146" s="293" t="s">
        <v>6293</v>
      </c>
      <c r="F3146" s="293" t="s">
        <v>7061</v>
      </c>
      <c r="G3146" s="293" t="s">
        <v>5579</v>
      </c>
      <c r="H3146" s="294">
        <v>42185</v>
      </c>
      <c r="I3146" s="295">
        <v>-2524.9</v>
      </c>
    </row>
    <row r="3147" spans="1:9" x14ac:dyDescent="0.2">
      <c r="A3147" s="293" t="s">
        <v>8893</v>
      </c>
      <c r="B3147" s="293" t="s">
        <v>5666</v>
      </c>
      <c r="C3147" s="293" t="s">
        <v>6101</v>
      </c>
      <c r="D3147" s="293" t="s">
        <v>5878</v>
      </c>
      <c r="E3147" s="293" t="s">
        <v>6295</v>
      </c>
      <c r="F3147" s="293" t="s">
        <v>7061</v>
      </c>
      <c r="G3147" s="293" t="s">
        <v>5580</v>
      </c>
      <c r="H3147" s="294">
        <v>42185</v>
      </c>
      <c r="I3147" s="295">
        <v>-193.73</v>
      </c>
    </row>
    <row r="3148" spans="1:9" x14ac:dyDescent="0.2">
      <c r="A3148" s="293" t="s">
        <v>8894</v>
      </c>
      <c r="B3148" s="293" t="s">
        <v>5666</v>
      </c>
      <c r="C3148" s="293" t="s">
        <v>6104</v>
      </c>
      <c r="D3148" s="293" t="s">
        <v>5878</v>
      </c>
      <c r="E3148" s="293" t="s">
        <v>6297</v>
      </c>
      <c r="F3148" s="293" t="s">
        <v>7061</v>
      </c>
      <c r="G3148" s="293" t="s">
        <v>5580</v>
      </c>
      <c r="H3148" s="294">
        <v>42185</v>
      </c>
      <c r="I3148" s="295">
        <v>-274.12</v>
      </c>
    </row>
    <row r="3149" spans="1:9" x14ac:dyDescent="0.2">
      <c r="A3149" s="293" t="s">
        <v>8895</v>
      </c>
      <c r="B3149" s="293" t="s">
        <v>5666</v>
      </c>
      <c r="C3149" s="293" t="s">
        <v>6106</v>
      </c>
      <c r="D3149" s="293" t="s">
        <v>5878</v>
      </c>
      <c r="E3149" s="293" t="s">
        <v>6299</v>
      </c>
      <c r="F3149" s="293" t="s">
        <v>7061</v>
      </c>
      <c r="G3149" s="293" t="s">
        <v>5580</v>
      </c>
      <c r="H3149" s="294">
        <v>42185</v>
      </c>
      <c r="I3149" s="295">
        <v>-1347.95</v>
      </c>
    </row>
    <row r="3150" spans="1:9" x14ac:dyDescent="0.2">
      <c r="A3150" s="293" t="s">
        <v>8896</v>
      </c>
      <c r="B3150" s="293" t="s">
        <v>5666</v>
      </c>
      <c r="C3150" s="293" t="s">
        <v>6108</v>
      </c>
      <c r="D3150" s="293" t="s">
        <v>5878</v>
      </c>
      <c r="E3150" s="293" t="s">
        <v>6301</v>
      </c>
      <c r="F3150" s="293" t="s">
        <v>7061</v>
      </c>
      <c r="G3150" s="293" t="s">
        <v>5580</v>
      </c>
      <c r="H3150" s="294">
        <v>42185</v>
      </c>
      <c r="I3150" s="295">
        <v>-1918.86</v>
      </c>
    </row>
    <row r="3151" spans="1:9" x14ac:dyDescent="0.2">
      <c r="A3151" s="293" t="s">
        <v>8897</v>
      </c>
      <c r="B3151" s="293" t="s">
        <v>5666</v>
      </c>
      <c r="C3151" s="293" t="s">
        <v>6110</v>
      </c>
      <c r="D3151" s="293" t="s">
        <v>5878</v>
      </c>
      <c r="E3151" s="293" t="s">
        <v>6303</v>
      </c>
      <c r="F3151" s="293" t="s">
        <v>7061</v>
      </c>
      <c r="G3151" s="293" t="s">
        <v>5573</v>
      </c>
      <c r="H3151" s="294">
        <v>42185</v>
      </c>
      <c r="I3151" s="295">
        <v>-1780.13</v>
      </c>
    </row>
    <row r="3152" spans="1:9" x14ac:dyDescent="0.2">
      <c r="A3152" s="293" t="s">
        <v>8898</v>
      </c>
      <c r="B3152" s="293" t="s">
        <v>5666</v>
      </c>
      <c r="C3152" s="293" t="s">
        <v>6115</v>
      </c>
      <c r="D3152" s="293" t="s">
        <v>5878</v>
      </c>
      <c r="E3152" s="293" t="s">
        <v>6305</v>
      </c>
      <c r="F3152" s="293" t="s">
        <v>7061</v>
      </c>
      <c r="G3152" s="293" t="s">
        <v>5581</v>
      </c>
      <c r="H3152" s="294">
        <v>42185</v>
      </c>
      <c r="I3152" s="295">
        <v>-2230.71</v>
      </c>
    </row>
    <row r="3153" spans="1:9" x14ac:dyDescent="0.2">
      <c r="A3153" s="293" t="s">
        <v>8899</v>
      </c>
      <c r="B3153" s="293" t="s">
        <v>5666</v>
      </c>
      <c r="C3153" s="293" t="s">
        <v>6086</v>
      </c>
      <c r="D3153" s="293" t="s">
        <v>5878</v>
      </c>
      <c r="E3153" s="293" t="s">
        <v>6307</v>
      </c>
      <c r="F3153" s="293" t="s">
        <v>7061</v>
      </c>
      <c r="G3153" s="293" t="s">
        <v>5581</v>
      </c>
      <c r="H3153" s="294">
        <v>42185</v>
      </c>
      <c r="I3153" s="295">
        <v>-2490.34</v>
      </c>
    </row>
    <row r="3154" spans="1:9" x14ac:dyDescent="0.2">
      <c r="A3154" s="293" t="s">
        <v>8900</v>
      </c>
      <c r="B3154" s="293" t="s">
        <v>5666</v>
      </c>
      <c r="C3154" s="293" t="s">
        <v>6113</v>
      </c>
      <c r="D3154" s="293" t="s">
        <v>5878</v>
      </c>
      <c r="E3154" s="293" t="s">
        <v>6316</v>
      </c>
      <c r="F3154" s="293" t="s">
        <v>7061</v>
      </c>
      <c r="G3154" s="293" t="s">
        <v>5573</v>
      </c>
      <c r="H3154" s="294">
        <v>42185</v>
      </c>
      <c r="I3154" s="295">
        <v>-5336.81</v>
      </c>
    </row>
    <row r="3155" spans="1:9" x14ac:dyDescent="0.2">
      <c r="A3155" s="293" t="s">
        <v>8901</v>
      </c>
      <c r="B3155" s="293" t="s">
        <v>5666</v>
      </c>
      <c r="C3155" s="293" t="s">
        <v>6313</v>
      </c>
      <c r="D3155" s="293" t="s">
        <v>5878</v>
      </c>
      <c r="E3155" s="293" t="s">
        <v>6314</v>
      </c>
      <c r="F3155" s="293" t="s">
        <v>7061</v>
      </c>
      <c r="G3155" s="293" t="s">
        <v>5576</v>
      </c>
      <c r="H3155" s="294">
        <v>42185</v>
      </c>
      <c r="I3155" s="295">
        <v>-4207.3500000000004</v>
      </c>
    </row>
    <row r="3156" spans="1:9" x14ac:dyDescent="0.2">
      <c r="A3156" s="293" t="s">
        <v>8902</v>
      </c>
      <c r="B3156" s="293" t="s">
        <v>5666</v>
      </c>
      <c r="C3156" s="293" t="s">
        <v>6272</v>
      </c>
      <c r="D3156" s="293" t="s">
        <v>5878</v>
      </c>
      <c r="E3156" s="293" t="s">
        <v>6273</v>
      </c>
      <c r="F3156" s="293" t="s">
        <v>7089</v>
      </c>
      <c r="G3156" s="293" t="s">
        <v>5576</v>
      </c>
      <c r="H3156" s="294">
        <v>42216</v>
      </c>
      <c r="I3156" s="295">
        <v>-3340.78</v>
      </c>
    </row>
    <row r="3157" spans="1:9" x14ac:dyDescent="0.2">
      <c r="A3157" s="293" t="s">
        <v>8903</v>
      </c>
      <c r="B3157" s="293" t="s">
        <v>5666</v>
      </c>
      <c r="C3157" s="293" t="s">
        <v>6122</v>
      </c>
      <c r="D3157" s="293" t="s">
        <v>5878</v>
      </c>
      <c r="E3157" s="293" t="s">
        <v>6275</v>
      </c>
      <c r="F3157" s="293" t="s">
        <v>7089</v>
      </c>
      <c r="G3157" s="293" t="s">
        <v>5577</v>
      </c>
      <c r="H3157" s="294">
        <v>42216</v>
      </c>
      <c r="I3157" s="295">
        <v>-1179.21</v>
      </c>
    </row>
    <row r="3158" spans="1:9" x14ac:dyDescent="0.2">
      <c r="A3158" s="293" t="s">
        <v>8904</v>
      </c>
      <c r="B3158" s="293" t="s">
        <v>5666</v>
      </c>
      <c r="C3158" s="293" t="s">
        <v>6124</v>
      </c>
      <c r="D3158" s="293" t="s">
        <v>5878</v>
      </c>
      <c r="E3158" s="293" t="s">
        <v>6277</v>
      </c>
      <c r="F3158" s="293" t="s">
        <v>7089</v>
      </c>
      <c r="G3158" s="293" t="s">
        <v>5578</v>
      </c>
      <c r="H3158" s="294">
        <v>42216</v>
      </c>
      <c r="I3158" s="295">
        <v>-1019.33</v>
      </c>
    </row>
    <row r="3159" spans="1:9" x14ac:dyDescent="0.2">
      <c r="A3159" s="293" t="s">
        <v>8905</v>
      </c>
      <c r="B3159" s="293" t="s">
        <v>5666</v>
      </c>
      <c r="C3159" s="293" t="s">
        <v>6126</v>
      </c>
      <c r="D3159" s="293" t="s">
        <v>5878</v>
      </c>
      <c r="E3159" s="293" t="s">
        <v>6279</v>
      </c>
      <c r="F3159" s="293" t="s">
        <v>7089</v>
      </c>
      <c r="G3159" s="293" t="s">
        <v>5579</v>
      </c>
      <c r="H3159" s="294">
        <v>42216</v>
      </c>
      <c r="I3159" s="295">
        <v>-857.57</v>
      </c>
    </row>
    <row r="3160" spans="1:9" x14ac:dyDescent="0.2">
      <c r="A3160" s="293" t="s">
        <v>8906</v>
      </c>
      <c r="B3160" s="293" t="s">
        <v>5666</v>
      </c>
      <c r="C3160" s="293" t="s">
        <v>6091</v>
      </c>
      <c r="D3160" s="293" t="s">
        <v>5878</v>
      </c>
      <c r="E3160" s="293" t="s">
        <v>6281</v>
      </c>
      <c r="F3160" s="293" t="s">
        <v>7089</v>
      </c>
      <c r="G3160" s="293" t="s">
        <v>5573</v>
      </c>
      <c r="H3160" s="294">
        <v>42216</v>
      </c>
      <c r="I3160" s="295">
        <v>-3125.47</v>
      </c>
    </row>
    <row r="3161" spans="1:9" x14ac:dyDescent="0.2">
      <c r="A3161" s="293" t="s">
        <v>8907</v>
      </c>
      <c r="B3161" s="293" t="s">
        <v>5666</v>
      </c>
      <c r="C3161" s="293" t="s">
        <v>6093</v>
      </c>
      <c r="D3161" s="293" t="s">
        <v>5878</v>
      </c>
      <c r="E3161" s="293" t="s">
        <v>6283</v>
      </c>
      <c r="F3161" s="293" t="s">
        <v>7089</v>
      </c>
      <c r="G3161" s="293" t="s">
        <v>5573</v>
      </c>
      <c r="H3161" s="294">
        <v>42216</v>
      </c>
      <c r="I3161" s="295">
        <v>-4451.78</v>
      </c>
    </row>
    <row r="3162" spans="1:9" x14ac:dyDescent="0.2">
      <c r="A3162" s="293" t="s">
        <v>8908</v>
      </c>
      <c r="B3162" s="293" t="s">
        <v>5666</v>
      </c>
      <c r="C3162" s="293" t="s">
        <v>6080</v>
      </c>
      <c r="D3162" s="293" t="s">
        <v>5878</v>
      </c>
      <c r="E3162" s="293" t="s">
        <v>6285</v>
      </c>
      <c r="F3162" s="293" t="s">
        <v>7089</v>
      </c>
      <c r="G3162" s="293" t="s">
        <v>5573</v>
      </c>
      <c r="H3162" s="294">
        <v>42216</v>
      </c>
      <c r="I3162" s="295">
        <v>-10077.08</v>
      </c>
    </row>
    <row r="3163" spans="1:9" x14ac:dyDescent="0.2">
      <c r="A3163" s="293" t="s">
        <v>8909</v>
      </c>
      <c r="B3163" s="293" t="s">
        <v>5666</v>
      </c>
      <c r="C3163" s="293" t="s">
        <v>6095</v>
      </c>
      <c r="D3163" s="293" t="s">
        <v>5878</v>
      </c>
      <c r="E3163" s="293" t="s">
        <v>6287</v>
      </c>
      <c r="F3163" s="293" t="s">
        <v>7089</v>
      </c>
      <c r="G3163" s="293" t="s">
        <v>5580</v>
      </c>
      <c r="H3163" s="294">
        <v>42216</v>
      </c>
      <c r="I3163" s="295">
        <v>-5589.54</v>
      </c>
    </row>
    <row r="3164" spans="1:9" x14ac:dyDescent="0.2">
      <c r="A3164" s="293" t="s">
        <v>8910</v>
      </c>
      <c r="B3164" s="293" t="s">
        <v>5666</v>
      </c>
      <c r="C3164" s="293" t="s">
        <v>6097</v>
      </c>
      <c r="D3164" s="293" t="s">
        <v>5878</v>
      </c>
      <c r="E3164" s="293" t="s">
        <v>6289</v>
      </c>
      <c r="F3164" s="293" t="s">
        <v>7089</v>
      </c>
      <c r="G3164" s="293" t="s">
        <v>5580</v>
      </c>
      <c r="H3164" s="294">
        <v>42216</v>
      </c>
      <c r="I3164" s="295">
        <v>-10099.59</v>
      </c>
    </row>
    <row r="3165" spans="1:9" x14ac:dyDescent="0.2">
      <c r="A3165" s="293" t="s">
        <v>8911</v>
      </c>
      <c r="B3165" s="293" t="s">
        <v>5666</v>
      </c>
      <c r="C3165" s="293" t="s">
        <v>6099</v>
      </c>
      <c r="D3165" s="293" t="s">
        <v>5878</v>
      </c>
      <c r="E3165" s="293" t="s">
        <v>6291</v>
      </c>
      <c r="F3165" s="293" t="s">
        <v>7089</v>
      </c>
      <c r="G3165" s="293" t="s">
        <v>5579</v>
      </c>
      <c r="H3165" s="294">
        <v>42216</v>
      </c>
      <c r="I3165" s="295">
        <v>-1407.23</v>
      </c>
    </row>
    <row r="3166" spans="1:9" x14ac:dyDescent="0.2">
      <c r="A3166" s="293" t="s">
        <v>8912</v>
      </c>
      <c r="B3166" s="293" t="s">
        <v>5666</v>
      </c>
      <c r="C3166" s="293" t="s">
        <v>6083</v>
      </c>
      <c r="D3166" s="293" t="s">
        <v>5878</v>
      </c>
      <c r="E3166" s="293" t="s">
        <v>6293</v>
      </c>
      <c r="F3166" s="293" t="s">
        <v>7089</v>
      </c>
      <c r="G3166" s="293" t="s">
        <v>5579</v>
      </c>
      <c r="H3166" s="294">
        <v>42216</v>
      </c>
      <c r="I3166" s="295">
        <v>-2524.9</v>
      </c>
    </row>
    <row r="3167" spans="1:9" x14ac:dyDescent="0.2">
      <c r="A3167" s="293" t="s">
        <v>8913</v>
      </c>
      <c r="B3167" s="293" t="s">
        <v>5666</v>
      </c>
      <c r="C3167" s="293" t="s">
        <v>6101</v>
      </c>
      <c r="D3167" s="293" t="s">
        <v>5878</v>
      </c>
      <c r="E3167" s="293" t="s">
        <v>6295</v>
      </c>
      <c r="F3167" s="293" t="s">
        <v>7089</v>
      </c>
      <c r="G3167" s="293" t="s">
        <v>5580</v>
      </c>
      <c r="H3167" s="294">
        <v>42216</v>
      </c>
      <c r="I3167" s="295">
        <v>-193.73</v>
      </c>
    </row>
    <row r="3168" spans="1:9" x14ac:dyDescent="0.2">
      <c r="A3168" s="293" t="s">
        <v>8914</v>
      </c>
      <c r="B3168" s="293" t="s">
        <v>5666</v>
      </c>
      <c r="C3168" s="293" t="s">
        <v>6104</v>
      </c>
      <c r="D3168" s="293" t="s">
        <v>5878</v>
      </c>
      <c r="E3168" s="293" t="s">
        <v>6297</v>
      </c>
      <c r="F3168" s="293" t="s">
        <v>7089</v>
      </c>
      <c r="G3168" s="293" t="s">
        <v>5580</v>
      </c>
      <c r="H3168" s="294">
        <v>42216</v>
      </c>
      <c r="I3168" s="295">
        <v>-274.12</v>
      </c>
    </row>
    <row r="3169" spans="1:9" x14ac:dyDescent="0.2">
      <c r="A3169" s="293" t="s">
        <v>8915</v>
      </c>
      <c r="B3169" s="293" t="s">
        <v>5666</v>
      </c>
      <c r="C3169" s="293" t="s">
        <v>6106</v>
      </c>
      <c r="D3169" s="293" t="s">
        <v>5878</v>
      </c>
      <c r="E3169" s="293" t="s">
        <v>6299</v>
      </c>
      <c r="F3169" s="293" t="s">
        <v>7089</v>
      </c>
      <c r="G3169" s="293" t="s">
        <v>5580</v>
      </c>
      <c r="H3169" s="294">
        <v>42216</v>
      </c>
      <c r="I3169" s="295">
        <v>-1347.95</v>
      </c>
    </row>
    <row r="3170" spans="1:9" x14ac:dyDescent="0.2">
      <c r="A3170" s="293" t="s">
        <v>8161</v>
      </c>
      <c r="B3170" s="293" t="s">
        <v>5666</v>
      </c>
      <c r="C3170" s="293" t="s">
        <v>6108</v>
      </c>
      <c r="D3170" s="293" t="s">
        <v>5878</v>
      </c>
      <c r="E3170" s="293" t="s">
        <v>6301</v>
      </c>
      <c r="F3170" s="293" t="s">
        <v>7089</v>
      </c>
      <c r="G3170" s="293" t="s">
        <v>5580</v>
      </c>
      <c r="H3170" s="294">
        <v>42216</v>
      </c>
      <c r="I3170" s="295">
        <v>-1918.86</v>
      </c>
    </row>
    <row r="3171" spans="1:9" x14ac:dyDescent="0.2">
      <c r="A3171" s="293" t="s">
        <v>8916</v>
      </c>
      <c r="B3171" s="293" t="s">
        <v>5666</v>
      </c>
      <c r="C3171" s="293" t="s">
        <v>6110</v>
      </c>
      <c r="D3171" s="293" t="s">
        <v>5878</v>
      </c>
      <c r="E3171" s="293" t="s">
        <v>6303</v>
      </c>
      <c r="F3171" s="293" t="s">
        <v>7089</v>
      </c>
      <c r="G3171" s="293" t="s">
        <v>5573</v>
      </c>
      <c r="H3171" s="294">
        <v>42216</v>
      </c>
      <c r="I3171" s="295">
        <v>-1780.13</v>
      </c>
    </row>
    <row r="3172" spans="1:9" x14ac:dyDescent="0.2">
      <c r="A3172" s="293" t="s">
        <v>8917</v>
      </c>
      <c r="B3172" s="293" t="s">
        <v>5666</v>
      </c>
      <c r="C3172" s="293" t="s">
        <v>6115</v>
      </c>
      <c r="D3172" s="293" t="s">
        <v>5878</v>
      </c>
      <c r="E3172" s="293" t="s">
        <v>6305</v>
      </c>
      <c r="F3172" s="293" t="s">
        <v>7089</v>
      </c>
      <c r="G3172" s="293" t="s">
        <v>5581</v>
      </c>
      <c r="H3172" s="294">
        <v>42216</v>
      </c>
      <c r="I3172" s="295">
        <v>-2230.71</v>
      </c>
    </row>
    <row r="3173" spans="1:9" x14ac:dyDescent="0.2">
      <c r="A3173" s="293" t="s">
        <v>8918</v>
      </c>
      <c r="B3173" s="293" t="s">
        <v>5666</v>
      </c>
      <c r="C3173" s="293" t="s">
        <v>6086</v>
      </c>
      <c r="D3173" s="293" t="s">
        <v>5878</v>
      </c>
      <c r="E3173" s="293" t="s">
        <v>6307</v>
      </c>
      <c r="F3173" s="293" t="s">
        <v>7089</v>
      </c>
      <c r="G3173" s="293" t="s">
        <v>5581</v>
      </c>
      <c r="H3173" s="294">
        <v>42216</v>
      </c>
      <c r="I3173" s="295">
        <v>-2490.34</v>
      </c>
    </row>
    <row r="3174" spans="1:9" x14ac:dyDescent="0.2">
      <c r="A3174" s="293" t="s">
        <v>8162</v>
      </c>
      <c r="B3174" s="293" t="s">
        <v>5666</v>
      </c>
      <c r="C3174" s="293" t="s">
        <v>6113</v>
      </c>
      <c r="D3174" s="293" t="s">
        <v>5878</v>
      </c>
      <c r="E3174" s="293" t="s">
        <v>6316</v>
      </c>
      <c r="F3174" s="293" t="s">
        <v>7089</v>
      </c>
      <c r="G3174" s="293" t="s">
        <v>5573</v>
      </c>
      <c r="H3174" s="294">
        <v>42216</v>
      </c>
      <c r="I3174" s="295">
        <v>-5336.81</v>
      </c>
    </row>
    <row r="3175" spans="1:9" x14ac:dyDescent="0.2">
      <c r="A3175" s="293" t="s">
        <v>8919</v>
      </c>
      <c r="B3175" s="293" t="s">
        <v>5666</v>
      </c>
      <c r="C3175" s="293" t="s">
        <v>6313</v>
      </c>
      <c r="D3175" s="293" t="s">
        <v>5878</v>
      </c>
      <c r="E3175" s="293" t="s">
        <v>6314</v>
      </c>
      <c r="F3175" s="293" t="s">
        <v>7089</v>
      </c>
      <c r="G3175" s="293" t="s">
        <v>5576</v>
      </c>
      <c r="H3175" s="294">
        <v>42216</v>
      </c>
      <c r="I3175" s="295">
        <v>-4207.3500000000004</v>
      </c>
    </row>
    <row r="3176" spans="1:9" x14ac:dyDescent="0.2">
      <c r="A3176" s="293" t="s">
        <v>8920</v>
      </c>
      <c r="B3176" s="293" t="s">
        <v>5666</v>
      </c>
      <c r="C3176" s="293" t="s">
        <v>6272</v>
      </c>
      <c r="D3176" s="293" t="s">
        <v>5878</v>
      </c>
      <c r="E3176" s="293" t="s">
        <v>6273</v>
      </c>
      <c r="F3176" s="293" t="s">
        <v>7110</v>
      </c>
      <c r="G3176" s="293" t="s">
        <v>5576</v>
      </c>
      <c r="H3176" s="294">
        <v>42247</v>
      </c>
      <c r="I3176" s="295">
        <v>-3340.78</v>
      </c>
    </row>
    <row r="3177" spans="1:9" x14ac:dyDescent="0.2">
      <c r="A3177" s="293" t="s">
        <v>8921</v>
      </c>
      <c r="B3177" s="293" t="s">
        <v>5666</v>
      </c>
      <c r="C3177" s="293" t="s">
        <v>6122</v>
      </c>
      <c r="D3177" s="293" t="s">
        <v>5878</v>
      </c>
      <c r="E3177" s="293" t="s">
        <v>6275</v>
      </c>
      <c r="F3177" s="293" t="s">
        <v>7110</v>
      </c>
      <c r="G3177" s="293" t="s">
        <v>5577</v>
      </c>
      <c r="H3177" s="294">
        <v>42247</v>
      </c>
      <c r="I3177" s="295">
        <v>-1179.21</v>
      </c>
    </row>
    <row r="3178" spans="1:9" x14ac:dyDescent="0.2">
      <c r="A3178" s="293" t="s">
        <v>8922</v>
      </c>
      <c r="B3178" s="293" t="s">
        <v>5666</v>
      </c>
      <c r="C3178" s="293" t="s">
        <v>6124</v>
      </c>
      <c r="D3178" s="293" t="s">
        <v>5878</v>
      </c>
      <c r="E3178" s="293" t="s">
        <v>6277</v>
      </c>
      <c r="F3178" s="293" t="s">
        <v>7110</v>
      </c>
      <c r="G3178" s="293" t="s">
        <v>5578</v>
      </c>
      <c r="H3178" s="294">
        <v>42247</v>
      </c>
      <c r="I3178" s="295">
        <v>-1019.33</v>
      </c>
    </row>
    <row r="3179" spans="1:9" x14ac:dyDescent="0.2">
      <c r="A3179" s="293" t="s">
        <v>8923</v>
      </c>
      <c r="B3179" s="293" t="s">
        <v>5666</v>
      </c>
      <c r="C3179" s="293" t="s">
        <v>6126</v>
      </c>
      <c r="D3179" s="293" t="s">
        <v>5878</v>
      </c>
      <c r="E3179" s="293" t="s">
        <v>6279</v>
      </c>
      <c r="F3179" s="293" t="s">
        <v>7110</v>
      </c>
      <c r="G3179" s="293" t="s">
        <v>5579</v>
      </c>
      <c r="H3179" s="294">
        <v>42247</v>
      </c>
      <c r="I3179" s="295">
        <v>-857.57</v>
      </c>
    </row>
    <row r="3180" spans="1:9" x14ac:dyDescent="0.2">
      <c r="A3180" s="293" t="s">
        <v>8924</v>
      </c>
      <c r="B3180" s="293" t="s">
        <v>5666</v>
      </c>
      <c r="C3180" s="293" t="s">
        <v>6091</v>
      </c>
      <c r="D3180" s="293" t="s">
        <v>5878</v>
      </c>
      <c r="E3180" s="293" t="s">
        <v>6281</v>
      </c>
      <c r="F3180" s="293" t="s">
        <v>7110</v>
      </c>
      <c r="G3180" s="293" t="s">
        <v>5573</v>
      </c>
      <c r="H3180" s="294">
        <v>42247</v>
      </c>
      <c r="I3180" s="295">
        <v>-3125.47</v>
      </c>
    </row>
    <row r="3181" spans="1:9" x14ac:dyDescent="0.2">
      <c r="A3181" s="293" t="s">
        <v>8925</v>
      </c>
      <c r="B3181" s="293" t="s">
        <v>5666</v>
      </c>
      <c r="C3181" s="293" t="s">
        <v>6093</v>
      </c>
      <c r="D3181" s="293" t="s">
        <v>5878</v>
      </c>
      <c r="E3181" s="293" t="s">
        <v>6283</v>
      </c>
      <c r="F3181" s="293" t="s">
        <v>7110</v>
      </c>
      <c r="G3181" s="293" t="s">
        <v>5573</v>
      </c>
      <c r="H3181" s="294">
        <v>42247</v>
      </c>
      <c r="I3181" s="295">
        <v>-4451.78</v>
      </c>
    </row>
    <row r="3182" spans="1:9" x14ac:dyDescent="0.2">
      <c r="A3182" s="293" t="s">
        <v>8926</v>
      </c>
      <c r="B3182" s="293" t="s">
        <v>5666</v>
      </c>
      <c r="C3182" s="293" t="s">
        <v>6080</v>
      </c>
      <c r="D3182" s="293" t="s">
        <v>5878</v>
      </c>
      <c r="E3182" s="293" t="s">
        <v>6285</v>
      </c>
      <c r="F3182" s="293" t="s">
        <v>7110</v>
      </c>
      <c r="G3182" s="293" t="s">
        <v>5573</v>
      </c>
      <c r="H3182" s="294">
        <v>42247</v>
      </c>
      <c r="I3182" s="295">
        <v>-10077.08</v>
      </c>
    </row>
    <row r="3183" spans="1:9" x14ac:dyDescent="0.2">
      <c r="A3183" s="293" t="s">
        <v>8927</v>
      </c>
      <c r="B3183" s="293" t="s">
        <v>5666</v>
      </c>
      <c r="C3183" s="293" t="s">
        <v>6095</v>
      </c>
      <c r="D3183" s="293" t="s">
        <v>5878</v>
      </c>
      <c r="E3183" s="293" t="s">
        <v>6287</v>
      </c>
      <c r="F3183" s="293" t="s">
        <v>7110</v>
      </c>
      <c r="G3183" s="293" t="s">
        <v>5580</v>
      </c>
      <c r="H3183" s="294">
        <v>42247</v>
      </c>
      <c r="I3183" s="295">
        <v>-5589.54</v>
      </c>
    </row>
    <row r="3184" spans="1:9" x14ac:dyDescent="0.2">
      <c r="A3184" s="293" t="s">
        <v>8928</v>
      </c>
      <c r="B3184" s="293" t="s">
        <v>5666</v>
      </c>
      <c r="C3184" s="293" t="s">
        <v>6097</v>
      </c>
      <c r="D3184" s="293" t="s">
        <v>5878</v>
      </c>
      <c r="E3184" s="293" t="s">
        <v>6289</v>
      </c>
      <c r="F3184" s="293" t="s">
        <v>7110</v>
      </c>
      <c r="G3184" s="293" t="s">
        <v>5580</v>
      </c>
      <c r="H3184" s="294">
        <v>42247</v>
      </c>
      <c r="I3184" s="295">
        <v>-10099.59</v>
      </c>
    </row>
    <row r="3185" spans="1:9" x14ac:dyDescent="0.2">
      <c r="A3185" s="293" t="s">
        <v>8929</v>
      </c>
      <c r="B3185" s="293" t="s">
        <v>5666</v>
      </c>
      <c r="C3185" s="293" t="s">
        <v>6099</v>
      </c>
      <c r="D3185" s="293" t="s">
        <v>5878</v>
      </c>
      <c r="E3185" s="293" t="s">
        <v>6291</v>
      </c>
      <c r="F3185" s="293" t="s">
        <v>7110</v>
      </c>
      <c r="G3185" s="293" t="s">
        <v>5579</v>
      </c>
      <c r="H3185" s="294">
        <v>42247</v>
      </c>
      <c r="I3185" s="295">
        <v>-1407.23</v>
      </c>
    </row>
    <row r="3186" spans="1:9" x14ac:dyDescent="0.2">
      <c r="A3186" s="293" t="s">
        <v>8930</v>
      </c>
      <c r="B3186" s="293" t="s">
        <v>5666</v>
      </c>
      <c r="C3186" s="293" t="s">
        <v>6083</v>
      </c>
      <c r="D3186" s="293" t="s">
        <v>5878</v>
      </c>
      <c r="E3186" s="293" t="s">
        <v>6293</v>
      </c>
      <c r="F3186" s="293" t="s">
        <v>7110</v>
      </c>
      <c r="G3186" s="293" t="s">
        <v>5579</v>
      </c>
      <c r="H3186" s="294">
        <v>42247</v>
      </c>
      <c r="I3186" s="295">
        <v>-2524.9</v>
      </c>
    </row>
    <row r="3187" spans="1:9" x14ac:dyDescent="0.2">
      <c r="A3187" s="293" t="s">
        <v>8931</v>
      </c>
      <c r="B3187" s="293" t="s">
        <v>5666</v>
      </c>
      <c r="C3187" s="293" t="s">
        <v>6101</v>
      </c>
      <c r="D3187" s="293" t="s">
        <v>5878</v>
      </c>
      <c r="E3187" s="293" t="s">
        <v>6295</v>
      </c>
      <c r="F3187" s="293" t="s">
        <v>7110</v>
      </c>
      <c r="G3187" s="293" t="s">
        <v>5580</v>
      </c>
      <c r="H3187" s="294">
        <v>42247</v>
      </c>
      <c r="I3187" s="295">
        <v>-193.73</v>
      </c>
    </row>
    <row r="3188" spans="1:9" x14ac:dyDescent="0.2">
      <c r="A3188" s="293" t="s">
        <v>8932</v>
      </c>
      <c r="B3188" s="293" t="s">
        <v>5666</v>
      </c>
      <c r="C3188" s="293" t="s">
        <v>6104</v>
      </c>
      <c r="D3188" s="293" t="s">
        <v>5878</v>
      </c>
      <c r="E3188" s="293" t="s">
        <v>6297</v>
      </c>
      <c r="F3188" s="293" t="s">
        <v>7110</v>
      </c>
      <c r="G3188" s="293" t="s">
        <v>5580</v>
      </c>
      <c r="H3188" s="294">
        <v>42247</v>
      </c>
      <c r="I3188" s="295">
        <v>-274.12</v>
      </c>
    </row>
    <row r="3189" spans="1:9" x14ac:dyDescent="0.2">
      <c r="A3189" s="293" t="s">
        <v>8933</v>
      </c>
      <c r="B3189" s="293" t="s">
        <v>5666</v>
      </c>
      <c r="C3189" s="293" t="s">
        <v>6106</v>
      </c>
      <c r="D3189" s="293" t="s">
        <v>5878</v>
      </c>
      <c r="E3189" s="293" t="s">
        <v>6299</v>
      </c>
      <c r="F3189" s="293" t="s">
        <v>7110</v>
      </c>
      <c r="G3189" s="293" t="s">
        <v>5580</v>
      </c>
      <c r="H3189" s="294">
        <v>42247</v>
      </c>
      <c r="I3189" s="295">
        <v>-1347.95</v>
      </c>
    </row>
    <row r="3190" spans="1:9" x14ac:dyDescent="0.2">
      <c r="A3190" s="293" t="s">
        <v>8934</v>
      </c>
      <c r="B3190" s="293" t="s">
        <v>5666</v>
      </c>
      <c r="C3190" s="293" t="s">
        <v>6108</v>
      </c>
      <c r="D3190" s="293" t="s">
        <v>5878</v>
      </c>
      <c r="E3190" s="293" t="s">
        <v>6301</v>
      </c>
      <c r="F3190" s="293" t="s">
        <v>7110</v>
      </c>
      <c r="G3190" s="293" t="s">
        <v>5580</v>
      </c>
      <c r="H3190" s="294">
        <v>42247</v>
      </c>
      <c r="I3190" s="295">
        <v>-1918.86</v>
      </c>
    </row>
    <row r="3191" spans="1:9" x14ac:dyDescent="0.2">
      <c r="A3191" s="293" t="s">
        <v>8935</v>
      </c>
      <c r="B3191" s="293" t="s">
        <v>5666</v>
      </c>
      <c r="C3191" s="293" t="s">
        <v>6110</v>
      </c>
      <c r="D3191" s="293" t="s">
        <v>5878</v>
      </c>
      <c r="E3191" s="293" t="s">
        <v>6303</v>
      </c>
      <c r="F3191" s="293" t="s">
        <v>7110</v>
      </c>
      <c r="G3191" s="293" t="s">
        <v>5573</v>
      </c>
      <c r="H3191" s="294">
        <v>42247</v>
      </c>
      <c r="I3191" s="295">
        <v>-1780.13</v>
      </c>
    </row>
    <row r="3192" spans="1:9" x14ac:dyDescent="0.2">
      <c r="A3192" s="293" t="s">
        <v>8936</v>
      </c>
      <c r="B3192" s="293" t="s">
        <v>5666</v>
      </c>
      <c r="C3192" s="293" t="s">
        <v>6115</v>
      </c>
      <c r="D3192" s="293" t="s">
        <v>5878</v>
      </c>
      <c r="E3192" s="293" t="s">
        <v>6305</v>
      </c>
      <c r="F3192" s="293" t="s">
        <v>7110</v>
      </c>
      <c r="G3192" s="293" t="s">
        <v>5581</v>
      </c>
      <c r="H3192" s="294">
        <v>42247</v>
      </c>
      <c r="I3192" s="295">
        <v>-2230.71</v>
      </c>
    </row>
    <row r="3193" spans="1:9" x14ac:dyDescent="0.2">
      <c r="A3193" s="293" t="s">
        <v>8937</v>
      </c>
      <c r="B3193" s="293" t="s">
        <v>5666</v>
      </c>
      <c r="C3193" s="293" t="s">
        <v>6086</v>
      </c>
      <c r="D3193" s="293" t="s">
        <v>5878</v>
      </c>
      <c r="E3193" s="293" t="s">
        <v>6307</v>
      </c>
      <c r="F3193" s="293" t="s">
        <v>7110</v>
      </c>
      <c r="G3193" s="293" t="s">
        <v>5581</v>
      </c>
      <c r="H3193" s="294">
        <v>42247</v>
      </c>
      <c r="I3193" s="295">
        <v>-2490.34</v>
      </c>
    </row>
    <row r="3194" spans="1:9" x14ac:dyDescent="0.2">
      <c r="A3194" s="293" t="s">
        <v>8938</v>
      </c>
      <c r="B3194" s="293" t="s">
        <v>5666</v>
      </c>
      <c r="C3194" s="293" t="s">
        <v>6113</v>
      </c>
      <c r="D3194" s="293" t="s">
        <v>5878</v>
      </c>
      <c r="E3194" s="293" t="s">
        <v>6316</v>
      </c>
      <c r="F3194" s="293" t="s">
        <v>7110</v>
      </c>
      <c r="G3194" s="293" t="s">
        <v>5573</v>
      </c>
      <c r="H3194" s="294">
        <v>42247</v>
      </c>
      <c r="I3194" s="295">
        <v>-5336.81</v>
      </c>
    </row>
    <row r="3195" spans="1:9" x14ac:dyDescent="0.2">
      <c r="A3195" s="293" t="s">
        <v>8939</v>
      </c>
      <c r="B3195" s="293" t="s">
        <v>5666</v>
      </c>
      <c r="C3195" s="293" t="s">
        <v>6313</v>
      </c>
      <c r="D3195" s="293" t="s">
        <v>5878</v>
      </c>
      <c r="E3195" s="293" t="s">
        <v>6314</v>
      </c>
      <c r="F3195" s="293" t="s">
        <v>7110</v>
      </c>
      <c r="G3195" s="293" t="s">
        <v>5576</v>
      </c>
      <c r="H3195" s="294">
        <v>42247</v>
      </c>
      <c r="I3195" s="295">
        <v>-4207.3500000000004</v>
      </c>
    </row>
    <row r="3196" spans="1:9" x14ac:dyDescent="0.2">
      <c r="A3196" s="293" t="s">
        <v>8940</v>
      </c>
      <c r="B3196" s="293" t="s">
        <v>5666</v>
      </c>
      <c r="C3196" s="293" t="s">
        <v>6272</v>
      </c>
      <c r="D3196" s="293" t="s">
        <v>5878</v>
      </c>
      <c r="E3196" s="293" t="s">
        <v>6273</v>
      </c>
      <c r="F3196" s="293" t="s">
        <v>7133</v>
      </c>
      <c r="G3196" s="293" t="s">
        <v>5576</v>
      </c>
      <c r="H3196" s="294">
        <v>42277</v>
      </c>
      <c r="I3196" s="295">
        <v>-3340.78</v>
      </c>
    </row>
    <row r="3197" spans="1:9" x14ac:dyDescent="0.2">
      <c r="A3197" s="293" t="s">
        <v>8941</v>
      </c>
      <c r="B3197" s="293" t="s">
        <v>5666</v>
      </c>
      <c r="C3197" s="293" t="s">
        <v>6122</v>
      </c>
      <c r="D3197" s="293" t="s">
        <v>5878</v>
      </c>
      <c r="E3197" s="293" t="s">
        <v>6275</v>
      </c>
      <c r="F3197" s="293" t="s">
        <v>7133</v>
      </c>
      <c r="G3197" s="293" t="s">
        <v>5577</v>
      </c>
      <c r="H3197" s="294">
        <v>42277</v>
      </c>
      <c r="I3197" s="295">
        <v>-1179.21</v>
      </c>
    </row>
    <row r="3198" spans="1:9" x14ac:dyDescent="0.2">
      <c r="A3198" s="293" t="s">
        <v>8942</v>
      </c>
      <c r="B3198" s="293" t="s">
        <v>5666</v>
      </c>
      <c r="C3198" s="293" t="s">
        <v>6124</v>
      </c>
      <c r="D3198" s="293" t="s">
        <v>5878</v>
      </c>
      <c r="E3198" s="293" t="s">
        <v>6277</v>
      </c>
      <c r="F3198" s="293" t="s">
        <v>7133</v>
      </c>
      <c r="G3198" s="293" t="s">
        <v>5578</v>
      </c>
      <c r="H3198" s="294">
        <v>42277</v>
      </c>
      <c r="I3198" s="295">
        <v>-1019.33</v>
      </c>
    </row>
    <row r="3199" spans="1:9" x14ac:dyDescent="0.2">
      <c r="A3199" s="293" t="s">
        <v>8943</v>
      </c>
      <c r="B3199" s="293" t="s">
        <v>5666</v>
      </c>
      <c r="C3199" s="293" t="s">
        <v>6126</v>
      </c>
      <c r="D3199" s="293" t="s">
        <v>5878</v>
      </c>
      <c r="E3199" s="293" t="s">
        <v>6279</v>
      </c>
      <c r="F3199" s="293" t="s">
        <v>7133</v>
      </c>
      <c r="G3199" s="293" t="s">
        <v>5579</v>
      </c>
      <c r="H3199" s="294">
        <v>42277</v>
      </c>
      <c r="I3199" s="295">
        <v>-857.57</v>
      </c>
    </row>
    <row r="3200" spans="1:9" x14ac:dyDescent="0.2">
      <c r="A3200" s="293" t="s">
        <v>8944</v>
      </c>
      <c r="B3200" s="293" t="s">
        <v>5666</v>
      </c>
      <c r="C3200" s="293" t="s">
        <v>6091</v>
      </c>
      <c r="D3200" s="293" t="s">
        <v>5878</v>
      </c>
      <c r="E3200" s="293" t="s">
        <v>6281</v>
      </c>
      <c r="F3200" s="293" t="s">
        <v>7133</v>
      </c>
      <c r="G3200" s="293" t="s">
        <v>5573</v>
      </c>
      <c r="H3200" s="294">
        <v>42277</v>
      </c>
      <c r="I3200" s="295">
        <v>-3125.47</v>
      </c>
    </row>
    <row r="3201" spans="1:9" x14ac:dyDescent="0.2">
      <c r="A3201" s="293" t="s">
        <v>8945</v>
      </c>
      <c r="B3201" s="293" t="s">
        <v>5666</v>
      </c>
      <c r="C3201" s="293" t="s">
        <v>6093</v>
      </c>
      <c r="D3201" s="293" t="s">
        <v>5878</v>
      </c>
      <c r="E3201" s="293" t="s">
        <v>6283</v>
      </c>
      <c r="F3201" s="293" t="s">
        <v>7133</v>
      </c>
      <c r="G3201" s="293" t="s">
        <v>5573</v>
      </c>
      <c r="H3201" s="294">
        <v>42277</v>
      </c>
      <c r="I3201" s="295">
        <v>-4451.78</v>
      </c>
    </row>
    <row r="3202" spans="1:9" x14ac:dyDescent="0.2">
      <c r="A3202" s="293" t="s">
        <v>8946</v>
      </c>
      <c r="B3202" s="293" t="s">
        <v>5666</v>
      </c>
      <c r="C3202" s="293" t="s">
        <v>6080</v>
      </c>
      <c r="D3202" s="293" t="s">
        <v>5878</v>
      </c>
      <c r="E3202" s="293" t="s">
        <v>6285</v>
      </c>
      <c r="F3202" s="293" t="s">
        <v>7133</v>
      </c>
      <c r="G3202" s="293" t="s">
        <v>5573</v>
      </c>
      <c r="H3202" s="294">
        <v>42277</v>
      </c>
      <c r="I3202" s="295">
        <v>-10077.08</v>
      </c>
    </row>
    <row r="3203" spans="1:9" x14ac:dyDescent="0.2">
      <c r="A3203" s="293" t="s">
        <v>8947</v>
      </c>
      <c r="B3203" s="293" t="s">
        <v>5666</v>
      </c>
      <c r="C3203" s="293" t="s">
        <v>6095</v>
      </c>
      <c r="D3203" s="293" t="s">
        <v>5878</v>
      </c>
      <c r="E3203" s="293" t="s">
        <v>6287</v>
      </c>
      <c r="F3203" s="293" t="s">
        <v>7133</v>
      </c>
      <c r="G3203" s="293" t="s">
        <v>5580</v>
      </c>
      <c r="H3203" s="294">
        <v>42277</v>
      </c>
      <c r="I3203" s="295">
        <v>-5589.54</v>
      </c>
    </row>
    <row r="3204" spans="1:9" x14ac:dyDescent="0.2">
      <c r="A3204" s="293" t="s">
        <v>8948</v>
      </c>
      <c r="B3204" s="293" t="s">
        <v>5666</v>
      </c>
      <c r="C3204" s="293" t="s">
        <v>6097</v>
      </c>
      <c r="D3204" s="293" t="s">
        <v>5878</v>
      </c>
      <c r="E3204" s="293" t="s">
        <v>6289</v>
      </c>
      <c r="F3204" s="293" t="s">
        <v>7133</v>
      </c>
      <c r="G3204" s="293" t="s">
        <v>5580</v>
      </c>
      <c r="H3204" s="294">
        <v>42277</v>
      </c>
      <c r="I3204" s="295">
        <v>-10099.59</v>
      </c>
    </row>
    <row r="3205" spans="1:9" x14ac:dyDescent="0.2">
      <c r="A3205" s="293" t="s">
        <v>8949</v>
      </c>
      <c r="B3205" s="293" t="s">
        <v>5666</v>
      </c>
      <c r="C3205" s="293" t="s">
        <v>6099</v>
      </c>
      <c r="D3205" s="293" t="s">
        <v>5878</v>
      </c>
      <c r="E3205" s="293" t="s">
        <v>6291</v>
      </c>
      <c r="F3205" s="293" t="s">
        <v>7133</v>
      </c>
      <c r="G3205" s="293" t="s">
        <v>5579</v>
      </c>
      <c r="H3205" s="294">
        <v>42277</v>
      </c>
      <c r="I3205" s="295">
        <v>-1407.23</v>
      </c>
    </row>
    <row r="3206" spans="1:9" x14ac:dyDescent="0.2">
      <c r="A3206" s="293" t="s">
        <v>8950</v>
      </c>
      <c r="B3206" s="293" t="s">
        <v>5666</v>
      </c>
      <c r="C3206" s="293" t="s">
        <v>6083</v>
      </c>
      <c r="D3206" s="293" t="s">
        <v>5878</v>
      </c>
      <c r="E3206" s="293" t="s">
        <v>6293</v>
      </c>
      <c r="F3206" s="293" t="s">
        <v>7133</v>
      </c>
      <c r="G3206" s="293" t="s">
        <v>5579</v>
      </c>
      <c r="H3206" s="294">
        <v>42277</v>
      </c>
      <c r="I3206" s="295">
        <v>-2524.9</v>
      </c>
    </row>
    <row r="3207" spans="1:9" x14ac:dyDescent="0.2">
      <c r="A3207" s="293" t="s">
        <v>8951</v>
      </c>
      <c r="B3207" s="293" t="s">
        <v>5666</v>
      </c>
      <c r="C3207" s="293" t="s">
        <v>6101</v>
      </c>
      <c r="D3207" s="293" t="s">
        <v>5878</v>
      </c>
      <c r="E3207" s="293" t="s">
        <v>6295</v>
      </c>
      <c r="F3207" s="293" t="s">
        <v>7133</v>
      </c>
      <c r="G3207" s="293" t="s">
        <v>5580</v>
      </c>
      <c r="H3207" s="294">
        <v>42277</v>
      </c>
      <c r="I3207" s="295">
        <v>-193.73</v>
      </c>
    </row>
    <row r="3208" spans="1:9" x14ac:dyDescent="0.2">
      <c r="A3208" s="293" t="s">
        <v>8952</v>
      </c>
      <c r="B3208" s="293" t="s">
        <v>5666</v>
      </c>
      <c r="C3208" s="293" t="s">
        <v>6104</v>
      </c>
      <c r="D3208" s="293" t="s">
        <v>5878</v>
      </c>
      <c r="E3208" s="293" t="s">
        <v>6297</v>
      </c>
      <c r="F3208" s="293" t="s">
        <v>7133</v>
      </c>
      <c r="G3208" s="293" t="s">
        <v>5580</v>
      </c>
      <c r="H3208" s="294">
        <v>42277</v>
      </c>
      <c r="I3208" s="295">
        <v>-274.12</v>
      </c>
    </row>
    <row r="3209" spans="1:9" x14ac:dyDescent="0.2">
      <c r="A3209" s="293" t="s">
        <v>8953</v>
      </c>
      <c r="B3209" s="293" t="s">
        <v>5666</v>
      </c>
      <c r="C3209" s="293" t="s">
        <v>6106</v>
      </c>
      <c r="D3209" s="293" t="s">
        <v>5878</v>
      </c>
      <c r="E3209" s="293" t="s">
        <v>6299</v>
      </c>
      <c r="F3209" s="293" t="s">
        <v>7133</v>
      </c>
      <c r="G3209" s="293" t="s">
        <v>5580</v>
      </c>
      <c r="H3209" s="294">
        <v>42277</v>
      </c>
      <c r="I3209" s="295">
        <v>-1347.95</v>
      </c>
    </row>
    <row r="3210" spans="1:9" x14ac:dyDescent="0.2">
      <c r="A3210" s="293" t="s">
        <v>8954</v>
      </c>
      <c r="B3210" s="293" t="s">
        <v>5666</v>
      </c>
      <c r="C3210" s="293" t="s">
        <v>6108</v>
      </c>
      <c r="D3210" s="293" t="s">
        <v>5878</v>
      </c>
      <c r="E3210" s="293" t="s">
        <v>6301</v>
      </c>
      <c r="F3210" s="293" t="s">
        <v>7133</v>
      </c>
      <c r="G3210" s="293" t="s">
        <v>5580</v>
      </c>
      <c r="H3210" s="294">
        <v>42277</v>
      </c>
      <c r="I3210" s="295">
        <v>-1918.86</v>
      </c>
    </row>
    <row r="3211" spans="1:9" x14ac:dyDescent="0.2">
      <c r="A3211" s="293" t="s">
        <v>8955</v>
      </c>
      <c r="B3211" s="293" t="s">
        <v>5666</v>
      </c>
      <c r="C3211" s="293" t="s">
        <v>6110</v>
      </c>
      <c r="D3211" s="293" t="s">
        <v>5878</v>
      </c>
      <c r="E3211" s="293" t="s">
        <v>6303</v>
      </c>
      <c r="F3211" s="293" t="s">
        <v>7133</v>
      </c>
      <c r="G3211" s="293" t="s">
        <v>5573</v>
      </c>
      <c r="H3211" s="294">
        <v>42277</v>
      </c>
      <c r="I3211" s="295">
        <v>-1780.13</v>
      </c>
    </row>
    <row r="3212" spans="1:9" x14ac:dyDescent="0.2">
      <c r="A3212" s="293" t="s">
        <v>8956</v>
      </c>
      <c r="B3212" s="293" t="s">
        <v>5666</v>
      </c>
      <c r="C3212" s="293" t="s">
        <v>6115</v>
      </c>
      <c r="D3212" s="293" t="s">
        <v>5878</v>
      </c>
      <c r="E3212" s="293" t="s">
        <v>6305</v>
      </c>
      <c r="F3212" s="293" t="s">
        <v>7133</v>
      </c>
      <c r="G3212" s="293" t="s">
        <v>5581</v>
      </c>
      <c r="H3212" s="294">
        <v>42277</v>
      </c>
      <c r="I3212" s="295">
        <v>-2230.71</v>
      </c>
    </row>
    <row r="3213" spans="1:9" x14ac:dyDescent="0.2">
      <c r="A3213" s="293" t="s">
        <v>8957</v>
      </c>
      <c r="B3213" s="293" t="s">
        <v>5666</v>
      </c>
      <c r="C3213" s="293" t="s">
        <v>6086</v>
      </c>
      <c r="D3213" s="293" t="s">
        <v>5878</v>
      </c>
      <c r="E3213" s="293" t="s">
        <v>6307</v>
      </c>
      <c r="F3213" s="293" t="s">
        <v>7133</v>
      </c>
      <c r="G3213" s="293" t="s">
        <v>5581</v>
      </c>
      <c r="H3213" s="294">
        <v>42277</v>
      </c>
      <c r="I3213" s="295">
        <v>-2490.34</v>
      </c>
    </row>
    <row r="3214" spans="1:9" x14ac:dyDescent="0.2">
      <c r="A3214" s="293" t="s">
        <v>8958</v>
      </c>
      <c r="B3214" s="293" t="s">
        <v>5666</v>
      </c>
      <c r="C3214" s="293" t="s">
        <v>6113</v>
      </c>
      <c r="D3214" s="293" t="s">
        <v>5878</v>
      </c>
      <c r="E3214" s="293" t="s">
        <v>6316</v>
      </c>
      <c r="F3214" s="293" t="s">
        <v>7133</v>
      </c>
      <c r="G3214" s="293" t="s">
        <v>5573</v>
      </c>
      <c r="H3214" s="294">
        <v>42277</v>
      </c>
      <c r="I3214" s="295">
        <v>-5336.81</v>
      </c>
    </row>
    <row r="3215" spans="1:9" x14ac:dyDescent="0.2">
      <c r="A3215" s="293" t="s">
        <v>8959</v>
      </c>
      <c r="B3215" s="293" t="s">
        <v>5666</v>
      </c>
      <c r="C3215" s="293" t="s">
        <v>6313</v>
      </c>
      <c r="D3215" s="293" t="s">
        <v>5878</v>
      </c>
      <c r="E3215" s="293" t="s">
        <v>6314</v>
      </c>
      <c r="F3215" s="293" t="s">
        <v>7133</v>
      </c>
      <c r="G3215" s="293" t="s">
        <v>5576</v>
      </c>
      <c r="H3215" s="294">
        <v>42277</v>
      </c>
      <c r="I3215" s="295">
        <v>-4207.3500000000004</v>
      </c>
    </row>
    <row r="3216" spans="1:9" x14ac:dyDescent="0.2">
      <c r="A3216" s="293" t="s">
        <v>8960</v>
      </c>
      <c r="B3216" s="293" t="s">
        <v>5666</v>
      </c>
      <c r="C3216" s="293" t="s">
        <v>6272</v>
      </c>
      <c r="D3216" s="293" t="s">
        <v>5878</v>
      </c>
      <c r="E3216" s="293" t="s">
        <v>6273</v>
      </c>
      <c r="F3216" s="293" t="s">
        <v>7157</v>
      </c>
      <c r="G3216" s="293" t="s">
        <v>5576</v>
      </c>
      <c r="H3216" s="294">
        <v>42308</v>
      </c>
      <c r="I3216" s="295">
        <v>-3340.78</v>
      </c>
    </row>
    <row r="3217" spans="1:9" x14ac:dyDescent="0.2">
      <c r="A3217" s="293" t="s">
        <v>8961</v>
      </c>
      <c r="B3217" s="293" t="s">
        <v>5666</v>
      </c>
      <c r="C3217" s="293" t="s">
        <v>6122</v>
      </c>
      <c r="D3217" s="293" t="s">
        <v>5878</v>
      </c>
      <c r="E3217" s="293" t="s">
        <v>6275</v>
      </c>
      <c r="F3217" s="293" t="s">
        <v>7157</v>
      </c>
      <c r="G3217" s="293" t="s">
        <v>5577</v>
      </c>
      <c r="H3217" s="294">
        <v>42308</v>
      </c>
      <c r="I3217" s="295">
        <v>-1179.21</v>
      </c>
    </row>
    <row r="3218" spans="1:9" x14ac:dyDescent="0.2">
      <c r="A3218" s="293" t="s">
        <v>8962</v>
      </c>
      <c r="B3218" s="293" t="s">
        <v>5666</v>
      </c>
      <c r="C3218" s="293" t="s">
        <v>6124</v>
      </c>
      <c r="D3218" s="293" t="s">
        <v>5878</v>
      </c>
      <c r="E3218" s="293" t="s">
        <v>6277</v>
      </c>
      <c r="F3218" s="293" t="s">
        <v>7157</v>
      </c>
      <c r="G3218" s="293" t="s">
        <v>5578</v>
      </c>
      <c r="H3218" s="294">
        <v>42308</v>
      </c>
      <c r="I3218" s="295">
        <v>-1019.33</v>
      </c>
    </row>
    <row r="3219" spans="1:9" x14ac:dyDescent="0.2">
      <c r="A3219" s="293" t="s">
        <v>8963</v>
      </c>
      <c r="B3219" s="293" t="s">
        <v>5666</v>
      </c>
      <c r="C3219" s="293" t="s">
        <v>6126</v>
      </c>
      <c r="D3219" s="293" t="s">
        <v>5878</v>
      </c>
      <c r="E3219" s="293" t="s">
        <v>6279</v>
      </c>
      <c r="F3219" s="293" t="s">
        <v>7157</v>
      </c>
      <c r="G3219" s="293" t="s">
        <v>5579</v>
      </c>
      <c r="H3219" s="294">
        <v>42308</v>
      </c>
      <c r="I3219" s="295">
        <v>-857.57</v>
      </c>
    </row>
    <row r="3220" spans="1:9" x14ac:dyDescent="0.2">
      <c r="A3220" s="293" t="s">
        <v>8964</v>
      </c>
      <c r="B3220" s="293" t="s">
        <v>5666</v>
      </c>
      <c r="C3220" s="293" t="s">
        <v>6091</v>
      </c>
      <c r="D3220" s="293" t="s">
        <v>5878</v>
      </c>
      <c r="E3220" s="293" t="s">
        <v>6281</v>
      </c>
      <c r="F3220" s="293" t="s">
        <v>7157</v>
      </c>
      <c r="G3220" s="293" t="s">
        <v>5573</v>
      </c>
      <c r="H3220" s="294">
        <v>42308</v>
      </c>
      <c r="I3220" s="295">
        <v>-3125.47</v>
      </c>
    </row>
    <row r="3221" spans="1:9" x14ac:dyDescent="0.2">
      <c r="A3221" s="293" t="s">
        <v>8965</v>
      </c>
      <c r="B3221" s="293" t="s">
        <v>5666</v>
      </c>
      <c r="C3221" s="293" t="s">
        <v>6093</v>
      </c>
      <c r="D3221" s="293" t="s">
        <v>5878</v>
      </c>
      <c r="E3221" s="293" t="s">
        <v>6283</v>
      </c>
      <c r="F3221" s="293" t="s">
        <v>7157</v>
      </c>
      <c r="G3221" s="293" t="s">
        <v>5573</v>
      </c>
      <c r="H3221" s="294">
        <v>42308</v>
      </c>
      <c r="I3221" s="295">
        <v>-4451.78</v>
      </c>
    </row>
    <row r="3222" spans="1:9" x14ac:dyDescent="0.2">
      <c r="A3222" s="293" t="s">
        <v>8966</v>
      </c>
      <c r="B3222" s="293" t="s">
        <v>5666</v>
      </c>
      <c r="C3222" s="293" t="s">
        <v>6080</v>
      </c>
      <c r="D3222" s="293" t="s">
        <v>5878</v>
      </c>
      <c r="E3222" s="293" t="s">
        <v>6285</v>
      </c>
      <c r="F3222" s="293" t="s">
        <v>7157</v>
      </c>
      <c r="G3222" s="293" t="s">
        <v>5573</v>
      </c>
      <c r="H3222" s="294">
        <v>42308</v>
      </c>
      <c r="I3222" s="295">
        <v>-10077.08</v>
      </c>
    </row>
    <row r="3223" spans="1:9" x14ac:dyDescent="0.2">
      <c r="A3223" s="293" t="s">
        <v>8967</v>
      </c>
      <c r="B3223" s="293" t="s">
        <v>5666</v>
      </c>
      <c r="C3223" s="293" t="s">
        <v>6095</v>
      </c>
      <c r="D3223" s="293" t="s">
        <v>5878</v>
      </c>
      <c r="E3223" s="293" t="s">
        <v>6287</v>
      </c>
      <c r="F3223" s="293" t="s">
        <v>7157</v>
      </c>
      <c r="G3223" s="293" t="s">
        <v>5580</v>
      </c>
      <c r="H3223" s="294">
        <v>42308</v>
      </c>
      <c r="I3223" s="295">
        <v>-5589.54</v>
      </c>
    </row>
    <row r="3224" spans="1:9" x14ac:dyDescent="0.2">
      <c r="A3224" s="293" t="s">
        <v>8968</v>
      </c>
      <c r="B3224" s="293" t="s">
        <v>5666</v>
      </c>
      <c r="C3224" s="293" t="s">
        <v>6097</v>
      </c>
      <c r="D3224" s="293" t="s">
        <v>5878</v>
      </c>
      <c r="E3224" s="293" t="s">
        <v>6289</v>
      </c>
      <c r="F3224" s="293" t="s">
        <v>7157</v>
      </c>
      <c r="G3224" s="293" t="s">
        <v>5580</v>
      </c>
      <c r="H3224" s="294">
        <v>42308</v>
      </c>
      <c r="I3224" s="295">
        <v>-10099.59</v>
      </c>
    </row>
    <row r="3225" spans="1:9" x14ac:dyDescent="0.2">
      <c r="A3225" s="293" t="s">
        <v>8969</v>
      </c>
      <c r="B3225" s="293" t="s">
        <v>5666</v>
      </c>
      <c r="C3225" s="293" t="s">
        <v>6099</v>
      </c>
      <c r="D3225" s="293" t="s">
        <v>5878</v>
      </c>
      <c r="E3225" s="293" t="s">
        <v>6291</v>
      </c>
      <c r="F3225" s="293" t="s">
        <v>7157</v>
      </c>
      <c r="G3225" s="293" t="s">
        <v>5579</v>
      </c>
      <c r="H3225" s="294">
        <v>42308</v>
      </c>
      <c r="I3225" s="295">
        <v>-1407.23</v>
      </c>
    </row>
    <row r="3226" spans="1:9" x14ac:dyDescent="0.2">
      <c r="A3226" s="293" t="s">
        <v>8970</v>
      </c>
      <c r="B3226" s="293" t="s">
        <v>5666</v>
      </c>
      <c r="C3226" s="293" t="s">
        <v>6083</v>
      </c>
      <c r="D3226" s="293" t="s">
        <v>5878</v>
      </c>
      <c r="E3226" s="293" t="s">
        <v>6293</v>
      </c>
      <c r="F3226" s="293" t="s">
        <v>7157</v>
      </c>
      <c r="G3226" s="293" t="s">
        <v>5579</v>
      </c>
      <c r="H3226" s="294">
        <v>42308</v>
      </c>
      <c r="I3226" s="295">
        <v>-2524.9</v>
      </c>
    </row>
    <row r="3227" spans="1:9" x14ac:dyDescent="0.2">
      <c r="A3227" s="293" t="s">
        <v>8971</v>
      </c>
      <c r="B3227" s="293" t="s">
        <v>5666</v>
      </c>
      <c r="C3227" s="293" t="s">
        <v>6101</v>
      </c>
      <c r="D3227" s="293" t="s">
        <v>5878</v>
      </c>
      <c r="E3227" s="293" t="s">
        <v>6295</v>
      </c>
      <c r="F3227" s="293" t="s">
        <v>7157</v>
      </c>
      <c r="G3227" s="293" t="s">
        <v>5580</v>
      </c>
      <c r="H3227" s="294">
        <v>42308</v>
      </c>
      <c r="I3227" s="295">
        <v>-193.73</v>
      </c>
    </row>
    <row r="3228" spans="1:9" x14ac:dyDescent="0.2">
      <c r="A3228" s="293" t="s">
        <v>8972</v>
      </c>
      <c r="B3228" s="293" t="s">
        <v>5666</v>
      </c>
      <c r="C3228" s="293" t="s">
        <v>6104</v>
      </c>
      <c r="D3228" s="293" t="s">
        <v>5878</v>
      </c>
      <c r="E3228" s="293" t="s">
        <v>6297</v>
      </c>
      <c r="F3228" s="293" t="s">
        <v>7157</v>
      </c>
      <c r="G3228" s="293" t="s">
        <v>5580</v>
      </c>
      <c r="H3228" s="294">
        <v>42308</v>
      </c>
      <c r="I3228" s="295">
        <v>-274.12</v>
      </c>
    </row>
    <row r="3229" spans="1:9" x14ac:dyDescent="0.2">
      <c r="A3229" s="293" t="s">
        <v>8973</v>
      </c>
      <c r="B3229" s="293" t="s">
        <v>5666</v>
      </c>
      <c r="C3229" s="293" t="s">
        <v>6106</v>
      </c>
      <c r="D3229" s="293" t="s">
        <v>5878</v>
      </c>
      <c r="E3229" s="293" t="s">
        <v>6299</v>
      </c>
      <c r="F3229" s="293" t="s">
        <v>7157</v>
      </c>
      <c r="G3229" s="293" t="s">
        <v>5580</v>
      </c>
      <c r="H3229" s="294">
        <v>42308</v>
      </c>
      <c r="I3229" s="295">
        <v>-1347.95</v>
      </c>
    </row>
    <row r="3230" spans="1:9" x14ac:dyDescent="0.2">
      <c r="A3230" s="293" t="s">
        <v>8974</v>
      </c>
      <c r="B3230" s="293" t="s">
        <v>5666</v>
      </c>
      <c r="C3230" s="293" t="s">
        <v>6108</v>
      </c>
      <c r="D3230" s="293" t="s">
        <v>5878</v>
      </c>
      <c r="E3230" s="293" t="s">
        <v>6301</v>
      </c>
      <c r="F3230" s="293" t="s">
        <v>7157</v>
      </c>
      <c r="G3230" s="293" t="s">
        <v>5580</v>
      </c>
      <c r="H3230" s="294">
        <v>42308</v>
      </c>
      <c r="I3230" s="295">
        <v>-1918.86</v>
      </c>
    </row>
    <row r="3231" spans="1:9" x14ac:dyDescent="0.2">
      <c r="A3231" s="293" t="s">
        <v>8975</v>
      </c>
      <c r="B3231" s="293" t="s">
        <v>5666</v>
      </c>
      <c r="C3231" s="293" t="s">
        <v>6110</v>
      </c>
      <c r="D3231" s="293" t="s">
        <v>5878</v>
      </c>
      <c r="E3231" s="293" t="s">
        <v>6303</v>
      </c>
      <c r="F3231" s="293" t="s">
        <v>7157</v>
      </c>
      <c r="G3231" s="293" t="s">
        <v>5573</v>
      </c>
      <c r="H3231" s="294">
        <v>42308</v>
      </c>
      <c r="I3231" s="295">
        <v>-1780.13</v>
      </c>
    </row>
    <row r="3232" spans="1:9" x14ac:dyDescent="0.2">
      <c r="A3232" s="293" t="s">
        <v>8976</v>
      </c>
      <c r="B3232" s="293" t="s">
        <v>5666</v>
      </c>
      <c r="C3232" s="293" t="s">
        <v>6115</v>
      </c>
      <c r="D3232" s="293" t="s">
        <v>5878</v>
      </c>
      <c r="E3232" s="293" t="s">
        <v>6305</v>
      </c>
      <c r="F3232" s="293" t="s">
        <v>7157</v>
      </c>
      <c r="G3232" s="293" t="s">
        <v>5581</v>
      </c>
      <c r="H3232" s="294">
        <v>42308</v>
      </c>
      <c r="I3232" s="295">
        <v>-2230.71</v>
      </c>
    </row>
    <row r="3233" spans="1:9" x14ac:dyDescent="0.2">
      <c r="A3233" s="293" t="s">
        <v>8977</v>
      </c>
      <c r="B3233" s="293" t="s">
        <v>5666</v>
      </c>
      <c r="C3233" s="293" t="s">
        <v>6086</v>
      </c>
      <c r="D3233" s="293" t="s">
        <v>5878</v>
      </c>
      <c r="E3233" s="293" t="s">
        <v>6307</v>
      </c>
      <c r="F3233" s="293" t="s">
        <v>7157</v>
      </c>
      <c r="G3233" s="293" t="s">
        <v>5581</v>
      </c>
      <c r="H3233" s="294">
        <v>42308</v>
      </c>
      <c r="I3233" s="295">
        <v>-2490.34</v>
      </c>
    </row>
    <row r="3234" spans="1:9" x14ac:dyDescent="0.2">
      <c r="A3234" s="293" t="s">
        <v>8978</v>
      </c>
      <c r="B3234" s="293" t="s">
        <v>5666</v>
      </c>
      <c r="C3234" s="293" t="s">
        <v>6113</v>
      </c>
      <c r="D3234" s="293" t="s">
        <v>5878</v>
      </c>
      <c r="E3234" s="293" t="s">
        <v>6316</v>
      </c>
      <c r="F3234" s="293" t="s">
        <v>7157</v>
      </c>
      <c r="G3234" s="293" t="s">
        <v>5573</v>
      </c>
      <c r="H3234" s="294">
        <v>42308</v>
      </c>
      <c r="I3234" s="295">
        <v>-5336.81</v>
      </c>
    </row>
    <row r="3235" spans="1:9" x14ac:dyDescent="0.2">
      <c r="A3235" s="293" t="s">
        <v>8979</v>
      </c>
      <c r="B3235" s="293" t="s">
        <v>5666</v>
      </c>
      <c r="C3235" s="293" t="s">
        <v>6313</v>
      </c>
      <c r="D3235" s="293" t="s">
        <v>5878</v>
      </c>
      <c r="E3235" s="293" t="s">
        <v>6314</v>
      </c>
      <c r="F3235" s="293" t="s">
        <v>7157</v>
      </c>
      <c r="G3235" s="293" t="s">
        <v>5576</v>
      </c>
      <c r="H3235" s="294">
        <v>42308</v>
      </c>
      <c r="I3235" s="295">
        <v>-4207.3500000000004</v>
      </c>
    </row>
    <row r="3236" spans="1:9" x14ac:dyDescent="0.2">
      <c r="A3236" s="293" t="s">
        <v>8980</v>
      </c>
      <c r="B3236" s="293" t="s">
        <v>5666</v>
      </c>
      <c r="C3236" s="293" t="s">
        <v>6272</v>
      </c>
      <c r="D3236" s="293" t="s">
        <v>5878</v>
      </c>
      <c r="E3236" s="293" t="s">
        <v>6273</v>
      </c>
      <c r="F3236" s="293" t="s">
        <v>7180</v>
      </c>
      <c r="G3236" s="293" t="s">
        <v>5576</v>
      </c>
      <c r="H3236" s="294">
        <v>42338</v>
      </c>
      <c r="I3236" s="295">
        <v>-3340.78</v>
      </c>
    </row>
    <row r="3237" spans="1:9" x14ac:dyDescent="0.2">
      <c r="A3237" s="293" t="s">
        <v>8981</v>
      </c>
      <c r="B3237" s="293" t="s">
        <v>5666</v>
      </c>
      <c r="C3237" s="293" t="s">
        <v>6122</v>
      </c>
      <c r="D3237" s="293" t="s">
        <v>5878</v>
      </c>
      <c r="E3237" s="293" t="s">
        <v>6275</v>
      </c>
      <c r="F3237" s="293" t="s">
        <v>7180</v>
      </c>
      <c r="G3237" s="293" t="s">
        <v>5577</v>
      </c>
      <c r="H3237" s="294">
        <v>42338</v>
      </c>
      <c r="I3237" s="295">
        <v>-1179.21</v>
      </c>
    </row>
    <row r="3238" spans="1:9" x14ac:dyDescent="0.2">
      <c r="A3238" s="293" t="s">
        <v>8982</v>
      </c>
      <c r="B3238" s="293" t="s">
        <v>5666</v>
      </c>
      <c r="C3238" s="293" t="s">
        <v>6124</v>
      </c>
      <c r="D3238" s="293" t="s">
        <v>5878</v>
      </c>
      <c r="E3238" s="293" t="s">
        <v>6277</v>
      </c>
      <c r="F3238" s="293" t="s">
        <v>7180</v>
      </c>
      <c r="G3238" s="293" t="s">
        <v>5578</v>
      </c>
      <c r="H3238" s="294">
        <v>42338</v>
      </c>
      <c r="I3238" s="295">
        <v>-1019.33</v>
      </c>
    </row>
    <row r="3239" spans="1:9" x14ac:dyDescent="0.2">
      <c r="A3239" s="293" t="s">
        <v>8983</v>
      </c>
      <c r="B3239" s="293" t="s">
        <v>5666</v>
      </c>
      <c r="C3239" s="293" t="s">
        <v>6126</v>
      </c>
      <c r="D3239" s="293" t="s">
        <v>5878</v>
      </c>
      <c r="E3239" s="293" t="s">
        <v>6279</v>
      </c>
      <c r="F3239" s="293" t="s">
        <v>7180</v>
      </c>
      <c r="G3239" s="293" t="s">
        <v>5579</v>
      </c>
      <c r="H3239" s="294">
        <v>42338</v>
      </c>
      <c r="I3239" s="295">
        <v>-857.57</v>
      </c>
    </row>
    <row r="3240" spans="1:9" x14ac:dyDescent="0.2">
      <c r="A3240" s="293" t="s">
        <v>8984</v>
      </c>
      <c r="B3240" s="293" t="s">
        <v>5666</v>
      </c>
      <c r="C3240" s="293" t="s">
        <v>6091</v>
      </c>
      <c r="D3240" s="293" t="s">
        <v>5878</v>
      </c>
      <c r="E3240" s="293" t="s">
        <v>6281</v>
      </c>
      <c r="F3240" s="293" t="s">
        <v>7180</v>
      </c>
      <c r="G3240" s="293" t="s">
        <v>5573</v>
      </c>
      <c r="H3240" s="294">
        <v>42338</v>
      </c>
      <c r="I3240" s="295">
        <v>-3125.47</v>
      </c>
    </row>
    <row r="3241" spans="1:9" x14ac:dyDescent="0.2">
      <c r="A3241" s="293" t="s">
        <v>8985</v>
      </c>
      <c r="B3241" s="293" t="s">
        <v>5666</v>
      </c>
      <c r="C3241" s="293" t="s">
        <v>6093</v>
      </c>
      <c r="D3241" s="293" t="s">
        <v>5878</v>
      </c>
      <c r="E3241" s="293" t="s">
        <v>6283</v>
      </c>
      <c r="F3241" s="293" t="s">
        <v>7180</v>
      </c>
      <c r="G3241" s="293" t="s">
        <v>5573</v>
      </c>
      <c r="H3241" s="294">
        <v>42338</v>
      </c>
      <c r="I3241" s="295">
        <v>-4451.78</v>
      </c>
    </row>
    <row r="3242" spans="1:9" x14ac:dyDescent="0.2">
      <c r="A3242" s="293" t="s">
        <v>8986</v>
      </c>
      <c r="B3242" s="293" t="s">
        <v>5666</v>
      </c>
      <c r="C3242" s="293" t="s">
        <v>6080</v>
      </c>
      <c r="D3242" s="293" t="s">
        <v>5878</v>
      </c>
      <c r="E3242" s="293" t="s">
        <v>6285</v>
      </c>
      <c r="F3242" s="293" t="s">
        <v>7180</v>
      </c>
      <c r="G3242" s="293" t="s">
        <v>5573</v>
      </c>
      <c r="H3242" s="294">
        <v>42338</v>
      </c>
      <c r="I3242" s="295">
        <v>-10077.08</v>
      </c>
    </row>
    <row r="3243" spans="1:9" x14ac:dyDescent="0.2">
      <c r="A3243" s="293" t="s">
        <v>8987</v>
      </c>
      <c r="B3243" s="293" t="s">
        <v>5666</v>
      </c>
      <c r="C3243" s="293" t="s">
        <v>6095</v>
      </c>
      <c r="D3243" s="293" t="s">
        <v>5878</v>
      </c>
      <c r="E3243" s="293" t="s">
        <v>6287</v>
      </c>
      <c r="F3243" s="293" t="s">
        <v>7180</v>
      </c>
      <c r="G3243" s="293" t="s">
        <v>5580</v>
      </c>
      <c r="H3243" s="294">
        <v>42338</v>
      </c>
      <c r="I3243" s="295">
        <v>-5589.54</v>
      </c>
    </row>
    <row r="3244" spans="1:9" x14ac:dyDescent="0.2">
      <c r="A3244" s="293" t="s">
        <v>8988</v>
      </c>
      <c r="B3244" s="293" t="s">
        <v>5666</v>
      </c>
      <c r="C3244" s="293" t="s">
        <v>6097</v>
      </c>
      <c r="D3244" s="293" t="s">
        <v>5878</v>
      </c>
      <c r="E3244" s="293" t="s">
        <v>6289</v>
      </c>
      <c r="F3244" s="293" t="s">
        <v>7180</v>
      </c>
      <c r="G3244" s="293" t="s">
        <v>5580</v>
      </c>
      <c r="H3244" s="294">
        <v>42338</v>
      </c>
      <c r="I3244" s="295">
        <v>-10099.59</v>
      </c>
    </row>
    <row r="3245" spans="1:9" x14ac:dyDescent="0.2">
      <c r="A3245" s="293" t="s">
        <v>8989</v>
      </c>
      <c r="B3245" s="293" t="s">
        <v>5666</v>
      </c>
      <c r="C3245" s="293" t="s">
        <v>6099</v>
      </c>
      <c r="D3245" s="293" t="s">
        <v>5878</v>
      </c>
      <c r="E3245" s="293" t="s">
        <v>6291</v>
      </c>
      <c r="F3245" s="293" t="s">
        <v>7180</v>
      </c>
      <c r="G3245" s="293" t="s">
        <v>5579</v>
      </c>
      <c r="H3245" s="294">
        <v>42338</v>
      </c>
      <c r="I3245" s="295">
        <v>-1407.23</v>
      </c>
    </row>
    <row r="3246" spans="1:9" x14ac:dyDescent="0.2">
      <c r="A3246" s="293" t="s">
        <v>8990</v>
      </c>
      <c r="B3246" s="293" t="s">
        <v>5666</v>
      </c>
      <c r="C3246" s="293" t="s">
        <v>6083</v>
      </c>
      <c r="D3246" s="293" t="s">
        <v>5878</v>
      </c>
      <c r="E3246" s="293" t="s">
        <v>6293</v>
      </c>
      <c r="F3246" s="293" t="s">
        <v>7180</v>
      </c>
      <c r="G3246" s="293" t="s">
        <v>5579</v>
      </c>
      <c r="H3246" s="294">
        <v>42338</v>
      </c>
      <c r="I3246" s="295">
        <v>-2524.9</v>
      </c>
    </row>
    <row r="3247" spans="1:9" x14ac:dyDescent="0.2">
      <c r="A3247" s="293" t="s">
        <v>8991</v>
      </c>
      <c r="B3247" s="293" t="s">
        <v>5666</v>
      </c>
      <c r="C3247" s="293" t="s">
        <v>6101</v>
      </c>
      <c r="D3247" s="293" t="s">
        <v>5878</v>
      </c>
      <c r="E3247" s="293" t="s">
        <v>6295</v>
      </c>
      <c r="F3247" s="293" t="s">
        <v>7180</v>
      </c>
      <c r="G3247" s="293" t="s">
        <v>5580</v>
      </c>
      <c r="H3247" s="294">
        <v>42338</v>
      </c>
      <c r="I3247" s="295">
        <v>-193.73</v>
      </c>
    </row>
    <row r="3248" spans="1:9" x14ac:dyDescent="0.2">
      <c r="A3248" s="293" t="s">
        <v>8992</v>
      </c>
      <c r="B3248" s="293" t="s">
        <v>5666</v>
      </c>
      <c r="C3248" s="293" t="s">
        <v>6104</v>
      </c>
      <c r="D3248" s="293" t="s">
        <v>5878</v>
      </c>
      <c r="E3248" s="293" t="s">
        <v>6297</v>
      </c>
      <c r="F3248" s="293" t="s">
        <v>7180</v>
      </c>
      <c r="G3248" s="293" t="s">
        <v>5580</v>
      </c>
      <c r="H3248" s="294">
        <v>42338</v>
      </c>
      <c r="I3248" s="295">
        <v>-274.12</v>
      </c>
    </row>
    <row r="3249" spans="1:9" x14ac:dyDescent="0.2">
      <c r="A3249" s="293" t="s">
        <v>8993</v>
      </c>
      <c r="B3249" s="293" t="s">
        <v>5666</v>
      </c>
      <c r="C3249" s="293" t="s">
        <v>6106</v>
      </c>
      <c r="D3249" s="293" t="s">
        <v>5878</v>
      </c>
      <c r="E3249" s="293" t="s">
        <v>6299</v>
      </c>
      <c r="F3249" s="293" t="s">
        <v>7180</v>
      </c>
      <c r="G3249" s="293" t="s">
        <v>5580</v>
      </c>
      <c r="H3249" s="294">
        <v>42338</v>
      </c>
      <c r="I3249" s="295">
        <v>-1347.95</v>
      </c>
    </row>
    <row r="3250" spans="1:9" x14ac:dyDescent="0.2">
      <c r="A3250" s="293" t="s">
        <v>8994</v>
      </c>
      <c r="B3250" s="293" t="s">
        <v>5666</v>
      </c>
      <c r="C3250" s="293" t="s">
        <v>6108</v>
      </c>
      <c r="D3250" s="293" t="s">
        <v>5878</v>
      </c>
      <c r="E3250" s="293" t="s">
        <v>6301</v>
      </c>
      <c r="F3250" s="293" t="s">
        <v>7180</v>
      </c>
      <c r="G3250" s="293" t="s">
        <v>5580</v>
      </c>
      <c r="H3250" s="294">
        <v>42338</v>
      </c>
      <c r="I3250" s="295">
        <v>-1918.86</v>
      </c>
    </row>
    <row r="3251" spans="1:9" x14ac:dyDescent="0.2">
      <c r="A3251" s="293" t="s">
        <v>8995</v>
      </c>
      <c r="B3251" s="293" t="s">
        <v>5666</v>
      </c>
      <c r="C3251" s="293" t="s">
        <v>6110</v>
      </c>
      <c r="D3251" s="293" t="s">
        <v>5878</v>
      </c>
      <c r="E3251" s="293" t="s">
        <v>6303</v>
      </c>
      <c r="F3251" s="293" t="s">
        <v>7180</v>
      </c>
      <c r="G3251" s="293" t="s">
        <v>5573</v>
      </c>
      <c r="H3251" s="294">
        <v>42338</v>
      </c>
      <c r="I3251" s="295">
        <v>-1780.13</v>
      </c>
    </row>
    <row r="3252" spans="1:9" x14ac:dyDescent="0.2">
      <c r="A3252" s="293" t="s">
        <v>8996</v>
      </c>
      <c r="B3252" s="293" t="s">
        <v>5666</v>
      </c>
      <c r="C3252" s="293" t="s">
        <v>6115</v>
      </c>
      <c r="D3252" s="293" t="s">
        <v>5878</v>
      </c>
      <c r="E3252" s="293" t="s">
        <v>6305</v>
      </c>
      <c r="F3252" s="293" t="s">
        <v>7180</v>
      </c>
      <c r="G3252" s="293" t="s">
        <v>5581</v>
      </c>
      <c r="H3252" s="294">
        <v>42338</v>
      </c>
      <c r="I3252" s="295">
        <v>-2230.71</v>
      </c>
    </row>
    <row r="3253" spans="1:9" x14ac:dyDescent="0.2">
      <c r="A3253" s="293" t="s">
        <v>8997</v>
      </c>
      <c r="B3253" s="293" t="s">
        <v>5666</v>
      </c>
      <c r="C3253" s="293" t="s">
        <v>6086</v>
      </c>
      <c r="D3253" s="293" t="s">
        <v>5878</v>
      </c>
      <c r="E3253" s="293" t="s">
        <v>6307</v>
      </c>
      <c r="F3253" s="293" t="s">
        <v>7180</v>
      </c>
      <c r="G3253" s="293" t="s">
        <v>5581</v>
      </c>
      <c r="H3253" s="294">
        <v>42338</v>
      </c>
      <c r="I3253" s="295">
        <v>-2490.34</v>
      </c>
    </row>
    <row r="3254" spans="1:9" x14ac:dyDescent="0.2">
      <c r="A3254" s="293" t="s">
        <v>8998</v>
      </c>
      <c r="B3254" s="293" t="s">
        <v>5666</v>
      </c>
      <c r="C3254" s="293" t="s">
        <v>6113</v>
      </c>
      <c r="D3254" s="293" t="s">
        <v>5878</v>
      </c>
      <c r="E3254" s="293" t="s">
        <v>6316</v>
      </c>
      <c r="F3254" s="293" t="s">
        <v>7180</v>
      </c>
      <c r="G3254" s="293" t="s">
        <v>5573</v>
      </c>
      <c r="H3254" s="294">
        <v>42338</v>
      </c>
      <c r="I3254" s="295">
        <v>-5336.81</v>
      </c>
    </row>
    <row r="3255" spans="1:9" x14ac:dyDescent="0.2">
      <c r="A3255" s="293" t="s">
        <v>8999</v>
      </c>
      <c r="B3255" s="293" t="s">
        <v>5666</v>
      </c>
      <c r="C3255" s="293" t="s">
        <v>6313</v>
      </c>
      <c r="D3255" s="293" t="s">
        <v>5878</v>
      </c>
      <c r="E3255" s="293" t="s">
        <v>6314</v>
      </c>
      <c r="F3255" s="293" t="s">
        <v>7180</v>
      </c>
      <c r="G3255" s="293" t="s">
        <v>5576</v>
      </c>
      <c r="H3255" s="294">
        <v>42338</v>
      </c>
      <c r="I3255" s="295">
        <v>-4207.3500000000004</v>
      </c>
    </row>
    <row r="3256" spans="1:9" x14ac:dyDescent="0.2">
      <c r="A3256" s="293" t="s">
        <v>9000</v>
      </c>
      <c r="B3256" s="293" t="s">
        <v>5666</v>
      </c>
      <c r="C3256" s="293" t="s">
        <v>6272</v>
      </c>
      <c r="D3256" s="293" t="s">
        <v>5878</v>
      </c>
      <c r="E3256" s="293" t="s">
        <v>6273</v>
      </c>
      <c r="F3256" s="293" t="s">
        <v>7201</v>
      </c>
      <c r="G3256" s="293" t="s">
        <v>5576</v>
      </c>
      <c r="H3256" s="294">
        <v>42369</v>
      </c>
      <c r="I3256" s="295">
        <v>-3340.78</v>
      </c>
    </row>
    <row r="3257" spans="1:9" x14ac:dyDescent="0.2">
      <c r="A3257" s="293" t="s">
        <v>9001</v>
      </c>
      <c r="B3257" s="293" t="s">
        <v>5666</v>
      </c>
      <c r="C3257" s="293" t="s">
        <v>6122</v>
      </c>
      <c r="D3257" s="293" t="s">
        <v>5878</v>
      </c>
      <c r="E3257" s="293" t="s">
        <v>6275</v>
      </c>
      <c r="F3257" s="293" t="s">
        <v>7201</v>
      </c>
      <c r="G3257" s="293" t="s">
        <v>5577</v>
      </c>
      <c r="H3257" s="294">
        <v>42369</v>
      </c>
      <c r="I3257" s="295">
        <v>-1179.21</v>
      </c>
    </row>
    <row r="3258" spans="1:9" x14ac:dyDescent="0.2">
      <c r="A3258" s="293" t="s">
        <v>9002</v>
      </c>
      <c r="B3258" s="293" t="s">
        <v>5666</v>
      </c>
      <c r="C3258" s="293" t="s">
        <v>6124</v>
      </c>
      <c r="D3258" s="293" t="s">
        <v>5878</v>
      </c>
      <c r="E3258" s="293" t="s">
        <v>6277</v>
      </c>
      <c r="F3258" s="293" t="s">
        <v>7201</v>
      </c>
      <c r="G3258" s="293" t="s">
        <v>5578</v>
      </c>
      <c r="H3258" s="294">
        <v>42369</v>
      </c>
      <c r="I3258" s="295">
        <v>-1019.33</v>
      </c>
    </row>
    <row r="3259" spans="1:9" x14ac:dyDescent="0.2">
      <c r="A3259" s="293" t="s">
        <v>9003</v>
      </c>
      <c r="B3259" s="293" t="s">
        <v>5666</v>
      </c>
      <c r="C3259" s="293" t="s">
        <v>6126</v>
      </c>
      <c r="D3259" s="293" t="s">
        <v>5878</v>
      </c>
      <c r="E3259" s="293" t="s">
        <v>6279</v>
      </c>
      <c r="F3259" s="293" t="s">
        <v>7201</v>
      </c>
      <c r="G3259" s="293" t="s">
        <v>5579</v>
      </c>
      <c r="H3259" s="294">
        <v>42369</v>
      </c>
      <c r="I3259" s="295">
        <v>-857.57</v>
      </c>
    </row>
    <row r="3260" spans="1:9" x14ac:dyDescent="0.2">
      <c r="A3260" s="293" t="s">
        <v>9004</v>
      </c>
      <c r="B3260" s="293" t="s">
        <v>5666</v>
      </c>
      <c r="C3260" s="293" t="s">
        <v>6091</v>
      </c>
      <c r="D3260" s="293" t="s">
        <v>5878</v>
      </c>
      <c r="E3260" s="293" t="s">
        <v>6281</v>
      </c>
      <c r="F3260" s="293" t="s">
        <v>7201</v>
      </c>
      <c r="G3260" s="293" t="s">
        <v>5573</v>
      </c>
      <c r="H3260" s="294">
        <v>42369</v>
      </c>
      <c r="I3260" s="295">
        <v>-3125.47</v>
      </c>
    </row>
    <row r="3261" spans="1:9" x14ac:dyDescent="0.2">
      <c r="A3261" s="293" t="s">
        <v>9005</v>
      </c>
      <c r="B3261" s="293" t="s">
        <v>5666</v>
      </c>
      <c r="C3261" s="293" t="s">
        <v>6093</v>
      </c>
      <c r="D3261" s="293" t="s">
        <v>5878</v>
      </c>
      <c r="E3261" s="293" t="s">
        <v>6283</v>
      </c>
      <c r="F3261" s="293" t="s">
        <v>7201</v>
      </c>
      <c r="G3261" s="293" t="s">
        <v>5573</v>
      </c>
      <c r="H3261" s="294">
        <v>42369</v>
      </c>
      <c r="I3261" s="295">
        <v>-4451.78</v>
      </c>
    </row>
    <row r="3262" spans="1:9" x14ac:dyDescent="0.2">
      <c r="A3262" s="293" t="s">
        <v>9006</v>
      </c>
      <c r="B3262" s="293" t="s">
        <v>5666</v>
      </c>
      <c r="C3262" s="293" t="s">
        <v>6080</v>
      </c>
      <c r="D3262" s="293" t="s">
        <v>5878</v>
      </c>
      <c r="E3262" s="293" t="s">
        <v>6285</v>
      </c>
      <c r="F3262" s="293" t="s">
        <v>7201</v>
      </c>
      <c r="G3262" s="293" t="s">
        <v>5573</v>
      </c>
      <c r="H3262" s="294">
        <v>42369</v>
      </c>
      <c r="I3262" s="295">
        <v>-10077.08</v>
      </c>
    </row>
    <row r="3263" spans="1:9" x14ac:dyDescent="0.2">
      <c r="A3263" s="293" t="s">
        <v>9007</v>
      </c>
      <c r="B3263" s="293" t="s">
        <v>5666</v>
      </c>
      <c r="C3263" s="293" t="s">
        <v>6095</v>
      </c>
      <c r="D3263" s="293" t="s">
        <v>5878</v>
      </c>
      <c r="E3263" s="293" t="s">
        <v>6287</v>
      </c>
      <c r="F3263" s="293" t="s">
        <v>7201</v>
      </c>
      <c r="G3263" s="293" t="s">
        <v>5580</v>
      </c>
      <c r="H3263" s="294">
        <v>42369</v>
      </c>
      <c r="I3263" s="295">
        <v>-5589.54</v>
      </c>
    </row>
    <row r="3264" spans="1:9" x14ac:dyDescent="0.2">
      <c r="A3264" s="293" t="s">
        <v>9008</v>
      </c>
      <c r="B3264" s="293" t="s">
        <v>5666</v>
      </c>
      <c r="C3264" s="293" t="s">
        <v>6097</v>
      </c>
      <c r="D3264" s="293" t="s">
        <v>5878</v>
      </c>
      <c r="E3264" s="293" t="s">
        <v>6289</v>
      </c>
      <c r="F3264" s="293" t="s">
        <v>7201</v>
      </c>
      <c r="G3264" s="293" t="s">
        <v>5580</v>
      </c>
      <c r="H3264" s="294">
        <v>42369</v>
      </c>
      <c r="I3264" s="295">
        <v>-10099.59</v>
      </c>
    </row>
    <row r="3265" spans="1:9" x14ac:dyDescent="0.2">
      <c r="A3265" s="293" t="s">
        <v>9009</v>
      </c>
      <c r="B3265" s="293" t="s">
        <v>5666</v>
      </c>
      <c r="C3265" s="293" t="s">
        <v>6099</v>
      </c>
      <c r="D3265" s="293" t="s">
        <v>5878</v>
      </c>
      <c r="E3265" s="293" t="s">
        <v>6291</v>
      </c>
      <c r="F3265" s="293" t="s">
        <v>7201</v>
      </c>
      <c r="G3265" s="293" t="s">
        <v>5579</v>
      </c>
      <c r="H3265" s="294">
        <v>42369</v>
      </c>
      <c r="I3265" s="295">
        <v>-1407.23</v>
      </c>
    </row>
    <row r="3266" spans="1:9" x14ac:dyDescent="0.2">
      <c r="A3266" s="293" t="s">
        <v>9010</v>
      </c>
      <c r="B3266" s="293" t="s">
        <v>5666</v>
      </c>
      <c r="C3266" s="293" t="s">
        <v>6083</v>
      </c>
      <c r="D3266" s="293" t="s">
        <v>5878</v>
      </c>
      <c r="E3266" s="293" t="s">
        <v>6293</v>
      </c>
      <c r="F3266" s="293" t="s">
        <v>7201</v>
      </c>
      <c r="G3266" s="293" t="s">
        <v>5579</v>
      </c>
      <c r="H3266" s="294">
        <v>42369</v>
      </c>
      <c r="I3266" s="295">
        <v>-2524.9</v>
      </c>
    </row>
    <row r="3267" spans="1:9" x14ac:dyDescent="0.2">
      <c r="A3267" s="293" t="s">
        <v>9011</v>
      </c>
      <c r="B3267" s="293" t="s">
        <v>5666</v>
      </c>
      <c r="C3267" s="293" t="s">
        <v>6101</v>
      </c>
      <c r="D3267" s="293" t="s">
        <v>5878</v>
      </c>
      <c r="E3267" s="293" t="s">
        <v>6295</v>
      </c>
      <c r="F3267" s="293" t="s">
        <v>7201</v>
      </c>
      <c r="G3267" s="293" t="s">
        <v>5580</v>
      </c>
      <c r="H3267" s="294">
        <v>42369</v>
      </c>
      <c r="I3267" s="295">
        <v>-193.73</v>
      </c>
    </row>
    <row r="3268" spans="1:9" x14ac:dyDescent="0.2">
      <c r="A3268" s="293" t="s">
        <v>9012</v>
      </c>
      <c r="B3268" s="293" t="s">
        <v>5666</v>
      </c>
      <c r="C3268" s="293" t="s">
        <v>6104</v>
      </c>
      <c r="D3268" s="293" t="s">
        <v>5878</v>
      </c>
      <c r="E3268" s="293" t="s">
        <v>6297</v>
      </c>
      <c r="F3268" s="293" t="s">
        <v>7201</v>
      </c>
      <c r="G3268" s="293" t="s">
        <v>5580</v>
      </c>
      <c r="H3268" s="294">
        <v>42369</v>
      </c>
      <c r="I3268" s="295">
        <v>-274.12</v>
      </c>
    </row>
    <row r="3269" spans="1:9" x14ac:dyDescent="0.2">
      <c r="A3269" s="293" t="s">
        <v>9013</v>
      </c>
      <c r="B3269" s="293" t="s">
        <v>5666</v>
      </c>
      <c r="C3269" s="293" t="s">
        <v>6106</v>
      </c>
      <c r="D3269" s="293" t="s">
        <v>5878</v>
      </c>
      <c r="E3269" s="293" t="s">
        <v>6299</v>
      </c>
      <c r="F3269" s="293" t="s">
        <v>7201</v>
      </c>
      <c r="G3269" s="293" t="s">
        <v>5580</v>
      </c>
      <c r="H3269" s="294">
        <v>42369</v>
      </c>
      <c r="I3269" s="295">
        <v>-1347.95</v>
      </c>
    </row>
    <row r="3270" spans="1:9" x14ac:dyDescent="0.2">
      <c r="A3270" s="293" t="s">
        <v>9014</v>
      </c>
      <c r="B3270" s="293" t="s">
        <v>5666</v>
      </c>
      <c r="C3270" s="293" t="s">
        <v>6108</v>
      </c>
      <c r="D3270" s="293" t="s">
        <v>5878</v>
      </c>
      <c r="E3270" s="293" t="s">
        <v>6301</v>
      </c>
      <c r="F3270" s="293" t="s">
        <v>7201</v>
      </c>
      <c r="G3270" s="293" t="s">
        <v>5580</v>
      </c>
      <c r="H3270" s="294">
        <v>42369</v>
      </c>
      <c r="I3270" s="295">
        <v>-1918.86</v>
      </c>
    </row>
    <row r="3271" spans="1:9" x14ac:dyDescent="0.2">
      <c r="A3271" s="293" t="s">
        <v>9015</v>
      </c>
      <c r="B3271" s="293" t="s">
        <v>5666</v>
      </c>
      <c r="C3271" s="293" t="s">
        <v>6110</v>
      </c>
      <c r="D3271" s="293" t="s">
        <v>5878</v>
      </c>
      <c r="E3271" s="293" t="s">
        <v>6303</v>
      </c>
      <c r="F3271" s="293" t="s">
        <v>7201</v>
      </c>
      <c r="G3271" s="293" t="s">
        <v>5573</v>
      </c>
      <c r="H3271" s="294">
        <v>42369</v>
      </c>
      <c r="I3271" s="295">
        <v>-1780.13</v>
      </c>
    </row>
    <row r="3272" spans="1:9" x14ac:dyDescent="0.2">
      <c r="A3272" s="293" t="s">
        <v>9016</v>
      </c>
      <c r="B3272" s="293" t="s">
        <v>5666</v>
      </c>
      <c r="C3272" s="293" t="s">
        <v>6115</v>
      </c>
      <c r="D3272" s="293" t="s">
        <v>5878</v>
      </c>
      <c r="E3272" s="293" t="s">
        <v>6305</v>
      </c>
      <c r="F3272" s="293" t="s">
        <v>7201</v>
      </c>
      <c r="G3272" s="293" t="s">
        <v>5581</v>
      </c>
      <c r="H3272" s="294">
        <v>42369</v>
      </c>
      <c r="I3272" s="295">
        <v>-2230.71</v>
      </c>
    </row>
    <row r="3273" spans="1:9" x14ac:dyDescent="0.2">
      <c r="A3273" s="293" t="s">
        <v>9017</v>
      </c>
      <c r="B3273" s="293" t="s">
        <v>5666</v>
      </c>
      <c r="C3273" s="293" t="s">
        <v>6086</v>
      </c>
      <c r="D3273" s="293" t="s">
        <v>5878</v>
      </c>
      <c r="E3273" s="293" t="s">
        <v>6307</v>
      </c>
      <c r="F3273" s="293" t="s">
        <v>7201</v>
      </c>
      <c r="G3273" s="293" t="s">
        <v>5581</v>
      </c>
      <c r="H3273" s="294">
        <v>42369</v>
      </c>
      <c r="I3273" s="295">
        <v>-2490.34</v>
      </c>
    </row>
    <row r="3274" spans="1:9" x14ac:dyDescent="0.2">
      <c r="A3274" s="293" t="s">
        <v>9018</v>
      </c>
      <c r="B3274" s="293" t="s">
        <v>5666</v>
      </c>
      <c r="C3274" s="293" t="s">
        <v>6113</v>
      </c>
      <c r="D3274" s="293" t="s">
        <v>5878</v>
      </c>
      <c r="E3274" s="293" t="s">
        <v>6316</v>
      </c>
      <c r="F3274" s="293" t="s">
        <v>7201</v>
      </c>
      <c r="G3274" s="293" t="s">
        <v>5573</v>
      </c>
      <c r="H3274" s="294">
        <v>42369</v>
      </c>
      <c r="I3274" s="295">
        <v>-5336.81</v>
      </c>
    </row>
    <row r="3275" spans="1:9" x14ac:dyDescent="0.2">
      <c r="A3275" s="293" t="s">
        <v>9019</v>
      </c>
      <c r="B3275" s="293" t="s">
        <v>5666</v>
      </c>
      <c r="C3275" s="293" t="s">
        <v>6313</v>
      </c>
      <c r="D3275" s="293" t="s">
        <v>5878</v>
      </c>
      <c r="E3275" s="293" t="s">
        <v>6314</v>
      </c>
      <c r="F3275" s="293" t="s">
        <v>7201</v>
      </c>
      <c r="G3275" s="293" t="s">
        <v>5576</v>
      </c>
      <c r="H3275" s="294">
        <v>42369</v>
      </c>
      <c r="I3275" s="295">
        <v>-4207.3500000000004</v>
      </c>
    </row>
    <row r="3276" spans="1:9" x14ac:dyDescent="0.2">
      <c r="A3276" s="293" t="s">
        <v>9020</v>
      </c>
      <c r="B3276" s="293" t="s">
        <v>5666</v>
      </c>
      <c r="C3276" s="293" t="s">
        <v>6272</v>
      </c>
      <c r="D3276" s="293" t="s">
        <v>5878</v>
      </c>
      <c r="E3276" s="293" t="s">
        <v>6273</v>
      </c>
      <c r="F3276" s="293" t="s">
        <v>7224</v>
      </c>
      <c r="G3276" s="293" t="s">
        <v>5576</v>
      </c>
      <c r="H3276" s="294">
        <v>42400</v>
      </c>
      <c r="I3276" s="295">
        <v>-3340.78</v>
      </c>
    </row>
    <row r="3277" spans="1:9" x14ac:dyDescent="0.2">
      <c r="A3277" s="293" t="s">
        <v>9021</v>
      </c>
      <c r="B3277" s="293" t="s">
        <v>5666</v>
      </c>
      <c r="C3277" s="293" t="s">
        <v>6122</v>
      </c>
      <c r="D3277" s="293" t="s">
        <v>5878</v>
      </c>
      <c r="E3277" s="293" t="s">
        <v>6275</v>
      </c>
      <c r="F3277" s="293" t="s">
        <v>7224</v>
      </c>
      <c r="G3277" s="293" t="s">
        <v>5577</v>
      </c>
      <c r="H3277" s="294">
        <v>42400</v>
      </c>
      <c r="I3277" s="295">
        <v>-1179.21</v>
      </c>
    </row>
    <row r="3278" spans="1:9" x14ac:dyDescent="0.2">
      <c r="A3278" s="293" t="s">
        <v>9022</v>
      </c>
      <c r="B3278" s="293" t="s">
        <v>5666</v>
      </c>
      <c r="C3278" s="293" t="s">
        <v>6124</v>
      </c>
      <c r="D3278" s="293" t="s">
        <v>5878</v>
      </c>
      <c r="E3278" s="293" t="s">
        <v>6277</v>
      </c>
      <c r="F3278" s="293" t="s">
        <v>7224</v>
      </c>
      <c r="G3278" s="293" t="s">
        <v>5578</v>
      </c>
      <c r="H3278" s="294">
        <v>42400</v>
      </c>
      <c r="I3278" s="295">
        <v>-1019.33</v>
      </c>
    </row>
    <row r="3279" spans="1:9" x14ac:dyDescent="0.2">
      <c r="A3279" s="293" t="s">
        <v>9023</v>
      </c>
      <c r="B3279" s="293" t="s">
        <v>5666</v>
      </c>
      <c r="C3279" s="293" t="s">
        <v>6126</v>
      </c>
      <c r="D3279" s="293" t="s">
        <v>5878</v>
      </c>
      <c r="E3279" s="293" t="s">
        <v>6279</v>
      </c>
      <c r="F3279" s="293" t="s">
        <v>7224</v>
      </c>
      <c r="G3279" s="293" t="s">
        <v>5579</v>
      </c>
      <c r="H3279" s="294">
        <v>42400</v>
      </c>
      <c r="I3279" s="295">
        <v>-857.57</v>
      </c>
    </row>
    <row r="3280" spans="1:9" x14ac:dyDescent="0.2">
      <c r="A3280" s="293" t="s">
        <v>9024</v>
      </c>
      <c r="B3280" s="293" t="s">
        <v>5666</v>
      </c>
      <c r="C3280" s="293" t="s">
        <v>6091</v>
      </c>
      <c r="D3280" s="293" t="s">
        <v>5878</v>
      </c>
      <c r="E3280" s="293" t="s">
        <v>6281</v>
      </c>
      <c r="F3280" s="293" t="s">
        <v>7224</v>
      </c>
      <c r="G3280" s="293" t="s">
        <v>5573</v>
      </c>
      <c r="H3280" s="294">
        <v>42400</v>
      </c>
      <c r="I3280" s="295">
        <v>-3125.47</v>
      </c>
    </row>
    <row r="3281" spans="1:9" x14ac:dyDescent="0.2">
      <c r="A3281" s="293" t="s">
        <v>9025</v>
      </c>
      <c r="B3281" s="293" t="s">
        <v>5666</v>
      </c>
      <c r="C3281" s="293" t="s">
        <v>6093</v>
      </c>
      <c r="D3281" s="293" t="s">
        <v>5878</v>
      </c>
      <c r="E3281" s="293" t="s">
        <v>6283</v>
      </c>
      <c r="F3281" s="293" t="s">
        <v>7224</v>
      </c>
      <c r="G3281" s="293" t="s">
        <v>5573</v>
      </c>
      <c r="H3281" s="294">
        <v>42400</v>
      </c>
      <c r="I3281" s="295">
        <v>-4451.78</v>
      </c>
    </row>
    <row r="3282" spans="1:9" x14ac:dyDescent="0.2">
      <c r="A3282" s="293" t="s">
        <v>9026</v>
      </c>
      <c r="B3282" s="293" t="s">
        <v>5666</v>
      </c>
      <c r="C3282" s="293" t="s">
        <v>6080</v>
      </c>
      <c r="D3282" s="293" t="s">
        <v>5878</v>
      </c>
      <c r="E3282" s="293" t="s">
        <v>6285</v>
      </c>
      <c r="F3282" s="293" t="s">
        <v>7224</v>
      </c>
      <c r="G3282" s="293" t="s">
        <v>5573</v>
      </c>
      <c r="H3282" s="294">
        <v>42400</v>
      </c>
      <c r="I3282" s="295">
        <v>-10077.08</v>
      </c>
    </row>
    <row r="3283" spans="1:9" x14ac:dyDescent="0.2">
      <c r="A3283" s="293" t="s">
        <v>9027</v>
      </c>
      <c r="B3283" s="293" t="s">
        <v>5666</v>
      </c>
      <c r="C3283" s="293" t="s">
        <v>6095</v>
      </c>
      <c r="D3283" s="293" t="s">
        <v>5878</v>
      </c>
      <c r="E3283" s="293" t="s">
        <v>6287</v>
      </c>
      <c r="F3283" s="293" t="s">
        <v>7224</v>
      </c>
      <c r="G3283" s="293" t="s">
        <v>5580</v>
      </c>
      <c r="H3283" s="294">
        <v>42400</v>
      </c>
      <c r="I3283" s="295">
        <v>-5589.54</v>
      </c>
    </row>
    <row r="3284" spans="1:9" x14ac:dyDescent="0.2">
      <c r="A3284" s="293" t="s">
        <v>9028</v>
      </c>
      <c r="B3284" s="293" t="s">
        <v>5666</v>
      </c>
      <c r="C3284" s="293" t="s">
        <v>6097</v>
      </c>
      <c r="D3284" s="293" t="s">
        <v>5878</v>
      </c>
      <c r="E3284" s="293" t="s">
        <v>6289</v>
      </c>
      <c r="F3284" s="293" t="s">
        <v>7224</v>
      </c>
      <c r="G3284" s="293" t="s">
        <v>5580</v>
      </c>
      <c r="H3284" s="294">
        <v>42400</v>
      </c>
      <c r="I3284" s="295">
        <v>-10099.59</v>
      </c>
    </row>
    <row r="3285" spans="1:9" x14ac:dyDescent="0.2">
      <c r="A3285" s="293" t="s">
        <v>9029</v>
      </c>
      <c r="B3285" s="293" t="s">
        <v>5666</v>
      </c>
      <c r="C3285" s="293" t="s">
        <v>6099</v>
      </c>
      <c r="D3285" s="293" t="s">
        <v>5878</v>
      </c>
      <c r="E3285" s="293" t="s">
        <v>6291</v>
      </c>
      <c r="F3285" s="293" t="s">
        <v>7224</v>
      </c>
      <c r="G3285" s="293" t="s">
        <v>5579</v>
      </c>
      <c r="H3285" s="294">
        <v>42400</v>
      </c>
      <c r="I3285" s="295">
        <v>-1407.23</v>
      </c>
    </row>
    <row r="3286" spans="1:9" x14ac:dyDescent="0.2">
      <c r="A3286" s="293" t="s">
        <v>9030</v>
      </c>
      <c r="B3286" s="293" t="s">
        <v>5666</v>
      </c>
      <c r="C3286" s="293" t="s">
        <v>6083</v>
      </c>
      <c r="D3286" s="293" t="s">
        <v>5878</v>
      </c>
      <c r="E3286" s="293" t="s">
        <v>6293</v>
      </c>
      <c r="F3286" s="293" t="s">
        <v>7224</v>
      </c>
      <c r="G3286" s="293" t="s">
        <v>5579</v>
      </c>
      <c r="H3286" s="294">
        <v>42400</v>
      </c>
      <c r="I3286" s="295">
        <v>-2524.9</v>
      </c>
    </row>
    <row r="3287" spans="1:9" x14ac:dyDescent="0.2">
      <c r="A3287" s="293" t="s">
        <v>9031</v>
      </c>
      <c r="B3287" s="293" t="s">
        <v>5666</v>
      </c>
      <c r="C3287" s="293" t="s">
        <v>6101</v>
      </c>
      <c r="D3287" s="293" t="s">
        <v>5878</v>
      </c>
      <c r="E3287" s="293" t="s">
        <v>6295</v>
      </c>
      <c r="F3287" s="293" t="s">
        <v>7224</v>
      </c>
      <c r="G3287" s="293" t="s">
        <v>5580</v>
      </c>
      <c r="H3287" s="294">
        <v>42400</v>
      </c>
      <c r="I3287" s="295">
        <v>-193.73</v>
      </c>
    </row>
    <row r="3288" spans="1:9" x14ac:dyDescent="0.2">
      <c r="A3288" s="293" t="s">
        <v>9032</v>
      </c>
      <c r="B3288" s="293" t="s">
        <v>5666</v>
      </c>
      <c r="C3288" s="293" t="s">
        <v>6104</v>
      </c>
      <c r="D3288" s="293" t="s">
        <v>5878</v>
      </c>
      <c r="E3288" s="293" t="s">
        <v>6297</v>
      </c>
      <c r="F3288" s="293" t="s">
        <v>7224</v>
      </c>
      <c r="G3288" s="293" t="s">
        <v>5580</v>
      </c>
      <c r="H3288" s="294">
        <v>42400</v>
      </c>
      <c r="I3288" s="295">
        <v>-274.12</v>
      </c>
    </row>
    <row r="3289" spans="1:9" x14ac:dyDescent="0.2">
      <c r="A3289" s="293" t="s">
        <v>9033</v>
      </c>
      <c r="B3289" s="293" t="s">
        <v>5666</v>
      </c>
      <c r="C3289" s="293" t="s">
        <v>6106</v>
      </c>
      <c r="D3289" s="293" t="s">
        <v>5878</v>
      </c>
      <c r="E3289" s="293" t="s">
        <v>6299</v>
      </c>
      <c r="F3289" s="293" t="s">
        <v>7224</v>
      </c>
      <c r="G3289" s="293" t="s">
        <v>5580</v>
      </c>
      <c r="H3289" s="294">
        <v>42400</v>
      </c>
      <c r="I3289" s="295">
        <v>-1347.95</v>
      </c>
    </row>
    <row r="3290" spans="1:9" x14ac:dyDescent="0.2">
      <c r="A3290" s="293" t="s">
        <v>9034</v>
      </c>
      <c r="B3290" s="293" t="s">
        <v>5666</v>
      </c>
      <c r="C3290" s="293" t="s">
        <v>6108</v>
      </c>
      <c r="D3290" s="293" t="s">
        <v>5878</v>
      </c>
      <c r="E3290" s="293" t="s">
        <v>6301</v>
      </c>
      <c r="F3290" s="293" t="s">
        <v>7224</v>
      </c>
      <c r="G3290" s="293" t="s">
        <v>5580</v>
      </c>
      <c r="H3290" s="294">
        <v>42400</v>
      </c>
      <c r="I3290" s="295">
        <v>-1918.86</v>
      </c>
    </row>
    <row r="3291" spans="1:9" x14ac:dyDescent="0.2">
      <c r="A3291" s="293" t="s">
        <v>9035</v>
      </c>
      <c r="B3291" s="293" t="s">
        <v>5666</v>
      </c>
      <c r="C3291" s="293" t="s">
        <v>6110</v>
      </c>
      <c r="D3291" s="293" t="s">
        <v>5878</v>
      </c>
      <c r="E3291" s="293" t="s">
        <v>6303</v>
      </c>
      <c r="F3291" s="293" t="s">
        <v>7224</v>
      </c>
      <c r="G3291" s="293" t="s">
        <v>5573</v>
      </c>
      <c r="H3291" s="294">
        <v>42400</v>
      </c>
      <c r="I3291" s="295">
        <v>-1780.13</v>
      </c>
    </row>
    <row r="3292" spans="1:9" x14ac:dyDescent="0.2">
      <c r="A3292" s="293" t="s">
        <v>9036</v>
      </c>
      <c r="B3292" s="293" t="s">
        <v>5666</v>
      </c>
      <c r="C3292" s="293" t="s">
        <v>6115</v>
      </c>
      <c r="D3292" s="293" t="s">
        <v>5878</v>
      </c>
      <c r="E3292" s="293" t="s">
        <v>6305</v>
      </c>
      <c r="F3292" s="293" t="s">
        <v>7224</v>
      </c>
      <c r="G3292" s="293" t="s">
        <v>5581</v>
      </c>
      <c r="H3292" s="294">
        <v>42400</v>
      </c>
      <c r="I3292" s="295">
        <v>-2230.71</v>
      </c>
    </row>
    <row r="3293" spans="1:9" x14ac:dyDescent="0.2">
      <c r="A3293" s="293" t="s">
        <v>9037</v>
      </c>
      <c r="B3293" s="293" t="s">
        <v>5666</v>
      </c>
      <c r="C3293" s="293" t="s">
        <v>6086</v>
      </c>
      <c r="D3293" s="293" t="s">
        <v>5878</v>
      </c>
      <c r="E3293" s="293" t="s">
        <v>6307</v>
      </c>
      <c r="F3293" s="293" t="s">
        <v>7224</v>
      </c>
      <c r="G3293" s="293" t="s">
        <v>5581</v>
      </c>
      <c r="H3293" s="294">
        <v>42400</v>
      </c>
      <c r="I3293" s="295">
        <v>-2490.34</v>
      </c>
    </row>
    <row r="3294" spans="1:9" x14ac:dyDescent="0.2">
      <c r="A3294" s="293" t="s">
        <v>9038</v>
      </c>
      <c r="B3294" s="293" t="s">
        <v>5666</v>
      </c>
      <c r="C3294" s="293" t="s">
        <v>6113</v>
      </c>
      <c r="D3294" s="293" t="s">
        <v>5878</v>
      </c>
      <c r="E3294" s="293" t="s">
        <v>6316</v>
      </c>
      <c r="F3294" s="293" t="s">
        <v>7224</v>
      </c>
      <c r="G3294" s="293" t="s">
        <v>5573</v>
      </c>
      <c r="H3294" s="294">
        <v>42400</v>
      </c>
      <c r="I3294" s="295">
        <v>-5336.81</v>
      </c>
    </row>
    <row r="3295" spans="1:9" x14ac:dyDescent="0.2">
      <c r="A3295" s="293" t="s">
        <v>9039</v>
      </c>
      <c r="B3295" s="293" t="s">
        <v>5666</v>
      </c>
      <c r="C3295" s="293" t="s">
        <v>6313</v>
      </c>
      <c r="D3295" s="293" t="s">
        <v>5878</v>
      </c>
      <c r="E3295" s="293" t="s">
        <v>6314</v>
      </c>
      <c r="F3295" s="293" t="s">
        <v>7224</v>
      </c>
      <c r="G3295" s="293" t="s">
        <v>5576</v>
      </c>
      <c r="H3295" s="294">
        <v>42400</v>
      </c>
      <c r="I3295" s="295">
        <v>-4207.3500000000004</v>
      </c>
    </row>
    <row r="3296" spans="1:9" x14ac:dyDescent="0.2">
      <c r="A3296" s="293" t="s">
        <v>9040</v>
      </c>
      <c r="B3296" s="293" t="s">
        <v>5666</v>
      </c>
      <c r="C3296" s="293" t="s">
        <v>6272</v>
      </c>
      <c r="D3296" s="293" t="s">
        <v>5878</v>
      </c>
      <c r="E3296" s="293" t="s">
        <v>6273</v>
      </c>
      <c r="F3296" s="293" t="s">
        <v>7247</v>
      </c>
      <c r="G3296" s="293" t="s">
        <v>5576</v>
      </c>
      <c r="H3296" s="294">
        <v>42429</v>
      </c>
      <c r="I3296" s="295">
        <v>-3340.78</v>
      </c>
    </row>
    <row r="3297" spans="1:9" x14ac:dyDescent="0.2">
      <c r="A3297" s="293" t="s">
        <v>9041</v>
      </c>
      <c r="B3297" s="293" t="s">
        <v>5666</v>
      </c>
      <c r="C3297" s="293" t="s">
        <v>6122</v>
      </c>
      <c r="D3297" s="293" t="s">
        <v>5878</v>
      </c>
      <c r="E3297" s="293" t="s">
        <v>6275</v>
      </c>
      <c r="F3297" s="293" t="s">
        <v>7247</v>
      </c>
      <c r="G3297" s="293" t="s">
        <v>5577</v>
      </c>
      <c r="H3297" s="294">
        <v>42429</v>
      </c>
      <c r="I3297" s="295">
        <v>-1179.21</v>
      </c>
    </row>
    <row r="3298" spans="1:9" x14ac:dyDescent="0.2">
      <c r="A3298" s="293" t="s">
        <v>9042</v>
      </c>
      <c r="B3298" s="293" t="s">
        <v>5666</v>
      </c>
      <c r="C3298" s="293" t="s">
        <v>6124</v>
      </c>
      <c r="D3298" s="293" t="s">
        <v>5878</v>
      </c>
      <c r="E3298" s="293" t="s">
        <v>6277</v>
      </c>
      <c r="F3298" s="293" t="s">
        <v>7247</v>
      </c>
      <c r="G3298" s="293" t="s">
        <v>5578</v>
      </c>
      <c r="H3298" s="294">
        <v>42429</v>
      </c>
      <c r="I3298" s="295">
        <v>-1019.33</v>
      </c>
    </row>
    <row r="3299" spans="1:9" x14ac:dyDescent="0.2">
      <c r="A3299" s="293" t="s">
        <v>9043</v>
      </c>
      <c r="B3299" s="293" t="s">
        <v>5666</v>
      </c>
      <c r="C3299" s="293" t="s">
        <v>6126</v>
      </c>
      <c r="D3299" s="293" t="s">
        <v>5878</v>
      </c>
      <c r="E3299" s="293" t="s">
        <v>6279</v>
      </c>
      <c r="F3299" s="293" t="s">
        <v>7247</v>
      </c>
      <c r="G3299" s="293" t="s">
        <v>5579</v>
      </c>
      <c r="H3299" s="294">
        <v>42429</v>
      </c>
      <c r="I3299" s="295">
        <v>-857.57</v>
      </c>
    </row>
    <row r="3300" spans="1:9" x14ac:dyDescent="0.2">
      <c r="A3300" s="293" t="s">
        <v>9044</v>
      </c>
      <c r="B3300" s="293" t="s">
        <v>5666</v>
      </c>
      <c r="C3300" s="293" t="s">
        <v>6091</v>
      </c>
      <c r="D3300" s="293" t="s">
        <v>5878</v>
      </c>
      <c r="E3300" s="293" t="s">
        <v>6281</v>
      </c>
      <c r="F3300" s="293" t="s">
        <v>7247</v>
      </c>
      <c r="G3300" s="293" t="s">
        <v>5573</v>
      </c>
      <c r="H3300" s="294">
        <v>42429</v>
      </c>
      <c r="I3300" s="295">
        <v>-3125.47</v>
      </c>
    </row>
    <row r="3301" spans="1:9" x14ac:dyDescent="0.2">
      <c r="A3301" s="293" t="s">
        <v>9045</v>
      </c>
      <c r="B3301" s="293" t="s">
        <v>5666</v>
      </c>
      <c r="C3301" s="293" t="s">
        <v>6093</v>
      </c>
      <c r="D3301" s="293" t="s">
        <v>5878</v>
      </c>
      <c r="E3301" s="293" t="s">
        <v>6283</v>
      </c>
      <c r="F3301" s="293" t="s">
        <v>7247</v>
      </c>
      <c r="G3301" s="293" t="s">
        <v>5573</v>
      </c>
      <c r="H3301" s="294">
        <v>42429</v>
      </c>
      <c r="I3301" s="295">
        <v>-4451.78</v>
      </c>
    </row>
    <row r="3302" spans="1:9" x14ac:dyDescent="0.2">
      <c r="A3302" s="293" t="s">
        <v>9046</v>
      </c>
      <c r="B3302" s="293" t="s">
        <v>5666</v>
      </c>
      <c r="C3302" s="293" t="s">
        <v>6080</v>
      </c>
      <c r="D3302" s="293" t="s">
        <v>5878</v>
      </c>
      <c r="E3302" s="293" t="s">
        <v>6285</v>
      </c>
      <c r="F3302" s="293" t="s">
        <v>7247</v>
      </c>
      <c r="G3302" s="293" t="s">
        <v>5573</v>
      </c>
      <c r="H3302" s="294">
        <v>42429</v>
      </c>
      <c r="I3302" s="295">
        <v>-10077.08</v>
      </c>
    </row>
    <row r="3303" spans="1:9" x14ac:dyDescent="0.2">
      <c r="A3303" s="293" t="s">
        <v>9047</v>
      </c>
      <c r="B3303" s="293" t="s">
        <v>5666</v>
      </c>
      <c r="C3303" s="293" t="s">
        <v>6095</v>
      </c>
      <c r="D3303" s="293" t="s">
        <v>5878</v>
      </c>
      <c r="E3303" s="293" t="s">
        <v>6287</v>
      </c>
      <c r="F3303" s="293" t="s">
        <v>7247</v>
      </c>
      <c r="G3303" s="293" t="s">
        <v>5580</v>
      </c>
      <c r="H3303" s="294">
        <v>42429</v>
      </c>
      <c r="I3303" s="295">
        <v>-5589.54</v>
      </c>
    </row>
    <row r="3304" spans="1:9" x14ac:dyDescent="0.2">
      <c r="A3304" s="293" t="s">
        <v>9048</v>
      </c>
      <c r="B3304" s="293" t="s">
        <v>5666</v>
      </c>
      <c r="C3304" s="293" t="s">
        <v>6097</v>
      </c>
      <c r="D3304" s="293" t="s">
        <v>5878</v>
      </c>
      <c r="E3304" s="293" t="s">
        <v>6289</v>
      </c>
      <c r="F3304" s="293" t="s">
        <v>7247</v>
      </c>
      <c r="G3304" s="293" t="s">
        <v>5580</v>
      </c>
      <c r="H3304" s="294">
        <v>42429</v>
      </c>
      <c r="I3304" s="295">
        <v>-10099.59</v>
      </c>
    </row>
    <row r="3305" spans="1:9" x14ac:dyDescent="0.2">
      <c r="A3305" s="293" t="s">
        <v>9049</v>
      </c>
      <c r="B3305" s="293" t="s">
        <v>5666</v>
      </c>
      <c r="C3305" s="293" t="s">
        <v>6099</v>
      </c>
      <c r="D3305" s="293" t="s">
        <v>5878</v>
      </c>
      <c r="E3305" s="293" t="s">
        <v>6291</v>
      </c>
      <c r="F3305" s="293" t="s">
        <v>7247</v>
      </c>
      <c r="G3305" s="293" t="s">
        <v>5579</v>
      </c>
      <c r="H3305" s="294">
        <v>42429</v>
      </c>
      <c r="I3305" s="295">
        <v>-1407.23</v>
      </c>
    </row>
    <row r="3306" spans="1:9" x14ac:dyDescent="0.2">
      <c r="A3306" s="293" t="s">
        <v>9050</v>
      </c>
      <c r="B3306" s="293" t="s">
        <v>5666</v>
      </c>
      <c r="C3306" s="293" t="s">
        <v>6083</v>
      </c>
      <c r="D3306" s="293" t="s">
        <v>5878</v>
      </c>
      <c r="E3306" s="293" t="s">
        <v>6293</v>
      </c>
      <c r="F3306" s="293" t="s">
        <v>7247</v>
      </c>
      <c r="G3306" s="293" t="s">
        <v>5579</v>
      </c>
      <c r="H3306" s="294">
        <v>42429</v>
      </c>
      <c r="I3306" s="295">
        <v>-2524.9</v>
      </c>
    </row>
    <row r="3307" spans="1:9" x14ac:dyDescent="0.2">
      <c r="A3307" s="293" t="s">
        <v>9051</v>
      </c>
      <c r="B3307" s="293" t="s">
        <v>5666</v>
      </c>
      <c r="C3307" s="293" t="s">
        <v>6101</v>
      </c>
      <c r="D3307" s="293" t="s">
        <v>5878</v>
      </c>
      <c r="E3307" s="293" t="s">
        <v>6295</v>
      </c>
      <c r="F3307" s="293" t="s">
        <v>7247</v>
      </c>
      <c r="G3307" s="293" t="s">
        <v>5580</v>
      </c>
      <c r="H3307" s="294">
        <v>42429</v>
      </c>
      <c r="I3307" s="295">
        <v>-193.73</v>
      </c>
    </row>
    <row r="3308" spans="1:9" x14ac:dyDescent="0.2">
      <c r="A3308" s="293" t="s">
        <v>9052</v>
      </c>
      <c r="B3308" s="293" t="s">
        <v>5666</v>
      </c>
      <c r="C3308" s="293" t="s">
        <v>6104</v>
      </c>
      <c r="D3308" s="293" t="s">
        <v>5878</v>
      </c>
      <c r="E3308" s="293" t="s">
        <v>6297</v>
      </c>
      <c r="F3308" s="293" t="s">
        <v>7247</v>
      </c>
      <c r="G3308" s="293" t="s">
        <v>5580</v>
      </c>
      <c r="H3308" s="294">
        <v>42429</v>
      </c>
      <c r="I3308" s="295">
        <v>-274.12</v>
      </c>
    </row>
    <row r="3309" spans="1:9" x14ac:dyDescent="0.2">
      <c r="A3309" s="293" t="s">
        <v>9053</v>
      </c>
      <c r="B3309" s="293" t="s">
        <v>5666</v>
      </c>
      <c r="C3309" s="293" t="s">
        <v>6106</v>
      </c>
      <c r="D3309" s="293" t="s">
        <v>5878</v>
      </c>
      <c r="E3309" s="293" t="s">
        <v>6299</v>
      </c>
      <c r="F3309" s="293" t="s">
        <v>7247</v>
      </c>
      <c r="G3309" s="293" t="s">
        <v>5580</v>
      </c>
      <c r="H3309" s="294">
        <v>42429</v>
      </c>
      <c r="I3309" s="295">
        <v>-1347.95</v>
      </c>
    </row>
    <row r="3310" spans="1:9" x14ac:dyDescent="0.2">
      <c r="A3310" s="293" t="s">
        <v>9054</v>
      </c>
      <c r="B3310" s="293" t="s">
        <v>5666</v>
      </c>
      <c r="C3310" s="293" t="s">
        <v>6108</v>
      </c>
      <c r="D3310" s="293" t="s">
        <v>5878</v>
      </c>
      <c r="E3310" s="293" t="s">
        <v>6301</v>
      </c>
      <c r="F3310" s="293" t="s">
        <v>7247</v>
      </c>
      <c r="G3310" s="293" t="s">
        <v>5580</v>
      </c>
      <c r="H3310" s="294">
        <v>42429</v>
      </c>
      <c r="I3310" s="295">
        <v>-1918.86</v>
      </c>
    </row>
    <row r="3311" spans="1:9" x14ac:dyDescent="0.2">
      <c r="A3311" s="293" t="s">
        <v>9055</v>
      </c>
      <c r="B3311" s="293" t="s">
        <v>5666</v>
      </c>
      <c r="C3311" s="293" t="s">
        <v>6110</v>
      </c>
      <c r="D3311" s="293" t="s">
        <v>5878</v>
      </c>
      <c r="E3311" s="293" t="s">
        <v>6303</v>
      </c>
      <c r="F3311" s="293" t="s">
        <v>7247</v>
      </c>
      <c r="G3311" s="293" t="s">
        <v>5573</v>
      </c>
      <c r="H3311" s="294">
        <v>42429</v>
      </c>
      <c r="I3311" s="295">
        <v>-1780.13</v>
      </c>
    </row>
    <row r="3312" spans="1:9" x14ac:dyDescent="0.2">
      <c r="A3312" s="293" t="s">
        <v>9056</v>
      </c>
      <c r="B3312" s="293" t="s">
        <v>5666</v>
      </c>
      <c r="C3312" s="293" t="s">
        <v>6115</v>
      </c>
      <c r="D3312" s="293" t="s">
        <v>5878</v>
      </c>
      <c r="E3312" s="293" t="s">
        <v>6305</v>
      </c>
      <c r="F3312" s="293" t="s">
        <v>7247</v>
      </c>
      <c r="G3312" s="293" t="s">
        <v>5581</v>
      </c>
      <c r="H3312" s="294">
        <v>42429</v>
      </c>
      <c r="I3312" s="295">
        <v>-2230.71</v>
      </c>
    </row>
    <row r="3313" spans="1:9" x14ac:dyDescent="0.2">
      <c r="A3313" s="293" t="s">
        <v>9057</v>
      </c>
      <c r="B3313" s="293" t="s">
        <v>5666</v>
      </c>
      <c r="C3313" s="293" t="s">
        <v>6086</v>
      </c>
      <c r="D3313" s="293" t="s">
        <v>5878</v>
      </c>
      <c r="E3313" s="293" t="s">
        <v>6307</v>
      </c>
      <c r="F3313" s="293" t="s">
        <v>7247</v>
      </c>
      <c r="G3313" s="293" t="s">
        <v>5581</v>
      </c>
      <c r="H3313" s="294">
        <v>42429</v>
      </c>
      <c r="I3313" s="295">
        <v>-2490.34</v>
      </c>
    </row>
    <row r="3314" spans="1:9" x14ac:dyDescent="0.2">
      <c r="A3314" s="293" t="s">
        <v>9058</v>
      </c>
      <c r="B3314" s="293" t="s">
        <v>5666</v>
      </c>
      <c r="C3314" s="293" t="s">
        <v>6113</v>
      </c>
      <c r="D3314" s="293" t="s">
        <v>5878</v>
      </c>
      <c r="E3314" s="293" t="s">
        <v>6316</v>
      </c>
      <c r="F3314" s="293" t="s">
        <v>7247</v>
      </c>
      <c r="G3314" s="293" t="s">
        <v>5573</v>
      </c>
      <c r="H3314" s="294">
        <v>42429</v>
      </c>
      <c r="I3314" s="295">
        <v>-5336.81</v>
      </c>
    </row>
    <row r="3315" spans="1:9" x14ac:dyDescent="0.2">
      <c r="A3315" s="293" t="s">
        <v>9059</v>
      </c>
      <c r="B3315" s="293" t="s">
        <v>5666</v>
      </c>
      <c r="C3315" s="293" t="s">
        <v>6313</v>
      </c>
      <c r="D3315" s="293" t="s">
        <v>5878</v>
      </c>
      <c r="E3315" s="293" t="s">
        <v>6314</v>
      </c>
      <c r="F3315" s="293" t="s">
        <v>7247</v>
      </c>
      <c r="G3315" s="293" t="s">
        <v>5576</v>
      </c>
      <c r="H3315" s="294">
        <v>42429</v>
      </c>
      <c r="I3315" s="295">
        <v>-4207.3500000000004</v>
      </c>
    </row>
    <row r="3316" spans="1:9" x14ac:dyDescent="0.2">
      <c r="A3316" s="293" t="s">
        <v>9060</v>
      </c>
      <c r="B3316" s="293" t="s">
        <v>5666</v>
      </c>
      <c r="C3316" s="293" t="s">
        <v>6272</v>
      </c>
      <c r="D3316" s="293" t="s">
        <v>5878</v>
      </c>
      <c r="E3316" s="293" t="s">
        <v>6273</v>
      </c>
      <c r="F3316" s="293" t="s">
        <v>7270</v>
      </c>
      <c r="G3316" s="293" t="s">
        <v>5576</v>
      </c>
      <c r="H3316" s="294">
        <v>42460</v>
      </c>
      <c r="I3316" s="295">
        <v>-3340.78</v>
      </c>
    </row>
    <row r="3317" spans="1:9" x14ac:dyDescent="0.2">
      <c r="A3317" s="293" t="s">
        <v>9061</v>
      </c>
      <c r="B3317" s="293" t="s">
        <v>5666</v>
      </c>
      <c r="C3317" s="293" t="s">
        <v>6122</v>
      </c>
      <c r="D3317" s="293" t="s">
        <v>5878</v>
      </c>
      <c r="E3317" s="293" t="s">
        <v>6275</v>
      </c>
      <c r="F3317" s="293" t="s">
        <v>7270</v>
      </c>
      <c r="G3317" s="293" t="s">
        <v>5577</v>
      </c>
      <c r="H3317" s="294">
        <v>42460</v>
      </c>
      <c r="I3317" s="295">
        <v>-1179.21</v>
      </c>
    </row>
    <row r="3318" spans="1:9" x14ac:dyDescent="0.2">
      <c r="A3318" s="293" t="s">
        <v>9062</v>
      </c>
      <c r="B3318" s="293" t="s">
        <v>5666</v>
      </c>
      <c r="C3318" s="293" t="s">
        <v>6124</v>
      </c>
      <c r="D3318" s="293" t="s">
        <v>5878</v>
      </c>
      <c r="E3318" s="293" t="s">
        <v>6277</v>
      </c>
      <c r="F3318" s="293" t="s">
        <v>7270</v>
      </c>
      <c r="G3318" s="293" t="s">
        <v>5578</v>
      </c>
      <c r="H3318" s="294">
        <v>42460</v>
      </c>
      <c r="I3318" s="295">
        <v>-1019.33</v>
      </c>
    </row>
    <row r="3319" spans="1:9" x14ac:dyDescent="0.2">
      <c r="A3319" s="293" t="s">
        <v>9063</v>
      </c>
      <c r="B3319" s="293" t="s">
        <v>5666</v>
      </c>
      <c r="C3319" s="293" t="s">
        <v>6126</v>
      </c>
      <c r="D3319" s="293" t="s">
        <v>5878</v>
      </c>
      <c r="E3319" s="293" t="s">
        <v>6279</v>
      </c>
      <c r="F3319" s="293" t="s">
        <v>7270</v>
      </c>
      <c r="G3319" s="293" t="s">
        <v>5579</v>
      </c>
      <c r="H3319" s="294">
        <v>42460</v>
      </c>
      <c r="I3319" s="295">
        <v>-857.57</v>
      </c>
    </row>
    <row r="3320" spans="1:9" x14ac:dyDescent="0.2">
      <c r="A3320" s="293" t="s">
        <v>9064</v>
      </c>
      <c r="B3320" s="293" t="s">
        <v>5666</v>
      </c>
      <c r="C3320" s="293" t="s">
        <v>6091</v>
      </c>
      <c r="D3320" s="293" t="s">
        <v>5878</v>
      </c>
      <c r="E3320" s="293" t="s">
        <v>6281</v>
      </c>
      <c r="F3320" s="293" t="s">
        <v>7270</v>
      </c>
      <c r="G3320" s="293" t="s">
        <v>5573</v>
      </c>
      <c r="H3320" s="294">
        <v>42460</v>
      </c>
      <c r="I3320" s="295">
        <v>-3125.47</v>
      </c>
    </row>
    <row r="3321" spans="1:9" x14ac:dyDescent="0.2">
      <c r="A3321" s="293" t="s">
        <v>9065</v>
      </c>
      <c r="B3321" s="293" t="s">
        <v>5666</v>
      </c>
      <c r="C3321" s="293" t="s">
        <v>6093</v>
      </c>
      <c r="D3321" s="293" t="s">
        <v>5878</v>
      </c>
      <c r="E3321" s="293" t="s">
        <v>6283</v>
      </c>
      <c r="F3321" s="293" t="s">
        <v>7270</v>
      </c>
      <c r="G3321" s="293" t="s">
        <v>5573</v>
      </c>
      <c r="H3321" s="294">
        <v>42460</v>
      </c>
      <c r="I3321" s="295">
        <v>-4451.78</v>
      </c>
    </row>
    <row r="3322" spans="1:9" x14ac:dyDescent="0.2">
      <c r="A3322" s="293" t="s">
        <v>9066</v>
      </c>
      <c r="B3322" s="293" t="s">
        <v>5666</v>
      </c>
      <c r="C3322" s="293" t="s">
        <v>6080</v>
      </c>
      <c r="D3322" s="293" t="s">
        <v>5878</v>
      </c>
      <c r="E3322" s="293" t="s">
        <v>6285</v>
      </c>
      <c r="F3322" s="293" t="s">
        <v>7270</v>
      </c>
      <c r="G3322" s="293" t="s">
        <v>5573</v>
      </c>
      <c r="H3322" s="294">
        <v>42460</v>
      </c>
      <c r="I3322" s="295">
        <v>-10077.08</v>
      </c>
    </row>
    <row r="3323" spans="1:9" x14ac:dyDescent="0.2">
      <c r="A3323" s="293" t="s">
        <v>9067</v>
      </c>
      <c r="B3323" s="293" t="s">
        <v>5666</v>
      </c>
      <c r="C3323" s="293" t="s">
        <v>6095</v>
      </c>
      <c r="D3323" s="293" t="s">
        <v>5878</v>
      </c>
      <c r="E3323" s="293" t="s">
        <v>6287</v>
      </c>
      <c r="F3323" s="293" t="s">
        <v>7270</v>
      </c>
      <c r="G3323" s="293" t="s">
        <v>5580</v>
      </c>
      <c r="H3323" s="294">
        <v>42460</v>
      </c>
      <c r="I3323" s="295">
        <v>-5589.54</v>
      </c>
    </row>
    <row r="3324" spans="1:9" x14ac:dyDescent="0.2">
      <c r="A3324" s="293" t="s">
        <v>9068</v>
      </c>
      <c r="B3324" s="293" t="s">
        <v>5666</v>
      </c>
      <c r="C3324" s="293" t="s">
        <v>6097</v>
      </c>
      <c r="D3324" s="293" t="s">
        <v>5878</v>
      </c>
      <c r="E3324" s="293" t="s">
        <v>6289</v>
      </c>
      <c r="F3324" s="293" t="s">
        <v>7270</v>
      </c>
      <c r="G3324" s="293" t="s">
        <v>5580</v>
      </c>
      <c r="H3324" s="294">
        <v>42460</v>
      </c>
      <c r="I3324" s="295">
        <v>-10099.59</v>
      </c>
    </row>
    <row r="3325" spans="1:9" x14ac:dyDescent="0.2">
      <c r="A3325" s="293" t="s">
        <v>9069</v>
      </c>
      <c r="B3325" s="293" t="s">
        <v>5666</v>
      </c>
      <c r="C3325" s="293" t="s">
        <v>6099</v>
      </c>
      <c r="D3325" s="293" t="s">
        <v>5878</v>
      </c>
      <c r="E3325" s="293" t="s">
        <v>6291</v>
      </c>
      <c r="F3325" s="293" t="s">
        <v>7270</v>
      </c>
      <c r="G3325" s="293" t="s">
        <v>5579</v>
      </c>
      <c r="H3325" s="294">
        <v>42460</v>
      </c>
      <c r="I3325" s="295">
        <v>-1407.23</v>
      </c>
    </row>
    <row r="3326" spans="1:9" x14ac:dyDescent="0.2">
      <c r="A3326" s="293" t="s">
        <v>9070</v>
      </c>
      <c r="B3326" s="293" t="s">
        <v>5666</v>
      </c>
      <c r="C3326" s="293" t="s">
        <v>6083</v>
      </c>
      <c r="D3326" s="293" t="s">
        <v>5878</v>
      </c>
      <c r="E3326" s="293" t="s">
        <v>6293</v>
      </c>
      <c r="F3326" s="293" t="s">
        <v>7270</v>
      </c>
      <c r="G3326" s="293" t="s">
        <v>5579</v>
      </c>
      <c r="H3326" s="294">
        <v>42460</v>
      </c>
      <c r="I3326" s="295">
        <v>-2524.9</v>
      </c>
    </row>
    <row r="3327" spans="1:9" x14ac:dyDescent="0.2">
      <c r="A3327" s="293" t="s">
        <v>9071</v>
      </c>
      <c r="B3327" s="293" t="s">
        <v>5666</v>
      </c>
      <c r="C3327" s="293" t="s">
        <v>6101</v>
      </c>
      <c r="D3327" s="293" t="s">
        <v>5878</v>
      </c>
      <c r="E3327" s="293" t="s">
        <v>6295</v>
      </c>
      <c r="F3327" s="293" t="s">
        <v>7270</v>
      </c>
      <c r="G3327" s="293" t="s">
        <v>5580</v>
      </c>
      <c r="H3327" s="294">
        <v>42460</v>
      </c>
      <c r="I3327" s="295">
        <v>-193.73</v>
      </c>
    </row>
    <row r="3328" spans="1:9" x14ac:dyDescent="0.2">
      <c r="A3328" s="293" t="s">
        <v>9072</v>
      </c>
      <c r="B3328" s="293" t="s">
        <v>5666</v>
      </c>
      <c r="C3328" s="293" t="s">
        <v>6104</v>
      </c>
      <c r="D3328" s="293" t="s">
        <v>5878</v>
      </c>
      <c r="E3328" s="293" t="s">
        <v>6297</v>
      </c>
      <c r="F3328" s="293" t="s">
        <v>7270</v>
      </c>
      <c r="G3328" s="293" t="s">
        <v>5580</v>
      </c>
      <c r="H3328" s="294">
        <v>42460</v>
      </c>
      <c r="I3328" s="295">
        <v>-274.12</v>
      </c>
    </row>
    <row r="3329" spans="1:9" x14ac:dyDescent="0.2">
      <c r="A3329" s="293" t="s">
        <v>9073</v>
      </c>
      <c r="B3329" s="293" t="s">
        <v>5666</v>
      </c>
      <c r="C3329" s="293" t="s">
        <v>6106</v>
      </c>
      <c r="D3329" s="293" t="s">
        <v>5878</v>
      </c>
      <c r="E3329" s="293" t="s">
        <v>6299</v>
      </c>
      <c r="F3329" s="293" t="s">
        <v>7270</v>
      </c>
      <c r="G3329" s="293" t="s">
        <v>5580</v>
      </c>
      <c r="H3329" s="294">
        <v>42460</v>
      </c>
      <c r="I3329" s="295">
        <v>-1347.95</v>
      </c>
    </row>
    <row r="3330" spans="1:9" x14ac:dyDescent="0.2">
      <c r="A3330" s="293" t="s">
        <v>9074</v>
      </c>
      <c r="B3330" s="293" t="s">
        <v>5666</v>
      </c>
      <c r="C3330" s="293" t="s">
        <v>6108</v>
      </c>
      <c r="D3330" s="293" t="s">
        <v>5878</v>
      </c>
      <c r="E3330" s="293" t="s">
        <v>6301</v>
      </c>
      <c r="F3330" s="293" t="s">
        <v>7270</v>
      </c>
      <c r="G3330" s="293" t="s">
        <v>5580</v>
      </c>
      <c r="H3330" s="294">
        <v>42460</v>
      </c>
      <c r="I3330" s="295">
        <v>-1918.86</v>
      </c>
    </row>
    <row r="3331" spans="1:9" x14ac:dyDescent="0.2">
      <c r="A3331" s="293" t="s">
        <v>9075</v>
      </c>
      <c r="B3331" s="293" t="s">
        <v>5666</v>
      </c>
      <c r="C3331" s="293" t="s">
        <v>6110</v>
      </c>
      <c r="D3331" s="293" t="s">
        <v>5878</v>
      </c>
      <c r="E3331" s="293" t="s">
        <v>6303</v>
      </c>
      <c r="F3331" s="293" t="s">
        <v>7270</v>
      </c>
      <c r="G3331" s="293" t="s">
        <v>5573</v>
      </c>
      <c r="H3331" s="294">
        <v>42460</v>
      </c>
      <c r="I3331" s="295">
        <v>-1780.13</v>
      </c>
    </row>
    <row r="3332" spans="1:9" x14ac:dyDescent="0.2">
      <c r="A3332" s="293" t="s">
        <v>9076</v>
      </c>
      <c r="B3332" s="293" t="s">
        <v>5666</v>
      </c>
      <c r="C3332" s="293" t="s">
        <v>6115</v>
      </c>
      <c r="D3332" s="293" t="s">
        <v>5878</v>
      </c>
      <c r="E3332" s="293" t="s">
        <v>6305</v>
      </c>
      <c r="F3332" s="293" t="s">
        <v>7270</v>
      </c>
      <c r="G3332" s="293" t="s">
        <v>5581</v>
      </c>
      <c r="H3332" s="294">
        <v>42460</v>
      </c>
      <c r="I3332" s="295">
        <v>-2230.71</v>
      </c>
    </row>
    <row r="3333" spans="1:9" x14ac:dyDescent="0.2">
      <c r="A3333" s="293" t="s">
        <v>9077</v>
      </c>
      <c r="B3333" s="293" t="s">
        <v>5666</v>
      </c>
      <c r="C3333" s="293" t="s">
        <v>6086</v>
      </c>
      <c r="D3333" s="293" t="s">
        <v>5878</v>
      </c>
      <c r="E3333" s="293" t="s">
        <v>6307</v>
      </c>
      <c r="F3333" s="293" t="s">
        <v>7270</v>
      </c>
      <c r="G3333" s="293" t="s">
        <v>5581</v>
      </c>
      <c r="H3333" s="294">
        <v>42460</v>
      </c>
      <c r="I3333" s="295">
        <v>-2490.34</v>
      </c>
    </row>
    <row r="3334" spans="1:9" x14ac:dyDescent="0.2">
      <c r="A3334" s="293" t="s">
        <v>9078</v>
      </c>
      <c r="B3334" s="293" t="s">
        <v>5666</v>
      </c>
      <c r="C3334" s="293" t="s">
        <v>6113</v>
      </c>
      <c r="D3334" s="293" t="s">
        <v>5878</v>
      </c>
      <c r="E3334" s="293" t="s">
        <v>6316</v>
      </c>
      <c r="F3334" s="293" t="s">
        <v>7270</v>
      </c>
      <c r="G3334" s="293" t="s">
        <v>5573</v>
      </c>
      <c r="H3334" s="294">
        <v>42460</v>
      </c>
      <c r="I3334" s="295">
        <v>-5336.81</v>
      </c>
    </row>
    <row r="3335" spans="1:9" x14ac:dyDescent="0.2">
      <c r="A3335" s="293" t="s">
        <v>9079</v>
      </c>
      <c r="B3335" s="293" t="s">
        <v>5666</v>
      </c>
      <c r="C3335" s="293" t="s">
        <v>6313</v>
      </c>
      <c r="D3335" s="293" t="s">
        <v>5878</v>
      </c>
      <c r="E3335" s="293" t="s">
        <v>6314</v>
      </c>
      <c r="F3335" s="293" t="s">
        <v>7270</v>
      </c>
      <c r="G3335" s="293" t="s">
        <v>5576</v>
      </c>
      <c r="H3335" s="294">
        <v>42460</v>
      </c>
      <c r="I3335" s="295">
        <v>-4207.3500000000004</v>
      </c>
    </row>
    <row r="3336" spans="1:9" x14ac:dyDescent="0.2">
      <c r="A3336" s="293" t="s">
        <v>9080</v>
      </c>
      <c r="B3336" s="293" t="s">
        <v>5666</v>
      </c>
      <c r="C3336" s="293" t="s">
        <v>6272</v>
      </c>
      <c r="D3336" s="293" t="s">
        <v>5878</v>
      </c>
      <c r="E3336" s="293" t="s">
        <v>6273</v>
      </c>
      <c r="F3336" s="293" t="s">
        <v>7288</v>
      </c>
      <c r="G3336" s="293" t="s">
        <v>5576</v>
      </c>
      <c r="H3336" s="294">
        <v>42490</v>
      </c>
      <c r="I3336" s="295">
        <v>-3340.78</v>
      </c>
    </row>
    <row r="3337" spans="1:9" x14ac:dyDescent="0.2">
      <c r="A3337" s="293" t="s">
        <v>9081</v>
      </c>
      <c r="B3337" s="293" t="s">
        <v>5666</v>
      </c>
      <c r="C3337" s="293" t="s">
        <v>6122</v>
      </c>
      <c r="D3337" s="293" t="s">
        <v>5878</v>
      </c>
      <c r="E3337" s="293" t="s">
        <v>6275</v>
      </c>
      <c r="F3337" s="293" t="s">
        <v>7288</v>
      </c>
      <c r="G3337" s="293" t="s">
        <v>5577</v>
      </c>
      <c r="H3337" s="294">
        <v>42490</v>
      </c>
      <c r="I3337" s="295">
        <v>-1179.21</v>
      </c>
    </row>
    <row r="3338" spans="1:9" x14ac:dyDescent="0.2">
      <c r="A3338" s="293" t="s">
        <v>9082</v>
      </c>
      <c r="B3338" s="293" t="s">
        <v>5666</v>
      </c>
      <c r="C3338" s="293" t="s">
        <v>6124</v>
      </c>
      <c r="D3338" s="293" t="s">
        <v>5878</v>
      </c>
      <c r="E3338" s="293" t="s">
        <v>6277</v>
      </c>
      <c r="F3338" s="293" t="s">
        <v>7288</v>
      </c>
      <c r="G3338" s="293" t="s">
        <v>5578</v>
      </c>
      <c r="H3338" s="294">
        <v>42490</v>
      </c>
      <c r="I3338" s="295">
        <v>-1019.33</v>
      </c>
    </row>
    <row r="3339" spans="1:9" x14ac:dyDescent="0.2">
      <c r="A3339" s="293" t="s">
        <v>9083</v>
      </c>
      <c r="B3339" s="293" t="s">
        <v>5666</v>
      </c>
      <c r="C3339" s="293" t="s">
        <v>6126</v>
      </c>
      <c r="D3339" s="293" t="s">
        <v>5878</v>
      </c>
      <c r="E3339" s="293" t="s">
        <v>6279</v>
      </c>
      <c r="F3339" s="293" t="s">
        <v>7288</v>
      </c>
      <c r="G3339" s="293" t="s">
        <v>5579</v>
      </c>
      <c r="H3339" s="294">
        <v>42490</v>
      </c>
      <c r="I3339" s="295">
        <v>-857.57</v>
      </c>
    </row>
    <row r="3340" spans="1:9" x14ac:dyDescent="0.2">
      <c r="A3340" s="293" t="s">
        <v>9084</v>
      </c>
      <c r="B3340" s="293" t="s">
        <v>5666</v>
      </c>
      <c r="C3340" s="293" t="s">
        <v>6091</v>
      </c>
      <c r="D3340" s="293" t="s">
        <v>5878</v>
      </c>
      <c r="E3340" s="293" t="s">
        <v>6281</v>
      </c>
      <c r="F3340" s="293" t="s">
        <v>7288</v>
      </c>
      <c r="G3340" s="293" t="s">
        <v>5573</v>
      </c>
      <c r="H3340" s="294">
        <v>42490</v>
      </c>
      <c r="I3340" s="295">
        <v>-3125.47</v>
      </c>
    </row>
    <row r="3341" spans="1:9" x14ac:dyDescent="0.2">
      <c r="A3341" s="293" t="s">
        <v>9085</v>
      </c>
      <c r="B3341" s="293" t="s">
        <v>5666</v>
      </c>
      <c r="C3341" s="293" t="s">
        <v>6093</v>
      </c>
      <c r="D3341" s="293" t="s">
        <v>5878</v>
      </c>
      <c r="E3341" s="293" t="s">
        <v>6283</v>
      </c>
      <c r="F3341" s="293" t="s">
        <v>7288</v>
      </c>
      <c r="G3341" s="293" t="s">
        <v>5573</v>
      </c>
      <c r="H3341" s="294">
        <v>42490</v>
      </c>
      <c r="I3341" s="295">
        <v>-4451.78</v>
      </c>
    </row>
    <row r="3342" spans="1:9" x14ac:dyDescent="0.2">
      <c r="A3342" s="293" t="s">
        <v>9086</v>
      </c>
      <c r="B3342" s="293" t="s">
        <v>5666</v>
      </c>
      <c r="C3342" s="293" t="s">
        <v>6080</v>
      </c>
      <c r="D3342" s="293" t="s">
        <v>5878</v>
      </c>
      <c r="E3342" s="293" t="s">
        <v>6285</v>
      </c>
      <c r="F3342" s="293" t="s">
        <v>7288</v>
      </c>
      <c r="G3342" s="293" t="s">
        <v>5573</v>
      </c>
      <c r="H3342" s="294">
        <v>42490</v>
      </c>
      <c r="I3342" s="295">
        <v>-10077.08</v>
      </c>
    </row>
    <row r="3343" spans="1:9" x14ac:dyDescent="0.2">
      <c r="A3343" s="293" t="s">
        <v>9087</v>
      </c>
      <c r="B3343" s="293" t="s">
        <v>5666</v>
      </c>
      <c r="C3343" s="293" t="s">
        <v>6095</v>
      </c>
      <c r="D3343" s="293" t="s">
        <v>5878</v>
      </c>
      <c r="E3343" s="293" t="s">
        <v>6287</v>
      </c>
      <c r="F3343" s="293" t="s">
        <v>7288</v>
      </c>
      <c r="G3343" s="293" t="s">
        <v>5580</v>
      </c>
      <c r="H3343" s="294">
        <v>42490</v>
      </c>
      <c r="I3343" s="295">
        <v>-5589.54</v>
      </c>
    </row>
    <row r="3344" spans="1:9" x14ac:dyDescent="0.2">
      <c r="A3344" s="293" t="s">
        <v>9088</v>
      </c>
      <c r="B3344" s="293" t="s">
        <v>5666</v>
      </c>
      <c r="C3344" s="293" t="s">
        <v>6097</v>
      </c>
      <c r="D3344" s="293" t="s">
        <v>5878</v>
      </c>
      <c r="E3344" s="293" t="s">
        <v>6289</v>
      </c>
      <c r="F3344" s="293" t="s">
        <v>7288</v>
      </c>
      <c r="G3344" s="293" t="s">
        <v>5580</v>
      </c>
      <c r="H3344" s="294">
        <v>42490</v>
      </c>
      <c r="I3344" s="295">
        <v>-10099.59</v>
      </c>
    </row>
    <row r="3345" spans="1:9" x14ac:dyDescent="0.2">
      <c r="A3345" s="293" t="s">
        <v>9089</v>
      </c>
      <c r="B3345" s="293" t="s">
        <v>5666</v>
      </c>
      <c r="C3345" s="293" t="s">
        <v>6099</v>
      </c>
      <c r="D3345" s="293" t="s">
        <v>5878</v>
      </c>
      <c r="E3345" s="293" t="s">
        <v>6291</v>
      </c>
      <c r="F3345" s="293" t="s">
        <v>7288</v>
      </c>
      <c r="G3345" s="293" t="s">
        <v>5579</v>
      </c>
      <c r="H3345" s="294">
        <v>42490</v>
      </c>
      <c r="I3345" s="295">
        <v>-1407.23</v>
      </c>
    </row>
    <row r="3346" spans="1:9" x14ac:dyDescent="0.2">
      <c r="A3346" s="293" t="s">
        <v>9090</v>
      </c>
      <c r="B3346" s="293" t="s">
        <v>5666</v>
      </c>
      <c r="C3346" s="293" t="s">
        <v>6083</v>
      </c>
      <c r="D3346" s="293" t="s">
        <v>5878</v>
      </c>
      <c r="E3346" s="293" t="s">
        <v>6293</v>
      </c>
      <c r="F3346" s="293" t="s">
        <v>7288</v>
      </c>
      <c r="G3346" s="293" t="s">
        <v>5579</v>
      </c>
      <c r="H3346" s="294">
        <v>42490</v>
      </c>
      <c r="I3346" s="295">
        <v>-2524.9</v>
      </c>
    </row>
    <row r="3347" spans="1:9" x14ac:dyDescent="0.2">
      <c r="A3347" s="293" t="s">
        <v>9091</v>
      </c>
      <c r="B3347" s="293" t="s">
        <v>5666</v>
      </c>
      <c r="C3347" s="293" t="s">
        <v>6101</v>
      </c>
      <c r="D3347" s="293" t="s">
        <v>5878</v>
      </c>
      <c r="E3347" s="293" t="s">
        <v>6295</v>
      </c>
      <c r="F3347" s="293" t="s">
        <v>7288</v>
      </c>
      <c r="G3347" s="293" t="s">
        <v>5580</v>
      </c>
      <c r="H3347" s="294">
        <v>42490</v>
      </c>
      <c r="I3347" s="295">
        <v>-193.73</v>
      </c>
    </row>
    <row r="3348" spans="1:9" x14ac:dyDescent="0.2">
      <c r="A3348" s="293" t="s">
        <v>9092</v>
      </c>
      <c r="B3348" s="293" t="s">
        <v>5666</v>
      </c>
      <c r="C3348" s="293" t="s">
        <v>6104</v>
      </c>
      <c r="D3348" s="293" t="s">
        <v>5878</v>
      </c>
      <c r="E3348" s="293" t="s">
        <v>6297</v>
      </c>
      <c r="F3348" s="293" t="s">
        <v>7288</v>
      </c>
      <c r="G3348" s="293" t="s">
        <v>5580</v>
      </c>
      <c r="H3348" s="294">
        <v>42490</v>
      </c>
      <c r="I3348" s="295">
        <v>-274.12</v>
      </c>
    </row>
    <row r="3349" spans="1:9" x14ac:dyDescent="0.2">
      <c r="A3349" s="293" t="s">
        <v>9093</v>
      </c>
      <c r="B3349" s="293" t="s">
        <v>5666</v>
      </c>
      <c r="C3349" s="293" t="s">
        <v>6106</v>
      </c>
      <c r="D3349" s="293" t="s">
        <v>5878</v>
      </c>
      <c r="E3349" s="293" t="s">
        <v>6299</v>
      </c>
      <c r="F3349" s="293" t="s">
        <v>7288</v>
      </c>
      <c r="G3349" s="293" t="s">
        <v>5580</v>
      </c>
      <c r="H3349" s="294">
        <v>42490</v>
      </c>
      <c r="I3349" s="295">
        <v>-1347.95</v>
      </c>
    </row>
    <row r="3350" spans="1:9" x14ac:dyDescent="0.2">
      <c r="A3350" s="293" t="s">
        <v>9094</v>
      </c>
      <c r="B3350" s="293" t="s">
        <v>5666</v>
      </c>
      <c r="C3350" s="293" t="s">
        <v>6108</v>
      </c>
      <c r="D3350" s="293" t="s">
        <v>5878</v>
      </c>
      <c r="E3350" s="293" t="s">
        <v>6301</v>
      </c>
      <c r="F3350" s="293" t="s">
        <v>7288</v>
      </c>
      <c r="G3350" s="293" t="s">
        <v>5580</v>
      </c>
      <c r="H3350" s="294">
        <v>42490</v>
      </c>
      <c r="I3350" s="295">
        <v>-1918.86</v>
      </c>
    </row>
    <row r="3351" spans="1:9" x14ac:dyDescent="0.2">
      <c r="A3351" s="293" t="s">
        <v>9095</v>
      </c>
      <c r="B3351" s="293" t="s">
        <v>5666</v>
      </c>
      <c r="C3351" s="293" t="s">
        <v>6110</v>
      </c>
      <c r="D3351" s="293" t="s">
        <v>5878</v>
      </c>
      <c r="E3351" s="293" t="s">
        <v>6303</v>
      </c>
      <c r="F3351" s="293" t="s">
        <v>7288</v>
      </c>
      <c r="G3351" s="293" t="s">
        <v>5573</v>
      </c>
      <c r="H3351" s="294">
        <v>42490</v>
      </c>
      <c r="I3351" s="295">
        <v>-1780.13</v>
      </c>
    </row>
    <row r="3352" spans="1:9" x14ac:dyDescent="0.2">
      <c r="A3352" s="293" t="s">
        <v>9096</v>
      </c>
      <c r="B3352" s="293" t="s">
        <v>5666</v>
      </c>
      <c r="C3352" s="293" t="s">
        <v>6115</v>
      </c>
      <c r="D3352" s="293" t="s">
        <v>5878</v>
      </c>
      <c r="E3352" s="293" t="s">
        <v>6305</v>
      </c>
      <c r="F3352" s="293" t="s">
        <v>7288</v>
      </c>
      <c r="G3352" s="293" t="s">
        <v>5581</v>
      </c>
      <c r="H3352" s="294">
        <v>42490</v>
      </c>
      <c r="I3352" s="295">
        <v>-2230.71</v>
      </c>
    </row>
    <row r="3353" spans="1:9" x14ac:dyDescent="0.2">
      <c r="A3353" s="293" t="s">
        <v>9097</v>
      </c>
      <c r="B3353" s="293" t="s">
        <v>5666</v>
      </c>
      <c r="C3353" s="293" t="s">
        <v>6086</v>
      </c>
      <c r="D3353" s="293" t="s">
        <v>5878</v>
      </c>
      <c r="E3353" s="293" t="s">
        <v>6307</v>
      </c>
      <c r="F3353" s="293" t="s">
        <v>7288</v>
      </c>
      <c r="G3353" s="293" t="s">
        <v>5581</v>
      </c>
      <c r="H3353" s="294">
        <v>42490</v>
      </c>
      <c r="I3353" s="295">
        <v>-2490.34</v>
      </c>
    </row>
    <row r="3354" spans="1:9" x14ac:dyDescent="0.2">
      <c r="A3354" s="293" t="s">
        <v>9098</v>
      </c>
      <c r="B3354" s="293" t="s">
        <v>5666</v>
      </c>
      <c r="C3354" s="293" t="s">
        <v>6113</v>
      </c>
      <c r="D3354" s="293" t="s">
        <v>5878</v>
      </c>
      <c r="E3354" s="293" t="s">
        <v>6316</v>
      </c>
      <c r="F3354" s="293" t="s">
        <v>7288</v>
      </c>
      <c r="G3354" s="293" t="s">
        <v>5573</v>
      </c>
      <c r="H3354" s="294">
        <v>42490</v>
      </c>
      <c r="I3354" s="295">
        <v>-5336.81</v>
      </c>
    </row>
    <row r="3355" spans="1:9" x14ac:dyDescent="0.2">
      <c r="A3355" s="293" t="s">
        <v>9099</v>
      </c>
      <c r="B3355" s="293" t="s">
        <v>5666</v>
      </c>
      <c r="C3355" s="293" t="s">
        <v>6313</v>
      </c>
      <c r="D3355" s="293" t="s">
        <v>5878</v>
      </c>
      <c r="E3355" s="293" t="s">
        <v>6314</v>
      </c>
      <c r="F3355" s="293" t="s">
        <v>7288</v>
      </c>
      <c r="G3355" s="293" t="s">
        <v>5576</v>
      </c>
      <c r="H3355" s="294">
        <v>42490</v>
      </c>
      <c r="I3355" s="295">
        <v>-4207.3500000000004</v>
      </c>
    </row>
    <row r="3356" spans="1:9" x14ac:dyDescent="0.2">
      <c r="A3356" s="293" t="s">
        <v>9100</v>
      </c>
      <c r="B3356" s="293" t="s">
        <v>5666</v>
      </c>
      <c r="C3356" s="293" t="s">
        <v>6272</v>
      </c>
      <c r="D3356" s="293" t="s">
        <v>5878</v>
      </c>
      <c r="E3356" s="293" t="s">
        <v>6273</v>
      </c>
      <c r="F3356" s="293" t="s">
        <v>7311</v>
      </c>
      <c r="G3356" s="293" t="s">
        <v>5576</v>
      </c>
      <c r="H3356" s="294">
        <v>42521</v>
      </c>
      <c r="I3356" s="295">
        <v>-3340.78</v>
      </c>
    </row>
    <row r="3357" spans="1:9" x14ac:dyDescent="0.2">
      <c r="A3357" s="293" t="s">
        <v>9101</v>
      </c>
      <c r="B3357" s="293" t="s">
        <v>5666</v>
      </c>
      <c r="C3357" s="293" t="s">
        <v>6122</v>
      </c>
      <c r="D3357" s="293" t="s">
        <v>5878</v>
      </c>
      <c r="E3357" s="293" t="s">
        <v>6275</v>
      </c>
      <c r="F3357" s="293" t="s">
        <v>7311</v>
      </c>
      <c r="G3357" s="293" t="s">
        <v>5577</v>
      </c>
      <c r="H3357" s="294">
        <v>42521</v>
      </c>
      <c r="I3357" s="295">
        <v>-1179.21</v>
      </c>
    </row>
    <row r="3358" spans="1:9" x14ac:dyDescent="0.2">
      <c r="A3358" s="293" t="s">
        <v>9102</v>
      </c>
      <c r="B3358" s="293" t="s">
        <v>5666</v>
      </c>
      <c r="C3358" s="293" t="s">
        <v>6124</v>
      </c>
      <c r="D3358" s="293" t="s">
        <v>5878</v>
      </c>
      <c r="E3358" s="293" t="s">
        <v>6277</v>
      </c>
      <c r="F3358" s="293" t="s">
        <v>7311</v>
      </c>
      <c r="G3358" s="293" t="s">
        <v>5578</v>
      </c>
      <c r="H3358" s="294">
        <v>42521</v>
      </c>
      <c r="I3358" s="295">
        <v>-1019.33</v>
      </c>
    </row>
    <row r="3359" spans="1:9" x14ac:dyDescent="0.2">
      <c r="A3359" s="293" t="s">
        <v>9103</v>
      </c>
      <c r="B3359" s="293" t="s">
        <v>5666</v>
      </c>
      <c r="C3359" s="293" t="s">
        <v>6126</v>
      </c>
      <c r="D3359" s="293" t="s">
        <v>5878</v>
      </c>
      <c r="E3359" s="293" t="s">
        <v>6279</v>
      </c>
      <c r="F3359" s="293" t="s">
        <v>7311</v>
      </c>
      <c r="G3359" s="293" t="s">
        <v>5579</v>
      </c>
      <c r="H3359" s="294">
        <v>42521</v>
      </c>
      <c r="I3359" s="295">
        <v>-857.57</v>
      </c>
    </row>
    <row r="3360" spans="1:9" x14ac:dyDescent="0.2">
      <c r="A3360" s="293" t="s">
        <v>9104</v>
      </c>
      <c r="B3360" s="293" t="s">
        <v>5666</v>
      </c>
      <c r="C3360" s="293" t="s">
        <v>6091</v>
      </c>
      <c r="D3360" s="293" t="s">
        <v>5878</v>
      </c>
      <c r="E3360" s="293" t="s">
        <v>6281</v>
      </c>
      <c r="F3360" s="293" t="s">
        <v>7311</v>
      </c>
      <c r="G3360" s="293" t="s">
        <v>5573</v>
      </c>
      <c r="H3360" s="294">
        <v>42521</v>
      </c>
      <c r="I3360" s="295">
        <v>-3125.47</v>
      </c>
    </row>
    <row r="3361" spans="1:9" x14ac:dyDescent="0.2">
      <c r="A3361" s="293" t="s">
        <v>9105</v>
      </c>
      <c r="B3361" s="293" t="s">
        <v>5666</v>
      </c>
      <c r="C3361" s="293" t="s">
        <v>6093</v>
      </c>
      <c r="D3361" s="293" t="s">
        <v>5878</v>
      </c>
      <c r="E3361" s="293" t="s">
        <v>6283</v>
      </c>
      <c r="F3361" s="293" t="s">
        <v>7311</v>
      </c>
      <c r="G3361" s="293" t="s">
        <v>5573</v>
      </c>
      <c r="H3361" s="294">
        <v>42521</v>
      </c>
      <c r="I3361" s="295">
        <v>-4451.78</v>
      </c>
    </row>
    <row r="3362" spans="1:9" x14ac:dyDescent="0.2">
      <c r="A3362" s="293" t="s">
        <v>9106</v>
      </c>
      <c r="B3362" s="293" t="s">
        <v>5666</v>
      </c>
      <c r="C3362" s="293" t="s">
        <v>6080</v>
      </c>
      <c r="D3362" s="293" t="s">
        <v>5878</v>
      </c>
      <c r="E3362" s="293" t="s">
        <v>6285</v>
      </c>
      <c r="F3362" s="293" t="s">
        <v>7311</v>
      </c>
      <c r="G3362" s="293" t="s">
        <v>5573</v>
      </c>
      <c r="H3362" s="294">
        <v>42521</v>
      </c>
      <c r="I3362" s="295">
        <v>-10077.08</v>
      </c>
    </row>
    <row r="3363" spans="1:9" x14ac:dyDescent="0.2">
      <c r="A3363" s="293" t="s">
        <v>9107</v>
      </c>
      <c r="B3363" s="293" t="s">
        <v>5666</v>
      </c>
      <c r="C3363" s="293" t="s">
        <v>6095</v>
      </c>
      <c r="D3363" s="293" t="s">
        <v>5878</v>
      </c>
      <c r="E3363" s="293" t="s">
        <v>6287</v>
      </c>
      <c r="F3363" s="293" t="s">
        <v>7311</v>
      </c>
      <c r="G3363" s="293" t="s">
        <v>5580</v>
      </c>
      <c r="H3363" s="294">
        <v>42521</v>
      </c>
      <c r="I3363" s="295">
        <v>-5589.54</v>
      </c>
    </row>
    <row r="3364" spans="1:9" x14ac:dyDescent="0.2">
      <c r="A3364" s="293" t="s">
        <v>9108</v>
      </c>
      <c r="B3364" s="293" t="s">
        <v>5666</v>
      </c>
      <c r="C3364" s="293" t="s">
        <v>6097</v>
      </c>
      <c r="D3364" s="293" t="s">
        <v>5878</v>
      </c>
      <c r="E3364" s="293" t="s">
        <v>6289</v>
      </c>
      <c r="F3364" s="293" t="s">
        <v>7311</v>
      </c>
      <c r="G3364" s="293" t="s">
        <v>5580</v>
      </c>
      <c r="H3364" s="294">
        <v>42521</v>
      </c>
      <c r="I3364" s="295">
        <v>-10099.59</v>
      </c>
    </row>
    <row r="3365" spans="1:9" x14ac:dyDescent="0.2">
      <c r="A3365" s="293" t="s">
        <v>9109</v>
      </c>
      <c r="B3365" s="293" t="s">
        <v>5666</v>
      </c>
      <c r="C3365" s="293" t="s">
        <v>6099</v>
      </c>
      <c r="D3365" s="293" t="s">
        <v>5878</v>
      </c>
      <c r="E3365" s="293" t="s">
        <v>6291</v>
      </c>
      <c r="F3365" s="293" t="s">
        <v>7311</v>
      </c>
      <c r="G3365" s="293" t="s">
        <v>5579</v>
      </c>
      <c r="H3365" s="294">
        <v>42521</v>
      </c>
      <c r="I3365" s="295">
        <v>-1407.23</v>
      </c>
    </row>
    <row r="3366" spans="1:9" x14ac:dyDescent="0.2">
      <c r="A3366" s="293" t="s">
        <v>9110</v>
      </c>
      <c r="B3366" s="293" t="s">
        <v>5666</v>
      </c>
      <c r="C3366" s="293" t="s">
        <v>6083</v>
      </c>
      <c r="D3366" s="293" t="s">
        <v>5878</v>
      </c>
      <c r="E3366" s="293" t="s">
        <v>6293</v>
      </c>
      <c r="F3366" s="293" t="s">
        <v>7311</v>
      </c>
      <c r="G3366" s="293" t="s">
        <v>5579</v>
      </c>
      <c r="H3366" s="294">
        <v>42521</v>
      </c>
      <c r="I3366" s="295">
        <v>-2524.9</v>
      </c>
    </row>
    <row r="3367" spans="1:9" x14ac:dyDescent="0.2">
      <c r="A3367" s="293" t="s">
        <v>9111</v>
      </c>
      <c r="B3367" s="293" t="s">
        <v>5666</v>
      </c>
      <c r="C3367" s="293" t="s">
        <v>6101</v>
      </c>
      <c r="D3367" s="293" t="s">
        <v>5878</v>
      </c>
      <c r="E3367" s="293" t="s">
        <v>6295</v>
      </c>
      <c r="F3367" s="293" t="s">
        <v>7311</v>
      </c>
      <c r="G3367" s="293" t="s">
        <v>5580</v>
      </c>
      <c r="H3367" s="294">
        <v>42521</v>
      </c>
      <c r="I3367" s="295">
        <v>-193.73</v>
      </c>
    </row>
    <row r="3368" spans="1:9" x14ac:dyDescent="0.2">
      <c r="A3368" s="293" t="s">
        <v>9112</v>
      </c>
      <c r="B3368" s="293" t="s">
        <v>5666</v>
      </c>
      <c r="C3368" s="293" t="s">
        <v>6104</v>
      </c>
      <c r="D3368" s="293" t="s">
        <v>5878</v>
      </c>
      <c r="E3368" s="293" t="s">
        <v>6297</v>
      </c>
      <c r="F3368" s="293" t="s">
        <v>7311</v>
      </c>
      <c r="G3368" s="293" t="s">
        <v>5580</v>
      </c>
      <c r="H3368" s="294">
        <v>42521</v>
      </c>
      <c r="I3368" s="295">
        <v>-274.12</v>
      </c>
    </row>
    <row r="3369" spans="1:9" x14ac:dyDescent="0.2">
      <c r="A3369" s="293" t="s">
        <v>9113</v>
      </c>
      <c r="B3369" s="293" t="s">
        <v>5666</v>
      </c>
      <c r="C3369" s="293" t="s">
        <v>6106</v>
      </c>
      <c r="D3369" s="293" t="s">
        <v>5878</v>
      </c>
      <c r="E3369" s="293" t="s">
        <v>6299</v>
      </c>
      <c r="F3369" s="293" t="s">
        <v>7311</v>
      </c>
      <c r="G3369" s="293" t="s">
        <v>5580</v>
      </c>
      <c r="H3369" s="294">
        <v>42521</v>
      </c>
      <c r="I3369" s="295">
        <v>-1347.95</v>
      </c>
    </row>
    <row r="3370" spans="1:9" x14ac:dyDescent="0.2">
      <c r="A3370" s="293" t="s">
        <v>9114</v>
      </c>
      <c r="B3370" s="293" t="s">
        <v>5666</v>
      </c>
      <c r="C3370" s="293" t="s">
        <v>6108</v>
      </c>
      <c r="D3370" s="293" t="s">
        <v>5878</v>
      </c>
      <c r="E3370" s="293" t="s">
        <v>6301</v>
      </c>
      <c r="F3370" s="293" t="s">
        <v>7311</v>
      </c>
      <c r="G3370" s="293" t="s">
        <v>5580</v>
      </c>
      <c r="H3370" s="294">
        <v>42521</v>
      </c>
      <c r="I3370" s="295">
        <v>-1918.86</v>
      </c>
    </row>
    <row r="3371" spans="1:9" x14ac:dyDescent="0.2">
      <c r="A3371" s="293" t="s">
        <v>9115</v>
      </c>
      <c r="B3371" s="293" t="s">
        <v>5666</v>
      </c>
      <c r="C3371" s="293" t="s">
        <v>6110</v>
      </c>
      <c r="D3371" s="293" t="s">
        <v>5878</v>
      </c>
      <c r="E3371" s="293" t="s">
        <v>6303</v>
      </c>
      <c r="F3371" s="293" t="s">
        <v>7311</v>
      </c>
      <c r="G3371" s="293" t="s">
        <v>5573</v>
      </c>
      <c r="H3371" s="294">
        <v>42521</v>
      </c>
      <c r="I3371" s="295">
        <v>-1780.13</v>
      </c>
    </row>
    <row r="3372" spans="1:9" x14ac:dyDescent="0.2">
      <c r="A3372" s="293" t="s">
        <v>9116</v>
      </c>
      <c r="B3372" s="293" t="s">
        <v>5666</v>
      </c>
      <c r="C3372" s="293" t="s">
        <v>6115</v>
      </c>
      <c r="D3372" s="293" t="s">
        <v>5878</v>
      </c>
      <c r="E3372" s="293" t="s">
        <v>6305</v>
      </c>
      <c r="F3372" s="293" t="s">
        <v>7311</v>
      </c>
      <c r="G3372" s="293" t="s">
        <v>5581</v>
      </c>
      <c r="H3372" s="294">
        <v>42521</v>
      </c>
      <c r="I3372" s="295">
        <v>-2230.71</v>
      </c>
    </row>
    <row r="3373" spans="1:9" x14ac:dyDescent="0.2">
      <c r="A3373" s="293" t="s">
        <v>9117</v>
      </c>
      <c r="B3373" s="293" t="s">
        <v>5666</v>
      </c>
      <c r="C3373" s="293" t="s">
        <v>6086</v>
      </c>
      <c r="D3373" s="293" t="s">
        <v>5878</v>
      </c>
      <c r="E3373" s="293" t="s">
        <v>6307</v>
      </c>
      <c r="F3373" s="293" t="s">
        <v>7311</v>
      </c>
      <c r="G3373" s="293" t="s">
        <v>5581</v>
      </c>
      <c r="H3373" s="294">
        <v>42521</v>
      </c>
      <c r="I3373" s="295">
        <v>-2490.34</v>
      </c>
    </row>
    <row r="3374" spans="1:9" x14ac:dyDescent="0.2">
      <c r="A3374" s="293" t="s">
        <v>9118</v>
      </c>
      <c r="B3374" s="293" t="s">
        <v>5666</v>
      </c>
      <c r="C3374" s="293" t="s">
        <v>6113</v>
      </c>
      <c r="D3374" s="293" t="s">
        <v>5878</v>
      </c>
      <c r="E3374" s="293" t="s">
        <v>6316</v>
      </c>
      <c r="F3374" s="293" t="s">
        <v>7311</v>
      </c>
      <c r="G3374" s="293" t="s">
        <v>5573</v>
      </c>
      <c r="H3374" s="294">
        <v>42521</v>
      </c>
      <c r="I3374" s="295">
        <v>-5336.81</v>
      </c>
    </row>
    <row r="3375" spans="1:9" x14ac:dyDescent="0.2">
      <c r="A3375" s="293" t="s">
        <v>9119</v>
      </c>
      <c r="B3375" s="293" t="s">
        <v>5666</v>
      </c>
      <c r="C3375" s="293" t="s">
        <v>6313</v>
      </c>
      <c r="D3375" s="293" t="s">
        <v>5878</v>
      </c>
      <c r="E3375" s="293" t="s">
        <v>6314</v>
      </c>
      <c r="F3375" s="293" t="s">
        <v>7311</v>
      </c>
      <c r="G3375" s="293" t="s">
        <v>5576</v>
      </c>
      <c r="H3375" s="294">
        <v>42521</v>
      </c>
      <c r="I3375" s="295">
        <v>-4207.3500000000004</v>
      </c>
    </row>
    <row r="3376" spans="1:9" x14ac:dyDescent="0.2">
      <c r="A3376" s="293" t="s">
        <v>9120</v>
      </c>
      <c r="B3376" s="293" t="s">
        <v>5666</v>
      </c>
      <c r="C3376" s="293" t="s">
        <v>6272</v>
      </c>
      <c r="D3376" s="293" t="s">
        <v>5878</v>
      </c>
      <c r="E3376" s="293" t="s">
        <v>6273</v>
      </c>
      <c r="F3376" s="293" t="s">
        <v>7329</v>
      </c>
      <c r="G3376" s="293" t="s">
        <v>5576</v>
      </c>
      <c r="H3376" s="294">
        <v>42551</v>
      </c>
      <c r="I3376" s="295">
        <v>-3340.78</v>
      </c>
    </row>
    <row r="3377" spans="1:9" x14ac:dyDescent="0.2">
      <c r="A3377" s="293" t="s">
        <v>9121</v>
      </c>
      <c r="B3377" s="293" t="s">
        <v>5666</v>
      </c>
      <c r="C3377" s="293" t="s">
        <v>6122</v>
      </c>
      <c r="D3377" s="293" t="s">
        <v>5878</v>
      </c>
      <c r="E3377" s="293" t="s">
        <v>6275</v>
      </c>
      <c r="F3377" s="293" t="s">
        <v>7329</v>
      </c>
      <c r="G3377" s="293" t="s">
        <v>5577</v>
      </c>
      <c r="H3377" s="294">
        <v>42551</v>
      </c>
      <c r="I3377" s="295">
        <v>-1179.21</v>
      </c>
    </row>
    <row r="3378" spans="1:9" x14ac:dyDescent="0.2">
      <c r="A3378" s="293" t="s">
        <v>9122</v>
      </c>
      <c r="B3378" s="293" t="s">
        <v>5666</v>
      </c>
      <c r="C3378" s="293" t="s">
        <v>6124</v>
      </c>
      <c r="D3378" s="293" t="s">
        <v>5878</v>
      </c>
      <c r="E3378" s="293" t="s">
        <v>6277</v>
      </c>
      <c r="F3378" s="293" t="s">
        <v>7329</v>
      </c>
      <c r="G3378" s="293" t="s">
        <v>5578</v>
      </c>
      <c r="H3378" s="294">
        <v>42551</v>
      </c>
      <c r="I3378" s="295">
        <v>-1019.33</v>
      </c>
    </row>
    <row r="3379" spans="1:9" x14ac:dyDescent="0.2">
      <c r="A3379" s="293" t="s">
        <v>9123</v>
      </c>
      <c r="B3379" s="293" t="s">
        <v>5666</v>
      </c>
      <c r="C3379" s="293" t="s">
        <v>6126</v>
      </c>
      <c r="D3379" s="293" t="s">
        <v>5878</v>
      </c>
      <c r="E3379" s="293" t="s">
        <v>6279</v>
      </c>
      <c r="F3379" s="293" t="s">
        <v>7329</v>
      </c>
      <c r="G3379" s="293" t="s">
        <v>5579</v>
      </c>
      <c r="H3379" s="294">
        <v>42551</v>
      </c>
      <c r="I3379" s="295">
        <v>-857.57</v>
      </c>
    </row>
    <row r="3380" spans="1:9" x14ac:dyDescent="0.2">
      <c r="A3380" s="293" t="s">
        <v>9124</v>
      </c>
      <c r="B3380" s="293" t="s">
        <v>5666</v>
      </c>
      <c r="C3380" s="293" t="s">
        <v>6091</v>
      </c>
      <c r="D3380" s="293" t="s">
        <v>5878</v>
      </c>
      <c r="E3380" s="293" t="s">
        <v>6281</v>
      </c>
      <c r="F3380" s="293" t="s">
        <v>7329</v>
      </c>
      <c r="G3380" s="293" t="s">
        <v>5573</v>
      </c>
      <c r="H3380" s="294">
        <v>42551</v>
      </c>
      <c r="I3380" s="295">
        <v>-3125.47</v>
      </c>
    </row>
    <row r="3381" spans="1:9" x14ac:dyDescent="0.2">
      <c r="A3381" s="293" t="s">
        <v>9125</v>
      </c>
      <c r="B3381" s="293" t="s">
        <v>5666</v>
      </c>
      <c r="C3381" s="293" t="s">
        <v>6093</v>
      </c>
      <c r="D3381" s="293" t="s">
        <v>5878</v>
      </c>
      <c r="E3381" s="293" t="s">
        <v>6283</v>
      </c>
      <c r="F3381" s="293" t="s">
        <v>7329</v>
      </c>
      <c r="G3381" s="293" t="s">
        <v>5573</v>
      </c>
      <c r="H3381" s="294">
        <v>42551</v>
      </c>
      <c r="I3381" s="295">
        <v>-4451.78</v>
      </c>
    </row>
    <row r="3382" spans="1:9" x14ac:dyDescent="0.2">
      <c r="A3382" s="293" t="s">
        <v>9126</v>
      </c>
      <c r="B3382" s="293" t="s">
        <v>5666</v>
      </c>
      <c r="C3382" s="293" t="s">
        <v>6080</v>
      </c>
      <c r="D3382" s="293" t="s">
        <v>5878</v>
      </c>
      <c r="E3382" s="293" t="s">
        <v>6285</v>
      </c>
      <c r="F3382" s="293" t="s">
        <v>7329</v>
      </c>
      <c r="G3382" s="293" t="s">
        <v>5573</v>
      </c>
      <c r="H3382" s="294">
        <v>42551</v>
      </c>
      <c r="I3382" s="295">
        <v>-10077.08</v>
      </c>
    </row>
    <row r="3383" spans="1:9" x14ac:dyDescent="0.2">
      <c r="A3383" s="293" t="s">
        <v>9127</v>
      </c>
      <c r="B3383" s="293" t="s">
        <v>5666</v>
      </c>
      <c r="C3383" s="293" t="s">
        <v>6095</v>
      </c>
      <c r="D3383" s="293" t="s">
        <v>5878</v>
      </c>
      <c r="E3383" s="293" t="s">
        <v>6287</v>
      </c>
      <c r="F3383" s="293" t="s">
        <v>7329</v>
      </c>
      <c r="G3383" s="293" t="s">
        <v>5580</v>
      </c>
      <c r="H3383" s="294">
        <v>42551</v>
      </c>
      <c r="I3383" s="295">
        <v>-5589.54</v>
      </c>
    </row>
    <row r="3384" spans="1:9" x14ac:dyDescent="0.2">
      <c r="A3384" s="293" t="s">
        <v>9128</v>
      </c>
      <c r="B3384" s="293" t="s">
        <v>5666</v>
      </c>
      <c r="C3384" s="293" t="s">
        <v>6097</v>
      </c>
      <c r="D3384" s="293" t="s">
        <v>5878</v>
      </c>
      <c r="E3384" s="293" t="s">
        <v>6289</v>
      </c>
      <c r="F3384" s="293" t="s">
        <v>7329</v>
      </c>
      <c r="G3384" s="293" t="s">
        <v>5580</v>
      </c>
      <c r="H3384" s="294">
        <v>42551</v>
      </c>
      <c r="I3384" s="295">
        <v>-10099.59</v>
      </c>
    </row>
    <row r="3385" spans="1:9" x14ac:dyDescent="0.2">
      <c r="A3385" s="293" t="s">
        <v>9129</v>
      </c>
      <c r="B3385" s="293" t="s">
        <v>5666</v>
      </c>
      <c r="C3385" s="293" t="s">
        <v>6099</v>
      </c>
      <c r="D3385" s="293" t="s">
        <v>5878</v>
      </c>
      <c r="E3385" s="293" t="s">
        <v>6291</v>
      </c>
      <c r="F3385" s="293" t="s">
        <v>7329</v>
      </c>
      <c r="G3385" s="293" t="s">
        <v>5579</v>
      </c>
      <c r="H3385" s="294">
        <v>42551</v>
      </c>
      <c r="I3385" s="295">
        <v>-1407.23</v>
      </c>
    </row>
    <row r="3386" spans="1:9" x14ac:dyDescent="0.2">
      <c r="A3386" s="293" t="s">
        <v>9130</v>
      </c>
      <c r="B3386" s="293" t="s">
        <v>5666</v>
      </c>
      <c r="C3386" s="293" t="s">
        <v>6083</v>
      </c>
      <c r="D3386" s="293" t="s">
        <v>5878</v>
      </c>
      <c r="E3386" s="293" t="s">
        <v>6293</v>
      </c>
      <c r="F3386" s="293" t="s">
        <v>7329</v>
      </c>
      <c r="G3386" s="293" t="s">
        <v>5579</v>
      </c>
      <c r="H3386" s="294">
        <v>42551</v>
      </c>
      <c r="I3386" s="295">
        <v>-2524.9</v>
      </c>
    </row>
    <row r="3387" spans="1:9" x14ac:dyDescent="0.2">
      <c r="A3387" s="293" t="s">
        <v>9131</v>
      </c>
      <c r="B3387" s="293" t="s">
        <v>5666</v>
      </c>
      <c r="C3387" s="293" t="s">
        <v>6101</v>
      </c>
      <c r="D3387" s="293" t="s">
        <v>5878</v>
      </c>
      <c r="E3387" s="293" t="s">
        <v>6295</v>
      </c>
      <c r="F3387" s="293" t="s">
        <v>7329</v>
      </c>
      <c r="G3387" s="293" t="s">
        <v>5580</v>
      </c>
      <c r="H3387" s="294">
        <v>42551</v>
      </c>
      <c r="I3387" s="295">
        <v>-193.73</v>
      </c>
    </row>
    <row r="3388" spans="1:9" x14ac:dyDescent="0.2">
      <c r="A3388" s="293" t="s">
        <v>9132</v>
      </c>
      <c r="B3388" s="293" t="s">
        <v>5666</v>
      </c>
      <c r="C3388" s="293" t="s">
        <v>6104</v>
      </c>
      <c r="D3388" s="293" t="s">
        <v>5878</v>
      </c>
      <c r="E3388" s="293" t="s">
        <v>6297</v>
      </c>
      <c r="F3388" s="293" t="s">
        <v>7329</v>
      </c>
      <c r="G3388" s="293" t="s">
        <v>5580</v>
      </c>
      <c r="H3388" s="294">
        <v>42551</v>
      </c>
      <c r="I3388" s="295">
        <v>-274.12</v>
      </c>
    </row>
    <row r="3389" spans="1:9" x14ac:dyDescent="0.2">
      <c r="A3389" s="293" t="s">
        <v>9133</v>
      </c>
      <c r="B3389" s="293" t="s">
        <v>5666</v>
      </c>
      <c r="C3389" s="293" t="s">
        <v>6106</v>
      </c>
      <c r="D3389" s="293" t="s">
        <v>5878</v>
      </c>
      <c r="E3389" s="293" t="s">
        <v>6299</v>
      </c>
      <c r="F3389" s="293" t="s">
        <v>7329</v>
      </c>
      <c r="G3389" s="293" t="s">
        <v>5580</v>
      </c>
      <c r="H3389" s="294">
        <v>42551</v>
      </c>
      <c r="I3389" s="295">
        <v>-1347.95</v>
      </c>
    </row>
    <row r="3390" spans="1:9" x14ac:dyDescent="0.2">
      <c r="A3390" s="293" t="s">
        <v>9134</v>
      </c>
      <c r="B3390" s="293" t="s">
        <v>5666</v>
      </c>
      <c r="C3390" s="293" t="s">
        <v>6108</v>
      </c>
      <c r="D3390" s="293" t="s">
        <v>5878</v>
      </c>
      <c r="E3390" s="293" t="s">
        <v>6301</v>
      </c>
      <c r="F3390" s="293" t="s">
        <v>7329</v>
      </c>
      <c r="G3390" s="293" t="s">
        <v>5580</v>
      </c>
      <c r="H3390" s="294">
        <v>42551</v>
      </c>
      <c r="I3390" s="295">
        <v>-1918.86</v>
      </c>
    </row>
    <row r="3391" spans="1:9" x14ac:dyDescent="0.2">
      <c r="A3391" s="293" t="s">
        <v>9135</v>
      </c>
      <c r="B3391" s="293" t="s">
        <v>5666</v>
      </c>
      <c r="C3391" s="293" t="s">
        <v>6110</v>
      </c>
      <c r="D3391" s="293" t="s">
        <v>5878</v>
      </c>
      <c r="E3391" s="293" t="s">
        <v>6303</v>
      </c>
      <c r="F3391" s="293" t="s">
        <v>7329</v>
      </c>
      <c r="G3391" s="293" t="s">
        <v>5573</v>
      </c>
      <c r="H3391" s="294">
        <v>42551</v>
      </c>
      <c r="I3391" s="295">
        <v>-1780.13</v>
      </c>
    </row>
    <row r="3392" spans="1:9" x14ac:dyDescent="0.2">
      <c r="A3392" s="293" t="s">
        <v>9136</v>
      </c>
      <c r="B3392" s="293" t="s">
        <v>5666</v>
      </c>
      <c r="C3392" s="293" t="s">
        <v>6115</v>
      </c>
      <c r="D3392" s="293" t="s">
        <v>5878</v>
      </c>
      <c r="E3392" s="293" t="s">
        <v>6305</v>
      </c>
      <c r="F3392" s="293" t="s">
        <v>7329</v>
      </c>
      <c r="G3392" s="293" t="s">
        <v>5581</v>
      </c>
      <c r="H3392" s="294">
        <v>42551</v>
      </c>
      <c r="I3392" s="295">
        <v>-2230.71</v>
      </c>
    </row>
    <row r="3393" spans="1:9" x14ac:dyDescent="0.2">
      <c r="A3393" s="293" t="s">
        <v>9137</v>
      </c>
      <c r="B3393" s="293" t="s">
        <v>5666</v>
      </c>
      <c r="C3393" s="293" t="s">
        <v>6086</v>
      </c>
      <c r="D3393" s="293" t="s">
        <v>5878</v>
      </c>
      <c r="E3393" s="293" t="s">
        <v>6307</v>
      </c>
      <c r="F3393" s="293" t="s">
        <v>7329</v>
      </c>
      <c r="G3393" s="293" t="s">
        <v>5581</v>
      </c>
      <c r="H3393" s="294">
        <v>42551</v>
      </c>
      <c r="I3393" s="295">
        <v>-2490.34</v>
      </c>
    </row>
    <row r="3394" spans="1:9" x14ac:dyDescent="0.2">
      <c r="A3394" s="293" t="s">
        <v>9138</v>
      </c>
      <c r="B3394" s="293" t="s">
        <v>5666</v>
      </c>
      <c r="C3394" s="293" t="s">
        <v>6113</v>
      </c>
      <c r="D3394" s="293" t="s">
        <v>5878</v>
      </c>
      <c r="E3394" s="293" t="s">
        <v>6316</v>
      </c>
      <c r="F3394" s="293" t="s">
        <v>7329</v>
      </c>
      <c r="G3394" s="293" t="s">
        <v>5573</v>
      </c>
      <c r="H3394" s="294">
        <v>42551</v>
      </c>
      <c r="I3394" s="295">
        <v>-5336.81</v>
      </c>
    </row>
    <row r="3395" spans="1:9" x14ac:dyDescent="0.2">
      <c r="A3395" s="293" t="s">
        <v>9139</v>
      </c>
      <c r="B3395" s="293" t="s">
        <v>5666</v>
      </c>
      <c r="C3395" s="293" t="s">
        <v>6313</v>
      </c>
      <c r="D3395" s="293" t="s">
        <v>5878</v>
      </c>
      <c r="E3395" s="293" t="s">
        <v>6314</v>
      </c>
      <c r="F3395" s="293" t="s">
        <v>7329</v>
      </c>
      <c r="G3395" s="293" t="s">
        <v>5576</v>
      </c>
      <c r="H3395" s="294">
        <v>42551</v>
      </c>
      <c r="I3395" s="295">
        <v>-4207.3500000000004</v>
      </c>
    </row>
    <row r="3396" spans="1:9" x14ac:dyDescent="0.2">
      <c r="A3396" s="293" t="s">
        <v>9140</v>
      </c>
      <c r="B3396" s="293" t="s">
        <v>5666</v>
      </c>
      <c r="C3396" s="293" t="s">
        <v>6272</v>
      </c>
      <c r="D3396" s="293" t="s">
        <v>5878</v>
      </c>
      <c r="E3396" s="293" t="s">
        <v>6273</v>
      </c>
      <c r="F3396" s="293" t="s">
        <v>7348</v>
      </c>
      <c r="G3396" s="293" t="s">
        <v>5576</v>
      </c>
      <c r="H3396" s="294">
        <v>42582</v>
      </c>
      <c r="I3396" s="295">
        <v>-3340.78</v>
      </c>
    </row>
    <row r="3397" spans="1:9" x14ac:dyDescent="0.2">
      <c r="A3397" s="293" t="s">
        <v>9141</v>
      </c>
      <c r="B3397" s="293" t="s">
        <v>5666</v>
      </c>
      <c r="C3397" s="293" t="s">
        <v>6122</v>
      </c>
      <c r="D3397" s="293" t="s">
        <v>5878</v>
      </c>
      <c r="E3397" s="293" t="s">
        <v>6275</v>
      </c>
      <c r="F3397" s="293" t="s">
        <v>7348</v>
      </c>
      <c r="G3397" s="293" t="s">
        <v>5577</v>
      </c>
      <c r="H3397" s="294">
        <v>42582</v>
      </c>
      <c r="I3397" s="295">
        <v>-1179.21</v>
      </c>
    </row>
    <row r="3398" spans="1:9" x14ac:dyDescent="0.2">
      <c r="A3398" s="293" t="s">
        <v>9142</v>
      </c>
      <c r="B3398" s="293" t="s">
        <v>5666</v>
      </c>
      <c r="C3398" s="293" t="s">
        <v>6124</v>
      </c>
      <c r="D3398" s="293" t="s">
        <v>5878</v>
      </c>
      <c r="E3398" s="293" t="s">
        <v>6277</v>
      </c>
      <c r="F3398" s="293" t="s">
        <v>7348</v>
      </c>
      <c r="G3398" s="293" t="s">
        <v>5578</v>
      </c>
      <c r="H3398" s="294">
        <v>42582</v>
      </c>
      <c r="I3398" s="295">
        <v>-1019.33</v>
      </c>
    </row>
    <row r="3399" spans="1:9" x14ac:dyDescent="0.2">
      <c r="A3399" s="293" t="s">
        <v>9143</v>
      </c>
      <c r="B3399" s="293" t="s">
        <v>5666</v>
      </c>
      <c r="C3399" s="293" t="s">
        <v>6126</v>
      </c>
      <c r="D3399" s="293" t="s">
        <v>5878</v>
      </c>
      <c r="E3399" s="293" t="s">
        <v>6279</v>
      </c>
      <c r="F3399" s="293" t="s">
        <v>7348</v>
      </c>
      <c r="G3399" s="293" t="s">
        <v>5579</v>
      </c>
      <c r="H3399" s="294">
        <v>42582</v>
      </c>
      <c r="I3399" s="295">
        <v>-857.57</v>
      </c>
    </row>
    <row r="3400" spans="1:9" x14ac:dyDescent="0.2">
      <c r="A3400" s="293" t="s">
        <v>9144</v>
      </c>
      <c r="B3400" s="293" t="s">
        <v>5666</v>
      </c>
      <c r="C3400" s="293" t="s">
        <v>6091</v>
      </c>
      <c r="D3400" s="293" t="s">
        <v>5878</v>
      </c>
      <c r="E3400" s="293" t="s">
        <v>6281</v>
      </c>
      <c r="F3400" s="293" t="s">
        <v>7348</v>
      </c>
      <c r="G3400" s="293" t="s">
        <v>5573</v>
      </c>
      <c r="H3400" s="294">
        <v>42582</v>
      </c>
      <c r="I3400" s="295">
        <v>-3125.47</v>
      </c>
    </row>
    <row r="3401" spans="1:9" x14ac:dyDescent="0.2">
      <c r="A3401" s="293" t="s">
        <v>9145</v>
      </c>
      <c r="B3401" s="293" t="s">
        <v>5666</v>
      </c>
      <c r="C3401" s="293" t="s">
        <v>6093</v>
      </c>
      <c r="D3401" s="293" t="s">
        <v>5878</v>
      </c>
      <c r="E3401" s="293" t="s">
        <v>6283</v>
      </c>
      <c r="F3401" s="293" t="s">
        <v>7348</v>
      </c>
      <c r="G3401" s="293" t="s">
        <v>5573</v>
      </c>
      <c r="H3401" s="294">
        <v>42582</v>
      </c>
      <c r="I3401" s="295">
        <v>-4451.78</v>
      </c>
    </row>
    <row r="3402" spans="1:9" x14ac:dyDescent="0.2">
      <c r="A3402" s="293" t="s">
        <v>9146</v>
      </c>
      <c r="B3402" s="293" t="s">
        <v>5666</v>
      </c>
      <c r="C3402" s="293" t="s">
        <v>6080</v>
      </c>
      <c r="D3402" s="293" t="s">
        <v>5878</v>
      </c>
      <c r="E3402" s="293" t="s">
        <v>6285</v>
      </c>
      <c r="F3402" s="293" t="s">
        <v>7348</v>
      </c>
      <c r="G3402" s="293" t="s">
        <v>5573</v>
      </c>
      <c r="H3402" s="294">
        <v>42582</v>
      </c>
      <c r="I3402" s="295">
        <v>-10077.08</v>
      </c>
    </row>
    <row r="3403" spans="1:9" x14ac:dyDescent="0.2">
      <c r="A3403" s="293" t="s">
        <v>9147</v>
      </c>
      <c r="B3403" s="293" t="s">
        <v>5666</v>
      </c>
      <c r="C3403" s="293" t="s">
        <v>6095</v>
      </c>
      <c r="D3403" s="293" t="s">
        <v>5878</v>
      </c>
      <c r="E3403" s="293" t="s">
        <v>6287</v>
      </c>
      <c r="F3403" s="293" t="s">
        <v>7348</v>
      </c>
      <c r="G3403" s="293" t="s">
        <v>5580</v>
      </c>
      <c r="H3403" s="294">
        <v>42582</v>
      </c>
      <c r="I3403" s="295">
        <v>-5589.54</v>
      </c>
    </row>
    <row r="3404" spans="1:9" x14ac:dyDescent="0.2">
      <c r="A3404" s="293" t="s">
        <v>9148</v>
      </c>
      <c r="B3404" s="293" t="s">
        <v>5666</v>
      </c>
      <c r="C3404" s="293" t="s">
        <v>6097</v>
      </c>
      <c r="D3404" s="293" t="s">
        <v>5878</v>
      </c>
      <c r="E3404" s="293" t="s">
        <v>6289</v>
      </c>
      <c r="F3404" s="293" t="s">
        <v>7348</v>
      </c>
      <c r="G3404" s="293" t="s">
        <v>5580</v>
      </c>
      <c r="H3404" s="294">
        <v>42582</v>
      </c>
      <c r="I3404" s="295">
        <v>-10099.59</v>
      </c>
    </row>
    <row r="3405" spans="1:9" x14ac:dyDescent="0.2">
      <c r="A3405" s="293" t="s">
        <v>9149</v>
      </c>
      <c r="B3405" s="293" t="s">
        <v>5666</v>
      </c>
      <c r="C3405" s="293" t="s">
        <v>6099</v>
      </c>
      <c r="D3405" s="293" t="s">
        <v>5878</v>
      </c>
      <c r="E3405" s="293" t="s">
        <v>6291</v>
      </c>
      <c r="F3405" s="293" t="s">
        <v>7348</v>
      </c>
      <c r="G3405" s="293" t="s">
        <v>5579</v>
      </c>
      <c r="H3405" s="294">
        <v>42582</v>
      </c>
      <c r="I3405" s="295">
        <v>-1407.23</v>
      </c>
    </row>
    <row r="3406" spans="1:9" x14ac:dyDescent="0.2">
      <c r="A3406" s="293" t="s">
        <v>9150</v>
      </c>
      <c r="B3406" s="293" t="s">
        <v>5666</v>
      </c>
      <c r="C3406" s="293" t="s">
        <v>6083</v>
      </c>
      <c r="D3406" s="293" t="s">
        <v>5878</v>
      </c>
      <c r="E3406" s="293" t="s">
        <v>6293</v>
      </c>
      <c r="F3406" s="293" t="s">
        <v>7348</v>
      </c>
      <c r="G3406" s="293" t="s">
        <v>5579</v>
      </c>
      <c r="H3406" s="294">
        <v>42582</v>
      </c>
      <c r="I3406" s="295">
        <v>-2524.9</v>
      </c>
    </row>
    <row r="3407" spans="1:9" x14ac:dyDescent="0.2">
      <c r="A3407" s="293" t="s">
        <v>9151</v>
      </c>
      <c r="B3407" s="293" t="s">
        <v>5666</v>
      </c>
      <c r="C3407" s="293" t="s">
        <v>6101</v>
      </c>
      <c r="D3407" s="293" t="s">
        <v>5878</v>
      </c>
      <c r="E3407" s="293" t="s">
        <v>6295</v>
      </c>
      <c r="F3407" s="293" t="s">
        <v>7348</v>
      </c>
      <c r="G3407" s="293" t="s">
        <v>5580</v>
      </c>
      <c r="H3407" s="294">
        <v>42582</v>
      </c>
      <c r="I3407" s="295">
        <v>-193.73</v>
      </c>
    </row>
    <row r="3408" spans="1:9" x14ac:dyDescent="0.2">
      <c r="A3408" s="293" t="s">
        <v>9152</v>
      </c>
      <c r="B3408" s="293" t="s">
        <v>5666</v>
      </c>
      <c r="C3408" s="293" t="s">
        <v>6104</v>
      </c>
      <c r="D3408" s="293" t="s">
        <v>5878</v>
      </c>
      <c r="E3408" s="293" t="s">
        <v>6297</v>
      </c>
      <c r="F3408" s="293" t="s">
        <v>7348</v>
      </c>
      <c r="G3408" s="293" t="s">
        <v>5580</v>
      </c>
      <c r="H3408" s="294">
        <v>42582</v>
      </c>
      <c r="I3408" s="295">
        <v>-274.12</v>
      </c>
    </row>
    <row r="3409" spans="1:9" x14ac:dyDescent="0.2">
      <c r="A3409" s="293" t="s">
        <v>9153</v>
      </c>
      <c r="B3409" s="293" t="s">
        <v>5666</v>
      </c>
      <c r="C3409" s="293" t="s">
        <v>6106</v>
      </c>
      <c r="D3409" s="293" t="s">
        <v>5878</v>
      </c>
      <c r="E3409" s="293" t="s">
        <v>6299</v>
      </c>
      <c r="F3409" s="293" t="s">
        <v>7348</v>
      </c>
      <c r="G3409" s="293" t="s">
        <v>5580</v>
      </c>
      <c r="H3409" s="294">
        <v>42582</v>
      </c>
      <c r="I3409" s="295">
        <v>-1347.95</v>
      </c>
    </row>
    <row r="3410" spans="1:9" x14ac:dyDescent="0.2">
      <c r="A3410" s="293" t="s">
        <v>9154</v>
      </c>
      <c r="B3410" s="293" t="s">
        <v>5666</v>
      </c>
      <c r="C3410" s="293" t="s">
        <v>6108</v>
      </c>
      <c r="D3410" s="293" t="s">
        <v>5878</v>
      </c>
      <c r="E3410" s="293" t="s">
        <v>6301</v>
      </c>
      <c r="F3410" s="293" t="s">
        <v>7348</v>
      </c>
      <c r="G3410" s="293" t="s">
        <v>5580</v>
      </c>
      <c r="H3410" s="294">
        <v>42582</v>
      </c>
      <c r="I3410" s="295">
        <v>-1918.86</v>
      </c>
    </row>
    <row r="3411" spans="1:9" x14ac:dyDescent="0.2">
      <c r="A3411" s="293" t="s">
        <v>9155</v>
      </c>
      <c r="B3411" s="293" t="s">
        <v>5666</v>
      </c>
      <c r="C3411" s="293" t="s">
        <v>6110</v>
      </c>
      <c r="D3411" s="293" t="s">
        <v>5878</v>
      </c>
      <c r="E3411" s="293" t="s">
        <v>6303</v>
      </c>
      <c r="F3411" s="293" t="s">
        <v>7348</v>
      </c>
      <c r="G3411" s="293" t="s">
        <v>5573</v>
      </c>
      <c r="H3411" s="294">
        <v>42582</v>
      </c>
      <c r="I3411" s="295">
        <v>-1780.13</v>
      </c>
    </row>
    <row r="3412" spans="1:9" x14ac:dyDescent="0.2">
      <c r="A3412" s="293" t="s">
        <v>9156</v>
      </c>
      <c r="B3412" s="293" t="s">
        <v>5666</v>
      </c>
      <c r="C3412" s="293" t="s">
        <v>6115</v>
      </c>
      <c r="D3412" s="293" t="s">
        <v>5878</v>
      </c>
      <c r="E3412" s="293" t="s">
        <v>6305</v>
      </c>
      <c r="F3412" s="293" t="s">
        <v>7348</v>
      </c>
      <c r="G3412" s="293" t="s">
        <v>5581</v>
      </c>
      <c r="H3412" s="294">
        <v>42582</v>
      </c>
      <c r="I3412" s="295">
        <v>-2230.71</v>
      </c>
    </row>
    <row r="3413" spans="1:9" x14ac:dyDescent="0.2">
      <c r="A3413" s="293" t="s">
        <v>9157</v>
      </c>
      <c r="B3413" s="293" t="s">
        <v>5666</v>
      </c>
      <c r="C3413" s="293" t="s">
        <v>6086</v>
      </c>
      <c r="D3413" s="293" t="s">
        <v>5878</v>
      </c>
      <c r="E3413" s="293" t="s">
        <v>6307</v>
      </c>
      <c r="F3413" s="293" t="s">
        <v>7348</v>
      </c>
      <c r="G3413" s="293" t="s">
        <v>5581</v>
      </c>
      <c r="H3413" s="294">
        <v>42582</v>
      </c>
      <c r="I3413" s="295">
        <v>-2490.34</v>
      </c>
    </row>
    <row r="3414" spans="1:9" x14ac:dyDescent="0.2">
      <c r="A3414" s="293" t="s">
        <v>9158</v>
      </c>
      <c r="B3414" s="293" t="s">
        <v>5666</v>
      </c>
      <c r="C3414" s="293" t="s">
        <v>6113</v>
      </c>
      <c r="D3414" s="293" t="s">
        <v>5878</v>
      </c>
      <c r="E3414" s="293" t="s">
        <v>6316</v>
      </c>
      <c r="F3414" s="293" t="s">
        <v>7348</v>
      </c>
      <c r="G3414" s="293" t="s">
        <v>5573</v>
      </c>
      <c r="H3414" s="294">
        <v>42582</v>
      </c>
      <c r="I3414" s="295">
        <v>-5336.81</v>
      </c>
    </row>
    <row r="3415" spans="1:9" x14ac:dyDescent="0.2">
      <c r="A3415" s="293" t="s">
        <v>9159</v>
      </c>
      <c r="B3415" s="293" t="s">
        <v>5666</v>
      </c>
      <c r="C3415" s="293" t="s">
        <v>6313</v>
      </c>
      <c r="D3415" s="293" t="s">
        <v>5878</v>
      </c>
      <c r="E3415" s="293" t="s">
        <v>6314</v>
      </c>
      <c r="F3415" s="293" t="s">
        <v>7348</v>
      </c>
      <c r="G3415" s="293" t="s">
        <v>5576</v>
      </c>
      <c r="H3415" s="294">
        <v>42582</v>
      </c>
      <c r="I3415" s="295">
        <v>-4207.3500000000004</v>
      </c>
    </row>
    <row r="3416" spans="1:9" x14ac:dyDescent="0.2">
      <c r="A3416" s="293" t="s">
        <v>9160</v>
      </c>
      <c r="B3416" s="293" t="s">
        <v>5666</v>
      </c>
      <c r="C3416" s="293" t="s">
        <v>6272</v>
      </c>
      <c r="D3416" s="293" t="s">
        <v>5878</v>
      </c>
      <c r="E3416" s="293" t="s">
        <v>6273</v>
      </c>
      <c r="F3416" s="293" t="s">
        <v>7366</v>
      </c>
      <c r="G3416" s="293" t="s">
        <v>5576</v>
      </c>
      <c r="H3416" s="294">
        <v>42613</v>
      </c>
      <c r="I3416" s="295">
        <v>-3340.78</v>
      </c>
    </row>
    <row r="3417" spans="1:9" x14ac:dyDescent="0.2">
      <c r="A3417" s="293" t="s">
        <v>9161</v>
      </c>
      <c r="B3417" s="293" t="s">
        <v>5666</v>
      </c>
      <c r="C3417" s="293" t="s">
        <v>6122</v>
      </c>
      <c r="D3417" s="293" t="s">
        <v>5878</v>
      </c>
      <c r="E3417" s="293" t="s">
        <v>6275</v>
      </c>
      <c r="F3417" s="293" t="s">
        <v>7366</v>
      </c>
      <c r="G3417" s="293" t="s">
        <v>5577</v>
      </c>
      <c r="H3417" s="294">
        <v>42613</v>
      </c>
      <c r="I3417" s="295">
        <v>-1179.21</v>
      </c>
    </row>
    <row r="3418" spans="1:9" x14ac:dyDescent="0.2">
      <c r="A3418" s="293" t="s">
        <v>9162</v>
      </c>
      <c r="B3418" s="293" t="s">
        <v>5666</v>
      </c>
      <c r="C3418" s="293" t="s">
        <v>6124</v>
      </c>
      <c r="D3418" s="293" t="s">
        <v>5878</v>
      </c>
      <c r="E3418" s="293" t="s">
        <v>6277</v>
      </c>
      <c r="F3418" s="293" t="s">
        <v>7366</v>
      </c>
      <c r="G3418" s="293" t="s">
        <v>5578</v>
      </c>
      <c r="H3418" s="294">
        <v>42613</v>
      </c>
      <c r="I3418" s="295">
        <v>-1019.33</v>
      </c>
    </row>
    <row r="3419" spans="1:9" x14ac:dyDescent="0.2">
      <c r="A3419" s="293" t="s">
        <v>9163</v>
      </c>
      <c r="B3419" s="293" t="s">
        <v>5666</v>
      </c>
      <c r="C3419" s="293" t="s">
        <v>6126</v>
      </c>
      <c r="D3419" s="293" t="s">
        <v>5878</v>
      </c>
      <c r="E3419" s="293" t="s">
        <v>6279</v>
      </c>
      <c r="F3419" s="293" t="s">
        <v>7366</v>
      </c>
      <c r="G3419" s="293" t="s">
        <v>5579</v>
      </c>
      <c r="H3419" s="294">
        <v>42613</v>
      </c>
      <c r="I3419" s="295">
        <v>-857.57</v>
      </c>
    </row>
    <row r="3420" spans="1:9" x14ac:dyDescent="0.2">
      <c r="A3420" s="293" t="s">
        <v>9164</v>
      </c>
      <c r="B3420" s="293" t="s">
        <v>5666</v>
      </c>
      <c r="C3420" s="293" t="s">
        <v>6091</v>
      </c>
      <c r="D3420" s="293" t="s">
        <v>5878</v>
      </c>
      <c r="E3420" s="293" t="s">
        <v>6281</v>
      </c>
      <c r="F3420" s="293" t="s">
        <v>7366</v>
      </c>
      <c r="G3420" s="293" t="s">
        <v>5573</v>
      </c>
      <c r="H3420" s="294">
        <v>42613</v>
      </c>
      <c r="I3420" s="295">
        <v>-3125.47</v>
      </c>
    </row>
    <row r="3421" spans="1:9" x14ac:dyDescent="0.2">
      <c r="A3421" s="293" t="s">
        <v>9165</v>
      </c>
      <c r="B3421" s="293" t="s">
        <v>5666</v>
      </c>
      <c r="C3421" s="293" t="s">
        <v>6093</v>
      </c>
      <c r="D3421" s="293" t="s">
        <v>5878</v>
      </c>
      <c r="E3421" s="293" t="s">
        <v>6283</v>
      </c>
      <c r="F3421" s="293" t="s">
        <v>7366</v>
      </c>
      <c r="G3421" s="293" t="s">
        <v>5573</v>
      </c>
      <c r="H3421" s="294">
        <v>42613</v>
      </c>
      <c r="I3421" s="295">
        <v>-4451.78</v>
      </c>
    </row>
    <row r="3422" spans="1:9" x14ac:dyDescent="0.2">
      <c r="A3422" s="293" t="s">
        <v>9166</v>
      </c>
      <c r="B3422" s="293" t="s">
        <v>5666</v>
      </c>
      <c r="C3422" s="293" t="s">
        <v>6080</v>
      </c>
      <c r="D3422" s="293" t="s">
        <v>5878</v>
      </c>
      <c r="E3422" s="293" t="s">
        <v>6285</v>
      </c>
      <c r="F3422" s="293" t="s">
        <v>7366</v>
      </c>
      <c r="G3422" s="293" t="s">
        <v>5573</v>
      </c>
      <c r="H3422" s="294">
        <v>42613</v>
      </c>
      <c r="I3422" s="295">
        <v>-10077.08</v>
      </c>
    </row>
    <row r="3423" spans="1:9" x14ac:dyDescent="0.2">
      <c r="A3423" s="293" t="s">
        <v>9167</v>
      </c>
      <c r="B3423" s="293" t="s">
        <v>5666</v>
      </c>
      <c r="C3423" s="293" t="s">
        <v>6095</v>
      </c>
      <c r="D3423" s="293" t="s">
        <v>5878</v>
      </c>
      <c r="E3423" s="293" t="s">
        <v>6287</v>
      </c>
      <c r="F3423" s="293" t="s">
        <v>7366</v>
      </c>
      <c r="G3423" s="293" t="s">
        <v>5580</v>
      </c>
      <c r="H3423" s="294">
        <v>42613</v>
      </c>
      <c r="I3423" s="295">
        <v>-5589.54</v>
      </c>
    </row>
    <row r="3424" spans="1:9" x14ac:dyDescent="0.2">
      <c r="A3424" s="293" t="s">
        <v>9168</v>
      </c>
      <c r="B3424" s="293" t="s">
        <v>5666</v>
      </c>
      <c r="C3424" s="293" t="s">
        <v>6097</v>
      </c>
      <c r="D3424" s="293" t="s">
        <v>5878</v>
      </c>
      <c r="E3424" s="293" t="s">
        <v>6289</v>
      </c>
      <c r="F3424" s="293" t="s">
        <v>7366</v>
      </c>
      <c r="G3424" s="293" t="s">
        <v>5580</v>
      </c>
      <c r="H3424" s="294">
        <v>42613</v>
      </c>
      <c r="I3424" s="295">
        <v>-10099.59</v>
      </c>
    </row>
    <row r="3425" spans="1:9" x14ac:dyDescent="0.2">
      <c r="A3425" s="293" t="s">
        <v>9169</v>
      </c>
      <c r="B3425" s="293" t="s">
        <v>5666</v>
      </c>
      <c r="C3425" s="293" t="s">
        <v>6099</v>
      </c>
      <c r="D3425" s="293" t="s">
        <v>5878</v>
      </c>
      <c r="E3425" s="293" t="s">
        <v>6291</v>
      </c>
      <c r="F3425" s="293" t="s">
        <v>7366</v>
      </c>
      <c r="G3425" s="293" t="s">
        <v>5579</v>
      </c>
      <c r="H3425" s="294">
        <v>42613</v>
      </c>
      <c r="I3425" s="295">
        <v>-1407.23</v>
      </c>
    </row>
    <row r="3426" spans="1:9" x14ac:dyDescent="0.2">
      <c r="A3426" s="293" t="s">
        <v>9170</v>
      </c>
      <c r="B3426" s="293" t="s">
        <v>5666</v>
      </c>
      <c r="C3426" s="293" t="s">
        <v>6083</v>
      </c>
      <c r="D3426" s="293" t="s">
        <v>5878</v>
      </c>
      <c r="E3426" s="293" t="s">
        <v>6293</v>
      </c>
      <c r="F3426" s="293" t="s">
        <v>7366</v>
      </c>
      <c r="G3426" s="293" t="s">
        <v>5579</v>
      </c>
      <c r="H3426" s="294">
        <v>42613</v>
      </c>
      <c r="I3426" s="295">
        <v>-2524.9</v>
      </c>
    </row>
    <row r="3427" spans="1:9" x14ac:dyDescent="0.2">
      <c r="A3427" s="293" t="s">
        <v>9171</v>
      </c>
      <c r="B3427" s="293" t="s">
        <v>5666</v>
      </c>
      <c r="C3427" s="293" t="s">
        <v>6101</v>
      </c>
      <c r="D3427" s="293" t="s">
        <v>5878</v>
      </c>
      <c r="E3427" s="293" t="s">
        <v>6295</v>
      </c>
      <c r="F3427" s="293" t="s">
        <v>7366</v>
      </c>
      <c r="G3427" s="293" t="s">
        <v>5580</v>
      </c>
      <c r="H3427" s="294">
        <v>42613</v>
      </c>
      <c r="I3427" s="295">
        <v>-193.73</v>
      </c>
    </row>
    <row r="3428" spans="1:9" x14ac:dyDescent="0.2">
      <c r="A3428" s="293" t="s">
        <v>9172</v>
      </c>
      <c r="B3428" s="293" t="s">
        <v>5666</v>
      </c>
      <c r="C3428" s="293" t="s">
        <v>6104</v>
      </c>
      <c r="D3428" s="293" t="s">
        <v>5878</v>
      </c>
      <c r="E3428" s="293" t="s">
        <v>6297</v>
      </c>
      <c r="F3428" s="293" t="s">
        <v>7366</v>
      </c>
      <c r="G3428" s="293" t="s">
        <v>5580</v>
      </c>
      <c r="H3428" s="294">
        <v>42613</v>
      </c>
      <c r="I3428" s="295">
        <v>-274.12</v>
      </c>
    </row>
    <row r="3429" spans="1:9" x14ac:dyDescent="0.2">
      <c r="A3429" s="293" t="s">
        <v>9173</v>
      </c>
      <c r="B3429" s="293" t="s">
        <v>5666</v>
      </c>
      <c r="C3429" s="293" t="s">
        <v>6106</v>
      </c>
      <c r="D3429" s="293" t="s">
        <v>5878</v>
      </c>
      <c r="E3429" s="293" t="s">
        <v>6299</v>
      </c>
      <c r="F3429" s="293" t="s">
        <v>7366</v>
      </c>
      <c r="G3429" s="293" t="s">
        <v>5580</v>
      </c>
      <c r="H3429" s="294">
        <v>42613</v>
      </c>
      <c r="I3429" s="295">
        <v>-1347.95</v>
      </c>
    </row>
    <row r="3430" spans="1:9" x14ac:dyDescent="0.2">
      <c r="A3430" s="293" t="s">
        <v>9174</v>
      </c>
      <c r="B3430" s="293" t="s">
        <v>5666</v>
      </c>
      <c r="C3430" s="293" t="s">
        <v>6108</v>
      </c>
      <c r="D3430" s="293" t="s">
        <v>5878</v>
      </c>
      <c r="E3430" s="293" t="s">
        <v>6301</v>
      </c>
      <c r="F3430" s="293" t="s">
        <v>7366</v>
      </c>
      <c r="G3430" s="293" t="s">
        <v>5580</v>
      </c>
      <c r="H3430" s="294">
        <v>42613</v>
      </c>
      <c r="I3430" s="295">
        <v>-1918.86</v>
      </c>
    </row>
    <row r="3431" spans="1:9" x14ac:dyDescent="0.2">
      <c r="A3431" s="293" t="s">
        <v>9175</v>
      </c>
      <c r="B3431" s="293" t="s">
        <v>5666</v>
      </c>
      <c r="C3431" s="293" t="s">
        <v>6110</v>
      </c>
      <c r="D3431" s="293" t="s">
        <v>5878</v>
      </c>
      <c r="E3431" s="293" t="s">
        <v>6303</v>
      </c>
      <c r="F3431" s="293" t="s">
        <v>7366</v>
      </c>
      <c r="G3431" s="293" t="s">
        <v>5573</v>
      </c>
      <c r="H3431" s="294">
        <v>42613</v>
      </c>
      <c r="I3431" s="295">
        <v>-1780.13</v>
      </c>
    </row>
    <row r="3432" spans="1:9" x14ac:dyDescent="0.2">
      <c r="A3432" s="293" t="s">
        <v>9176</v>
      </c>
      <c r="B3432" s="293" t="s">
        <v>5666</v>
      </c>
      <c r="C3432" s="293" t="s">
        <v>6115</v>
      </c>
      <c r="D3432" s="293" t="s">
        <v>5878</v>
      </c>
      <c r="E3432" s="293" t="s">
        <v>6305</v>
      </c>
      <c r="F3432" s="293" t="s">
        <v>7366</v>
      </c>
      <c r="G3432" s="293" t="s">
        <v>5581</v>
      </c>
      <c r="H3432" s="294">
        <v>42613</v>
      </c>
      <c r="I3432" s="295">
        <v>-2230.71</v>
      </c>
    </row>
    <row r="3433" spans="1:9" x14ac:dyDescent="0.2">
      <c r="A3433" s="293" t="s">
        <v>9177</v>
      </c>
      <c r="B3433" s="293" t="s">
        <v>5666</v>
      </c>
      <c r="C3433" s="293" t="s">
        <v>6086</v>
      </c>
      <c r="D3433" s="293" t="s">
        <v>5878</v>
      </c>
      <c r="E3433" s="293" t="s">
        <v>6307</v>
      </c>
      <c r="F3433" s="293" t="s">
        <v>7366</v>
      </c>
      <c r="G3433" s="293" t="s">
        <v>5581</v>
      </c>
      <c r="H3433" s="294">
        <v>42613</v>
      </c>
      <c r="I3433" s="295">
        <v>-2490.34</v>
      </c>
    </row>
    <row r="3434" spans="1:9" x14ac:dyDescent="0.2">
      <c r="A3434" s="293" t="s">
        <v>9178</v>
      </c>
      <c r="B3434" s="293" t="s">
        <v>5666</v>
      </c>
      <c r="C3434" s="293" t="s">
        <v>6113</v>
      </c>
      <c r="D3434" s="293" t="s">
        <v>5878</v>
      </c>
      <c r="E3434" s="293" t="s">
        <v>6316</v>
      </c>
      <c r="F3434" s="293" t="s">
        <v>7366</v>
      </c>
      <c r="G3434" s="293" t="s">
        <v>5573</v>
      </c>
      <c r="H3434" s="294">
        <v>42613</v>
      </c>
      <c r="I3434" s="295">
        <v>-5336.81</v>
      </c>
    </row>
    <row r="3435" spans="1:9" x14ac:dyDescent="0.2">
      <c r="A3435" s="293" t="s">
        <v>9179</v>
      </c>
      <c r="B3435" s="293" t="s">
        <v>5666</v>
      </c>
      <c r="C3435" s="293" t="s">
        <v>6313</v>
      </c>
      <c r="D3435" s="293" t="s">
        <v>5878</v>
      </c>
      <c r="E3435" s="293" t="s">
        <v>6314</v>
      </c>
      <c r="F3435" s="293" t="s">
        <v>7366</v>
      </c>
      <c r="G3435" s="293" t="s">
        <v>5576</v>
      </c>
      <c r="H3435" s="294">
        <v>42613</v>
      </c>
      <c r="I3435" s="295">
        <v>-4207.3500000000004</v>
      </c>
    </row>
    <row r="3436" spans="1:9" x14ac:dyDescent="0.2">
      <c r="A3436" s="293" t="s">
        <v>9180</v>
      </c>
      <c r="B3436" s="293" t="s">
        <v>5666</v>
      </c>
      <c r="C3436" s="293" t="s">
        <v>6272</v>
      </c>
      <c r="D3436" s="293" t="s">
        <v>5878</v>
      </c>
      <c r="E3436" s="293" t="s">
        <v>6273</v>
      </c>
      <c r="F3436" s="293" t="s">
        <v>7387</v>
      </c>
      <c r="G3436" s="293" t="s">
        <v>5576</v>
      </c>
      <c r="H3436" s="294">
        <v>42643</v>
      </c>
      <c r="I3436" s="295">
        <v>-3340.78</v>
      </c>
    </row>
    <row r="3437" spans="1:9" x14ac:dyDescent="0.2">
      <c r="A3437" s="293" t="s">
        <v>9181</v>
      </c>
      <c r="B3437" s="293" t="s">
        <v>5666</v>
      </c>
      <c r="C3437" s="293" t="s">
        <v>6122</v>
      </c>
      <c r="D3437" s="293" t="s">
        <v>5878</v>
      </c>
      <c r="E3437" s="293" t="s">
        <v>6275</v>
      </c>
      <c r="F3437" s="293" t="s">
        <v>7387</v>
      </c>
      <c r="G3437" s="293" t="s">
        <v>5577</v>
      </c>
      <c r="H3437" s="294">
        <v>42643</v>
      </c>
      <c r="I3437" s="295">
        <v>-1179.21</v>
      </c>
    </row>
    <row r="3438" spans="1:9" x14ac:dyDescent="0.2">
      <c r="A3438" s="293" t="s">
        <v>9182</v>
      </c>
      <c r="B3438" s="293" t="s">
        <v>5666</v>
      </c>
      <c r="C3438" s="293" t="s">
        <v>6124</v>
      </c>
      <c r="D3438" s="293" t="s">
        <v>5878</v>
      </c>
      <c r="E3438" s="293" t="s">
        <v>6277</v>
      </c>
      <c r="F3438" s="293" t="s">
        <v>7387</v>
      </c>
      <c r="G3438" s="293" t="s">
        <v>5578</v>
      </c>
      <c r="H3438" s="294">
        <v>42643</v>
      </c>
      <c r="I3438" s="295">
        <v>-1019.33</v>
      </c>
    </row>
    <row r="3439" spans="1:9" x14ac:dyDescent="0.2">
      <c r="A3439" s="293" t="s">
        <v>9183</v>
      </c>
      <c r="B3439" s="293" t="s">
        <v>5666</v>
      </c>
      <c r="C3439" s="293" t="s">
        <v>6126</v>
      </c>
      <c r="D3439" s="293" t="s">
        <v>5878</v>
      </c>
      <c r="E3439" s="293" t="s">
        <v>6279</v>
      </c>
      <c r="F3439" s="293" t="s">
        <v>7387</v>
      </c>
      <c r="G3439" s="293" t="s">
        <v>5579</v>
      </c>
      <c r="H3439" s="294">
        <v>42643</v>
      </c>
      <c r="I3439" s="295">
        <v>-857.57</v>
      </c>
    </row>
    <row r="3440" spans="1:9" x14ac:dyDescent="0.2">
      <c r="A3440" s="293" t="s">
        <v>9184</v>
      </c>
      <c r="B3440" s="293" t="s">
        <v>5666</v>
      </c>
      <c r="C3440" s="293" t="s">
        <v>6091</v>
      </c>
      <c r="D3440" s="293" t="s">
        <v>5878</v>
      </c>
      <c r="E3440" s="293" t="s">
        <v>6281</v>
      </c>
      <c r="F3440" s="293" t="s">
        <v>7387</v>
      </c>
      <c r="G3440" s="293" t="s">
        <v>5573</v>
      </c>
      <c r="H3440" s="294">
        <v>42643</v>
      </c>
      <c r="I3440" s="295">
        <v>-3125.47</v>
      </c>
    </row>
    <row r="3441" spans="1:9" x14ac:dyDescent="0.2">
      <c r="A3441" s="293" t="s">
        <v>9185</v>
      </c>
      <c r="B3441" s="293" t="s">
        <v>5666</v>
      </c>
      <c r="C3441" s="293" t="s">
        <v>6093</v>
      </c>
      <c r="D3441" s="293" t="s">
        <v>5878</v>
      </c>
      <c r="E3441" s="293" t="s">
        <v>6283</v>
      </c>
      <c r="F3441" s="293" t="s">
        <v>7387</v>
      </c>
      <c r="G3441" s="293" t="s">
        <v>5573</v>
      </c>
      <c r="H3441" s="294">
        <v>42643</v>
      </c>
      <c r="I3441" s="295">
        <v>-4451.78</v>
      </c>
    </row>
    <row r="3442" spans="1:9" x14ac:dyDescent="0.2">
      <c r="A3442" s="293" t="s">
        <v>9186</v>
      </c>
      <c r="B3442" s="293" t="s">
        <v>5666</v>
      </c>
      <c r="C3442" s="293" t="s">
        <v>6080</v>
      </c>
      <c r="D3442" s="293" t="s">
        <v>5878</v>
      </c>
      <c r="E3442" s="293" t="s">
        <v>6285</v>
      </c>
      <c r="F3442" s="293" t="s">
        <v>7387</v>
      </c>
      <c r="G3442" s="293" t="s">
        <v>5573</v>
      </c>
      <c r="H3442" s="294">
        <v>42643</v>
      </c>
      <c r="I3442" s="295">
        <v>-10077.08</v>
      </c>
    </row>
    <row r="3443" spans="1:9" x14ac:dyDescent="0.2">
      <c r="A3443" s="293" t="s">
        <v>9187</v>
      </c>
      <c r="B3443" s="293" t="s">
        <v>5666</v>
      </c>
      <c r="C3443" s="293" t="s">
        <v>6095</v>
      </c>
      <c r="D3443" s="293" t="s">
        <v>5878</v>
      </c>
      <c r="E3443" s="293" t="s">
        <v>6287</v>
      </c>
      <c r="F3443" s="293" t="s">
        <v>7387</v>
      </c>
      <c r="G3443" s="293" t="s">
        <v>5580</v>
      </c>
      <c r="H3443" s="294">
        <v>42643</v>
      </c>
      <c r="I3443" s="295">
        <v>-5589.54</v>
      </c>
    </row>
    <row r="3444" spans="1:9" x14ac:dyDescent="0.2">
      <c r="A3444" s="293" t="s">
        <v>9188</v>
      </c>
      <c r="B3444" s="293" t="s">
        <v>5666</v>
      </c>
      <c r="C3444" s="293" t="s">
        <v>6097</v>
      </c>
      <c r="D3444" s="293" t="s">
        <v>5878</v>
      </c>
      <c r="E3444" s="293" t="s">
        <v>6289</v>
      </c>
      <c r="F3444" s="293" t="s">
        <v>7387</v>
      </c>
      <c r="G3444" s="293" t="s">
        <v>5580</v>
      </c>
      <c r="H3444" s="294">
        <v>42643</v>
      </c>
      <c r="I3444" s="295">
        <v>-10099.59</v>
      </c>
    </row>
    <row r="3445" spans="1:9" x14ac:dyDescent="0.2">
      <c r="A3445" s="293" t="s">
        <v>9189</v>
      </c>
      <c r="B3445" s="293" t="s">
        <v>5666</v>
      </c>
      <c r="C3445" s="293" t="s">
        <v>6099</v>
      </c>
      <c r="D3445" s="293" t="s">
        <v>5878</v>
      </c>
      <c r="E3445" s="293" t="s">
        <v>6291</v>
      </c>
      <c r="F3445" s="293" t="s">
        <v>7387</v>
      </c>
      <c r="G3445" s="293" t="s">
        <v>5579</v>
      </c>
      <c r="H3445" s="294">
        <v>42643</v>
      </c>
      <c r="I3445" s="295">
        <v>-1407.23</v>
      </c>
    </row>
    <row r="3446" spans="1:9" x14ac:dyDescent="0.2">
      <c r="A3446" s="293" t="s">
        <v>9190</v>
      </c>
      <c r="B3446" s="293" t="s">
        <v>5666</v>
      </c>
      <c r="C3446" s="293" t="s">
        <v>6083</v>
      </c>
      <c r="D3446" s="293" t="s">
        <v>5878</v>
      </c>
      <c r="E3446" s="293" t="s">
        <v>6293</v>
      </c>
      <c r="F3446" s="293" t="s">
        <v>7387</v>
      </c>
      <c r="G3446" s="293" t="s">
        <v>5579</v>
      </c>
      <c r="H3446" s="294">
        <v>42643</v>
      </c>
      <c r="I3446" s="295">
        <v>-2524.9</v>
      </c>
    </row>
    <row r="3447" spans="1:9" x14ac:dyDescent="0.2">
      <c r="A3447" s="293" t="s">
        <v>9191</v>
      </c>
      <c r="B3447" s="293" t="s">
        <v>5666</v>
      </c>
      <c r="C3447" s="293" t="s">
        <v>6101</v>
      </c>
      <c r="D3447" s="293" t="s">
        <v>5878</v>
      </c>
      <c r="E3447" s="293" t="s">
        <v>6295</v>
      </c>
      <c r="F3447" s="293" t="s">
        <v>7387</v>
      </c>
      <c r="G3447" s="293" t="s">
        <v>5580</v>
      </c>
      <c r="H3447" s="294">
        <v>42643</v>
      </c>
      <c r="I3447" s="295">
        <v>-193.73</v>
      </c>
    </row>
    <row r="3448" spans="1:9" x14ac:dyDescent="0.2">
      <c r="A3448" s="293" t="s">
        <v>9192</v>
      </c>
      <c r="B3448" s="293" t="s">
        <v>5666</v>
      </c>
      <c r="C3448" s="293" t="s">
        <v>6104</v>
      </c>
      <c r="D3448" s="293" t="s">
        <v>5878</v>
      </c>
      <c r="E3448" s="293" t="s">
        <v>6297</v>
      </c>
      <c r="F3448" s="293" t="s">
        <v>7387</v>
      </c>
      <c r="G3448" s="293" t="s">
        <v>5580</v>
      </c>
      <c r="H3448" s="294">
        <v>42643</v>
      </c>
      <c r="I3448" s="295">
        <v>-274.12</v>
      </c>
    </row>
    <row r="3449" spans="1:9" x14ac:dyDescent="0.2">
      <c r="A3449" s="293" t="s">
        <v>9193</v>
      </c>
      <c r="B3449" s="293" t="s">
        <v>5666</v>
      </c>
      <c r="C3449" s="293" t="s">
        <v>6106</v>
      </c>
      <c r="D3449" s="293" t="s">
        <v>5878</v>
      </c>
      <c r="E3449" s="293" t="s">
        <v>6299</v>
      </c>
      <c r="F3449" s="293" t="s">
        <v>7387</v>
      </c>
      <c r="G3449" s="293" t="s">
        <v>5580</v>
      </c>
      <c r="H3449" s="294">
        <v>42643</v>
      </c>
      <c r="I3449" s="295">
        <v>-1347.95</v>
      </c>
    </row>
    <row r="3450" spans="1:9" x14ac:dyDescent="0.2">
      <c r="A3450" s="293" t="s">
        <v>9194</v>
      </c>
      <c r="B3450" s="293" t="s">
        <v>5666</v>
      </c>
      <c r="C3450" s="293" t="s">
        <v>6108</v>
      </c>
      <c r="D3450" s="293" t="s">
        <v>5878</v>
      </c>
      <c r="E3450" s="293" t="s">
        <v>6301</v>
      </c>
      <c r="F3450" s="293" t="s">
        <v>7387</v>
      </c>
      <c r="G3450" s="293" t="s">
        <v>5580</v>
      </c>
      <c r="H3450" s="294">
        <v>42643</v>
      </c>
      <c r="I3450" s="295">
        <v>-1918.86</v>
      </c>
    </row>
    <row r="3451" spans="1:9" x14ac:dyDescent="0.2">
      <c r="A3451" s="293" t="s">
        <v>9195</v>
      </c>
      <c r="B3451" s="293" t="s">
        <v>5666</v>
      </c>
      <c r="C3451" s="293" t="s">
        <v>6110</v>
      </c>
      <c r="D3451" s="293" t="s">
        <v>5878</v>
      </c>
      <c r="E3451" s="293" t="s">
        <v>6303</v>
      </c>
      <c r="F3451" s="293" t="s">
        <v>7387</v>
      </c>
      <c r="G3451" s="293" t="s">
        <v>5573</v>
      </c>
      <c r="H3451" s="294">
        <v>42643</v>
      </c>
      <c r="I3451" s="295">
        <v>-1780.13</v>
      </c>
    </row>
    <row r="3452" spans="1:9" x14ac:dyDescent="0.2">
      <c r="A3452" s="293" t="s">
        <v>9196</v>
      </c>
      <c r="B3452" s="293" t="s">
        <v>5666</v>
      </c>
      <c r="C3452" s="293" t="s">
        <v>6115</v>
      </c>
      <c r="D3452" s="293" t="s">
        <v>5878</v>
      </c>
      <c r="E3452" s="293" t="s">
        <v>6305</v>
      </c>
      <c r="F3452" s="293" t="s">
        <v>7387</v>
      </c>
      <c r="G3452" s="293" t="s">
        <v>5581</v>
      </c>
      <c r="H3452" s="294">
        <v>42643</v>
      </c>
      <c r="I3452" s="295">
        <v>-2230.71</v>
      </c>
    </row>
    <row r="3453" spans="1:9" x14ac:dyDescent="0.2">
      <c r="A3453" s="293" t="s">
        <v>9197</v>
      </c>
      <c r="B3453" s="293" t="s">
        <v>5666</v>
      </c>
      <c r="C3453" s="293" t="s">
        <v>6086</v>
      </c>
      <c r="D3453" s="293" t="s">
        <v>5878</v>
      </c>
      <c r="E3453" s="293" t="s">
        <v>6307</v>
      </c>
      <c r="F3453" s="293" t="s">
        <v>7387</v>
      </c>
      <c r="G3453" s="293" t="s">
        <v>5581</v>
      </c>
      <c r="H3453" s="294">
        <v>42643</v>
      </c>
      <c r="I3453" s="295">
        <v>-2490.34</v>
      </c>
    </row>
    <row r="3454" spans="1:9" x14ac:dyDescent="0.2">
      <c r="A3454" s="293" t="s">
        <v>9198</v>
      </c>
      <c r="B3454" s="293" t="s">
        <v>5666</v>
      </c>
      <c r="C3454" s="293" t="s">
        <v>6113</v>
      </c>
      <c r="D3454" s="293" t="s">
        <v>5878</v>
      </c>
      <c r="E3454" s="293" t="s">
        <v>6316</v>
      </c>
      <c r="F3454" s="293" t="s">
        <v>7387</v>
      </c>
      <c r="G3454" s="293" t="s">
        <v>5573</v>
      </c>
      <c r="H3454" s="294">
        <v>42643</v>
      </c>
      <c r="I3454" s="295">
        <v>-5336.81</v>
      </c>
    </row>
    <row r="3455" spans="1:9" x14ac:dyDescent="0.2">
      <c r="A3455" s="293" t="s">
        <v>9199</v>
      </c>
      <c r="B3455" s="293" t="s">
        <v>5666</v>
      </c>
      <c r="C3455" s="293" t="s">
        <v>6313</v>
      </c>
      <c r="D3455" s="293" t="s">
        <v>5878</v>
      </c>
      <c r="E3455" s="293" t="s">
        <v>6314</v>
      </c>
      <c r="F3455" s="293" t="s">
        <v>7387</v>
      </c>
      <c r="G3455" s="293" t="s">
        <v>5576</v>
      </c>
      <c r="H3455" s="294">
        <v>42643</v>
      </c>
      <c r="I3455" s="295">
        <v>-4207.3500000000004</v>
      </c>
    </row>
    <row r="3456" spans="1:9" x14ac:dyDescent="0.2">
      <c r="A3456" s="293" t="s">
        <v>9200</v>
      </c>
      <c r="B3456" s="293" t="s">
        <v>5666</v>
      </c>
      <c r="C3456" s="293" t="s">
        <v>6272</v>
      </c>
      <c r="D3456" s="293" t="s">
        <v>5878</v>
      </c>
      <c r="E3456" s="293" t="s">
        <v>6273</v>
      </c>
      <c r="F3456" s="293" t="s">
        <v>7405</v>
      </c>
      <c r="G3456" s="293" t="s">
        <v>5576</v>
      </c>
      <c r="H3456" s="294">
        <v>42674</v>
      </c>
      <c r="I3456" s="295">
        <v>-3340.78</v>
      </c>
    </row>
    <row r="3457" spans="1:9" x14ac:dyDescent="0.2">
      <c r="A3457" s="293" t="s">
        <v>9201</v>
      </c>
      <c r="B3457" s="293" t="s">
        <v>5666</v>
      </c>
      <c r="C3457" s="293" t="s">
        <v>6122</v>
      </c>
      <c r="D3457" s="293" t="s">
        <v>5878</v>
      </c>
      <c r="E3457" s="293" t="s">
        <v>6275</v>
      </c>
      <c r="F3457" s="293" t="s">
        <v>7405</v>
      </c>
      <c r="G3457" s="293" t="s">
        <v>5577</v>
      </c>
      <c r="H3457" s="294">
        <v>42674</v>
      </c>
      <c r="I3457" s="295">
        <v>-1179.21</v>
      </c>
    </row>
    <row r="3458" spans="1:9" x14ac:dyDescent="0.2">
      <c r="A3458" s="293" t="s">
        <v>9202</v>
      </c>
      <c r="B3458" s="293" t="s">
        <v>5666</v>
      </c>
      <c r="C3458" s="293" t="s">
        <v>6124</v>
      </c>
      <c r="D3458" s="293" t="s">
        <v>5878</v>
      </c>
      <c r="E3458" s="293" t="s">
        <v>6277</v>
      </c>
      <c r="F3458" s="293" t="s">
        <v>7405</v>
      </c>
      <c r="G3458" s="293" t="s">
        <v>5578</v>
      </c>
      <c r="H3458" s="294">
        <v>42674</v>
      </c>
      <c r="I3458" s="295">
        <v>-1019.33</v>
      </c>
    </row>
    <row r="3459" spans="1:9" x14ac:dyDescent="0.2">
      <c r="A3459" s="293" t="s">
        <v>9203</v>
      </c>
      <c r="B3459" s="293" t="s">
        <v>5666</v>
      </c>
      <c r="C3459" s="293" t="s">
        <v>6126</v>
      </c>
      <c r="D3459" s="293" t="s">
        <v>5878</v>
      </c>
      <c r="E3459" s="293" t="s">
        <v>6279</v>
      </c>
      <c r="F3459" s="293" t="s">
        <v>7405</v>
      </c>
      <c r="G3459" s="293" t="s">
        <v>5579</v>
      </c>
      <c r="H3459" s="294">
        <v>42674</v>
      </c>
      <c r="I3459" s="295">
        <v>-857.57</v>
      </c>
    </row>
    <row r="3460" spans="1:9" x14ac:dyDescent="0.2">
      <c r="A3460" s="293" t="s">
        <v>9204</v>
      </c>
      <c r="B3460" s="293" t="s">
        <v>5666</v>
      </c>
      <c r="C3460" s="293" t="s">
        <v>6091</v>
      </c>
      <c r="D3460" s="293" t="s">
        <v>5878</v>
      </c>
      <c r="E3460" s="293" t="s">
        <v>6281</v>
      </c>
      <c r="F3460" s="293" t="s">
        <v>7405</v>
      </c>
      <c r="G3460" s="293" t="s">
        <v>5573</v>
      </c>
      <c r="H3460" s="294">
        <v>42674</v>
      </c>
      <c r="I3460" s="295">
        <v>-3125.47</v>
      </c>
    </row>
    <row r="3461" spans="1:9" x14ac:dyDescent="0.2">
      <c r="A3461" s="293" t="s">
        <v>9205</v>
      </c>
      <c r="B3461" s="293" t="s">
        <v>5666</v>
      </c>
      <c r="C3461" s="293" t="s">
        <v>6093</v>
      </c>
      <c r="D3461" s="293" t="s">
        <v>5878</v>
      </c>
      <c r="E3461" s="293" t="s">
        <v>6283</v>
      </c>
      <c r="F3461" s="293" t="s">
        <v>7405</v>
      </c>
      <c r="G3461" s="293" t="s">
        <v>5573</v>
      </c>
      <c r="H3461" s="294">
        <v>42674</v>
      </c>
      <c r="I3461" s="295">
        <v>-4451.78</v>
      </c>
    </row>
    <row r="3462" spans="1:9" x14ac:dyDescent="0.2">
      <c r="A3462" s="293" t="s">
        <v>9206</v>
      </c>
      <c r="B3462" s="293" t="s">
        <v>5666</v>
      </c>
      <c r="C3462" s="293" t="s">
        <v>6080</v>
      </c>
      <c r="D3462" s="293" t="s">
        <v>5878</v>
      </c>
      <c r="E3462" s="293" t="s">
        <v>6285</v>
      </c>
      <c r="F3462" s="293" t="s">
        <v>7405</v>
      </c>
      <c r="G3462" s="293" t="s">
        <v>5573</v>
      </c>
      <c r="H3462" s="294">
        <v>42674</v>
      </c>
      <c r="I3462" s="295">
        <v>-10077.08</v>
      </c>
    </row>
    <row r="3463" spans="1:9" x14ac:dyDescent="0.2">
      <c r="A3463" s="293" t="s">
        <v>9207</v>
      </c>
      <c r="B3463" s="293" t="s">
        <v>5666</v>
      </c>
      <c r="C3463" s="293" t="s">
        <v>6095</v>
      </c>
      <c r="D3463" s="293" t="s">
        <v>5878</v>
      </c>
      <c r="E3463" s="293" t="s">
        <v>6287</v>
      </c>
      <c r="F3463" s="293" t="s">
        <v>7405</v>
      </c>
      <c r="G3463" s="293" t="s">
        <v>5580</v>
      </c>
      <c r="H3463" s="294">
        <v>42674</v>
      </c>
      <c r="I3463" s="295">
        <v>-5589.54</v>
      </c>
    </row>
    <row r="3464" spans="1:9" x14ac:dyDescent="0.2">
      <c r="A3464" s="293" t="s">
        <v>9208</v>
      </c>
      <c r="B3464" s="293" t="s">
        <v>5666</v>
      </c>
      <c r="C3464" s="293" t="s">
        <v>6097</v>
      </c>
      <c r="D3464" s="293" t="s">
        <v>5878</v>
      </c>
      <c r="E3464" s="293" t="s">
        <v>6289</v>
      </c>
      <c r="F3464" s="293" t="s">
        <v>7405</v>
      </c>
      <c r="G3464" s="293" t="s">
        <v>5580</v>
      </c>
      <c r="H3464" s="294">
        <v>42674</v>
      </c>
      <c r="I3464" s="295">
        <v>-10099.59</v>
      </c>
    </row>
    <row r="3465" spans="1:9" x14ac:dyDescent="0.2">
      <c r="A3465" s="293" t="s">
        <v>9209</v>
      </c>
      <c r="B3465" s="293" t="s">
        <v>5666</v>
      </c>
      <c r="C3465" s="293" t="s">
        <v>6099</v>
      </c>
      <c r="D3465" s="293" t="s">
        <v>5878</v>
      </c>
      <c r="E3465" s="293" t="s">
        <v>6291</v>
      </c>
      <c r="F3465" s="293" t="s">
        <v>7405</v>
      </c>
      <c r="G3465" s="293" t="s">
        <v>5579</v>
      </c>
      <c r="H3465" s="294">
        <v>42674</v>
      </c>
      <c r="I3465" s="295">
        <v>-1407.23</v>
      </c>
    </row>
    <row r="3466" spans="1:9" x14ac:dyDescent="0.2">
      <c r="A3466" s="293" t="s">
        <v>9210</v>
      </c>
      <c r="B3466" s="293" t="s">
        <v>5666</v>
      </c>
      <c r="C3466" s="293" t="s">
        <v>6083</v>
      </c>
      <c r="D3466" s="293" t="s">
        <v>5878</v>
      </c>
      <c r="E3466" s="293" t="s">
        <v>6293</v>
      </c>
      <c r="F3466" s="293" t="s">
        <v>7405</v>
      </c>
      <c r="G3466" s="293" t="s">
        <v>5579</v>
      </c>
      <c r="H3466" s="294">
        <v>42674</v>
      </c>
      <c r="I3466" s="295">
        <v>-2524.9</v>
      </c>
    </row>
    <row r="3467" spans="1:9" x14ac:dyDescent="0.2">
      <c r="A3467" s="293" t="s">
        <v>9211</v>
      </c>
      <c r="B3467" s="293" t="s">
        <v>5666</v>
      </c>
      <c r="C3467" s="293" t="s">
        <v>6101</v>
      </c>
      <c r="D3467" s="293" t="s">
        <v>5878</v>
      </c>
      <c r="E3467" s="293" t="s">
        <v>6295</v>
      </c>
      <c r="F3467" s="293" t="s">
        <v>7405</v>
      </c>
      <c r="G3467" s="293" t="s">
        <v>5580</v>
      </c>
      <c r="H3467" s="294">
        <v>42674</v>
      </c>
      <c r="I3467" s="295">
        <v>-193.73</v>
      </c>
    </row>
    <row r="3468" spans="1:9" x14ac:dyDescent="0.2">
      <c r="A3468" s="293" t="s">
        <v>9212</v>
      </c>
      <c r="B3468" s="293" t="s">
        <v>5666</v>
      </c>
      <c r="C3468" s="293" t="s">
        <v>6104</v>
      </c>
      <c r="D3468" s="293" t="s">
        <v>5878</v>
      </c>
      <c r="E3468" s="293" t="s">
        <v>6297</v>
      </c>
      <c r="F3468" s="293" t="s">
        <v>7405</v>
      </c>
      <c r="G3468" s="293" t="s">
        <v>5580</v>
      </c>
      <c r="H3468" s="294">
        <v>42674</v>
      </c>
      <c r="I3468" s="295">
        <v>-274.12</v>
      </c>
    </row>
    <row r="3469" spans="1:9" x14ac:dyDescent="0.2">
      <c r="A3469" s="293" t="s">
        <v>9213</v>
      </c>
      <c r="B3469" s="293" t="s">
        <v>5666</v>
      </c>
      <c r="C3469" s="293" t="s">
        <v>6106</v>
      </c>
      <c r="D3469" s="293" t="s">
        <v>5878</v>
      </c>
      <c r="E3469" s="293" t="s">
        <v>6299</v>
      </c>
      <c r="F3469" s="293" t="s">
        <v>7405</v>
      </c>
      <c r="G3469" s="293" t="s">
        <v>5580</v>
      </c>
      <c r="H3469" s="294">
        <v>42674</v>
      </c>
      <c r="I3469" s="295">
        <v>-1347.95</v>
      </c>
    </row>
    <row r="3470" spans="1:9" x14ac:dyDescent="0.2">
      <c r="A3470" s="293" t="s">
        <v>9214</v>
      </c>
      <c r="B3470" s="293" t="s">
        <v>5666</v>
      </c>
      <c r="C3470" s="293" t="s">
        <v>6108</v>
      </c>
      <c r="D3470" s="293" t="s">
        <v>5878</v>
      </c>
      <c r="E3470" s="293" t="s">
        <v>6301</v>
      </c>
      <c r="F3470" s="293" t="s">
        <v>7405</v>
      </c>
      <c r="G3470" s="293" t="s">
        <v>5580</v>
      </c>
      <c r="H3470" s="294">
        <v>42674</v>
      </c>
      <c r="I3470" s="295">
        <v>-1918.86</v>
      </c>
    </row>
    <row r="3471" spans="1:9" x14ac:dyDescent="0.2">
      <c r="A3471" s="293" t="s">
        <v>9215</v>
      </c>
      <c r="B3471" s="293" t="s">
        <v>5666</v>
      </c>
      <c r="C3471" s="293" t="s">
        <v>6110</v>
      </c>
      <c r="D3471" s="293" t="s">
        <v>5878</v>
      </c>
      <c r="E3471" s="293" t="s">
        <v>6303</v>
      </c>
      <c r="F3471" s="293" t="s">
        <v>7405</v>
      </c>
      <c r="G3471" s="293" t="s">
        <v>5573</v>
      </c>
      <c r="H3471" s="294">
        <v>42674</v>
      </c>
      <c r="I3471" s="295">
        <v>-1780.13</v>
      </c>
    </row>
    <row r="3472" spans="1:9" x14ac:dyDescent="0.2">
      <c r="A3472" s="293" t="s">
        <v>9216</v>
      </c>
      <c r="B3472" s="293" t="s">
        <v>5666</v>
      </c>
      <c r="C3472" s="293" t="s">
        <v>6115</v>
      </c>
      <c r="D3472" s="293" t="s">
        <v>5878</v>
      </c>
      <c r="E3472" s="293" t="s">
        <v>6305</v>
      </c>
      <c r="F3472" s="293" t="s">
        <v>7405</v>
      </c>
      <c r="G3472" s="293" t="s">
        <v>5581</v>
      </c>
      <c r="H3472" s="294">
        <v>42674</v>
      </c>
      <c r="I3472" s="295">
        <v>-2230.71</v>
      </c>
    </row>
    <row r="3473" spans="1:9" x14ac:dyDescent="0.2">
      <c r="A3473" s="293" t="s">
        <v>9217</v>
      </c>
      <c r="B3473" s="293" t="s">
        <v>5666</v>
      </c>
      <c r="C3473" s="293" t="s">
        <v>6086</v>
      </c>
      <c r="D3473" s="293" t="s">
        <v>5878</v>
      </c>
      <c r="E3473" s="293" t="s">
        <v>6307</v>
      </c>
      <c r="F3473" s="293" t="s">
        <v>7405</v>
      </c>
      <c r="G3473" s="293" t="s">
        <v>5581</v>
      </c>
      <c r="H3473" s="294">
        <v>42674</v>
      </c>
      <c r="I3473" s="295">
        <v>-2490.34</v>
      </c>
    </row>
    <row r="3474" spans="1:9" x14ac:dyDescent="0.2">
      <c r="A3474" s="293" t="s">
        <v>9218</v>
      </c>
      <c r="B3474" s="293" t="s">
        <v>5666</v>
      </c>
      <c r="C3474" s="293" t="s">
        <v>6113</v>
      </c>
      <c r="D3474" s="293" t="s">
        <v>5878</v>
      </c>
      <c r="E3474" s="293" t="s">
        <v>6316</v>
      </c>
      <c r="F3474" s="293" t="s">
        <v>7405</v>
      </c>
      <c r="G3474" s="293" t="s">
        <v>5573</v>
      </c>
      <c r="H3474" s="294">
        <v>42674</v>
      </c>
      <c r="I3474" s="295">
        <v>-5336.81</v>
      </c>
    </row>
    <row r="3475" spans="1:9" x14ac:dyDescent="0.2">
      <c r="A3475" s="293" t="s">
        <v>9219</v>
      </c>
      <c r="B3475" s="293" t="s">
        <v>5666</v>
      </c>
      <c r="C3475" s="293" t="s">
        <v>6313</v>
      </c>
      <c r="D3475" s="293" t="s">
        <v>5878</v>
      </c>
      <c r="E3475" s="293" t="s">
        <v>6314</v>
      </c>
      <c r="F3475" s="293" t="s">
        <v>7405</v>
      </c>
      <c r="G3475" s="293" t="s">
        <v>5576</v>
      </c>
      <c r="H3475" s="294">
        <v>42674</v>
      </c>
      <c r="I3475" s="295">
        <v>-4207.3500000000004</v>
      </c>
    </row>
    <row r="3476" spans="1:9" x14ac:dyDescent="0.2">
      <c r="A3476" s="293" t="s">
        <v>9220</v>
      </c>
      <c r="B3476" s="293" t="s">
        <v>5666</v>
      </c>
      <c r="C3476" s="293" t="s">
        <v>6272</v>
      </c>
      <c r="D3476" s="293" t="s">
        <v>5878</v>
      </c>
      <c r="E3476" s="293" t="s">
        <v>6273</v>
      </c>
      <c r="F3476" s="293" t="s">
        <v>7423</v>
      </c>
      <c r="G3476" s="293" t="s">
        <v>5576</v>
      </c>
      <c r="H3476" s="294">
        <v>42704</v>
      </c>
      <c r="I3476" s="295">
        <v>-3340.78</v>
      </c>
    </row>
    <row r="3477" spans="1:9" x14ac:dyDescent="0.2">
      <c r="A3477" s="293" t="s">
        <v>9221</v>
      </c>
      <c r="B3477" s="293" t="s">
        <v>5666</v>
      </c>
      <c r="C3477" s="293" t="s">
        <v>6122</v>
      </c>
      <c r="D3477" s="293" t="s">
        <v>5878</v>
      </c>
      <c r="E3477" s="293" t="s">
        <v>6275</v>
      </c>
      <c r="F3477" s="293" t="s">
        <v>7423</v>
      </c>
      <c r="G3477" s="293" t="s">
        <v>5577</v>
      </c>
      <c r="H3477" s="294">
        <v>42704</v>
      </c>
      <c r="I3477" s="295">
        <v>-1179.21</v>
      </c>
    </row>
    <row r="3478" spans="1:9" x14ac:dyDescent="0.2">
      <c r="A3478" s="293" t="s">
        <v>9222</v>
      </c>
      <c r="B3478" s="293" t="s">
        <v>5666</v>
      </c>
      <c r="C3478" s="293" t="s">
        <v>6124</v>
      </c>
      <c r="D3478" s="293" t="s">
        <v>5878</v>
      </c>
      <c r="E3478" s="293" t="s">
        <v>6277</v>
      </c>
      <c r="F3478" s="293" t="s">
        <v>7423</v>
      </c>
      <c r="G3478" s="293" t="s">
        <v>5578</v>
      </c>
      <c r="H3478" s="294">
        <v>42704</v>
      </c>
      <c r="I3478" s="295">
        <v>-1019.33</v>
      </c>
    </row>
    <row r="3479" spans="1:9" x14ac:dyDescent="0.2">
      <c r="A3479" s="293" t="s">
        <v>9223</v>
      </c>
      <c r="B3479" s="293" t="s">
        <v>5666</v>
      </c>
      <c r="C3479" s="293" t="s">
        <v>6126</v>
      </c>
      <c r="D3479" s="293" t="s">
        <v>5878</v>
      </c>
      <c r="E3479" s="293" t="s">
        <v>6279</v>
      </c>
      <c r="F3479" s="293" t="s">
        <v>7423</v>
      </c>
      <c r="G3479" s="293" t="s">
        <v>5579</v>
      </c>
      <c r="H3479" s="294">
        <v>42704</v>
      </c>
      <c r="I3479" s="295">
        <v>-857.57</v>
      </c>
    </row>
    <row r="3480" spans="1:9" x14ac:dyDescent="0.2">
      <c r="A3480" s="293" t="s">
        <v>9224</v>
      </c>
      <c r="B3480" s="293" t="s">
        <v>5666</v>
      </c>
      <c r="C3480" s="293" t="s">
        <v>6091</v>
      </c>
      <c r="D3480" s="293" t="s">
        <v>5878</v>
      </c>
      <c r="E3480" s="293" t="s">
        <v>6281</v>
      </c>
      <c r="F3480" s="293" t="s">
        <v>7423</v>
      </c>
      <c r="G3480" s="293" t="s">
        <v>5573</v>
      </c>
      <c r="H3480" s="294">
        <v>42704</v>
      </c>
      <c r="I3480" s="295">
        <v>-3125.47</v>
      </c>
    </row>
    <row r="3481" spans="1:9" x14ac:dyDescent="0.2">
      <c r="A3481" s="293" t="s">
        <v>9225</v>
      </c>
      <c r="B3481" s="293" t="s">
        <v>5666</v>
      </c>
      <c r="C3481" s="293" t="s">
        <v>6093</v>
      </c>
      <c r="D3481" s="293" t="s">
        <v>5878</v>
      </c>
      <c r="E3481" s="293" t="s">
        <v>6283</v>
      </c>
      <c r="F3481" s="293" t="s">
        <v>7423</v>
      </c>
      <c r="G3481" s="293" t="s">
        <v>5573</v>
      </c>
      <c r="H3481" s="294">
        <v>42704</v>
      </c>
      <c r="I3481" s="295">
        <v>-4451.78</v>
      </c>
    </row>
    <row r="3482" spans="1:9" x14ac:dyDescent="0.2">
      <c r="A3482" s="293" t="s">
        <v>9226</v>
      </c>
      <c r="B3482" s="293" t="s">
        <v>5666</v>
      </c>
      <c r="C3482" s="293" t="s">
        <v>6080</v>
      </c>
      <c r="D3482" s="293" t="s">
        <v>5878</v>
      </c>
      <c r="E3482" s="293" t="s">
        <v>6285</v>
      </c>
      <c r="F3482" s="293" t="s">
        <v>7423</v>
      </c>
      <c r="G3482" s="293" t="s">
        <v>5573</v>
      </c>
      <c r="H3482" s="294">
        <v>42704</v>
      </c>
      <c r="I3482" s="295">
        <v>-10077.08</v>
      </c>
    </row>
    <row r="3483" spans="1:9" x14ac:dyDescent="0.2">
      <c r="A3483" s="293" t="s">
        <v>9227</v>
      </c>
      <c r="B3483" s="293" t="s">
        <v>5666</v>
      </c>
      <c r="C3483" s="293" t="s">
        <v>6095</v>
      </c>
      <c r="D3483" s="293" t="s">
        <v>5878</v>
      </c>
      <c r="E3483" s="293" t="s">
        <v>6287</v>
      </c>
      <c r="F3483" s="293" t="s">
        <v>7423</v>
      </c>
      <c r="G3483" s="293" t="s">
        <v>5580</v>
      </c>
      <c r="H3483" s="294">
        <v>42704</v>
      </c>
      <c r="I3483" s="295">
        <v>-5589.54</v>
      </c>
    </row>
    <row r="3484" spans="1:9" x14ac:dyDescent="0.2">
      <c r="A3484" s="293" t="s">
        <v>9228</v>
      </c>
      <c r="B3484" s="293" t="s">
        <v>5666</v>
      </c>
      <c r="C3484" s="293" t="s">
        <v>6097</v>
      </c>
      <c r="D3484" s="293" t="s">
        <v>5878</v>
      </c>
      <c r="E3484" s="293" t="s">
        <v>6289</v>
      </c>
      <c r="F3484" s="293" t="s">
        <v>7423</v>
      </c>
      <c r="G3484" s="293" t="s">
        <v>5580</v>
      </c>
      <c r="H3484" s="294">
        <v>42704</v>
      </c>
      <c r="I3484" s="295">
        <v>-10099.59</v>
      </c>
    </row>
    <row r="3485" spans="1:9" x14ac:dyDescent="0.2">
      <c r="A3485" s="293" t="s">
        <v>9229</v>
      </c>
      <c r="B3485" s="293" t="s">
        <v>5666</v>
      </c>
      <c r="C3485" s="293" t="s">
        <v>6099</v>
      </c>
      <c r="D3485" s="293" t="s">
        <v>5878</v>
      </c>
      <c r="E3485" s="293" t="s">
        <v>6291</v>
      </c>
      <c r="F3485" s="293" t="s">
        <v>7423</v>
      </c>
      <c r="G3485" s="293" t="s">
        <v>5579</v>
      </c>
      <c r="H3485" s="294">
        <v>42704</v>
      </c>
      <c r="I3485" s="295">
        <v>-1407.23</v>
      </c>
    </row>
    <row r="3486" spans="1:9" x14ac:dyDescent="0.2">
      <c r="A3486" s="293" t="s">
        <v>9230</v>
      </c>
      <c r="B3486" s="293" t="s">
        <v>5666</v>
      </c>
      <c r="C3486" s="293" t="s">
        <v>6083</v>
      </c>
      <c r="D3486" s="293" t="s">
        <v>5878</v>
      </c>
      <c r="E3486" s="293" t="s">
        <v>6293</v>
      </c>
      <c r="F3486" s="293" t="s">
        <v>7423</v>
      </c>
      <c r="G3486" s="293" t="s">
        <v>5579</v>
      </c>
      <c r="H3486" s="294">
        <v>42704</v>
      </c>
      <c r="I3486" s="295">
        <v>-2524.9</v>
      </c>
    </row>
    <row r="3487" spans="1:9" x14ac:dyDescent="0.2">
      <c r="A3487" s="293" t="s">
        <v>9231</v>
      </c>
      <c r="B3487" s="293" t="s">
        <v>5666</v>
      </c>
      <c r="C3487" s="293" t="s">
        <v>6101</v>
      </c>
      <c r="D3487" s="293" t="s">
        <v>5878</v>
      </c>
      <c r="E3487" s="293" t="s">
        <v>6295</v>
      </c>
      <c r="F3487" s="293" t="s">
        <v>7423</v>
      </c>
      <c r="G3487" s="293" t="s">
        <v>5580</v>
      </c>
      <c r="H3487" s="294">
        <v>42704</v>
      </c>
      <c r="I3487" s="295">
        <v>-193.73</v>
      </c>
    </row>
    <row r="3488" spans="1:9" x14ac:dyDescent="0.2">
      <c r="A3488" s="293" t="s">
        <v>9232</v>
      </c>
      <c r="B3488" s="293" t="s">
        <v>5666</v>
      </c>
      <c r="C3488" s="293" t="s">
        <v>6104</v>
      </c>
      <c r="D3488" s="293" t="s">
        <v>5878</v>
      </c>
      <c r="E3488" s="293" t="s">
        <v>6297</v>
      </c>
      <c r="F3488" s="293" t="s">
        <v>7423</v>
      </c>
      <c r="G3488" s="293" t="s">
        <v>5580</v>
      </c>
      <c r="H3488" s="294">
        <v>42704</v>
      </c>
      <c r="I3488" s="295">
        <v>-274.12</v>
      </c>
    </row>
    <row r="3489" spans="1:9" x14ac:dyDescent="0.2">
      <c r="A3489" s="293" t="s">
        <v>9233</v>
      </c>
      <c r="B3489" s="293" t="s">
        <v>5666</v>
      </c>
      <c r="C3489" s="293" t="s">
        <v>6106</v>
      </c>
      <c r="D3489" s="293" t="s">
        <v>5878</v>
      </c>
      <c r="E3489" s="293" t="s">
        <v>6299</v>
      </c>
      <c r="F3489" s="293" t="s">
        <v>7423</v>
      </c>
      <c r="G3489" s="293" t="s">
        <v>5580</v>
      </c>
      <c r="H3489" s="294">
        <v>42704</v>
      </c>
      <c r="I3489" s="295">
        <v>-1347.95</v>
      </c>
    </row>
    <row r="3490" spans="1:9" x14ac:dyDescent="0.2">
      <c r="A3490" s="293" t="s">
        <v>9234</v>
      </c>
      <c r="B3490" s="293" t="s">
        <v>5666</v>
      </c>
      <c r="C3490" s="293" t="s">
        <v>6108</v>
      </c>
      <c r="D3490" s="293" t="s">
        <v>5878</v>
      </c>
      <c r="E3490" s="293" t="s">
        <v>6301</v>
      </c>
      <c r="F3490" s="293" t="s">
        <v>7423</v>
      </c>
      <c r="G3490" s="293" t="s">
        <v>5580</v>
      </c>
      <c r="H3490" s="294">
        <v>42704</v>
      </c>
      <c r="I3490" s="295">
        <v>-1918.86</v>
      </c>
    </row>
    <row r="3491" spans="1:9" x14ac:dyDescent="0.2">
      <c r="A3491" s="293" t="s">
        <v>9235</v>
      </c>
      <c r="B3491" s="293" t="s">
        <v>5666</v>
      </c>
      <c r="C3491" s="293" t="s">
        <v>6110</v>
      </c>
      <c r="D3491" s="293" t="s">
        <v>5878</v>
      </c>
      <c r="E3491" s="293" t="s">
        <v>6303</v>
      </c>
      <c r="F3491" s="293" t="s">
        <v>7423</v>
      </c>
      <c r="G3491" s="293" t="s">
        <v>5573</v>
      </c>
      <c r="H3491" s="294">
        <v>42704</v>
      </c>
      <c r="I3491" s="295">
        <v>-1780.13</v>
      </c>
    </row>
    <row r="3492" spans="1:9" x14ac:dyDescent="0.2">
      <c r="A3492" s="293" t="s">
        <v>9236</v>
      </c>
      <c r="B3492" s="293" t="s">
        <v>5666</v>
      </c>
      <c r="C3492" s="293" t="s">
        <v>6115</v>
      </c>
      <c r="D3492" s="293" t="s">
        <v>5878</v>
      </c>
      <c r="E3492" s="293" t="s">
        <v>6305</v>
      </c>
      <c r="F3492" s="293" t="s">
        <v>7423</v>
      </c>
      <c r="G3492" s="293" t="s">
        <v>5581</v>
      </c>
      <c r="H3492" s="294">
        <v>42704</v>
      </c>
      <c r="I3492" s="295">
        <v>-2230.71</v>
      </c>
    </row>
    <row r="3493" spans="1:9" x14ac:dyDescent="0.2">
      <c r="A3493" s="293" t="s">
        <v>9237</v>
      </c>
      <c r="B3493" s="293" t="s">
        <v>5666</v>
      </c>
      <c r="C3493" s="293" t="s">
        <v>6086</v>
      </c>
      <c r="D3493" s="293" t="s">
        <v>5878</v>
      </c>
      <c r="E3493" s="293" t="s">
        <v>6307</v>
      </c>
      <c r="F3493" s="293" t="s">
        <v>7423</v>
      </c>
      <c r="G3493" s="293" t="s">
        <v>5581</v>
      </c>
      <c r="H3493" s="294">
        <v>42704</v>
      </c>
      <c r="I3493" s="295">
        <v>-2490.34</v>
      </c>
    </row>
    <row r="3494" spans="1:9" x14ac:dyDescent="0.2">
      <c r="A3494" s="293" t="s">
        <v>9238</v>
      </c>
      <c r="B3494" s="293" t="s">
        <v>5666</v>
      </c>
      <c r="C3494" s="293" t="s">
        <v>6113</v>
      </c>
      <c r="D3494" s="293" t="s">
        <v>5878</v>
      </c>
      <c r="E3494" s="293" t="s">
        <v>6316</v>
      </c>
      <c r="F3494" s="293" t="s">
        <v>7423</v>
      </c>
      <c r="G3494" s="293" t="s">
        <v>5573</v>
      </c>
      <c r="H3494" s="294">
        <v>42704</v>
      </c>
      <c r="I3494" s="295">
        <v>-5336.81</v>
      </c>
    </row>
    <row r="3495" spans="1:9" x14ac:dyDescent="0.2">
      <c r="A3495" s="293" t="s">
        <v>9239</v>
      </c>
      <c r="B3495" s="293" t="s">
        <v>5666</v>
      </c>
      <c r="C3495" s="293" t="s">
        <v>6313</v>
      </c>
      <c r="D3495" s="293" t="s">
        <v>5878</v>
      </c>
      <c r="E3495" s="293" t="s">
        <v>6314</v>
      </c>
      <c r="F3495" s="293" t="s">
        <v>7423</v>
      </c>
      <c r="G3495" s="293" t="s">
        <v>5576</v>
      </c>
      <c r="H3495" s="294">
        <v>42704</v>
      </c>
      <c r="I3495" s="295">
        <v>-4207.3500000000004</v>
      </c>
    </row>
    <row r="3496" spans="1:9" x14ac:dyDescent="0.2">
      <c r="A3496" s="293" t="s">
        <v>9240</v>
      </c>
      <c r="B3496" s="293" t="s">
        <v>5666</v>
      </c>
      <c r="C3496" s="293" t="s">
        <v>6272</v>
      </c>
      <c r="D3496" s="293" t="s">
        <v>5878</v>
      </c>
      <c r="E3496" s="293" t="s">
        <v>6273</v>
      </c>
      <c r="F3496" s="293" t="s">
        <v>7441</v>
      </c>
      <c r="G3496" s="293" t="s">
        <v>5576</v>
      </c>
      <c r="H3496" s="294">
        <v>42735</v>
      </c>
      <c r="I3496" s="295">
        <v>-3340.78</v>
      </c>
    </row>
    <row r="3497" spans="1:9" x14ac:dyDescent="0.2">
      <c r="A3497" s="293" t="s">
        <v>9241</v>
      </c>
      <c r="B3497" s="293" t="s">
        <v>5666</v>
      </c>
      <c r="C3497" s="293" t="s">
        <v>6122</v>
      </c>
      <c r="D3497" s="293" t="s">
        <v>5878</v>
      </c>
      <c r="E3497" s="293" t="s">
        <v>6275</v>
      </c>
      <c r="F3497" s="293" t="s">
        <v>7441</v>
      </c>
      <c r="G3497" s="293" t="s">
        <v>5577</v>
      </c>
      <c r="H3497" s="294">
        <v>42735</v>
      </c>
      <c r="I3497" s="295">
        <v>-1179.21</v>
      </c>
    </row>
    <row r="3498" spans="1:9" x14ac:dyDescent="0.2">
      <c r="A3498" s="293" t="s">
        <v>9242</v>
      </c>
      <c r="B3498" s="293" t="s">
        <v>5666</v>
      </c>
      <c r="C3498" s="293" t="s">
        <v>6124</v>
      </c>
      <c r="D3498" s="293" t="s">
        <v>5878</v>
      </c>
      <c r="E3498" s="293" t="s">
        <v>6277</v>
      </c>
      <c r="F3498" s="293" t="s">
        <v>7441</v>
      </c>
      <c r="G3498" s="293" t="s">
        <v>5578</v>
      </c>
      <c r="H3498" s="294">
        <v>42735</v>
      </c>
      <c r="I3498" s="295">
        <v>-1019.33</v>
      </c>
    </row>
    <row r="3499" spans="1:9" x14ac:dyDescent="0.2">
      <c r="A3499" s="293" t="s">
        <v>9243</v>
      </c>
      <c r="B3499" s="293" t="s">
        <v>5666</v>
      </c>
      <c r="C3499" s="293" t="s">
        <v>6126</v>
      </c>
      <c r="D3499" s="293" t="s">
        <v>5878</v>
      </c>
      <c r="E3499" s="293" t="s">
        <v>6279</v>
      </c>
      <c r="F3499" s="293" t="s">
        <v>7441</v>
      </c>
      <c r="G3499" s="293" t="s">
        <v>5579</v>
      </c>
      <c r="H3499" s="294">
        <v>42735</v>
      </c>
      <c r="I3499" s="295">
        <v>-857.57</v>
      </c>
    </row>
    <row r="3500" spans="1:9" x14ac:dyDescent="0.2">
      <c r="A3500" s="293" t="s">
        <v>9244</v>
      </c>
      <c r="B3500" s="293" t="s">
        <v>5666</v>
      </c>
      <c r="C3500" s="293" t="s">
        <v>6091</v>
      </c>
      <c r="D3500" s="293" t="s">
        <v>5878</v>
      </c>
      <c r="E3500" s="293" t="s">
        <v>6281</v>
      </c>
      <c r="F3500" s="293" t="s">
        <v>7441</v>
      </c>
      <c r="G3500" s="293" t="s">
        <v>5573</v>
      </c>
      <c r="H3500" s="294">
        <v>42735</v>
      </c>
      <c r="I3500" s="295">
        <v>-3125.47</v>
      </c>
    </row>
    <row r="3501" spans="1:9" x14ac:dyDescent="0.2">
      <c r="A3501" s="293" t="s">
        <v>9245</v>
      </c>
      <c r="B3501" s="293" t="s">
        <v>5666</v>
      </c>
      <c r="C3501" s="293" t="s">
        <v>6093</v>
      </c>
      <c r="D3501" s="293" t="s">
        <v>5878</v>
      </c>
      <c r="E3501" s="293" t="s">
        <v>6283</v>
      </c>
      <c r="F3501" s="293" t="s">
        <v>7441</v>
      </c>
      <c r="G3501" s="293" t="s">
        <v>5573</v>
      </c>
      <c r="H3501" s="294">
        <v>42735</v>
      </c>
      <c r="I3501" s="295">
        <v>-4451.78</v>
      </c>
    </row>
    <row r="3502" spans="1:9" x14ac:dyDescent="0.2">
      <c r="A3502" s="293" t="s">
        <v>9246</v>
      </c>
      <c r="B3502" s="293" t="s">
        <v>5666</v>
      </c>
      <c r="C3502" s="293" t="s">
        <v>6080</v>
      </c>
      <c r="D3502" s="293" t="s">
        <v>5878</v>
      </c>
      <c r="E3502" s="293" t="s">
        <v>6285</v>
      </c>
      <c r="F3502" s="293" t="s">
        <v>7441</v>
      </c>
      <c r="G3502" s="293" t="s">
        <v>5573</v>
      </c>
      <c r="H3502" s="294">
        <v>42735</v>
      </c>
      <c r="I3502" s="295">
        <v>-10077.08</v>
      </c>
    </row>
    <row r="3503" spans="1:9" x14ac:dyDescent="0.2">
      <c r="A3503" s="293" t="s">
        <v>9247</v>
      </c>
      <c r="B3503" s="293" t="s">
        <v>5666</v>
      </c>
      <c r="C3503" s="293" t="s">
        <v>6095</v>
      </c>
      <c r="D3503" s="293" t="s">
        <v>5878</v>
      </c>
      <c r="E3503" s="293" t="s">
        <v>6287</v>
      </c>
      <c r="F3503" s="293" t="s">
        <v>7441</v>
      </c>
      <c r="G3503" s="293" t="s">
        <v>5580</v>
      </c>
      <c r="H3503" s="294">
        <v>42735</v>
      </c>
      <c r="I3503" s="295">
        <v>-5589.54</v>
      </c>
    </row>
    <row r="3504" spans="1:9" x14ac:dyDescent="0.2">
      <c r="A3504" s="293" t="s">
        <v>9248</v>
      </c>
      <c r="B3504" s="293" t="s">
        <v>5666</v>
      </c>
      <c r="C3504" s="293" t="s">
        <v>6097</v>
      </c>
      <c r="D3504" s="293" t="s">
        <v>5878</v>
      </c>
      <c r="E3504" s="293" t="s">
        <v>6289</v>
      </c>
      <c r="F3504" s="293" t="s">
        <v>7441</v>
      </c>
      <c r="G3504" s="293" t="s">
        <v>5580</v>
      </c>
      <c r="H3504" s="294">
        <v>42735</v>
      </c>
      <c r="I3504" s="295">
        <v>-10099.59</v>
      </c>
    </row>
    <row r="3505" spans="1:9" x14ac:dyDescent="0.2">
      <c r="A3505" s="293" t="s">
        <v>9249</v>
      </c>
      <c r="B3505" s="293" t="s">
        <v>5666</v>
      </c>
      <c r="C3505" s="293" t="s">
        <v>6099</v>
      </c>
      <c r="D3505" s="293" t="s">
        <v>5878</v>
      </c>
      <c r="E3505" s="293" t="s">
        <v>6291</v>
      </c>
      <c r="F3505" s="293" t="s">
        <v>7441</v>
      </c>
      <c r="G3505" s="293" t="s">
        <v>5579</v>
      </c>
      <c r="H3505" s="294">
        <v>42735</v>
      </c>
      <c r="I3505" s="295">
        <v>-1407.23</v>
      </c>
    </row>
    <row r="3506" spans="1:9" x14ac:dyDescent="0.2">
      <c r="A3506" s="293" t="s">
        <v>9250</v>
      </c>
      <c r="B3506" s="293" t="s">
        <v>5666</v>
      </c>
      <c r="C3506" s="293" t="s">
        <v>6083</v>
      </c>
      <c r="D3506" s="293" t="s">
        <v>5878</v>
      </c>
      <c r="E3506" s="293" t="s">
        <v>6293</v>
      </c>
      <c r="F3506" s="293" t="s">
        <v>7441</v>
      </c>
      <c r="G3506" s="293" t="s">
        <v>5579</v>
      </c>
      <c r="H3506" s="294">
        <v>42735</v>
      </c>
      <c r="I3506" s="295">
        <v>-2524.9</v>
      </c>
    </row>
    <row r="3507" spans="1:9" x14ac:dyDescent="0.2">
      <c r="A3507" s="293" t="s">
        <v>9251</v>
      </c>
      <c r="B3507" s="293" t="s">
        <v>5666</v>
      </c>
      <c r="C3507" s="293" t="s">
        <v>6101</v>
      </c>
      <c r="D3507" s="293" t="s">
        <v>5878</v>
      </c>
      <c r="E3507" s="293" t="s">
        <v>6295</v>
      </c>
      <c r="F3507" s="293" t="s">
        <v>7441</v>
      </c>
      <c r="G3507" s="293" t="s">
        <v>5580</v>
      </c>
      <c r="H3507" s="294">
        <v>42735</v>
      </c>
      <c r="I3507" s="295">
        <v>-193.73</v>
      </c>
    </row>
    <row r="3508" spans="1:9" x14ac:dyDescent="0.2">
      <c r="A3508" s="293" t="s">
        <v>9252</v>
      </c>
      <c r="B3508" s="293" t="s">
        <v>5666</v>
      </c>
      <c r="C3508" s="293" t="s">
        <v>6104</v>
      </c>
      <c r="D3508" s="293" t="s">
        <v>5878</v>
      </c>
      <c r="E3508" s="293" t="s">
        <v>6297</v>
      </c>
      <c r="F3508" s="293" t="s">
        <v>7441</v>
      </c>
      <c r="G3508" s="293" t="s">
        <v>5580</v>
      </c>
      <c r="H3508" s="294">
        <v>42735</v>
      </c>
      <c r="I3508" s="295">
        <v>-274.12</v>
      </c>
    </row>
    <row r="3509" spans="1:9" x14ac:dyDescent="0.2">
      <c r="A3509" s="293" t="s">
        <v>9253</v>
      </c>
      <c r="B3509" s="293" t="s">
        <v>5666</v>
      </c>
      <c r="C3509" s="293" t="s">
        <v>6106</v>
      </c>
      <c r="D3509" s="293" t="s">
        <v>5878</v>
      </c>
      <c r="E3509" s="293" t="s">
        <v>6299</v>
      </c>
      <c r="F3509" s="293" t="s">
        <v>7441</v>
      </c>
      <c r="G3509" s="293" t="s">
        <v>5580</v>
      </c>
      <c r="H3509" s="294">
        <v>42735</v>
      </c>
      <c r="I3509" s="295">
        <v>-1347.95</v>
      </c>
    </row>
    <row r="3510" spans="1:9" x14ac:dyDescent="0.2">
      <c r="A3510" s="293" t="s">
        <v>9254</v>
      </c>
      <c r="B3510" s="293" t="s">
        <v>5666</v>
      </c>
      <c r="C3510" s="293" t="s">
        <v>6108</v>
      </c>
      <c r="D3510" s="293" t="s">
        <v>5878</v>
      </c>
      <c r="E3510" s="293" t="s">
        <v>6301</v>
      </c>
      <c r="F3510" s="293" t="s">
        <v>7441</v>
      </c>
      <c r="G3510" s="293" t="s">
        <v>5580</v>
      </c>
      <c r="H3510" s="294">
        <v>42735</v>
      </c>
      <c r="I3510" s="295">
        <v>-1918.86</v>
      </c>
    </row>
    <row r="3511" spans="1:9" x14ac:dyDescent="0.2">
      <c r="A3511" s="293" t="s">
        <v>9255</v>
      </c>
      <c r="B3511" s="293" t="s">
        <v>5666</v>
      </c>
      <c r="C3511" s="293" t="s">
        <v>6110</v>
      </c>
      <c r="D3511" s="293" t="s">
        <v>5878</v>
      </c>
      <c r="E3511" s="293" t="s">
        <v>6303</v>
      </c>
      <c r="F3511" s="293" t="s">
        <v>7441</v>
      </c>
      <c r="G3511" s="293" t="s">
        <v>5573</v>
      </c>
      <c r="H3511" s="294">
        <v>42735</v>
      </c>
      <c r="I3511" s="295">
        <v>-1780.13</v>
      </c>
    </row>
    <row r="3512" spans="1:9" x14ac:dyDescent="0.2">
      <c r="A3512" s="293" t="s">
        <v>9256</v>
      </c>
      <c r="B3512" s="293" t="s">
        <v>5666</v>
      </c>
      <c r="C3512" s="293" t="s">
        <v>6115</v>
      </c>
      <c r="D3512" s="293" t="s">
        <v>5878</v>
      </c>
      <c r="E3512" s="293" t="s">
        <v>6305</v>
      </c>
      <c r="F3512" s="293" t="s">
        <v>7441</v>
      </c>
      <c r="G3512" s="293" t="s">
        <v>5581</v>
      </c>
      <c r="H3512" s="294">
        <v>42735</v>
      </c>
      <c r="I3512" s="295">
        <v>-2230.71</v>
      </c>
    </row>
    <row r="3513" spans="1:9" x14ac:dyDescent="0.2">
      <c r="A3513" s="293" t="s">
        <v>9257</v>
      </c>
      <c r="B3513" s="293" t="s">
        <v>5666</v>
      </c>
      <c r="C3513" s="293" t="s">
        <v>6086</v>
      </c>
      <c r="D3513" s="293" t="s">
        <v>5878</v>
      </c>
      <c r="E3513" s="293" t="s">
        <v>6307</v>
      </c>
      <c r="F3513" s="293" t="s">
        <v>7441</v>
      </c>
      <c r="G3513" s="293" t="s">
        <v>5581</v>
      </c>
      <c r="H3513" s="294">
        <v>42735</v>
      </c>
      <c r="I3513" s="295">
        <v>-2490.34</v>
      </c>
    </row>
    <row r="3514" spans="1:9" x14ac:dyDescent="0.2">
      <c r="A3514" s="293" t="s">
        <v>9258</v>
      </c>
      <c r="B3514" s="293" t="s">
        <v>5666</v>
      </c>
      <c r="C3514" s="293" t="s">
        <v>6113</v>
      </c>
      <c r="D3514" s="293" t="s">
        <v>5878</v>
      </c>
      <c r="E3514" s="293" t="s">
        <v>6316</v>
      </c>
      <c r="F3514" s="293" t="s">
        <v>7441</v>
      </c>
      <c r="G3514" s="293" t="s">
        <v>5573</v>
      </c>
      <c r="H3514" s="294">
        <v>42735</v>
      </c>
      <c r="I3514" s="295">
        <v>-5336.81</v>
      </c>
    </row>
    <row r="3515" spans="1:9" x14ac:dyDescent="0.2">
      <c r="A3515" s="293" t="s">
        <v>9259</v>
      </c>
      <c r="B3515" s="293" t="s">
        <v>5666</v>
      </c>
      <c r="C3515" s="293" t="s">
        <v>6313</v>
      </c>
      <c r="D3515" s="293" t="s">
        <v>5878</v>
      </c>
      <c r="E3515" s="293" t="s">
        <v>6314</v>
      </c>
      <c r="F3515" s="293" t="s">
        <v>7441</v>
      </c>
      <c r="G3515" s="293" t="s">
        <v>5576</v>
      </c>
      <c r="H3515" s="294">
        <v>42735</v>
      </c>
      <c r="I3515" s="295">
        <v>-4207.3500000000004</v>
      </c>
    </row>
    <row r="3516" spans="1:9" x14ac:dyDescent="0.2">
      <c r="A3516" s="293" t="s">
        <v>9260</v>
      </c>
      <c r="B3516" s="293" t="s">
        <v>5666</v>
      </c>
      <c r="C3516" s="293" t="s">
        <v>6272</v>
      </c>
      <c r="D3516" s="293" t="s">
        <v>5878</v>
      </c>
      <c r="E3516" s="293" t="s">
        <v>6273</v>
      </c>
      <c r="F3516" s="293" t="s">
        <v>7459</v>
      </c>
      <c r="G3516" s="293" t="s">
        <v>5576</v>
      </c>
      <c r="H3516" s="294">
        <v>42766</v>
      </c>
      <c r="I3516" s="295">
        <v>-3340.78</v>
      </c>
    </row>
    <row r="3517" spans="1:9" x14ac:dyDescent="0.2">
      <c r="A3517" s="293" t="s">
        <v>9261</v>
      </c>
      <c r="B3517" s="293" t="s">
        <v>5666</v>
      </c>
      <c r="C3517" s="293" t="s">
        <v>6122</v>
      </c>
      <c r="D3517" s="293" t="s">
        <v>5878</v>
      </c>
      <c r="E3517" s="293" t="s">
        <v>6275</v>
      </c>
      <c r="F3517" s="293" t="s">
        <v>7459</v>
      </c>
      <c r="G3517" s="293" t="s">
        <v>5577</v>
      </c>
      <c r="H3517" s="294">
        <v>42766</v>
      </c>
      <c r="I3517" s="295">
        <v>-1179.21</v>
      </c>
    </row>
    <row r="3518" spans="1:9" x14ac:dyDescent="0.2">
      <c r="A3518" s="293" t="s">
        <v>9262</v>
      </c>
      <c r="B3518" s="293" t="s">
        <v>5666</v>
      </c>
      <c r="C3518" s="293" t="s">
        <v>6124</v>
      </c>
      <c r="D3518" s="293" t="s">
        <v>5878</v>
      </c>
      <c r="E3518" s="293" t="s">
        <v>6277</v>
      </c>
      <c r="F3518" s="293" t="s">
        <v>7459</v>
      </c>
      <c r="G3518" s="293" t="s">
        <v>5578</v>
      </c>
      <c r="H3518" s="294">
        <v>42766</v>
      </c>
      <c r="I3518" s="295">
        <v>-1019.33</v>
      </c>
    </row>
    <row r="3519" spans="1:9" x14ac:dyDescent="0.2">
      <c r="A3519" s="293" t="s">
        <v>9263</v>
      </c>
      <c r="B3519" s="293" t="s">
        <v>5666</v>
      </c>
      <c r="C3519" s="293" t="s">
        <v>6126</v>
      </c>
      <c r="D3519" s="293" t="s">
        <v>5878</v>
      </c>
      <c r="E3519" s="293" t="s">
        <v>6279</v>
      </c>
      <c r="F3519" s="293" t="s">
        <v>7459</v>
      </c>
      <c r="G3519" s="293" t="s">
        <v>5579</v>
      </c>
      <c r="H3519" s="294">
        <v>42766</v>
      </c>
      <c r="I3519" s="295">
        <v>-857.57</v>
      </c>
    </row>
    <row r="3520" spans="1:9" x14ac:dyDescent="0.2">
      <c r="A3520" s="293" t="s">
        <v>9264</v>
      </c>
      <c r="B3520" s="293" t="s">
        <v>5666</v>
      </c>
      <c r="C3520" s="293" t="s">
        <v>6091</v>
      </c>
      <c r="D3520" s="293" t="s">
        <v>5878</v>
      </c>
      <c r="E3520" s="293" t="s">
        <v>6281</v>
      </c>
      <c r="F3520" s="293" t="s">
        <v>7459</v>
      </c>
      <c r="G3520" s="293" t="s">
        <v>5573</v>
      </c>
      <c r="H3520" s="294">
        <v>42766</v>
      </c>
      <c r="I3520" s="295">
        <v>-3125.47</v>
      </c>
    </row>
    <row r="3521" spans="1:9" x14ac:dyDescent="0.2">
      <c r="A3521" s="293" t="s">
        <v>9265</v>
      </c>
      <c r="B3521" s="293" t="s">
        <v>5666</v>
      </c>
      <c r="C3521" s="293" t="s">
        <v>6093</v>
      </c>
      <c r="D3521" s="293" t="s">
        <v>5878</v>
      </c>
      <c r="E3521" s="293" t="s">
        <v>6283</v>
      </c>
      <c r="F3521" s="293" t="s">
        <v>7459</v>
      </c>
      <c r="G3521" s="293" t="s">
        <v>5573</v>
      </c>
      <c r="H3521" s="294">
        <v>42766</v>
      </c>
      <c r="I3521" s="295">
        <v>-4451.78</v>
      </c>
    </row>
    <row r="3522" spans="1:9" x14ac:dyDescent="0.2">
      <c r="A3522" s="293" t="s">
        <v>9266</v>
      </c>
      <c r="B3522" s="293" t="s">
        <v>5666</v>
      </c>
      <c r="C3522" s="293" t="s">
        <v>6080</v>
      </c>
      <c r="D3522" s="293" t="s">
        <v>5878</v>
      </c>
      <c r="E3522" s="293" t="s">
        <v>6285</v>
      </c>
      <c r="F3522" s="293" t="s">
        <v>7459</v>
      </c>
      <c r="G3522" s="293" t="s">
        <v>5573</v>
      </c>
      <c r="H3522" s="294">
        <v>42766</v>
      </c>
      <c r="I3522" s="295">
        <v>-10077.08</v>
      </c>
    </row>
    <row r="3523" spans="1:9" x14ac:dyDescent="0.2">
      <c r="A3523" s="293" t="s">
        <v>9267</v>
      </c>
      <c r="B3523" s="293" t="s">
        <v>5666</v>
      </c>
      <c r="C3523" s="293" t="s">
        <v>6095</v>
      </c>
      <c r="D3523" s="293" t="s">
        <v>5878</v>
      </c>
      <c r="E3523" s="293" t="s">
        <v>6287</v>
      </c>
      <c r="F3523" s="293" t="s">
        <v>7459</v>
      </c>
      <c r="G3523" s="293" t="s">
        <v>5580</v>
      </c>
      <c r="H3523" s="294">
        <v>42766</v>
      </c>
      <c r="I3523" s="295">
        <v>-5589.54</v>
      </c>
    </row>
    <row r="3524" spans="1:9" x14ac:dyDescent="0.2">
      <c r="A3524" s="293" t="s">
        <v>9268</v>
      </c>
      <c r="B3524" s="293" t="s">
        <v>5666</v>
      </c>
      <c r="C3524" s="293" t="s">
        <v>6097</v>
      </c>
      <c r="D3524" s="293" t="s">
        <v>5878</v>
      </c>
      <c r="E3524" s="293" t="s">
        <v>6289</v>
      </c>
      <c r="F3524" s="293" t="s">
        <v>7459</v>
      </c>
      <c r="G3524" s="293" t="s">
        <v>5580</v>
      </c>
      <c r="H3524" s="294">
        <v>42766</v>
      </c>
      <c r="I3524" s="295">
        <v>-10099.59</v>
      </c>
    </row>
    <row r="3525" spans="1:9" x14ac:dyDescent="0.2">
      <c r="A3525" s="293" t="s">
        <v>9269</v>
      </c>
      <c r="B3525" s="293" t="s">
        <v>5666</v>
      </c>
      <c r="C3525" s="293" t="s">
        <v>6099</v>
      </c>
      <c r="D3525" s="293" t="s">
        <v>5878</v>
      </c>
      <c r="E3525" s="293" t="s">
        <v>6291</v>
      </c>
      <c r="F3525" s="293" t="s">
        <v>7459</v>
      </c>
      <c r="G3525" s="293" t="s">
        <v>5579</v>
      </c>
      <c r="H3525" s="294">
        <v>42766</v>
      </c>
      <c r="I3525" s="295">
        <v>-1407.23</v>
      </c>
    </row>
    <row r="3526" spans="1:9" x14ac:dyDescent="0.2">
      <c r="A3526" s="293" t="s">
        <v>9270</v>
      </c>
      <c r="B3526" s="293" t="s">
        <v>5666</v>
      </c>
      <c r="C3526" s="293" t="s">
        <v>6083</v>
      </c>
      <c r="D3526" s="293" t="s">
        <v>5878</v>
      </c>
      <c r="E3526" s="293" t="s">
        <v>6293</v>
      </c>
      <c r="F3526" s="293" t="s">
        <v>7459</v>
      </c>
      <c r="G3526" s="293" t="s">
        <v>5579</v>
      </c>
      <c r="H3526" s="294">
        <v>42766</v>
      </c>
      <c r="I3526" s="295">
        <v>-2524.9</v>
      </c>
    </row>
    <row r="3527" spans="1:9" x14ac:dyDescent="0.2">
      <c r="A3527" s="293" t="s">
        <v>9271</v>
      </c>
      <c r="B3527" s="293" t="s">
        <v>5666</v>
      </c>
      <c r="C3527" s="293" t="s">
        <v>6101</v>
      </c>
      <c r="D3527" s="293" t="s">
        <v>5878</v>
      </c>
      <c r="E3527" s="293" t="s">
        <v>6295</v>
      </c>
      <c r="F3527" s="293" t="s">
        <v>7459</v>
      </c>
      <c r="G3527" s="293" t="s">
        <v>5580</v>
      </c>
      <c r="H3527" s="294">
        <v>42766</v>
      </c>
      <c r="I3527" s="295">
        <v>-193.73</v>
      </c>
    </row>
    <row r="3528" spans="1:9" x14ac:dyDescent="0.2">
      <c r="A3528" s="293" t="s">
        <v>9272</v>
      </c>
      <c r="B3528" s="293" t="s">
        <v>5666</v>
      </c>
      <c r="C3528" s="293" t="s">
        <v>6104</v>
      </c>
      <c r="D3528" s="293" t="s">
        <v>5878</v>
      </c>
      <c r="E3528" s="293" t="s">
        <v>6297</v>
      </c>
      <c r="F3528" s="293" t="s">
        <v>7459</v>
      </c>
      <c r="G3528" s="293" t="s">
        <v>5580</v>
      </c>
      <c r="H3528" s="294">
        <v>42766</v>
      </c>
      <c r="I3528" s="295">
        <v>-274.12</v>
      </c>
    </row>
    <row r="3529" spans="1:9" x14ac:dyDescent="0.2">
      <c r="A3529" s="293" t="s">
        <v>9273</v>
      </c>
      <c r="B3529" s="293" t="s">
        <v>5666</v>
      </c>
      <c r="C3529" s="293" t="s">
        <v>6106</v>
      </c>
      <c r="D3529" s="293" t="s">
        <v>5878</v>
      </c>
      <c r="E3529" s="293" t="s">
        <v>6299</v>
      </c>
      <c r="F3529" s="293" t="s">
        <v>7459</v>
      </c>
      <c r="G3529" s="293" t="s">
        <v>5580</v>
      </c>
      <c r="H3529" s="294">
        <v>42766</v>
      </c>
      <c r="I3529" s="295">
        <v>-1347.95</v>
      </c>
    </row>
    <row r="3530" spans="1:9" x14ac:dyDescent="0.2">
      <c r="A3530" s="293" t="s">
        <v>9274</v>
      </c>
      <c r="B3530" s="293" t="s">
        <v>5666</v>
      </c>
      <c r="C3530" s="293" t="s">
        <v>6108</v>
      </c>
      <c r="D3530" s="293" t="s">
        <v>5878</v>
      </c>
      <c r="E3530" s="293" t="s">
        <v>6301</v>
      </c>
      <c r="F3530" s="293" t="s">
        <v>7459</v>
      </c>
      <c r="G3530" s="293" t="s">
        <v>5580</v>
      </c>
      <c r="H3530" s="294">
        <v>42766</v>
      </c>
      <c r="I3530" s="295">
        <v>-1918.86</v>
      </c>
    </row>
    <row r="3531" spans="1:9" x14ac:dyDescent="0.2">
      <c r="A3531" s="293" t="s">
        <v>9275</v>
      </c>
      <c r="B3531" s="293" t="s">
        <v>5666</v>
      </c>
      <c r="C3531" s="293" t="s">
        <v>6110</v>
      </c>
      <c r="D3531" s="293" t="s">
        <v>5878</v>
      </c>
      <c r="E3531" s="293" t="s">
        <v>6303</v>
      </c>
      <c r="F3531" s="293" t="s">
        <v>7459</v>
      </c>
      <c r="G3531" s="293" t="s">
        <v>5573</v>
      </c>
      <c r="H3531" s="294">
        <v>42766</v>
      </c>
      <c r="I3531" s="295">
        <v>-1780.13</v>
      </c>
    </row>
    <row r="3532" spans="1:9" x14ac:dyDescent="0.2">
      <c r="A3532" s="293" t="s">
        <v>9276</v>
      </c>
      <c r="B3532" s="293" t="s">
        <v>5666</v>
      </c>
      <c r="C3532" s="293" t="s">
        <v>6115</v>
      </c>
      <c r="D3532" s="293" t="s">
        <v>5878</v>
      </c>
      <c r="E3532" s="293" t="s">
        <v>6305</v>
      </c>
      <c r="F3532" s="293" t="s">
        <v>7459</v>
      </c>
      <c r="G3532" s="293" t="s">
        <v>5581</v>
      </c>
      <c r="H3532" s="294">
        <v>42766</v>
      </c>
      <c r="I3532" s="295">
        <v>-2230.71</v>
      </c>
    </row>
    <row r="3533" spans="1:9" x14ac:dyDescent="0.2">
      <c r="A3533" s="293" t="s">
        <v>9277</v>
      </c>
      <c r="B3533" s="293" t="s">
        <v>5666</v>
      </c>
      <c r="C3533" s="293" t="s">
        <v>6086</v>
      </c>
      <c r="D3533" s="293" t="s">
        <v>5878</v>
      </c>
      <c r="E3533" s="293" t="s">
        <v>6307</v>
      </c>
      <c r="F3533" s="293" t="s">
        <v>7459</v>
      </c>
      <c r="G3533" s="293" t="s">
        <v>5581</v>
      </c>
      <c r="H3533" s="294">
        <v>42766</v>
      </c>
      <c r="I3533" s="295">
        <v>-2490.34</v>
      </c>
    </row>
    <row r="3534" spans="1:9" x14ac:dyDescent="0.2">
      <c r="A3534" s="293" t="s">
        <v>9278</v>
      </c>
      <c r="B3534" s="293" t="s">
        <v>5666</v>
      </c>
      <c r="C3534" s="293" t="s">
        <v>6113</v>
      </c>
      <c r="D3534" s="293" t="s">
        <v>5878</v>
      </c>
      <c r="E3534" s="293" t="s">
        <v>6316</v>
      </c>
      <c r="F3534" s="293" t="s">
        <v>7459</v>
      </c>
      <c r="G3534" s="293" t="s">
        <v>5573</v>
      </c>
      <c r="H3534" s="294">
        <v>42766</v>
      </c>
      <c r="I3534" s="295">
        <v>-5336.81</v>
      </c>
    </row>
    <row r="3535" spans="1:9" x14ac:dyDescent="0.2">
      <c r="A3535" s="293" t="s">
        <v>9279</v>
      </c>
      <c r="B3535" s="293" t="s">
        <v>5666</v>
      </c>
      <c r="C3535" s="293" t="s">
        <v>6313</v>
      </c>
      <c r="D3535" s="293" t="s">
        <v>5878</v>
      </c>
      <c r="E3535" s="293" t="s">
        <v>6314</v>
      </c>
      <c r="F3535" s="293" t="s">
        <v>7459</v>
      </c>
      <c r="G3535" s="293" t="s">
        <v>5576</v>
      </c>
      <c r="H3535" s="294">
        <v>42766</v>
      </c>
      <c r="I3535" s="295">
        <v>-4207.3500000000004</v>
      </c>
    </row>
    <row r="3536" spans="1:9" x14ac:dyDescent="0.2">
      <c r="A3536" s="293" t="s">
        <v>9280</v>
      </c>
      <c r="B3536" s="293" t="s">
        <v>5666</v>
      </c>
      <c r="C3536" s="293" t="s">
        <v>6272</v>
      </c>
      <c r="D3536" s="293" t="s">
        <v>5878</v>
      </c>
      <c r="E3536" s="293" t="s">
        <v>6273</v>
      </c>
      <c r="F3536" s="293" t="s">
        <v>7480</v>
      </c>
      <c r="G3536" s="293" t="s">
        <v>5576</v>
      </c>
      <c r="H3536" s="294">
        <v>42794</v>
      </c>
      <c r="I3536" s="295">
        <v>-3340.78</v>
      </c>
    </row>
    <row r="3537" spans="1:9" x14ac:dyDescent="0.2">
      <c r="A3537" s="293" t="s">
        <v>9281</v>
      </c>
      <c r="B3537" s="293" t="s">
        <v>5666</v>
      </c>
      <c r="C3537" s="293" t="s">
        <v>6122</v>
      </c>
      <c r="D3537" s="293" t="s">
        <v>5878</v>
      </c>
      <c r="E3537" s="293" t="s">
        <v>6275</v>
      </c>
      <c r="F3537" s="293" t="s">
        <v>7480</v>
      </c>
      <c r="G3537" s="293" t="s">
        <v>5577</v>
      </c>
      <c r="H3537" s="294">
        <v>42794</v>
      </c>
      <c r="I3537" s="295">
        <v>-1179.21</v>
      </c>
    </row>
    <row r="3538" spans="1:9" x14ac:dyDescent="0.2">
      <c r="A3538" s="293" t="s">
        <v>9282</v>
      </c>
      <c r="B3538" s="293" t="s">
        <v>5666</v>
      </c>
      <c r="C3538" s="293" t="s">
        <v>6124</v>
      </c>
      <c r="D3538" s="293" t="s">
        <v>5878</v>
      </c>
      <c r="E3538" s="293" t="s">
        <v>6277</v>
      </c>
      <c r="F3538" s="293" t="s">
        <v>7480</v>
      </c>
      <c r="G3538" s="293" t="s">
        <v>5578</v>
      </c>
      <c r="H3538" s="294">
        <v>42794</v>
      </c>
      <c r="I3538" s="295">
        <v>-1019.33</v>
      </c>
    </row>
    <row r="3539" spans="1:9" x14ac:dyDescent="0.2">
      <c r="A3539" s="293" t="s">
        <v>9283</v>
      </c>
      <c r="B3539" s="293" t="s">
        <v>5666</v>
      </c>
      <c r="C3539" s="293" t="s">
        <v>6126</v>
      </c>
      <c r="D3539" s="293" t="s">
        <v>5878</v>
      </c>
      <c r="E3539" s="293" t="s">
        <v>6279</v>
      </c>
      <c r="F3539" s="293" t="s">
        <v>7480</v>
      </c>
      <c r="G3539" s="293" t="s">
        <v>5579</v>
      </c>
      <c r="H3539" s="294">
        <v>42794</v>
      </c>
      <c r="I3539" s="295">
        <v>-857.57</v>
      </c>
    </row>
    <row r="3540" spans="1:9" x14ac:dyDescent="0.2">
      <c r="A3540" s="293" t="s">
        <v>9284</v>
      </c>
      <c r="B3540" s="293" t="s">
        <v>5666</v>
      </c>
      <c r="C3540" s="293" t="s">
        <v>6091</v>
      </c>
      <c r="D3540" s="293" t="s">
        <v>5878</v>
      </c>
      <c r="E3540" s="293" t="s">
        <v>6281</v>
      </c>
      <c r="F3540" s="293" t="s">
        <v>7480</v>
      </c>
      <c r="G3540" s="293" t="s">
        <v>5573</v>
      </c>
      <c r="H3540" s="294">
        <v>42794</v>
      </c>
      <c r="I3540" s="295">
        <v>-3125.47</v>
      </c>
    </row>
    <row r="3541" spans="1:9" x14ac:dyDescent="0.2">
      <c r="A3541" s="293" t="s">
        <v>9285</v>
      </c>
      <c r="B3541" s="293" t="s">
        <v>5666</v>
      </c>
      <c r="C3541" s="293" t="s">
        <v>6093</v>
      </c>
      <c r="D3541" s="293" t="s">
        <v>5878</v>
      </c>
      <c r="E3541" s="293" t="s">
        <v>6283</v>
      </c>
      <c r="F3541" s="293" t="s">
        <v>7480</v>
      </c>
      <c r="G3541" s="293" t="s">
        <v>5573</v>
      </c>
      <c r="H3541" s="294">
        <v>42794</v>
      </c>
      <c r="I3541" s="295">
        <v>-4451.78</v>
      </c>
    </row>
    <row r="3542" spans="1:9" x14ac:dyDescent="0.2">
      <c r="A3542" s="293" t="s">
        <v>9286</v>
      </c>
      <c r="B3542" s="293" t="s">
        <v>5666</v>
      </c>
      <c r="C3542" s="293" t="s">
        <v>6080</v>
      </c>
      <c r="D3542" s="293" t="s">
        <v>5878</v>
      </c>
      <c r="E3542" s="293" t="s">
        <v>6285</v>
      </c>
      <c r="F3542" s="293" t="s">
        <v>7480</v>
      </c>
      <c r="G3542" s="293" t="s">
        <v>5573</v>
      </c>
      <c r="H3542" s="294">
        <v>42794</v>
      </c>
      <c r="I3542" s="295">
        <v>-10077.08</v>
      </c>
    </row>
    <row r="3543" spans="1:9" x14ac:dyDescent="0.2">
      <c r="A3543" s="293" t="s">
        <v>9287</v>
      </c>
      <c r="B3543" s="293" t="s">
        <v>5666</v>
      </c>
      <c r="C3543" s="293" t="s">
        <v>6095</v>
      </c>
      <c r="D3543" s="293" t="s">
        <v>5878</v>
      </c>
      <c r="E3543" s="293" t="s">
        <v>6287</v>
      </c>
      <c r="F3543" s="293" t="s">
        <v>7480</v>
      </c>
      <c r="G3543" s="293" t="s">
        <v>5580</v>
      </c>
      <c r="H3543" s="294">
        <v>42794</v>
      </c>
      <c r="I3543" s="295">
        <v>-5589.54</v>
      </c>
    </row>
    <row r="3544" spans="1:9" x14ac:dyDescent="0.2">
      <c r="A3544" s="293" t="s">
        <v>9288</v>
      </c>
      <c r="B3544" s="293" t="s">
        <v>5666</v>
      </c>
      <c r="C3544" s="293" t="s">
        <v>6097</v>
      </c>
      <c r="D3544" s="293" t="s">
        <v>5878</v>
      </c>
      <c r="E3544" s="293" t="s">
        <v>6289</v>
      </c>
      <c r="F3544" s="293" t="s">
        <v>7480</v>
      </c>
      <c r="G3544" s="293" t="s">
        <v>5580</v>
      </c>
      <c r="H3544" s="294">
        <v>42794</v>
      </c>
      <c r="I3544" s="295">
        <v>-10099.59</v>
      </c>
    </row>
    <row r="3545" spans="1:9" x14ac:dyDescent="0.2">
      <c r="A3545" s="293" t="s">
        <v>9289</v>
      </c>
      <c r="B3545" s="293" t="s">
        <v>5666</v>
      </c>
      <c r="C3545" s="293" t="s">
        <v>6099</v>
      </c>
      <c r="D3545" s="293" t="s">
        <v>5878</v>
      </c>
      <c r="E3545" s="293" t="s">
        <v>6291</v>
      </c>
      <c r="F3545" s="293" t="s">
        <v>7480</v>
      </c>
      <c r="G3545" s="293" t="s">
        <v>5579</v>
      </c>
      <c r="H3545" s="294">
        <v>42794</v>
      </c>
      <c r="I3545" s="295">
        <v>-1407.23</v>
      </c>
    </row>
    <row r="3546" spans="1:9" x14ac:dyDescent="0.2">
      <c r="A3546" s="293" t="s">
        <v>9290</v>
      </c>
      <c r="B3546" s="293" t="s">
        <v>5666</v>
      </c>
      <c r="C3546" s="293" t="s">
        <v>6083</v>
      </c>
      <c r="D3546" s="293" t="s">
        <v>5878</v>
      </c>
      <c r="E3546" s="293" t="s">
        <v>6293</v>
      </c>
      <c r="F3546" s="293" t="s">
        <v>7480</v>
      </c>
      <c r="G3546" s="293" t="s">
        <v>5579</v>
      </c>
      <c r="H3546" s="294">
        <v>42794</v>
      </c>
      <c r="I3546" s="295">
        <v>-2524.9</v>
      </c>
    </row>
    <row r="3547" spans="1:9" x14ac:dyDescent="0.2">
      <c r="A3547" s="293" t="s">
        <v>9291</v>
      </c>
      <c r="B3547" s="293" t="s">
        <v>5666</v>
      </c>
      <c r="C3547" s="293" t="s">
        <v>6101</v>
      </c>
      <c r="D3547" s="293" t="s">
        <v>5878</v>
      </c>
      <c r="E3547" s="293" t="s">
        <v>6295</v>
      </c>
      <c r="F3547" s="293" t="s">
        <v>7480</v>
      </c>
      <c r="G3547" s="293" t="s">
        <v>5580</v>
      </c>
      <c r="H3547" s="294">
        <v>42794</v>
      </c>
      <c r="I3547" s="295">
        <v>-193.73</v>
      </c>
    </row>
    <row r="3548" spans="1:9" x14ac:dyDescent="0.2">
      <c r="A3548" s="293" t="s">
        <v>9292</v>
      </c>
      <c r="B3548" s="293" t="s">
        <v>5666</v>
      </c>
      <c r="C3548" s="293" t="s">
        <v>6104</v>
      </c>
      <c r="D3548" s="293" t="s">
        <v>5878</v>
      </c>
      <c r="E3548" s="293" t="s">
        <v>6297</v>
      </c>
      <c r="F3548" s="293" t="s">
        <v>7480</v>
      </c>
      <c r="G3548" s="293" t="s">
        <v>5580</v>
      </c>
      <c r="H3548" s="294">
        <v>42794</v>
      </c>
      <c r="I3548" s="295">
        <v>-274.12</v>
      </c>
    </row>
    <row r="3549" spans="1:9" x14ac:dyDescent="0.2">
      <c r="A3549" s="293" t="s">
        <v>9293</v>
      </c>
      <c r="B3549" s="293" t="s">
        <v>5666</v>
      </c>
      <c r="C3549" s="293" t="s">
        <v>6106</v>
      </c>
      <c r="D3549" s="293" t="s">
        <v>5878</v>
      </c>
      <c r="E3549" s="293" t="s">
        <v>6299</v>
      </c>
      <c r="F3549" s="293" t="s">
        <v>7480</v>
      </c>
      <c r="G3549" s="293" t="s">
        <v>5580</v>
      </c>
      <c r="H3549" s="294">
        <v>42794</v>
      </c>
      <c r="I3549" s="295">
        <v>-1347.95</v>
      </c>
    </row>
    <row r="3550" spans="1:9" x14ac:dyDescent="0.2">
      <c r="A3550" s="293" t="s">
        <v>9294</v>
      </c>
      <c r="B3550" s="293" t="s">
        <v>5666</v>
      </c>
      <c r="C3550" s="293" t="s">
        <v>6108</v>
      </c>
      <c r="D3550" s="293" t="s">
        <v>5878</v>
      </c>
      <c r="E3550" s="293" t="s">
        <v>6301</v>
      </c>
      <c r="F3550" s="293" t="s">
        <v>7480</v>
      </c>
      <c r="G3550" s="293" t="s">
        <v>5580</v>
      </c>
      <c r="H3550" s="294">
        <v>42794</v>
      </c>
      <c r="I3550" s="295">
        <v>-1918.86</v>
      </c>
    </row>
    <row r="3551" spans="1:9" x14ac:dyDescent="0.2">
      <c r="A3551" s="293" t="s">
        <v>9295</v>
      </c>
      <c r="B3551" s="293" t="s">
        <v>5666</v>
      </c>
      <c r="C3551" s="293" t="s">
        <v>6110</v>
      </c>
      <c r="D3551" s="293" t="s">
        <v>5878</v>
      </c>
      <c r="E3551" s="293" t="s">
        <v>6303</v>
      </c>
      <c r="F3551" s="293" t="s">
        <v>7480</v>
      </c>
      <c r="G3551" s="293" t="s">
        <v>5573</v>
      </c>
      <c r="H3551" s="294">
        <v>42794</v>
      </c>
      <c r="I3551" s="295">
        <v>-1780.13</v>
      </c>
    </row>
    <row r="3552" spans="1:9" x14ac:dyDescent="0.2">
      <c r="A3552" s="293" t="s">
        <v>9296</v>
      </c>
      <c r="B3552" s="293" t="s">
        <v>5666</v>
      </c>
      <c r="C3552" s="293" t="s">
        <v>6115</v>
      </c>
      <c r="D3552" s="293" t="s">
        <v>5878</v>
      </c>
      <c r="E3552" s="293" t="s">
        <v>6305</v>
      </c>
      <c r="F3552" s="293" t="s">
        <v>7480</v>
      </c>
      <c r="G3552" s="293" t="s">
        <v>5581</v>
      </c>
      <c r="H3552" s="294">
        <v>42794</v>
      </c>
      <c r="I3552" s="295">
        <v>-2230.71</v>
      </c>
    </row>
    <row r="3553" spans="1:9" x14ac:dyDescent="0.2">
      <c r="A3553" s="293" t="s">
        <v>9297</v>
      </c>
      <c r="B3553" s="293" t="s">
        <v>5666</v>
      </c>
      <c r="C3553" s="293" t="s">
        <v>6086</v>
      </c>
      <c r="D3553" s="293" t="s">
        <v>5878</v>
      </c>
      <c r="E3553" s="293" t="s">
        <v>6307</v>
      </c>
      <c r="F3553" s="293" t="s">
        <v>7480</v>
      </c>
      <c r="G3553" s="293" t="s">
        <v>5581</v>
      </c>
      <c r="H3553" s="294">
        <v>42794</v>
      </c>
      <c r="I3553" s="295">
        <v>-2490.34</v>
      </c>
    </row>
    <row r="3554" spans="1:9" x14ac:dyDescent="0.2">
      <c r="A3554" s="293" t="s">
        <v>9298</v>
      </c>
      <c r="B3554" s="293" t="s">
        <v>5666</v>
      </c>
      <c r="C3554" s="293" t="s">
        <v>6113</v>
      </c>
      <c r="D3554" s="293" t="s">
        <v>5878</v>
      </c>
      <c r="E3554" s="293" t="s">
        <v>6316</v>
      </c>
      <c r="F3554" s="293" t="s">
        <v>7480</v>
      </c>
      <c r="G3554" s="293" t="s">
        <v>5573</v>
      </c>
      <c r="H3554" s="294">
        <v>42794</v>
      </c>
      <c r="I3554" s="295">
        <v>-5336.81</v>
      </c>
    </row>
    <row r="3555" spans="1:9" x14ac:dyDescent="0.2">
      <c r="A3555" s="293" t="s">
        <v>9299</v>
      </c>
      <c r="B3555" s="293" t="s">
        <v>5666</v>
      </c>
      <c r="C3555" s="293" t="s">
        <v>6313</v>
      </c>
      <c r="D3555" s="293" t="s">
        <v>5878</v>
      </c>
      <c r="E3555" s="293" t="s">
        <v>6314</v>
      </c>
      <c r="F3555" s="293" t="s">
        <v>7480</v>
      </c>
      <c r="G3555" s="293" t="s">
        <v>5576</v>
      </c>
      <c r="H3555" s="294">
        <v>42794</v>
      </c>
      <c r="I3555" s="295">
        <v>-4207.3500000000004</v>
      </c>
    </row>
    <row r="3556" spans="1:9" x14ac:dyDescent="0.2">
      <c r="A3556" s="293" t="s">
        <v>9300</v>
      </c>
      <c r="B3556" s="293" t="s">
        <v>5666</v>
      </c>
      <c r="C3556" s="293" t="s">
        <v>6272</v>
      </c>
      <c r="D3556" s="293" t="s">
        <v>5878</v>
      </c>
      <c r="E3556" s="293" t="s">
        <v>6273</v>
      </c>
      <c r="F3556" s="293" t="s">
        <v>7498</v>
      </c>
      <c r="G3556" s="293" t="s">
        <v>5576</v>
      </c>
      <c r="H3556" s="294">
        <v>42825</v>
      </c>
      <c r="I3556" s="295">
        <v>-3340.78</v>
      </c>
    </row>
    <row r="3557" spans="1:9" x14ac:dyDescent="0.2">
      <c r="A3557" s="293" t="s">
        <v>9301</v>
      </c>
      <c r="B3557" s="293" t="s">
        <v>5666</v>
      </c>
      <c r="C3557" s="293" t="s">
        <v>6122</v>
      </c>
      <c r="D3557" s="293" t="s">
        <v>5878</v>
      </c>
      <c r="E3557" s="293" t="s">
        <v>6275</v>
      </c>
      <c r="F3557" s="293" t="s">
        <v>7498</v>
      </c>
      <c r="G3557" s="293" t="s">
        <v>5577</v>
      </c>
      <c r="H3557" s="294">
        <v>42825</v>
      </c>
      <c r="I3557" s="295">
        <v>-1179.21</v>
      </c>
    </row>
    <row r="3558" spans="1:9" x14ac:dyDescent="0.2">
      <c r="A3558" s="293" t="s">
        <v>9302</v>
      </c>
      <c r="B3558" s="293" t="s">
        <v>5666</v>
      </c>
      <c r="C3558" s="293" t="s">
        <v>6124</v>
      </c>
      <c r="D3558" s="293" t="s">
        <v>5878</v>
      </c>
      <c r="E3558" s="293" t="s">
        <v>6277</v>
      </c>
      <c r="F3558" s="293" t="s">
        <v>7498</v>
      </c>
      <c r="G3558" s="293" t="s">
        <v>5578</v>
      </c>
      <c r="H3558" s="294">
        <v>42825</v>
      </c>
      <c r="I3558" s="295">
        <v>-1019.33</v>
      </c>
    </row>
    <row r="3559" spans="1:9" x14ac:dyDescent="0.2">
      <c r="A3559" s="293" t="s">
        <v>9303</v>
      </c>
      <c r="B3559" s="293" t="s">
        <v>5666</v>
      </c>
      <c r="C3559" s="293" t="s">
        <v>6126</v>
      </c>
      <c r="D3559" s="293" t="s">
        <v>5878</v>
      </c>
      <c r="E3559" s="293" t="s">
        <v>6279</v>
      </c>
      <c r="F3559" s="293" t="s">
        <v>7498</v>
      </c>
      <c r="G3559" s="293" t="s">
        <v>5579</v>
      </c>
      <c r="H3559" s="294">
        <v>42825</v>
      </c>
      <c r="I3559" s="295">
        <v>-857.57</v>
      </c>
    </row>
    <row r="3560" spans="1:9" x14ac:dyDescent="0.2">
      <c r="A3560" s="293" t="s">
        <v>9304</v>
      </c>
      <c r="B3560" s="293" t="s">
        <v>5666</v>
      </c>
      <c r="C3560" s="293" t="s">
        <v>6091</v>
      </c>
      <c r="D3560" s="293" t="s">
        <v>5878</v>
      </c>
      <c r="E3560" s="293" t="s">
        <v>6281</v>
      </c>
      <c r="F3560" s="293" t="s">
        <v>7498</v>
      </c>
      <c r="G3560" s="293" t="s">
        <v>5573</v>
      </c>
      <c r="H3560" s="294">
        <v>42825</v>
      </c>
      <c r="I3560" s="295">
        <v>-3125.47</v>
      </c>
    </row>
    <row r="3561" spans="1:9" x14ac:dyDescent="0.2">
      <c r="A3561" s="293" t="s">
        <v>9305</v>
      </c>
      <c r="B3561" s="293" t="s">
        <v>5666</v>
      </c>
      <c r="C3561" s="293" t="s">
        <v>6093</v>
      </c>
      <c r="D3561" s="293" t="s">
        <v>5878</v>
      </c>
      <c r="E3561" s="293" t="s">
        <v>6283</v>
      </c>
      <c r="F3561" s="293" t="s">
        <v>7498</v>
      </c>
      <c r="G3561" s="293" t="s">
        <v>5573</v>
      </c>
      <c r="H3561" s="294">
        <v>42825</v>
      </c>
      <c r="I3561" s="295">
        <v>-4451.78</v>
      </c>
    </row>
    <row r="3562" spans="1:9" x14ac:dyDescent="0.2">
      <c r="A3562" s="293" t="s">
        <v>9306</v>
      </c>
      <c r="B3562" s="293" t="s">
        <v>5666</v>
      </c>
      <c r="C3562" s="293" t="s">
        <v>6080</v>
      </c>
      <c r="D3562" s="293" t="s">
        <v>5878</v>
      </c>
      <c r="E3562" s="293" t="s">
        <v>6285</v>
      </c>
      <c r="F3562" s="293" t="s">
        <v>7498</v>
      </c>
      <c r="G3562" s="293" t="s">
        <v>5573</v>
      </c>
      <c r="H3562" s="294">
        <v>42825</v>
      </c>
      <c r="I3562" s="295">
        <v>-10077.08</v>
      </c>
    </row>
    <row r="3563" spans="1:9" x14ac:dyDescent="0.2">
      <c r="A3563" s="293" t="s">
        <v>9307</v>
      </c>
      <c r="B3563" s="293" t="s">
        <v>5666</v>
      </c>
      <c r="C3563" s="293" t="s">
        <v>6095</v>
      </c>
      <c r="D3563" s="293" t="s">
        <v>5878</v>
      </c>
      <c r="E3563" s="293" t="s">
        <v>6287</v>
      </c>
      <c r="F3563" s="293" t="s">
        <v>7498</v>
      </c>
      <c r="G3563" s="293" t="s">
        <v>5580</v>
      </c>
      <c r="H3563" s="294">
        <v>42825</v>
      </c>
      <c r="I3563" s="295">
        <v>-5589.54</v>
      </c>
    </row>
    <row r="3564" spans="1:9" x14ac:dyDescent="0.2">
      <c r="A3564" s="293" t="s">
        <v>9308</v>
      </c>
      <c r="B3564" s="293" t="s">
        <v>5666</v>
      </c>
      <c r="C3564" s="293" t="s">
        <v>6097</v>
      </c>
      <c r="D3564" s="293" t="s">
        <v>5878</v>
      </c>
      <c r="E3564" s="293" t="s">
        <v>6289</v>
      </c>
      <c r="F3564" s="293" t="s">
        <v>7498</v>
      </c>
      <c r="G3564" s="293" t="s">
        <v>5580</v>
      </c>
      <c r="H3564" s="294">
        <v>42825</v>
      </c>
      <c r="I3564" s="295">
        <v>-10099.59</v>
      </c>
    </row>
    <row r="3565" spans="1:9" x14ac:dyDescent="0.2">
      <c r="A3565" s="293" t="s">
        <v>9309</v>
      </c>
      <c r="B3565" s="293" t="s">
        <v>5666</v>
      </c>
      <c r="C3565" s="293" t="s">
        <v>6099</v>
      </c>
      <c r="D3565" s="293" t="s">
        <v>5878</v>
      </c>
      <c r="E3565" s="293" t="s">
        <v>6291</v>
      </c>
      <c r="F3565" s="293" t="s">
        <v>7498</v>
      </c>
      <c r="G3565" s="293" t="s">
        <v>5579</v>
      </c>
      <c r="H3565" s="294">
        <v>42825</v>
      </c>
      <c r="I3565" s="295">
        <v>-1407.23</v>
      </c>
    </row>
    <row r="3566" spans="1:9" x14ac:dyDescent="0.2">
      <c r="A3566" s="293" t="s">
        <v>9310</v>
      </c>
      <c r="B3566" s="293" t="s">
        <v>5666</v>
      </c>
      <c r="C3566" s="293" t="s">
        <v>6083</v>
      </c>
      <c r="D3566" s="293" t="s">
        <v>5878</v>
      </c>
      <c r="E3566" s="293" t="s">
        <v>6293</v>
      </c>
      <c r="F3566" s="293" t="s">
        <v>7498</v>
      </c>
      <c r="G3566" s="293" t="s">
        <v>5579</v>
      </c>
      <c r="H3566" s="294">
        <v>42825</v>
      </c>
      <c r="I3566" s="295">
        <v>-2524.9</v>
      </c>
    </row>
    <row r="3567" spans="1:9" x14ac:dyDescent="0.2">
      <c r="A3567" s="293" t="s">
        <v>9311</v>
      </c>
      <c r="B3567" s="293" t="s">
        <v>5666</v>
      </c>
      <c r="C3567" s="293" t="s">
        <v>6101</v>
      </c>
      <c r="D3567" s="293" t="s">
        <v>5878</v>
      </c>
      <c r="E3567" s="293" t="s">
        <v>6295</v>
      </c>
      <c r="F3567" s="293" t="s">
        <v>7498</v>
      </c>
      <c r="G3567" s="293" t="s">
        <v>5580</v>
      </c>
      <c r="H3567" s="294">
        <v>42825</v>
      </c>
      <c r="I3567" s="295">
        <v>-193.73</v>
      </c>
    </row>
    <row r="3568" spans="1:9" x14ac:dyDescent="0.2">
      <c r="A3568" s="293" t="s">
        <v>9312</v>
      </c>
      <c r="B3568" s="293" t="s">
        <v>5666</v>
      </c>
      <c r="C3568" s="293" t="s">
        <v>6104</v>
      </c>
      <c r="D3568" s="293" t="s">
        <v>5878</v>
      </c>
      <c r="E3568" s="293" t="s">
        <v>6297</v>
      </c>
      <c r="F3568" s="293" t="s">
        <v>7498</v>
      </c>
      <c r="G3568" s="293" t="s">
        <v>5580</v>
      </c>
      <c r="H3568" s="294">
        <v>42825</v>
      </c>
      <c r="I3568" s="295">
        <v>-274.12</v>
      </c>
    </row>
    <row r="3569" spans="1:9" x14ac:dyDescent="0.2">
      <c r="A3569" s="293" t="s">
        <v>9313</v>
      </c>
      <c r="B3569" s="293" t="s">
        <v>5666</v>
      </c>
      <c r="C3569" s="293" t="s">
        <v>6106</v>
      </c>
      <c r="D3569" s="293" t="s">
        <v>5878</v>
      </c>
      <c r="E3569" s="293" t="s">
        <v>6299</v>
      </c>
      <c r="F3569" s="293" t="s">
        <v>7498</v>
      </c>
      <c r="G3569" s="293" t="s">
        <v>5580</v>
      </c>
      <c r="H3569" s="294">
        <v>42825</v>
      </c>
      <c r="I3569" s="295">
        <v>-1347.95</v>
      </c>
    </row>
    <row r="3570" spans="1:9" x14ac:dyDescent="0.2">
      <c r="A3570" s="293" t="s">
        <v>9314</v>
      </c>
      <c r="B3570" s="293" t="s">
        <v>5666</v>
      </c>
      <c r="C3570" s="293" t="s">
        <v>6108</v>
      </c>
      <c r="D3570" s="293" t="s">
        <v>5878</v>
      </c>
      <c r="E3570" s="293" t="s">
        <v>6301</v>
      </c>
      <c r="F3570" s="293" t="s">
        <v>7498</v>
      </c>
      <c r="G3570" s="293" t="s">
        <v>5580</v>
      </c>
      <c r="H3570" s="294">
        <v>42825</v>
      </c>
      <c r="I3570" s="295">
        <v>-1918.86</v>
      </c>
    </row>
    <row r="3571" spans="1:9" x14ac:dyDescent="0.2">
      <c r="A3571" s="293" t="s">
        <v>9315</v>
      </c>
      <c r="B3571" s="293" t="s">
        <v>5666</v>
      </c>
      <c r="C3571" s="293" t="s">
        <v>6110</v>
      </c>
      <c r="D3571" s="293" t="s">
        <v>5878</v>
      </c>
      <c r="E3571" s="293" t="s">
        <v>6303</v>
      </c>
      <c r="F3571" s="293" t="s">
        <v>7498</v>
      </c>
      <c r="G3571" s="293" t="s">
        <v>5573</v>
      </c>
      <c r="H3571" s="294">
        <v>42825</v>
      </c>
      <c r="I3571" s="295">
        <v>-1780.13</v>
      </c>
    </row>
    <row r="3572" spans="1:9" x14ac:dyDescent="0.2">
      <c r="A3572" s="293" t="s">
        <v>9316</v>
      </c>
      <c r="B3572" s="293" t="s">
        <v>5666</v>
      </c>
      <c r="C3572" s="293" t="s">
        <v>6115</v>
      </c>
      <c r="D3572" s="293" t="s">
        <v>5878</v>
      </c>
      <c r="E3572" s="293" t="s">
        <v>6305</v>
      </c>
      <c r="F3572" s="293" t="s">
        <v>7498</v>
      </c>
      <c r="G3572" s="293" t="s">
        <v>5581</v>
      </c>
      <c r="H3572" s="294">
        <v>42825</v>
      </c>
      <c r="I3572" s="295">
        <v>-2230.71</v>
      </c>
    </row>
    <row r="3573" spans="1:9" x14ac:dyDescent="0.2">
      <c r="A3573" s="293" t="s">
        <v>9317</v>
      </c>
      <c r="B3573" s="293" t="s">
        <v>5666</v>
      </c>
      <c r="C3573" s="293" t="s">
        <v>6086</v>
      </c>
      <c r="D3573" s="293" t="s">
        <v>5878</v>
      </c>
      <c r="E3573" s="293" t="s">
        <v>6307</v>
      </c>
      <c r="F3573" s="293" t="s">
        <v>7498</v>
      </c>
      <c r="G3573" s="293" t="s">
        <v>5581</v>
      </c>
      <c r="H3573" s="294">
        <v>42825</v>
      </c>
      <c r="I3573" s="295">
        <v>-2490.34</v>
      </c>
    </row>
    <row r="3574" spans="1:9" x14ac:dyDescent="0.2">
      <c r="A3574" s="293" t="s">
        <v>9318</v>
      </c>
      <c r="B3574" s="293" t="s">
        <v>5666</v>
      </c>
      <c r="C3574" s="293" t="s">
        <v>6113</v>
      </c>
      <c r="D3574" s="293" t="s">
        <v>5878</v>
      </c>
      <c r="E3574" s="293" t="s">
        <v>6316</v>
      </c>
      <c r="F3574" s="293" t="s">
        <v>7498</v>
      </c>
      <c r="G3574" s="293" t="s">
        <v>5573</v>
      </c>
      <c r="H3574" s="294">
        <v>42825</v>
      </c>
      <c r="I3574" s="295">
        <v>-5336.81</v>
      </c>
    </row>
    <row r="3575" spans="1:9" x14ac:dyDescent="0.2">
      <c r="A3575" s="293" t="s">
        <v>9319</v>
      </c>
      <c r="B3575" s="293" t="s">
        <v>5666</v>
      </c>
      <c r="C3575" s="293" t="s">
        <v>6313</v>
      </c>
      <c r="D3575" s="293" t="s">
        <v>5878</v>
      </c>
      <c r="E3575" s="293" t="s">
        <v>6314</v>
      </c>
      <c r="F3575" s="293" t="s">
        <v>7498</v>
      </c>
      <c r="G3575" s="293" t="s">
        <v>5576</v>
      </c>
      <c r="H3575" s="294">
        <v>42825</v>
      </c>
      <c r="I3575" s="295">
        <v>-4207.3500000000004</v>
      </c>
    </row>
    <row r="3576" spans="1:9" x14ac:dyDescent="0.2">
      <c r="A3576" s="293" t="s">
        <v>9320</v>
      </c>
      <c r="B3576" s="293" t="s">
        <v>5666</v>
      </c>
      <c r="C3576" s="293" t="s">
        <v>6272</v>
      </c>
      <c r="D3576" s="293" t="s">
        <v>5878</v>
      </c>
      <c r="E3576" s="293" t="s">
        <v>6273</v>
      </c>
      <c r="F3576" s="293" t="s">
        <v>7516</v>
      </c>
      <c r="G3576" s="293" t="s">
        <v>5576</v>
      </c>
      <c r="H3576" s="294">
        <v>42855</v>
      </c>
      <c r="I3576" s="295">
        <v>-3340.78</v>
      </c>
    </row>
    <row r="3577" spans="1:9" x14ac:dyDescent="0.2">
      <c r="A3577" s="293" t="s">
        <v>9321</v>
      </c>
      <c r="B3577" s="293" t="s">
        <v>5666</v>
      </c>
      <c r="C3577" s="293" t="s">
        <v>6122</v>
      </c>
      <c r="D3577" s="293" t="s">
        <v>5878</v>
      </c>
      <c r="E3577" s="293" t="s">
        <v>6275</v>
      </c>
      <c r="F3577" s="293" t="s">
        <v>7516</v>
      </c>
      <c r="G3577" s="293" t="s">
        <v>5577</v>
      </c>
      <c r="H3577" s="294">
        <v>42855</v>
      </c>
      <c r="I3577" s="295">
        <v>-1179.21</v>
      </c>
    </row>
    <row r="3578" spans="1:9" x14ac:dyDescent="0.2">
      <c r="A3578" s="293" t="s">
        <v>9322</v>
      </c>
      <c r="B3578" s="293" t="s">
        <v>5666</v>
      </c>
      <c r="C3578" s="293" t="s">
        <v>6124</v>
      </c>
      <c r="D3578" s="293" t="s">
        <v>5878</v>
      </c>
      <c r="E3578" s="293" t="s">
        <v>6277</v>
      </c>
      <c r="F3578" s="293" t="s">
        <v>7516</v>
      </c>
      <c r="G3578" s="293" t="s">
        <v>5578</v>
      </c>
      <c r="H3578" s="294">
        <v>42855</v>
      </c>
      <c r="I3578" s="295">
        <v>-1019.33</v>
      </c>
    </row>
    <row r="3579" spans="1:9" x14ac:dyDescent="0.2">
      <c r="A3579" s="293" t="s">
        <v>9323</v>
      </c>
      <c r="B3579" s="293" t="s">
        <v>5666</v>
      </c>
      <c r="C3579" s="293" t="s">
        <v>6126</v>
      </c>
      <c r="D3579" s="293" t="s">
        <v>5878</v>
      </c>
      <c r="E3579" s="293" t="s">
        <v>6279</v>
      </c>
      <c r="F3579" s="293" t="s">
        <v>7516</v>
      </c>
      <c r="G3579" s="293" t="s">
        <v>5579</v>
      </c>
      <c r="H3579" s="294">
        <v>42855</v>
      </c>
      <c r="I3579" s="295">
        <v>-857.57</v>
      </c>
    </row>
    <row r="3580" spans="1:9" x14ac:dyDescent="0.2">
      <c r="A3580" s="293" t="s">
        <v>9324</v>
      </c>
      <c r="B3580" s="293" t="s">
        <v>5666</v>
      </c>
      <c r="C3580" s="293" t="s">
        <v>6091</v>
      </c>
      <c r="D3580" s="293" t="s">
        <v>5878</v>
      </c>
      <c r="E3580" s="293" t="s">
        <v>6281</v>
      </c>
      <c r="F3580" s="293" t="s">
        <v>7516</v>
      </c>
      <c r="G3580" s="293" t="s">
        <v>5573</v>
      </c>
      <c r="H3580" s="294">
        <v>42855</v>
      </c>
      <c r="I3580" s="295">
        <v>-3125.47</v>
      </c>
    </row>
    <row r="3581" spans="1:9" x14ac:dyDescent="0.2">
      <c r="A3581" s="293" t="s">
        <v>9325</v>
      </c>
      <c r="B3581" s="293" t="s">
        <v>5666</v>
      </c>
      <c r="C3581" s="293" t="s">
        <v>6093</v>
      </c>
      <c r="D3581" s="293" t="s">
        <v>5878</v>
      </c>
      <c r="E3581" s="293" t="s">
        <v>6283</v>
      </c>
      <c r="F3581" s="293" t="s">
        <v>7516</v>
      </c>
      <c r="G3581" s="293" t="s">
        <v>5573</v>
      </c>
      <c r="H3581" s="294">
        <v>42855</v>
      </c>
      <c r="I3581" s="295">
        <v>-4451.78</v>
      </c>
    </row>
    <row r="3582" spans="1:9" x14ac:dyDescent="0.2">
      <c r="A3582" s="293" t="s">
        <v>9326</v>
      </c>
      <c r="B3582" s="293" t="s">
        <v>5666</v>
      </c>
      <c r="C3582" s="293" t="s">
        <v>6080</v>
      </c>
      <c r="D3582" s="293" t="s">
        <v>5878</v>
      </c>
      <c r="E3582" s="293" t="s">
        <v>6285</v>
      </c>
      <c r="F3582" s="293" t="s">
        <v>7516</v>
      </c>
      <c r="G3582" s="293" t="s">
        <v>5573</v>
      </c>
      <c r="H3582" s="294">
        <v>42855</v>
      </c>
      <c r="I3582" s="295">
        <v>-10077.08</v>
      </c>
    </row>
    <row r="3583" spans="1:9" x14ac:dyDescent="0.2">
      <c r="A3583" s="293" t="s">
        <v>9327</v>
      </c>
      <c r="B3583" s="293" t="s">
        <v>5666</v>
      </c>
      <c r="C3583" s="293" t="s">
        <v>6095</v>
      </c>
      <c r="D3583" s="293" t="s">
        <v>5878</v>
      </c>
      <c r="E3583" s="293" t="s">
        <v>6287</v>
      </c>
      <c r="F3583" s="293" t="s">
        <v>7516</v>
      </c>
      <c r="G3583" s="293" t="s">
        <v>5580</v>
      </c>
      <c r="H3583" s="294">
        <v>42855</v>
      </c>
      <c r="I3583" s="295">
        <v>-5589.54</v>
      </c>
    </row>
    <row r="3584" spans="1:9" x14ac:dyDescent="0.2">
      <c r="A3584" s="293" t="s">
        <v>9328</v>
      </c>
      <c r="B3584" s="293" t="s">
        <v>5666</v>
      </c>
      <c r="C3584" s="293" t="s">
        <v>6097</v>
      </c>
      <c r="D3584" s="293" t="s">
        <v>5878</v>
      </c>
      <c r="E3584" s="293" t="s">
        <v>6289</v>
      </c>
      <c r="F3584" s="293" t="s">
        <v>7516</v>
      </c>
      <c r="G3584" s="293" t="s">
        <v>5580</v>
      </c>
      <c r="H3584" s="294">
        <v>42855</v>
      </c>
      <c r="I3584" s="295">
        <v>-10099.59</v>
      </c>
    </row>
    <row r="3585" spans="1:9" x14ac:dyDescent="0.2">
      <c r="A3585" s="293" t="s">
        <v>9329</v>
      </c>
      <c r="B3585" s="293" t="s">
        <v>5666</v>
      </c>
      <c r="C3585" s="293" t="s">
        <v>6099</v>
      </c>
      <c r="D3585" s="293" t="s">
        <v>5878</v>
      </c>
      <c r="E3585" s="293" t="s">
        <v>6291</v>
      </c>
      <c r="F3585" s="293" t="s">
        <v>7516</v>
      </c>
      <c r="G3585" s="293" t="s">
        <v>5579</v>
      </c>
      <c r="H3585" s="294">
        <v>42855</v>
      </c>
      <c r="I3585" s="295">
        <v>-1407.23</v>
      </c>
    </row>
    <row r="3586" spans="1:9" x14ac:dyDescent="0.2">
      <c r="A3586" s="293" t="s">
        <v>9330</v>
      </c>
      <c r="B3586" s="293" t="s">
        <v>5666</v>
      </c>
      <c r="C3586" s="293" t="s">
        <v>6083</v>
      </c>
      <c r="D3586" s="293" t="s">
        <v>5878</v>
      </c>
      <c r="E3586" s="293" t="s">
        <v>6293</v>
      </c>
      <c r="F3586" s="293" t="s">
        <v>7516</v>
      </c>
      <c r="G3586" s="293" t="s">
        <v>5579</v>
      </c>
      <c r="H3586" s="294">
        <v>42855</v>
      </c>
      <c r="I3586" s="295">
        <v>-2524.9</v>
      </c>
    </row>
    <row r="3587" spans="1:9" x14ac:dyDescent="0.2">
      <c r="A3587" s="293" t="s">
        <v>9331</v>
      </c>
      <c r="B3587" s="293" t="s">
        <v>5666</v>
      </c>
      <c r="C3587" s="293" t="s">
        <v>6101</v>
      </c>
      <c r="D3587" s="293" t="s">
        <v>5878</v>
      </c>
      <c r="E3587" s="293" t="s">
        <v>6295</v>
      </c>
      <c r="F3587" s="293" t="s">
        <v>7516</v>
      </c>
      <c r="G3587" s="293" t="s">
        <v>5580</v>
      </c>
      <c r="H3587" s="294">
        <v>42855</v>
      </c>
      <c r="I3587" s="295">
        <v>-193.73</v>
      </c>
    </row>
    <row r="3588" spans="1:9" x14ac:dyDescent="0.2">
      <c r="A3588" s="293" t="s">
        <v>9332</v>
      </c>
      <c r="B3588" s="293" t="s">
        <v>5666</v>
      </c>
      <c r="C3588" s="293" t="s">
        <v>6104</v>
      </c>
      <c r="D3588" s="293" t="s">
        <v>5878</v>
      </c>
      <c r="E3588" s="293" t="s">
        <v>6297</v>
      </c>
      <c r="F3588" s="293" t="s">
        <v>7516</v>
      </c>
      <c r="G3588" s="293" t="s">
        <v>5580</v>
      </c>
      <c r="H3588" s="294">
        <v>42855</v>
      </c>
      <c r="I3588" s="295">
        <v>-274.12</v>
      </c>
    </row>
    <row r="3589" spans="1:9" x14ac:dyDescent="0.2">
      <c r="A3589" s="293" t="s">
        <v>9333</v>
      </c>
      <c r="B3589" s="293" t="s">
        <v>5666</v>
      </c>
      <c r="C3589" s="293" t="s">
        <v>6106</v>
      </c>
      <c r="D3589" s="293" t="s">
        <v>5878</v>
      </c>
      <c r="E3589" s="293" t="s">
        <v>6299</v>
      </c>
      <c r="F3589" s="293" t="s">
        <v>7516</v>
      </c>
      <c r="G3589" s="293" t="s">
        <v>5580</v>
      </c>
      <c r="H3589" s="294">
        <v>42855</v>
      </c>
      <c r="I3589" s="295">
        <v>-1347.95</v>
      </c>
    </row>
    <row r="3590" spans="1:9" x14ac:dyDescent="0.2">
      <c r="A3590" s="293" t="s">
        <v>9334</v>
      </c>
      <c r="B3590" s="293" t="s">
        <v>5666</v>
      </c>
      <c r="C3590" s="293" t="s">
        <v>6108</v>
      </c>
      <c r="D3590" s="293" t="s">
        <v>5878</v>
      </c>
      <c r="E3590" s="293" t="s">
        <v>6301</v>
      </c>
      <c r="F3590" s="293" t="s">
        <v>7516</v>
      </c>
      <c r="G3590" s="293" t="s">
        <v>5580</v>
      </c>
      <c r="H3590" s="294">
        <v>42855</v>
      </c>
      <c r="I3590" s="295">
        <v>-1918.86</v>
      </c>
    </row>
    <row r="3591" spans="1:9" x14ac:dyDescent="0.2">
      <c r="A3591" s="293" t="s">
        <v>9335</v>
      </c>
      <c r="B3591" s="293" t="s">
        <v>5666</v>
      </c>
      <c r="C3591" s="293" t="s">
        <v>6110</v>
      </c>
      <c r="D3591" s="293" t="s">
        <v>5878</v>
      </c>
      <c r="E3591" s="293" t="s">
        <v>6303</v>
      </c>
      <c r="F3591" s="293" t="s">
        <v>7516</v>
      </c>
      <c r="G3591" s="293" t="s">
        <v>5573</v>
      </c>
      <c r="H3591" s="294">
        <v>42855</v>
      </c>
      <c r="I3591" s="295">
        <v>-1780.13</v>
      </c>
    </row>
    <row r="3592" spans="1:9" x14ac:dyDescent="0.2">
      <c r="A3592" s="293" t="s">
        <v>9336</v>
      </c>
      <c r="B3592" s="293" t="s">
        <v>5666</v>
      </c>
      <c r="C3592" s="293" t="s">
        <v>6115</v>
      </c>
      <c r="D3592" s="293" t="s">
        <v>5878</v>
      </c>
      <c r="E3592" s="293" t="s">
        <v>6305</v>
      </c>
      <c r="F3592" s="293" t="s">
        <v>7516</v>
      </c>
      <c r="G3592" s="293" t="s">
        <v>5581</v>
      </c>
      <c r="H3592" s="294">
        <v>42855</v>
      </c>
      <c r="I3592" s="295">
        <v>-2230.71</v>
      </c>
    </row>
    <row r="3593" spans="1:9" x14ac:dyDescent="0.2">
      <c r="A3593" s="293" t="s">
        <v>9337</v>
      </c>
      <c r="B3593" s="293" t="s">
        <v>5666</v>
      </c>
      <c r="C3593" s="293" t="s">
        <v>6086</v>
      </c>
      <c r="D3593" s="293" t="s">
        <v>5878</v>
      </c>
      <c r="E3593" s="293" t="s">
        <v>6307</v>
      </c>
      <c r="F3593" s="293" t="s">
        <v>7516</v>
      </c>
      <c r="G3593" s="293" t="s">
        <v>5581</v>
      </c>
      <c r="H3593" s="294">
        <v>42855</v>
      </c>
      <c r="I3593" s="295">
        <v>-2490.34</v>
      </c>
    </row>
    <row r="3594" spans="1:9" x14ac:dyDescent="0.2">
      <c r="A3594" s="293" t="s">
        <v>9338</v>
      </c>
      <c r="B3594" s="293" t="s">
        <v>5666</v>
      </c>
      <c r="C3594" s="293" t="s">
        <v>6113</v>
      </c>
      <c r="D3594" s="293" t="s">
        <v>5878</v>
      </c>
      <c r="E3594" s="293" t="s">
        <v>6316</v>
      </c>
      <c r="F3594" s="293" t="s">
        <v>7516</v>
      </c>
      <c r="G3594" s="293" t="s">
        <v>5573</v>
      </c>
      <c r="H3594" s="294">
        <v>42855</v>
      </c>
      <c r="I3594" s="295">
        <v>-5336.81</v>
      </c>
    </row>
    <row r="3595" spans="1:9" x14ac:dyDescent="0.2">
      <c r="A3595" s="293" t="s">
        <v>9339</v>
      </c>
      <c r="B3595" s="293" t="s">
        <v>5666</v>
      </c>
      <c r="C3595" s="293" t="s">
        <v>6313</v>
      </c>
      <c r="D3595" s="293" t="s">
        <v>5878</v>
      </c>
      <c r="E3595" s="293" t="s">
        <v>6314</v>
      </c>
      <c r="F3595" s="293" t="s">
        <v>7516</v>
      </c>
      <c r="G3595" s="293" t="s">
        <v>5576</v>
      </c>
      <c r="H3595" s="294">
        <v>42855</v>
      </c>
      <c r="I3595" s="295">
        <v>-4207.3500000000004</v>
      </c>
    </row>
    <row r="3596" spans="1:9" x14ac:dyDescent="0.2">
      <c r="A3596" s="293" t="s">
        <v>9340</v>
      </c>
      <c r="B3596" s="293" t="s">
        <v>5666</v>
      </c>
      <c r="C3596" s="293" t="s">
        <v>6272</v>
      </c>
      <c r="D3596" s="293" t="s">
        <v>5878</v>
      </c>
      <c r="E3596" s="293" t="s">
        <v>6273</v>
      </c>
      <c r="F3596" s="293" t="s">
        <v>7534</v>
      </c>
      <c r="G3596" s="293" t="s">
        <v>5576</v>
      </c>
      <c r="H3596" s="294">
        <v>42886</v>
      </c>
      <c r="I3596" s="295">
        <v>-3340.78</v>
      </c>
    </row>
    <row r="3597" spans="1:9" x14ac:dyDescent="0.2">
      <c r="A3597" s="293" t="s">
        <v>9341</v>
      </c>
      <c r="B3597" s="293" t="s">
        <v>5666</v>
      </c>
      <c r="C3597" s="293" t="s">
        <v>6122</v>
      </c>
      <c r="D3597" s="293" t="s">
        <v>5878</v>
      </c>
      <c r="E3597" s="293" t="s">
        <v>6275</v>
      </c>
      <c r="F3597" s="293" t="s">
        <v>7534</v>
      </c>
      <c r="G3597" s="293" t="s">
        <v>5577</v>
      </c>
      <c r="H3597" s="294">
        <v>42886</v>
      </c>
      <c r="I3597" s="295">
        <v>-1179.21</v>
      </c>
    </row>
    <row r="3598" spans="1:9" x14ac:dyDescent="0.2">
      <c r="A3598" s="293" t="s">
        <v>9342</v>
      </c>
      <c r="B3598" s="293" t="s">
        <v>5666</v>
      </c>
      <c r="C3598" s="293" t="s">
        <v>6124</v>
      </c>
      <c r="D3598" s="293" t="s">
        <v>5878</v>
      </c>
      <c r="E3598" s="293" t="s">
        <v>6277</v>
      </c>
      <c r="F3598" s="293" t="s">
        <v>7534</v>
      </c>
      <c r="G3598" s="293" t="s">
        <v>5578</v>
      </c>
      <c r="H3598" s="294">
        <v>42886</v>
      </c>
      <c r="I3598" s="295">
        <v>-1019.33</v>
      </c>
    </row>
    <row r="3599" spans="1:9" x14ac:dyDescent="0.2">
      <c r="A3599" s="293" t="s">
        <v>9343</v>
      </c>
      <c r="B3599" s="293" t="s">
        <v>5666</v>
      </c>
      <c r="C3599" s="293" t="s">
        <v>6126</v>
      </c>
      <c r="D3599" s="293" t="s">
        <v>5878</v>
      </c>
      <c r="E3599" s="293" t="s">
        <v>6279</v>
      </c>
      <c r="F3599" s="293" t="s">
        <v>7534</v>
      </c>
      <c r="G3599" s="293" t="s">
        <v>5579</v>
      </c>
      <c r="H3599" s="294">
        <v>42886</v>
      </c>
      <c r="I3599" s="295">
        <v>-857.57</v>
      </c>
    </row>
    <row r="3600" spans="1:9" x14ac:dyDescent="0.2">
      <c r="A3600" s="293" t="s">
        <v>9344</v>
      </c>
      <c r="B3600" s="293" t="s">
        <v>5666</v>
      </c>
      <c r="C3600" s="293" t="s">
        <v>6091</v>
      </c>
      <c r="D3600" s="293" t="s">
        <v>5878</v>
      </c>
      <c r="E3600" s="293" t="s">
        <v>6281</v>
      </c>
      <c r="F3600" s="293" t="s">
        <v>7534</v>
      </c>
      <c r="G3600" s="293" t="s">
        <v>5573</v>
      </c>
      <c r="H3600" s="294">
        <v>42886</v>
      </c>
      <c r="I3600" s="295">
        <v>-3125.47</v>
      </c>
    </row>
    <row r="3601" spans="1:9" x14ac:dyDescent="0.2">
      <c r="A3601" s="293" t="s">
        <v>9345</v>
      </c>
      <c r="B3601" s="293" t="s">
        <v>5666</v>
      </c>
      <c r="C3601" s="293" t="s">
        <v>6093</v>
      </c>
      <c r="D3601" s="293" t="s">
        <v>5878</v>
      </c>
      <c r="E3601" s="293" t="s">
        <v>6283</v>
      </c>
      <c r="F3601" s="293" t="s">
        <v>7534</v>
      </c>
      <c r="G3601" s="293" t="s">
        <v>5573</v>
      </c>
      <c r="H3601" s="294">
        <v>42886</v>
      </c>
      <c r="I3601" s="295">
        <v>-4451.78</v>
      </c>
    </row>
    <row r="3602" spans="1:9" x14ac:dyDescent="0.2">
      <c r="A3602" s="293" t="s">
        <v>9346</v>
      </c>
      <c r="B3602" s="293" t="s">
        <v>5666</v>
      </c>
      <c r="C3602" s="293" t="s">
        <v>6080</v>
      </c>
      <c r="D3602" s="293" t="s">
        <v>5878</v>
      </c>
      <c r="E3602" s="293" t="s">
        <v>6285</v>
      </c>
      <c r="F3602" s="293" t="s">
        <v>7534</v>
      </c>
      <c r="G3602" s="293" t="s">
        <v>5573</v>
      </c>
      <c r="H3602" s="294">
        <v>42886</v>
      </c>
      <c r="I3602" s="295">
        <v>-10077.08</v>
      </c>
    </row>
    <row r="3603" spans="1:9" x14ac:dyDescent="0.2">
      <c r="A3603" s="293" t="s">
        <v>9347</v>
      </c>
      <c r="B3603" s="293" t="s">
        <v>5666</v>
      </c>
      <c r="C3603" s="293" t="s">
        <v>6095</v>
      </c>
      <c r="D3603" s="293" t="s">
        <v>5878</v>
      </c>
      <c r="E3603" s="293" t="s">
        <v>6287</v>
      </c>
      <c r="F3603" s="293" t="s">
        <v>7534</v>
      </c>
      <c r="G3603" s="293" t="s">
        <v>5580</v>
      </c>
      <c r="H3603" s="294">
        <v>42886</v>
      </c>
      <c r="I3603" s="295">
        <v>-5589.54</v>
      </c>
    </row>
    <row r="3604" spans="1:9" x14ac:dyDescent="0.2">
      <c r="A3604" s="293" t="s">
        <v>9348</v>
      </c>
      <c r="B3604" s="293" t="s">
        <v>5666</v>
      </c>
      <c r="C3604" s="293" t="s">
        <v>6097</v>
      </c>
      <c r="D3604" s="293" t="s">
        <v>5878</v>
      </c>
      <c r="E3604" s="293" t="s">
        <v>6289</v>
      </c>
      <c r="F3604" s="293" t="s">
        <v>7534</v>
      </c>
      <c r="G3604" s="293" t="s">
        <v>5580</v>
      </c>
      <c r="H3604" s="294">
        <v>42886</v>
      </c>
      <c r="I3604" s="295">
        <v>-10099.59</v>
      </c>
    </row>
    <row r="3605" spans="1:9" x14ac:dyDescent="0.2">
      <c r="A3605" s="293" t="s">
        <v>9349</v>
      </c>
      <c r="B3605" s="293" t="s">
        <v>5666</v>
      </c>
      <c r="C3605" s="293" t="s">
        <v>6099</v>
      </c>
      <c r="D3605" s="293" t="s">
        <v>5878</v>
      </c>
      <c r="E3605" s="293" t="s">
        <v>6291</v>
      </c>
      <c r="F3605" s="293" t="s">
        <v>7534</v>
      </c>
      <c r="G3605" s="293" t="s">
        <v>5579</v>
      </c>
      <c r="H3605" s="294">
        <v>42886</v>
      </c>
      <c r="I3605" s="295">
        <v>-1407.23</v>
      </c>
    </row>
    <row r="3606" spans="1:9" x14ac:dyDescent="0.2">
      <c r="A3606" s="293" t="s">
        <v>9350</v>
      </c>
      <c r="B3606" s="293" t="s">
        <v>5666</v>
      </c>
      <c r="C3606" s="293" t="s">
        <v>6083</v>
      </c>
      <c r="D3606" s="293" t="s">
        <v>5878</v>
      </c>
      <c r="E3606" s="293" t="s">
        <v>6293</v>
      </c>
      <c r="F3606" s="293" t="s">
        <v>7534</v>
      </c>
      <c r="G3606" s="293" t="s">
        <v>5579</v>
      </c>
      <c r="H3606" s="294">
        <v>42886</v>
      </c>
      <c r="I3606" s="295">
        <v>-2524.9</v>
      </c>
    </row>
    <row r="3607" spans="1:9" x14ac:dyDescent="0.2">
      <c r="A3607" s="293" t="s">
        <v>9351</v>
      </c>
      <c r="B3607" s="293" t="s">
        <v>5666</v>
      </c>
      <c r="C3607" s="293" t="s">
        <v>6101</v>
      </c>
      <c r="D3607" s="293" t="s">
        <v>5878</v>
      </c>
      <c r="E3607" s="293" t="s">
        <v>6295</v>
      </c>
      <c r="F3607" s="293" t="s">
        <v>7534</v>
      </c>
      <c r="G3607" s="293" t="s">
        <v>5580</v>
      </c>
      <c r="H3607" s="294">
        <v>42886</v>
      </c>
      <c r="I3607" s="295">
        <v>-193.73</v>
      </c>
    </row>
    <row r="3608" spans="1:9" x14ac:dyDescent="0.2">
      <c r="A3608" s="293" t="s">
        <v>9352</v>
      </c>
      <c r="B3608" s="293" t="s">
        <v>5666</v>
      </c>
      <c r="C3608" s="293" t="s">
        <v>6104</v>
      </c>
      <c r="D3608" s="293" t="s">
        <v>5878</v>
      </c>
      <c r="E3608" s="293" t="s">
        <v>6297</v>
      </c>
      <c r="F3608" s="293" t="s">
        <v>7534</v>
      </c>
      <c r="G3608" s="293" t="s">
        <v>5580</v>
      </c>
      <c r="H3608" s="294">
        <v>42886</v>
      </c>
      <c r="I3608" s="295">
        <v>-274.12</v>
      </c>
    </row>
    <row r="3609" spans="1:9" x14ac:dyDescent="0.2">
      <c r="A3609" s="293" t="s">
        <v>9353</v>
      </c>
      <c r="B3609" s="293" t="s">
        <v>5666</v>
      </c>
      <c r="C3609" s="293" t="s">
        <v>6106</v>
      </c>
      <c r="D3609" s="293" t="s">
        <v>5878</v>
      </c>
      <c r="E3609" s="293" t="s">
        <v>6299</v>
      </c>
      <c r="F3609" s="293" t="s">
        <v>7534</v>
      </c>
      <c r="G3609" s="293" t="s">
        <v>5580</v>
      </c>
      <c r="H3609" s="294">
        <v>42886</v>
      </c>
      <c r="I3609" s="295">
        <v>-1347.95</v>
      </c>
    </row>
    <row r="3610" spans="1:9" x14ac:dyDescent="0.2">
      <c r="A3610" s="293" t="s">
        <v>9354</v>
      </c>
      <c r="B3610" s="293" t="s">
        <v>5666</v>
      </c>
      <c r="C3610" s="293" t="s">
        <v>6108</v>
      </c>
      <c r="D3610" s="293" t="s">
        <v>5878</v>
      </c>
      <c r="E3610" s="293" t="s">
        <v>6301</v>
      </c>
      <c r="F3610" s="293" t="s">
        <v>7534</v>
      </c>
      <c r="G3610" s="293" t="s">
        <v>5580</v>
      </c>
      <c r="H3610" s="294">
        <v>42886</v>
      </c>
      <c r="I3610" s="295">
        <v>-1918.86</v>
      </c>
    </row>
    <row r="3611" spans="1:9" x14ac:dyDescent="0.2">
      <c r="A3611" s="293" t="s">
        <v>9355</v>
      </c>
      <c r="B3611" s="293" t="s">
        <v>5666</v>
      </c>
      <c r="C3611" s="293" t="s">
        <v>6110</v>
      </c>
      <c r="D3611" s="293" t="s">
        <v>5878</v>
      </c>
      <c r="E3611" s="293" t="s">
        <v>6303</v>
      </c>
      <c r="F3611" s="293" t="s">
        <v>7534</v>
      </c>
      <c r="G3611" s="293" t="s">
        <v>5573</v>
      </c>
      <c r="H3611" s="294">
        <v>42886</v>
      </c>
      <c r="I3611" s="295">
        <v>-1780.13</v>
      </c>
    </row>
    <row r="3612" spans="1:9" x14ac:dyDescent="0.2">
      <c r="A3612" s="293" t="s">
        <v>9356</v>
      </c>
      <c r="B3612" s="293" t="s">
        <v>5666</v>
      </c>
      <c r="C3612" s="293" t="s">
        <v>6115</v>
      </c>
      <c r="D3612" s="293" t="s">
        <v>5878</v>
      </c>
      <c r="E3612" s="293" t="s">
        <v>6305</v>
      </c>
      <c r="F3612" s="293" t="s">
        <v>7534</v>
      </c>
      <c r="G3612" s="293" t="s">
        <v>5581</v>
      </c>
      <c r="H3612" s="294">
        <v>42886</v>
      </c>
      <c r="I3612" s="295">
        <v>-2230.71</v>
      </c>
    </row>
    <row r="3613" spans="1:9" x14ac:dyDescent="0.2">
      <c r="A3613" s="293" t="s">
        <v>9357</v>
      </c>
      <c r="B3613" s="293" t="s">
        <v>5666</v>
      </c>
      <c r="C3613" s="293" t="s">
        <v>6086</v>
      </c>
      <c r="D3613" s="293" t="s">
        <v>5878</v>
      </c>
      <c r="E3613" s="293" t="s">
        <v>6307</v>
      </c>
      <c r="F3613" s="293" t="s">
        <v>7534</v>
      </c>
      <c r="G3613" s="293" t="s">
        <v>5581</v>
      </c>
      <c r="H3613" s="294">
        <v>42886</v>
      </c>
      <c r="I3613" s="295">
        <v>-2490.34</v>
      </c>
    </row>
    <row r="3614" spans="1:9" x14ac:dyDescent="0.2">
      <c r="A3614" s="293" t="s">
        <v>9358</v>
      </c>
      <c r="B3614" s="293" t="s">
        <v>5666</v>
      </c>
      <c r="C3614" s="293" t="s">
        <v>6113</v>
      </c>
      <c r="D3614" s="293" t="s">
        <v>5878</v>
      </c>
      <c r="E3614" s="293" t="s">
        <v>6316</v>
      </c>
      <c r="F3614" s="293" t="s">
        <v>7534</v>
      </c>
      <c r="G3614" s="293" t="s">
        <v>5573</v>
      </c>
      <c r="H3614" s="294">
        <v>42886</v>
      </c>
      <c r="I3614" s="295">
        <v>-5336.81</v>
      </c>
    </row>
    <row r="3615" spans="1:9" x14ac:dyDescent="0.2">
      <c r="A3615" s="293" t="s">
        <v>9359</v>
      </c>
      <c r="B3615" s="293" t="s">
        <v>5666</v>
      </c>
      <c r="C3615" s="293" t="s">
        <v>6313</v>
      </c>
      <c r="D3615" s="293" t="s">
        <v>5878</v>
      </c>
      <c r="E3615" s="293" t="s">
        <v>6314</v>
      </c>
      <c r="F3615" s="293" t="s">
        <v>7534</v>
      </c>
      <c r="G3615" s="293" t="s">
        <v>5576</v>
      </c>
      <c r="H3615" s="294">
        <v>42886</v>
      </c>
      <c r="I3615" s="295">
        <v>-4207.3500000000004</v>
      </c>
    </row>
    <row r="3616" spans="1:9" x14ac:dyDescent="0.2">
      <c r="A3616" s="293" t="s">
        <v>8306</v>
      </c>
      <c r="B3616" s="293" t="s">
        <v>5666</v>
      </c>
      <c r="C3616" s="293" t="s">
        <v>6122</v>
      </c>
      <c r="D3616" s="293" t="s">
        <v>5878</v>
      </c>
      <c r="E3616" s="293" t="s">
        <v>8307</v>
      </c>
      <c r="F3616" s="293" t="s">
        <v>7552</v>
      </c>
      <c r="G3616" s="293" t="s">
        <v>5577</v>
      </c>
      <c r="H3616" s="294">
        <v>42916</v>
      </c>
      <c r="I3616" s="295">
        <v>-0.62</v>
      </c>
    </row>
    <row r="3617" spans="1:9" x14ac:dyDescent="0.2">
      <c r="A3617" s="293" t="s">
        <v>9360</v>
      </c>
      <c r="B3617" s="293" t="s">
        <v>5666</v>
      </c>
      <c r="C3617" s="293" t="s">
        <v>6272</v>
      </c>
      <c r="D3617" s="293" t="s">
        <v>5878</v>
      </c>
      <c r="E3617" s="293" t="s">
        <v>6273</v>
      </c>
      <c r="F3617" s="293" t="s">
        <v>7552</v>
      </c>
      <c r="G3617" s="293" t="s">
        <v>5576</v>
      </c>
      <c r="H3617" s="294">
        <v>42916</v>
      </c>
      <c r="I3617" s="295">
        <v>-3340.78</v>
      </c>
    </row>
    <row r="3618" spans="1:9" x14ac:dyDescent="0.2">
      <c r="A3618" s="293" t="s">
        <v>9361</v>
      </c>
      <c r="B3618" s="293" t="s">
        <v>5666</v>
      </c>
      <c r="C3618" s="293" t="s">
        <v>6124</v>
      </c>
      <c r="D3618" s="293" t="s">
        <v>5878</v>
      </c>
      <c r="E3618" s="293" t="s">
        <v>6277</v>
      </c>
      <c r="F3618" s="293" t="s">
        <v>7552</v>
      </c>
      <c r="G3618" s="293" t="s">
        <v>5578</v>
      </c>
      <c r="H3618" s="294">
        <v>42916</v>
      </c>
      <c r="I3618" s="295">
        <v>-1019.33</v>
      </c>
    </row>
    <row r="3619" spans="1:9" x14ac:dyDescent="0.2">
      <c r="A3619" s="293" t="s">
        <v>9362</v>
      </c>
      <c r="B3619" s="293" t="s">
        <v>5666</v>
      </c>
      <c r="C3619" s="293" t="s">
        <v>6126</v>
      </c>
      <c r="D3619" s="293" t="s">
        <v>5878</v>
      </c>
      <c r="E3619" s="293" t="s">
        <v>6279</v>
      </c>
      <c r="F3619" s="293" t="s">
        <v>7552</v>
      </c>
      <c r="G3619" s="293" t="s">
        <v>5579</v>
      </c>
      <c r="H3619" s="294">
        <v>42916</v>
      </c>
      <c r="I3619" s="295">
        <v>-857.57</v>
      </c>
    </row>
    <row r="3620" spans="1:9" x14ac:dyDescent="0.2">
      <c r="A3620" s="293" t="s">
        <v>9363</v>
      </c>
      <c r="B3620" s="293" t="s">
        <v>5666</v>
      </c>
      <c r="C3620" s="293" t="s">
        <v>6091</v>
      </c>
      <c r="D3620" s="293" t="s">
        <v>5878</v>
      </c>
      <c r="E3620" s="293" t="s">
        <v>6281</v>
      </c>
      <c r="F3620" s="293" t="s">
        <v>7552</v>
      </c>
      <c r="G3620" s="293" t="s">
        <v>5573</v>
      </c>
      <c r="H3620" s="294">
        <v>42916</v>
      </c>
      <c r="I3620" s="295">
        <v>-3125.47</v>
      </c>
    </row>
    <row r="3621" spans="1:9" x14ac:dyDescent="0.2">
      <c r="A3621" s="293" t="s">
        <v>9364</v>
      </c>
      <c r="B3621" s="293" t="s">
        <v>5666</v>
      </c>
      <c r="C3621" s="293" t="s">
        <v>6093</v>
      </c>
      <c r="D3621" s="293" t="s">
        <v>5878</v>
      </c>
      <c r="E3621" s="293" t="s">
        <v>6283</v>
      </c>
      <c r="F3621" s="293" t="s">
        <v>7552</v>
      </c>
      <c r="G3621" s="293" t="s">
        <v>5573</v>
      </c>
      <c r="H3621" s="294">
        <v>42916</v>
      </c>
      <c r="I3621" s="295">
        <v>-4451.78</v>
      </c>
    </row>
    <row r="3622" spans="1:9" x14ac:dyDescent="0.2">
      <c r="A3622" s="293" t="s">
        <v>9365</v>
      </c>
      <c r="B3622" s="293" t="s">
        <v>5666</v>
      </c>
      <c r="C3622" s="293" t="s">
        <v>6080</v>
      </c>
      <c r="D3622" s="293" t="s">
        <v>5878</v>
      </c>
      <c r="E3622" s="293" t="s">
        <v>6285</v>
      </c>
      <c r="F3622" s="293" t="s">
        <v>7552</v>
      </c>
      <c r="G3622" s="293" t="s">
        <v>5573</v>
      </c>
      <c r="H3622" s="294">
        <v>42916</v>
      </c>
      <c r="I3622" s="295">
        <v>-10077.08</v>
      </c>
    </row>
    <row r="3623" spans="1:9" x14ac:dyDescent="0.2">
      <c r="A3623" s="293" t="s">
        <v>9366</v>
      </c>
      <c r="B3623" s="293" t="s">
        <v>5666</v>
      </c>
      <c r="C3623" s="293" t="s">
        <v>6095</v>
      </c>
      <c r="D3623" s="293" t="s">
        <v>5878</v>
      </c>
      <c r="E3623" s="293" t="s">
        <v>6287</v>
      </c>
      <c r="F3623" s="293" t="s">
        <v>7552</v>
      </c>
      <c r="G3623" s="293" t="s">
        <v>5580</v>
      </c>
      <c r="H3623" s="294">
        <v>42916</v>
      </c>
      <c r="I3623" s="295">
        <v>-5589.54</v>
      </c>
    </row>
    <row r="3624" spans="1:9" x14ac:dyDescent="0.2">
      <c r="A3624" s="293" t="s">
        <v>9367</v>
      </c>
      <c r="B3624" s="293" t="s">
        <v>5666</v>
      </c>
      <c r="C3624" s="293" t="s">
        <v>6097</v>
      </c>
      <c r="D3624" s="293" t="s">
        <v>5878</v>
      </c>
      <c r="E3624" s="293" t="s">
        <v>6289</v>
      </c>
      <c r="F3624" s="293" t="s">
        <v>7552</v>
      </c>
      <c r="G3624" s="293" t="s">
        <v>5580</v>
      </c>
      <c r="H3624" s="294">
        <v>42916</v>
      </c>
      <c r="I3624" s="295">
        <v>-10099.59</v>
      </c>
    </row>
    <row r="3625" spans="1:9" x14ac:dyDescent="0.2">
      <c r="A3625" s="293" t="s">
        <v>9368</v>
      </c>
      <c r="B3625" s="293" t="s">
        <v>5666</v>
      </c>
      <c r="C3625" s="293" t="s">
        <v>6099</v>
      </c>
      <c r="D3625" s="293" t="s">
        <v>5878</v>
      </c>
      <c r="E3625" s="293" t="s">
        <v>6291</v>
      </c>
      <c r="F3625" s="293" t="s">
        <v>7552</v>
      </c>
      <c r="G3625" s="293" t="s">
        <v>5579</v>
      </c>
      <c r="H3625" s="294">
        <v>42916</v>
      </c>
      <c r="I3625" s="295">
        <v>-1407.23</v>
      </c>
    </row>
    <row r="3626" spans="1:9" x14ac:dyDescent="0.2">
      <c r="A3626" s="293" t="s">
        <v>9369</v>
      </c>
      <c r="B3626" s="293" t="s">
        <v>5666</v>
      </c>
      <c r="C3626" s="293" t="s">
        <v>6083</v>
      </c>
      <c r="D3626" s="293" t="s">
        <v>5878</v>
      </c>
      <c r="E3626" s="293" t="s">
        <v>6293</v>
      </c>
      <c r="F3626" s="293" t="s">
        <v>7552</v>
      </c>
      <c r="G3626" s="293" t="s">
        <v>5579</v>
      </c>
      <c r="H3626" s="294">
        <v>42916</v>
      </c>
      <c r="I3626" s="295">
        <v>-2524.9</v>
      </c>
    </row>
    <row r="3627" spans="1:9" x14ac:dyDescent="0.2">
      <c r="A3627" s="293" t="s">
        <v>9370</v>
      </c>
      <c r="B3627" s="293" t="s">
        <v>5666</v>
      </c>
      <c r="C3627" s="293" t="s">
        <v>6101</v>
      </c>
      <c r="D3627" s="293" t="s">
        <v>5878</v>
      </c>
      <c r="E3627" s="293" t="s">
        <v>6295</v>
      </c>
      <c r="F3627" s="293" t="s">
        <v>7552</v>
      </c>
      <c r="G3627" s="293" t="s">
        <v>5580</v>
      </c>
      <c r="H3627" s="294">
        <v>42916</v>
      </c>
      <c r="I3627" s="295">
        <v>-193.73</v>
      </c>
    </row>
    <row r="3628" spans="1:9" x14ac:dyDescent="0.2">
      <c r="A3628" s="293" t="s">
        <v>9371</v>
      </c>
      <c r="B3628" s="293" t="s">
        <v>5666</v>
      </c>
      <c r="C3628" s="293" t="s">
        <v>6104</v>
      </c>
      <c r="D3628" s="293" t="s">
        <v>5878</v>
      </c>
      <c r="E3628" s="293" t="s">
        <v>6297</v>
      </c>
      <c r="F3628" s="293" t="s">
        <v>7552</v>
      </c>
      <c r="G3628" s="293" t="s">
        <v>5580</v>
      </c>
      <c r="H3628" s="294">
        <v>42916</v>
      </c>
      <c r="I3628" s="295">
        <v>-274.12</v>
      </c>
    </row>
    <row r="3629" spans="1:9" x14ac:dyDescent="0.2">
      <c r="A3629" s="293" t="s">
        <v>9372</v>
      </c>
      <c r="B3629" s="293" t="s">
        <v>5666</v>
      </c>
      <c r="C3629" s="293" t="s">
        <v>6106</v>
      </c>
      <c r="D3629" s="293" t="s">
        <v>5878</v>
      </c>
      <c r="E3629" s="293" t="s">
        <v>6299</v>
      </c>
      <c r="F3629" s="293" t="s">
        <v>7552</v>
      </c>
      <c r="G3629" s="293" t="s">
        <v>5580</v>
      </c>
      <c r="H3629" s="294">
        <v>42916</v>
      </c>
      <c r="I3629" s="295">
        <v>-1347.95</v>
      </c>
    </row>
    <row r="3630" spans="1:9" x14ac:dyDescent="0.2">
      <c r="A3630" s="293" t="s">
        <v>9373</v>
      </c>
      <c r="B3630" s="293" t="s">
        <v>5666</v>
      </c>
      <c r="C3630" s="293" t="s">
        <v>6108</v>
      </c>
      <c r="D3630" s="293" t="s">
        <v>5878</v>
      </c>
      <c r="E3630" s="293" t="s">
        <v>6301</v>
      </c>
      <c r="F3630" s="293" t="s">
        <v>7552</v>
      </c>
      <c r="G3630" s="293" t="s">
        <v>5580</v>
      </c>
      <c r="H3630" s="294">
        <v>42916</v>
      </c>
      <c r="I3630" s="295">
        <v>-1918.86</v>
      </c>
    </row>
    <row r="3631" spans="1:9" x14ac:dyDescent="0.2">
      <c r="A3631" s="293" t="s">
        <v>9374</v>
      </c>
      <c r="B3631" s="293" t="s">
        <v>5666</v>
      </c>
      <c r="C3631" s="293" t="s">
        <v>6110</v>
      </c>
      <c r="D3631" s="293" t="s">
        <v>5878</v>
      </c>
      <c r="E3631" s="293" t="s">
        <v>6303</v>
      </c>
      <c r="F3631" s="293" t="s">
        <v>7552</v>
      </c>
      <c r="G3631" s="293" t="s">
        <v>5573</v>
      </c>
      <c r="H3631" s="294">
        <v>42916</v>
      </c>
      <c r="I3631" s="295">
        <v>-1780.13</v>
      </c>
    </row>
    <row r="3632" spans="1:9" x14ac:dyDescent="0.2">
      <c r="A3632" s="293" t="s">
        <v>9375</v>
      </c>
      <c r="B3632" s="293" t="s">
        <v>5666</v>
      </c>
      <c r="C3632" s="293" t="s">
        <v>6115</v>
      </c>
      <c r="D3632" s="293" t="s">
        <v>5878</v>
      </c>
      <c r="E3632" s="293" t="s">
        <v>6305</v>
      </c>
      <c r="F3632" s="293" t="s">
        <v>7552</v>
      </c>
      <c r="G3632" s="293" t="s">
        <v>5581</v>
      </c>
      <c r="H3632" s="294">
        <v>42916</v>
      </c>
      <c r="I3632" s="295">
        <v>-2230.71</v>
      </c>
    </row>
    <row r="3633" spans="1:9" x14ac:dyDescent="0.2">
      <c r="A3633" s="293" t="s">
        <v>9376</v>
      </c>
      <c r="B3633" s="293" t="s">
        <v>5666</v>
      </c>
      <c r="C3633" s="293" t="s">
        <v>6086</v>
      </c>
      <c r="D3633" s="293" t="s">
        <v>5878</v>
      </c>
      <c r="E3633" s="293" t="s">
        <v>6307</v>
      </c>
      <c r="F3633" s="293" t="s">
        <v>7552</v>
      </c>
      <c r="G3633" s="293" t="s">
        <v>5581</v>
      </c>
      <c r="H3633" s="294">
        <v>42916</v>
      </c>
      <c r="I3633" s="295">
        <v>-2490.34</v>
      </c>
    </row>
    <row r="3634" spans="1:9" x14ac:dyDescent="0.2">
      <c r="A3634" s="293" t="s">
        <v>9377</v>
      </c>
      <c r="B3634" s="293" t="s">
        <v>5666</v>
      </c>
      <c r="C3634" s="293" t="s">
        <v>6113</v>
      </c>
      <c r="D3634" s="293" t="s">
        <v>5878</v>
      </c>
      <c r="E3634" s="293" t="s">
        <v>6316</v>
      </c>
      <c r="F3634" s="293" t="s">
        <v>7552</v>
      </c>
      <c r="G3634" s="293" t="s">
        <v>5573</v>
      </c>
      <c r="H3634" s="294">
        <v>42916</v>
      </c>
      <c r="I3634" s="295">
        <v>-5336.81</v>
      </c>
    </row>
    <row r="3635" spans="1:9" x14ac:dyDescent="0.2">
      <c r="A3635" s="293" t="s">
        <v>9378</v>
      </c>
      <c r="B3635" s="293" t="s">
        <v>5666</v>
      </c>
      <c r="C3635" s="293" t="s">
        <v>6313</v>
      </c>
      <c r="D3635" s="293" t="s">
        <v>5878</v>
      </c>
      <c r="E3635" s="293" t="s">
        <v>6314</v>
      </c>
      <c r="F3635" s="293" t="s">
        <v>7552</v>
      </c>
      <c r="G3635" s="293" t="s">
        <v>5576</v>
      </c>
      <c r="H3635" s="294">
        <v>42916</v>
      </c>
      <c r="I3635" s="295">
        <v>-4207.3500000000004</v>
      </c>
    </row>
    <row r="3636" spans="1:9" x14ac:dyDescent="0.2">
      <c r="A3636" s="293" t="s">
        <v>9379</v>
      </c>
      <c r="B3636" s="293" t="s">
        <v>5666</v>
      </c>
      <c r="C3636" s="293" t="s">
        <v>6272</v>
      </c>
      <c r="D3636" s="293" t="s">
        <v>5878</v>
      </c>
      <c r="E3636" s="293" t="s">
        <v>6273</v>
      </c>
      <c r="F3636" s="293" t="s">
        <v>7570</v>
      </c>
      <c r="G3636" s="293" t="s">
        <v>5576</v>
      </c>
      <c r="H3636" s="294">
        <v>42947</v>
      </c>
      <c r="I3636" s="295">
        <v>-3340.78</v>
      </c>
    </row>
    <row r="3637" spans="1:9" x14ac:dyDescent="0.2">
      <c r="A3637" s="293" t="s">
        <v>9380</v>
      </c>
      <c r="B3637" s="293" t="s">
        <v>5666</v>
      </c>
      <c r="C3637" s="293" t="s">
        <v>6124</v>
      </c>
      <c r="D3637" s="293" t="s">
        <v>5878</v>
      </c>
      <c r="E3637" s="293" t="s">
        <v>6277</v>
      </c>
      <c r="F3637" s="293" t="s">
        <v>7570</v>
      </c>
      <c r="G3637" s="293" t="s">
        <v>5578</v>
      </c>
      <c r="H3637" s="294">
        <v>42947</v>
      </c>
      <c r="I3637" s="295">
        <v>-1019.33</v>
      </c>
    </row>
    <row r="3638" spans="1:9" x14ac:dyDescent="0.2">
      <c r="A3638" s="293" t="s">
        <v>9381</v>
      </c>
      <c r="B3638" s="293" t="s">
        <v>5666</v>
      </c>
      <c r="C3638" s="293" t="s">
        <v>6126</v>
      </c>
      <c r="D3638" s="293" t="s">
        <v>5878</v>
      </c>
      <c r="E3638" s="293" t="s">
        <v>6279</v>
      </c>
      <c r="F3638" s="293" t="s">
        <v>7570</v>
      </c>
      <c r="G3638" s="293" t="s">
        <v>5579</v>
      </c>
      <c r="H3638" s="294">
        <v>42947</v>
      </c>
      <c r="I3638" s="295">
        <v>-857.57</v>
      </c>
    </row>
    <row r="3639" spans="1:9" x14ac:dyDescent="0.2">
      <c r="A3639" s="293" t="s">
        <v>9382</v>
      </c>
      <c r="B3639" s="293" t="s">
        <v>5666</v>
      </c>
      <c r="C3639" s="293" t="s">
        <v>6091</v>
      </c>
      <c r="D3639" s="293" t="s">
        <v>5878</v>
      </c>
      <c r="E3639" s="293" t="s">
        <v>6281</v>
      </c>
      <c r="F3639" s="293" t="s">
        <v>7570</v>
      </c>
      <c r="G3639" s="293" t="s">
        <v>5573</v>
      </c>
      <c r="H3639" s="294">
        <v>42947</v>
      </c>
      <c r="I3639" s="295">
        <v>-3125.47</v>
      </c>
    </row>
    <row r="3640" spans="1:9" x14ac:dyDescent="0.2">
      <c r="A3640" s="293" t="s">
        <v>9383</v>
      </c>
      <c r="B3640" s="293" t="s">
        <v>5666</v>
      </c>
      <c r="C3640" s="293" t="s">
        <v>6093</v>
      </c>
      <c r="D3640" s="293" t="s">
        <v>5878</v>
      </c>
      <c r="E3640" s="293" t="s">
        <v>6283</v>
      </c>
      <c r="F3640" s="293" t="s">
        <v>7570</v>
      </c>
      <c r="G3640" s="293" t="s">
        <v>5573</v>
      </c>
      <c r="H3640" s="294">
        <v>42947</v>
      </c>
      <c r="I3640" s="295">
        <v>-4451.78</v>
      </c>
    </row>
    <row r="3641" spans="1:9" x14ac:dyDescent="0.2">
      <c r="A3641" s="293" t="s">
        <v>9384</v>
      </c>
      <c r="B3641" s="293" t="s">
        <v>5666</v>
      </c>
      <c r="C3641" s="293" t="s">
        <v>6080</v>
      </c>
      <c r="D3641" s="293" t="s">
        <v>5878</v>
      </c>
      <c r="E3641" s="293" t="s">
        <v>6285</v>
      </c>
      <c r="F3641" s="293" t="s">
        <v>7570</v>
      </c>
      <c r="G3641" s="293" t="s">
        <v>5573</v>
      </c>
      <c r="H3641" s="294">
        <v>42947</v>
      </c>
      <c r="I3641" s="295">
        <v>-10077.08</v>
      </c>
    </row>
    <row r="3642" spans="1:9" x14ac:dyDescent="0.2">
      <c r="A3642" s="293" t="s">
        <v>9385</v>
      </c>
      <c r="B3642" s="293" t="s">
        <v>5666</v>
      </c>
      <c r="C3642" s="293" t="s">
        <v>6095</v>
      </c>
      <c r="D3642" s="293" t="s">
        <v>5878</v>
      </c>
      <c r="E3642" s="293" t="s">
        <v>6287</v>
      </c>
      <c r="F3642" s="293" t="s">
        <v>7570</v>
      </c>
      <c r="G3642" s="293" t="s">
        <v>5580</v>
      </c>
      <c r="H3642" s="294">
        <v>42947</v>
      </c>
      <c r="I3642" s="295">
        <v>-5589.54</v>
      </c>
    </row>
    <row r="3643" spans="1:9" x14ac:dyDescent="0.2">
      <c r="A3643" s="293" t="s">
        <v>9386</v>
      </c>
      <c r="B3643" s="293" t="s">
        <v>5666</v>
      </c>
      <c r="C3643" s="293" t="s">
        <v>6097</v>
      </c>
      <c r="D3643" s="293" t="s">
        <v>5878</v>
      </c>
      <c r="E3643" s="293" t="s">
        <v>6289</v>
      </c>
      <c r="F3643" s="293" t="s">
        <v>7570</v>
      </c>
      <c r="G3643" s="293" t="s">
        <v>5580</v>
      </c>
      <c r="H3643" s="294">
        <v>42947</v>
      </c>
      <c r="I3643" s="295">
        <v>-10099.59</v>
      </c>
    </row>
    <row r="3644" spans="1:9" x14ac:dyDescent="0.2">
      <c r="A3644" s="293" t="s">
        <v>9387</v>
      </c>
      <c r="B3644" s="293" t="s">
        <v>5666</v>
      </c>
      <c r="C3644" s="293" t="s">
        <v>6099</v>
      </c>
      <c r="D3644" s="293" t="s">
        <v>5878</v>
      </c>
      <c r="E3644" s="293" t="s">
        <v>6291</v>
      </c>
      <c r="F3644" s="293" t="s">
        <v>7570</v>
      </c>
      <c r="G3644" s="293" t="s">
        <v>5579</v>
      </c>
      <c r="H3644" s="294">
        <v>42947</v>
      </c>
      <c r="I3644" s="295">
        <v>-1407.23</v>
      </c>
    </row>
    <row r="3645" spans="1:9" x14ac:dyDescent="0.2">
      <c r="A3645" s="293" t="s">
        <v>9388</v>
      </c>
      <c r="B3645" s="293" t="s">
        <v>5666</v>
      </c>
      <c r="C3645" s="293" t="s">
        <v>6083</v>
      </c>
      <c r="D3645" s="293" t="s">
        <v>5878</v>
      </c>
      <c r="E3645" s="293" t="s">
        <v>6293</v>
      </c>
      <c r="F3645" s="293" t="s">
        <v>7570</v>
      </c>
      <c r="G3645" s="293" t="s">
        <v>5579</v>
      </c>
      <c r="H3645" s="294">
        <v>42947</v>
      </c>
      <c r="I3645" s="295">
        <v>-2524.9</v>
      </c>
    </row>
    <row r="3646" spans="1:9" x14ac:dyDescent="0.2">
      <c r="A3646" s="293" t="s">
        <v>9389</v>
      </c>
      <c r="B3646" s="293" t="s">
        <v>5666</v>
      </c>
      <c r="C3646" s="293" t="s">
        <v>6101</v>
      </c>
      <c r="D3646" s="293" t="s">
        <v>5878</v>
      </c>
      <c r="E3646" s="293" t="s">
        <v>6295</v>
      </c>
      <c r="F3646" s="293" t="s">
        <v>7570</v>
      </c>
      <c r="G3646" s="293" t="s">
        <v>5580</v>
      </c>
      <c r="H3646" s="294">
        <v>42947</v>
      </c>
      <c r="I3646" s="295">
        <v>-193.73</v>
      </c>
    </row>
    <row r="3647" spans="1:9" x14ac:dyDescent="0.2">
      <c r="A3647" s="293" t="s">
        <v>9390</v>
      </c>
      <c r="B3647" s="293" t="s">
        <v>5666</v>
      </c>
      <c r="C3647" s="293" t="s">
        <v>6104</v>
      </c>
      <c r="D3647" s="293" t="s">
        <v>5878</v>
      </c>
      <c r="E3647" s="293" t="s">
        <v>6297</v>
      </c>
      <c r="F3647" s="293" t="s">
        <v>7570</v>
      </c>
      <c r="G3647" s="293" t="s">
        <v>5580</v>
      </c>
      <c r="H3647" s="294">
        <v>42947</v>
      </c>
      <c r="I3647" s="295">
        <v>-274.12</v>
      </c>
    </row>
    <row r="3648" spans="1:9" x14ac:dyDescent="0.2">
      <c r="A3648" s="293" t="s">
        <v>9391</v>
      </c>
      <c r="B3648" s="293" t="s">
        <v>5666</v>
      </c>
      <c r="C3648" s="293" t="s">
        <v>6106</v>
      </c>
      <c r="D3648" s="293" t="s">
        <v>5878</v>
      </c>
      <c r="E3648" s="293" t="s">
        <v>6299</v>
      </c>
      <c r="F3648" s="293" t="s">
        <v>7570</v>
      </c>
      <c r="G3648" s="293" t="s">
        <v>5580</v>
      </c>
      <c r="H3648" s="294">
        <v>42947</v>
      </c>
      <c r="I3648" s="295">
        <v>-1347.95</v>
      </c>
    </row>
    <row r="3649" spans="1:9" x14ac:dyDescent="0.2">
      <c r="A3649" s="293" t="s">
        <v>9392</v>
      </c>
      <c r="B3649" s="293" t="s">
        <v>5666</v>
      </c>
      <c r="C3649" s="293" t="s">
        <v>6108</v>
      </c>
      <c r="D3649" s="293" t="s">
        <v>5878</v>
      </c>
      <c r="E3649" s="293" t="s">
        <v>6301</v>
      </c>
      <c r="F3649" s="293" t="s">
        <v>7570</v>
      </c>
      <c r="G3649" s="293" t="s">
        <v>5580</v>
      </c>
      <c r="H3649" s="294">
        <v>42947</v>
      </c>
      <c r="I3649" s="295">
        <v>-1918.86</v>
      </c>
    </row>
    <row r="3650" spans="1:9" x14ac:dyDescent="0.2">
      <c r="A3650" s="293" t="s">
        <v>9393</v>
      </c>
      <c r="B3650" s="293" t="s">
        <v>5666</v>
      </c>
      <c r="C3650" s="293" t="s">
        <v>6110</v>
      </c>
      <c r="D3650" s="293" t="s">
        <v>5878</v>
      </c>
      <c r="E3650" s="293" t="s">
        <v>6303</v>
      </c>
      <c r="F3650" s="293" t="s">
        <v>7570</v>
      </c>
      <c r="G3650" s="293" t="s">
        <v>5573</v>
      </c>
      <c r="H3650" s="294">
        <v>42947</v>
      </c>
      <c r="I3650" s="295">
        <v>-1780.13</v>
      </c>
    </row>
    <row r="3651" spans="1:9" x14ac:dyDescent="0.2">
      <c r="A3651" s="293" t="s">
        <v>9394</v>
      </c>
      <c r="B3651" s="293" t="s">
        <v>5666</v>
      </c>
      <c r="C3651" s="293" t="s">
        <v>6115</v>
      </c>
      <c r="D3651" s="293" t="s">
        <v>5878</v>
      </c>
      <c r="E3651" s="293" t="s">
        <v>6305</v>
      </c>
      <c r="F3651" s="293" t="s">
        <v>7570</v>
      </c>
      <c r="G3651" s="293" t="s">
        <v>5581</v>
      </c>
      <c r="H3651" s="294">
        <v>42947</v>
      </c>
      <c r="I3651" s="295">
        <v>-2230.71</v>
      </c>
    </row>
    <row r="3652" spans="1:9" x14ac:dyDescent="0.2">
      <c r="A3652" s="293" t="s">
        <v>9395</v>
      </c>
      <c r="B3652" s="293" t="s">
        <v>5666</v>
      </c>
      <c r="C3652" s="293" t="s">
        <v>6086</v>
      </c>
      <c r="D3652" s="293" t="s">
        <v>5878</v>
      </c>
      <c r="E3652" s="293" t="s">
        <v>6307</v>
      </c>
      <c r="F3652" s="293" t="s">
        <v>7570</v>
      </c>
      <c r="G3652" s="293" t="s">
        <v>5581</v>
      </c>
      <c r="H3652" s="294">
        <v>42947</v>
      </c>
      <c r="I3652" s="295">
        <v>-2490.34</v>
      </c>
    </row>
    <row r="3653" spans="1:9" x14ac:dyDescent="0.2">
      <c r="A3653" s="293" t="s">
        <v>9396</v>
      </c>
      <c r="B3653" s="293" t="s">
        <v>5666</v>
      </c>
      <c r="C3653" s="293" t="s">
        <v>6113</v>
      </c>
      <c r="D3653" s="293" t="s">
        <v>5878</v>
      </c>
      <c r="E3653" s="293" t="s">
        <v>6316</v>
      </c>
      <c r="F3653" s="293" t="s">
        <v>7570</v>
      </c>
      <c r="G3653" s="293" t="s">
        <v>5573</v>
      </c>
      <c r="H3653" s="294">
        <v>42947</v>
      </c>
      <c r="I3653" s="295">
        <v>-5336.81</v>
      </c>
    </row>
    <row r="3654" spans="1:9" x14ac:dyDescent="0.2">
      <c r="A3654" s="293" t="s">
        <v>9397</v>
      </c>
      <c r="B3654" s="293" t="s">
        <v>5666</v>
      </c>
      <c r="C3654" s="293" t="s">
        <v>6313</v>
      </c>
      <c r="D3654" s="293" t="s">
        <v>5878</v>
      </c>
      <c r="E3654" s="293" t="s">
        <v>6314</v>
      </c>
      <c r="F3654" s="293" t="s">
        <v>7570</v>
      </c>
      <c r="G3654" s="293" t="s">
        <v>5576</v>
      </c>
      <c r="H3654" s="294">
        <v>42947</v>
      </c>
      <c r="I3654" s="295">
        <v>-4207.3500000000004</v>
      </c>
    </row>
    <row r="3655" spans="1:9" x14ac:dyDescent="0.2">
      <c r="A3655" s="293" t="s">
        <v>9398</v>
      </c>
      <c r="B3655" s="293" t="s">
        <v>5666</v>
      </c>
      <c r="C3655" s="293" t="s">
        <v>6272</v>
      </c>
      <c r="D3655" s="293" t="s">
        <v>5878</v>
      </c>
      <c r="E3655" s="293" t="s">
        <v>6273</v>
      </c>
      <c r="F3655" s="293" t="s">
        <v>7588</v>
      </c>
      <c r="G3655" s="293" t="s">
        <v>5576</v>
      </c>
      <c r="H3655" s="294">
        <v>42978</v>
      </c>
      <c r="I3655" s="295">
        <v>-3340.78</v>
      </c>
    </row>
    <row r="3656" spans="1:9" x14ac:dyDescent="0.2">
      <c r="A3656" s="293" t="s">
        <v>9399</v>
      </c>
      <c r="B3656" s="293" t="s">
        <v>5666</v>
      </c>
      <c r="C3656" s="293" t="s">
        <v>6124</v>
      </c>
      <c r="D3656" s="293" t="s">
        <v>5878</v>
      </c>
      <c r="E3656" s="293" t="s">
        <v>6277</v>
      </c>
      <c r="F3656" s="293" t="s">
        <v>7588</v>
      </c>
      <c r="G3656" s="293" t="s">
        <v>5578</v>
      </c>
      <c r="H3656" s="294">
        <v>42978</v>
      </c>
      <c r="I3656" s="295">
        <v>-1019.33</v>
      </c>
    </row>
    <row r="3657" spans="1:9" x14ac:dyDescent="0.2">
      <c r="A3657" s="293" t="s">
        <v>9400</v>
      </c>
      <c r="B3657" s="293" t="s">
        <v>5666</v>
      </c>
      <c r="C3657" s="293" t="s">
        <v>6126</v>
      </c>
      <c r="D3657" s="293" t="s">
        <v>5878</v>
      </c>
      <c r="E3657" s="293" t="s">
        <v>6279</v>
      </c>
      <c r="F3657" s="293" t="s">
        <v>7588</v>
      </c>
      <c r="G3657" s="293" t="s">
        <v>5579</v>
      </c>
      <c r="H3657" s="294">
        <v>42978</v>
      </c>
      <c r="I3657" s="295">
        <v>-857.57</v>
      </c>
    </row>
    <row r="3658" spans="1:9" x14ac:dyDescent="0.2">
      <c r="A3658" s="293" t="s">
        <v>9401</v>
      </c>
      <c r="B3658" s="293" t="s">
        <v>5666</v>
      </c>
      <c r="C3658" s="293" t="s">
        <v>6091</v>
      </c>
      <c r="D3658" s="293" t="s">
        <v>5878</v>
      </c>
      <c r="E3658" s="293" t="s">
        <v>6281</v>
      </c>
      <c r="F3658" s="293" t="s">
        <v>7588</v>
      </c>
      <c r="G3658" s="293" t="s">
        <v>5573</v>
      </c>
      <c r="H3658" s="294">
        <v>42978</v>
      </c>
      <c r="I3658" s="295">
        <v>-3125.47</v>
      </c>
    </row>
    <row r="3659" spans="1:9" x14ac:dyDescent="0.2">
      <c r="A3659" s="293" t="s">
        <v>9402</v>
      </c>
      <c r="B3659" s="293" t="s">
        <v>5666</v>
      </c>
      <c r="C3659" s="293" t="s">
        <v>6093</v>
      </c>
      <c r="D3659" s="293" t="s">
        <v>5878</v>
      </c>
      <c r="E3659" s="293" t="s">
        <v>6283</v>
      </c>
      <c r="F3659" s="293" t="s">
        <v>7588</v>
      </c>
      <c r="G3659" s="293" t="s">
        <v>5573</v>
      </c>
      <c r="H3659" s="294">
        <v>42978</v>
      </c>
      <c r="I3659" s="295">
        <v>-4451.78</v>
      </c>
    </row>
    <row r="3660" spans="1:9" x14ac:dyDescent="0.2">
      <c r="A3660" s="293" t="s">
        <v>9403</v>
      </c>
      <c r="B3660" s="293" t="s">
        <v>5666</v>
      </c>
      <c r="C3660" s="293" t="s">
        <v>6080</v>
      </c>
      <c r="D3660" s="293" t="s">
        <v>5878</v>
      </c>
      <c r="E3660" s="293" t="s">
        <v>6285</v>
      </c>
      <c r="F3660" s="293" t="s">
        <v>7588</v>
      </c>
      <c r="G3660" s="293" t="s">
        <v>5573</v>
      </c>
      <c r="H3660" s="294">
        <v>42978</v>
      </c>
      <c r="I3660" s="295">
        <v>-10077.08</v>
      </c>
    </row>
    <row r="3661" spans="1:9" x14ac:dyDescent="0.2">
      <c r="A3661" s="293" t="s">
        <v>9404</v>
      </c>
      <c r="B3661" s="293" t="s">
        <v>5666</v>
      </c>
      <c r="C3661" s="293" t="s">
        <v>6095</v>
      </c>
      <c r="D3661" s="293" t="s">
        <v>5878</v>
      </c>
      <c r="E3661" s="293" t="s">
        <v>6287</v>
      </c>
      <c r="F3661" s="293" t="s">
        <v>7588</v>
      </c>
      <c r="G3661" s="293" t="s">
        <v>5580</v>
      </c>
      <c r="H3661" s="294">
        <v>42978</v>
      </c>
      <c r="I3661" s="295">
        <v>-5589.54</v>
      </c>
    </row>
    <row r="3662" spans="1:9" x14ac:dyDescent="0.2">
      <c r="A3662" s="293" t="s">
        <v>9405</v>
      </c>
      <c r="B3662" s="293" t="s">
        <v>5666</v>
      </c>
      <c r="C3662" s="293" t="s">
        <v>6097</v>
      </c>
      <c r="D3662" s="293" t="s">
        <v>5878</v>
      </c>
      <c r="E3662" s="293" t="s">
        <v>6289</v>
      </c>
      <c r="F3662" s="293" t="s">
        <v>7588</v>
      </c>
      <c r="G3662" s="293" t="s">
        <v>5580</v>
      </c>
      <c r="H3662" s="294">
        <v>42978</v>
      </c>
      <c r="I3662" s="295">
        <v>-10099.59</v>
      </c>
    </row>
    <row r="3663" spans="1:9" x14ac:dyDescent="0.2">
      <c r="A3663" s="293" t="s">
        <v>9406</v>
      </c>
      <c r="B3663" s="293" t="s">
        <v>5666</v>
      </c>
      <c r="C3663" s="293" t="s">
        <v>6099</v>
      </c>
      <c r="D3663" s="293" t="s">
        <v>5878</v>
      </c>
      <c r="E3663" s="293" t="s">
        <v>6291</v>
      </c>
      <c r="F3663" s="293" t="s">
        <v>7588</v>
      </c>
      <c r="G3663" s="293" t="s">
        <v>5579</v>
      </c>
      <c r="H3663" s="294">
        <v>42978</v>
      </c>
      <c r="I3663" s="295">
        <v>-1407.23</v>
      </c>
    </row>
    <row r="3664" spans="1:9" x14ac:dyDescent="0.2">
      <c r="A3664" s="293" t="s">
        <v>9407</v>
      </c>
      <c r="B3664" s="293" t="s">
        <v>5666</v>
      </c>
      <c r="C3664" s="293" t="s">
        <v>6083</v>
      </c>
      <c r="D3664" s="293" t="s">
        <v>5878</v>
      </c>
      <c r="E3664" s="293" t="s">
        <v>6293</v>
      </c>
      <c r="F3664" s="293" t="s">
        <v>7588</v>
      </c>
      <c r="G3664" s="293" t="s">
        <v>5579</v>
      </c>
      <c r="H3664" s="294">
        <v>42978</v>
      </c>
      <c r="I3664" s="295">
        <v>-2524.9</v>
      </c>
    </row>
    <row r="3665" spans="1:9" x14ac:dyDescent="0.2">
      <c r="A3665" s="293" t="s">
        <v>9408</v>
      </c>
      <c r="B3665" s="293" t="s">
        <v>5666</v>
      </c>
      <c r="C3665" s="293" t="s">
        <v>6101</v>
      </c>
      <c r="D3665" s="293" t="s">
        <v>5878</v>
      </c>
      <c r="E3665" s="293" t="s">
        <v>6295</v>
      </c>
      <c r="F3665" s="293" t="s">
        <v>7588</v>
      </c>
      <c r="G3665" s="293" t="s">
        <v>5580</v>
      </c>
      <c r="H3665" s="294">
        <v>42978</v>
      </c>
      <c r="I3665" s="295">
        <v>-193.73</v>
      </c>
    </row>
    <row r="3666" spans="1:9" x14ac:dyDescent="0.2">
      <c r="A3666" s="293" t="s">
        <v>9409</v>
      </c>
      <c r="B3666" s="293" t="s">
        <v>5666</v>
      </c>
      <c r="C3666" s="293" t="s">
        <v>6104</v>
      </c>
      <c r="D3666" s="293" t="s">
        <v>5878</v>
      </c>
      <c r="E3666" s="293" t="s">
        <v>6297</v>
      </c>
      <c r="F3666" s="293" t="s">
        <v>7588</v>
      </c>
      <c r="G3666" s="293" t="s">
        <v>5580</v>
      </c>
      <c r="H3666" s="294">
        <v>42978</v>
      </c>
      <c r="I3666" s="295">
        <v>-274.12</v>
      </c>
    </row>
    <row r="3667" spans="1:9" x14ac:dyDescent="0.2">
      <c r="A3667" s="293" t="s">
        <v>9410</v>
      </c>
      <c r="B3667" s="293" t="s">
        <v>5666</v>
      </c>
      <c r="C3667" s="293" t="s">
        <v>6106</v>
      </c>
      <c r="D3667" s="293" t="s">
        <v>5878</v>
      </c>
      <c r="E3667" s="293" t="s">
        <v>6299</v>
      </c>
      <c r="F3667" s="293" t="s">
        <v>7588</v>
      </c>
      <c r="G3667" s="293" t="s">
        <v>5580</v>
      </c>
      <c r="H3667" s="294">
        <v>42978</v>
      </c>
      <c r="I3667" s="295">
        <v>-1347.95</v>
      </c>
    </row>
    <row r="3668" spans="1:9" x14ac:dyDescent="0.2">
      <c r="A3668" s="293" t="s">
        <v>9411</v>
      </c>
      <c r="B3668" s="293" t="s">
        <v>5666</v>
      </c>
      <c r="C3668" s="293" t="s">
        <v>6108</v>
      </c>
      <c r="D3668" s="293" t="s">
        <v>5878</v>
      </c>
      <c r="E3668" s="293" t="s">
        <v>6301</v>
      </c>
      <c r="F3668" s="293" t="s">
        <v>7588</v>
      </c>
      <c r="G3668" s="293" t="s">
        <v>5580</v>
      </c>
      <c r="H3668" s="294">
        <v>42978</v>
      </c>
      <c r="I3668" s="295">
        <v>-1918.86</v>
      </c>
    </row>
    <row r="3669" spans="1:9" x14ac:dyDescent="0.2">
      <c r="A3669" s="293" t="s">
        <v>9412</v>
      </c>
      <c r="B3669" s="293" t="s">
        <v>5666</v>
      </c>
      <c r="C3669" s="293" t="s">
        <v>6110</v>
      </c>
      <c r="D3669" s="293" t="s">
        <v>5878</v>
      </c>
      <c r="E3669" s="293" t="s">
        <v>6303</v>
      </c>
      <c r="F3669" s="293" t="s">
        <v>7588</v>
      </c>
      <c r="G3669" s="293" t="s">
        <v>5573</v>
      </c>
      <c r="H3669" s="294">
        <v>42978</v>
      </c>
      <c r="I3669" s="295">
        <v>-1780.13</v>
      </c>
    </row>
    <row r="3670" spans="1:9" x14ac:dyDescent="0.2">
      <c r="A3670" s="293" t="s">
        <v>9413</v>
      </c>
      <c r="B3670" s="293" t="s">
        <v>5666</v>
      </c>
      <c r="C3670" s="293" t="s">
        <v>6115</v>
      </c>
      <c r="D3670" s="293" t="s">
        <v>5878</v>
      </c>
      <c r="E3670" s="293" t="s">
        <v>6305</v>
      </c>
      <c r="F3670" s="293" t="s">
        <v>7588</v>
      </c>
      <c r="G3670" s="293" t="s">
        <v>5581</v>
      </c>
      <c r="H3670" s="294">
        <v>42978</v>
      </c>
      <c r="I3670" s="295">
        <v>-2230.71</v>
      </c>
    </row>
    <row r="3671" spans="1:9" x14ac:dyDescent="0.2">
      <c r="A3671" s="293" t="s">
        <v>9414</v>
      </c>
      <c r="B3671" s="293" t="s">
        <v>5666</v>
      </c>
      <c r="C3671" s="293" t="s">
        <v>6086</v>
      </c>
      <c r="D3671" s="293" t="s">
        <v>5878</v>
      </c>
      <c r="E3671" s="293" t="s">
        <v>6307</v>
      </c>
      <c r="F3671" s="293" t="s">
        <v>7588</v>
      </c>
      <c r="G3671" s="293" t="s">
        <v>5581</v>
      </c>
      <c r="H3671" s="294">
        <v>42978</v>
      </c>
      <c r="I3671" s="295">
        <v>-2490.34</v>
      </c>
    </row>
    <row r="3672" spans="1:9" x14ac:dyDescent="0.2">
      <c r="A3672" s="293" t="s">
        <v>9415</v>
      </c>
      <c r="B3672" s="293" t="s">
        <v>5666</v>
      </c>
      <c r="C3672" s="293" t="s">
        <v>6113</v>
      </c>
      <c r="D3672" s="293" t="s">
        <v>5878</v>
      </c>
      <c r="E3672" s="293" t="s">
        <v>6316</v>
      </c>
      <c r="F3672" s="293" t="s">
        <v>7588</v>
      </c>
      <c r="G3672" s="293" t="s">
        <v>5573</v>
      </c>
      <c r="H3672" s="294">
        <v>42978</v>
      </c>
      <c r="I3672" s="295">
        <v>-5336.81</v>
      </c>
    </row>
    <row r="3673" spans="1:9" x14ac:dyDescent="0.2">
      <c r="A3673" s="293" t="s">
        <v>9416</v>
      </c>
      <c r="B3673" s="293" t="s">
        <v>5666</v>
      </c>
      <c r="C3673" s="293" t="s">
        <v>6313</v>
      </c>
      <c r="D3673" s="293" t="s">
        <v>5878</v>
      </c>
      <c r="E3673" s="293" t="s">
        <v>6314</v>
      </c>
      <c r="F3673" s="293" t="s">
        <v>7588</v>
      </c>
      <c r="G3673" s="293" t="s">
        <v>5576</v>
      </c>
      <c r="H3673" s="294">
        <v>42978</v>
      </c>
      <c r="I3673" s="295">
        <v>-4207.3500000000004</v>
      </c>
    </row>
    <row r="3674" spans="1:9" x14ac:dyDescent="0.2">
      <c r="A3674" s="293" t="s">
        <v>9417</v>
      </c>
      <c r="B3674" s="293" t="s">
        <v>5666</v>
      </c>
      <c r="C3674" s="293" t="s">
        <v>6272</v>
      </c>
      <c r="D3674" s="293" t="s">
        <v>5878</v>
      </c>
      <c r="E3674" s="293" t="s">
        <v>6273</v>
      </c>
      <c r="F3674" s="293" t="s">
        <v>7609</v>
      </c>
      <c r="G3674" s="293" t="s">
        <v>5576</v>
      </c>
      <c r="H3674" s="294">
        <v>43008</v>
      </c>
      <c r="I3674" s="295">
        <v>-3340.78</v>
      </c>
    </row>
    <row r="3675" spans="1:9" x14ac:dyDescent="0.2">
      <c r="A3675" s="293" t="s">
        <v>9418</v>
      </c>
      <c r="B3675" s="293" t="s">
        <v>5666</v>
      </c>
      <c r="C3675" s="293" t="s">
        <v>6124</v>
      </c>
      <c r="D3675" s="293" t="s">
        <v>5878</v>
      </c>
      <c r="E3675" s="293" t="s">
        <v>6277</v>
      </c>
      <c r="F3675" s="293" t="s">
        <v>7609</v>
      </c>
      <c r="G3675" s="293" t="s">
        <v>5578</v>
      </c>
      <c r="H3675" s="294">
        <v>43008</v>
      </c>
      <c r="I3675" s="295">
        <v>-1019.33</v>
      </c>
    </row>
    <row r="3676" spans="1:9" x14ac:dyDescent="0.2">
      <c r="A3676" s="293" t="s">
        <v>9419</v>
      </c>
      <c r="B3676" s="293" t="s">
        <v>5666</v>
      </c>
      <c r="C3676" s="293" t="s">
        <v>6126</v>
      </c>
      <c r="D3676" s="293" t="s">
        <v>5878</v>
      </c>
      <c r="E3676" s="293" t="s">
        <v>6279</v>
      </c>
      <c r="F3676" s="293" t="s">
        <v>7609</v>
      </c>
      <c r="G3676" s="293" t="s">
        <v>5579</v>
      </c>
      <c r="H3676" s="294">
        <v>43008</v>
      </c>
      <c r="I3676" s="295">
        <v>-857.57</v>
      </c>
    </row>
    <row r="3677" spans="1:9" x14ac:dyDescent="0.2">
      <c r="A3677" s="293" t="s">
        <v>9420</v>
      </c>
      <c r="B3677" s="293" t="s">
        <v>5666</v>
      </c>
      <c r="C3677" s="293" t="s">
        <v>6091</v>
      </c>
      <c r="D3677" s="293" t="s">
        <v>5878</v>
      </c>
      <c r="E3677" s="293" t="s">
        <v>6281</v>
      </c>
      <c r="F3677" s="293" t="s">
        <v>7609</v>
      </c>
      <c r="G3677" s="293" t="s">
        <v>5573</v>
      </c>
      <c r="H3677" s="294">
        <v>43008</v>
      </c>
      <c r="I3677" s="295">
        <v>-3125.47</v>
      </c>
    </row>
    <row r="3678" spans="1:9" x14ac:dyDescent="0.2">
      <c r="A3678" s="293" t="s">
        <v>9421</v>
      </c>
      <c r="B3678" s="293" t="s">
        <v>5666</v>
      </c>
      <c r="C3678" s="293" t="s">
        <v>6093</v>
      </c>
      <c r="D3678" s="293" t="s">
        <v>5878</v>
      </c>
      <c r="E3678" s="293" t="s">
        <v>6283</v>
      </c>
      <c r="F3678" s="293" t="s">
        <v>7609</v>
      </c>
      <c r="G3678" s="293" t="s">
        <v>5573</v>
      </c>
      <c r="H3678" s="294">
        <v>43008</v>
      </c>
      <c r="I3678" s="295">
        <v>-4451.78</v>
      </c>
    </row>
    <row r="3679" spans="1:9" x14ac:dyDescent="0.2">
      <c r="A3679" s="293" t="s">
        <v>9422</v>
      </c>
      <c r="B3679" s="293" t="s">
        <v>5666</v>
      </c>
      <c r="C3679" s="293" t="s">
        <v>6080</v>
      </c>
      <c r="D3679" s="293" t="s">
        <v>5878</v>
      </c>
      <c r="E3679" s="293" t="s">
        <v>6285</v>
      </c>
      <c r="F3679" s="293" t="s">
        <v>7609</v>
      </c>
      <c r="G3679" s="293" t="s">
        <v>5573</v>
      </c>
      <c r="H3679" s="294">
        <v>43008</v>
      </c>
      <c r="I3679" s="295">
        <v>-10077.08</v>
      </c>
    </row>
    <row r="3680" spans="1:9" x14ac:dyDescent="0.2">
      <c r="A3680" s="293" t="s">
        <v>9423</v>
      </c>
      <c r="B3680" s="293" t="s">
        <v>5666</v>
      </c>
      <c r="C3680" s="293" t="s">
        <v>6095</v>
      </c>
      <c r="D3680" s="293" t="s">
        <v>5878</v>
      </c>
      <c r="E3680" s="293" t="s">
        <v>6287</v>
      </c>
      <c r="F3680" s="293" t="s">
        <v>7609</v>
      </c>
      <c r="G3680" s="293" t="s">
        <v>5580</v>
      </c>
      <c r="H3680" s="294">
        <v>43008</v>
      </c>
      <c r="I3680" s="295">
        <v>-5589.54</v>
      </c>
    </row>
    <row r="3681" spans="1:9" x14ac:dyDescent="0.2">
      <c r="A3681" s="293" t="s">
        <v>9424</v>
      </c>
      <c r="B3681" s="293" t="s">
        <v>5666</v>
      </c>
      <c r="C3681" s="293" t="s">
        <v>6097</v>
      </c>
      <c r="D3681" s="293" t="s">
        <v>5878</v>
      </c>
      <c r="E3681" s="293" t="s">
        <v>6289</v>
      </c>
      <c r="F3681" s="293" t="s">
        <v>7609</v>
      </c>
      <c r="G3681" s="293" t="s">
        <v>5580</v>
      </c>
      <c r="H3681" s="294">
        <v>43008</v>
      </c>
      <c r="I3681" s="295">
        <v>-10099.59</v>
      </c>
    </row>
    <row r="3682" spans="1:9" x14ac:dyDescent="0.2">
      <c r="A3682" s="293" t="s">
        <v>9425</v>
      </c>
      <c r="B3682" s="293" t="s">
        <v>5666</v>
      </c>
      <c r="C3682" s="293" t="s">
        <v>6099</v>
      </c>
      <c r="D3682" s="293" t="s">
        <v>5878</v>
      </c>
      <c r="E3682" s="293" t="s">
        <v>6291</v>
      </c>
      <c r="F3682" s="293" t="s">
        <v>7609</v>
      </c>
      <c r="G3682" s="293" t="s">
        <v>5579</v>
      </c>
      <c r="H3682" s="294">
        <v>43008</v>
      </c>
      <c r="I3682" s="295">
        <v>-1407.23</v>
      </c>
    </row>
    <row r="3683" spans="1:9" x14ac:dyDescent="0.2">
      <c r="A3683" s="293" t="s">
        <v>9426</v>
      </c>
      <c r="B3683" s="293" t="s">
        <v>5666</v>
      </c>
      <c r="C3683" s="293" t="s">
        <v>6083</v>
      </c>
      <c r="D3683" s="293" t="s">
        <v>5878</v>
      </c>
      <c r="E3683" s="293" t="s">
        <v>6293</v>
      </c>
      <c r="F3683" s="293" t="s">
        <v>7609</v>
      </c>
      <c r="G3683" s="293" t="s">
        <v>5579</v>
      </c>
      <c r="H3683" s="294">
        <v>43008</v>
      </c>
      <c r="I3683" s="295">
        <v>-2524.9</v>
      </c>
    </row>
    <row r="3684" spans="1:9" x14ac:dyDescent="0.2">
      <c r="A3684" s="293" t="s">
        <v>9427</v>
      </c>
      <c r="B3684" s="293" t="s">
        <v>5666</v>
      </c>
      <c r="C3684" s="293" t="s">
        <v>6101</v>
      </c>
      <c r="D3684" s="293" t="s">
        <v>5878</v>
      </c>
      <c r="E3684" s="293" t="s">
        <v>6295</v>
      </c>
      <c r="F3684" s="293" t="s">
        <v>7609</v>
      </c>
      <c r="G3684" s="293" t="s">
        <v>5580</v>
      </c>
      <c r="H3684" s="294">
        <v>43008</v>
      </c>
      <c r="I3684" s="295">
        <v>-193.73</v>
      </c>
    </row>
    <row r="3685" spans="1:9" x14ac:dyDescent="0.2">
      <c r="A3685" s="293" t="s">
        <v>9428</v>
      </c>
      <c r="B3685" s="293" t="s">
        <v>5666</v>
      </c>
      <c r="C3685" s="293" t="s">
        <v>6104</v>
      </c>
      <c r="D3685" s="293" t="s">
        <v>5878</v>
      </c>
      <c r="E3685" s="293" t="s">
        <v>6297</v>
      </c>
      <c r="F3685" s="293" t="s">
        <v>7609</v>
      </c>
      <c r="G3685" s="293" t="s">
        <v>5580</v>
      </c>
      <c r="H3685" s="294">
        <v>43008</v>
      </c>
      <c r="I3685" s="295">
        <v>-274.12</v>
      </c>
    </row>
    <row r="3686" spans="1:9" x14ac:dyDescent="0.2">
      <c r="A3686" s="293" t="s">
        <v>9429</v>
      </c>
      <c r="B3686" s="293" t="s">
        <v>5666</v>
      </c>
      <c r="C3686" s="293" t="s">
        <v>6106</v>
      </c>
      <c r="D3686" s="293" t="s">
        <v>5878</v>
      </c>
      <c r="E3686" s="293" t="s">
        <v>6299</v>
      </c>
      <c r="F3686" s="293" t="s">
        <v>7609</v>
      </c>
      <c r="G3686" s="293" t="s">
        <v>5580</v>
      </c>
      <c r="H3686" s="294">
        <v>43008</v>
      </c>
      <c r="I3686" s="295">
        <v>-1347.95</v>
      </c>
    </row>
    <row r="3687" spans="1:9" x14ac:dyDescent="0.2">
      <c r="A3687" s="293" t="s">
        <v>9430</v>
      </c>
      <c r="B3687" s="293" t="s">
        <v>5666</v>
      </c>
      <c r="C3687" s="293" t="s">
        <v>6108</v>
      </c>
      <c r="D3687" s="293" t="s">
        <v>5878</v>
      </c>
      <c r="E3687" s="293" t="s">
        <v>6301</v>
      </c>
      <c r="F3687" s="293" t="s">
        <v>7609</v>
      </c>
      <c r="G3687" s="293" t="s">
        <v>5580</v>
      </c>
      <c r="H3687" s="294">
        <v>43008</v>
      </c>
      <c r="I3687" s="295">
        <v>-1918.86</v>
      </c>
    </row>
    <row r="3688" spans="1:9" x14ac:dyDescent="0.2">
      <c r="A3688" s="293" t="s">
        <v>9431</v>
      </c>
      <c r="B3688" s="293" t="s">
        <v>5666</v>
      </c>
      <c r="C3688" s="293" t="s">
        <v>6110</v>
      </c>
      <c r="D3688" s="293" t="s">
        <v>5878</v>
      </c>
      <c r="E3688" s="293" t="s">
        <v>6303</v>
      </c>
      <c r="F3688" s="293" t="s">
        <v>7609</v>
      </c>
      <c r="G3688" s="293" t="s">
        <v>5573</v>
      </c>
      <c r="H3688" s="294">
        <v>43008</v>
      </c>
      <c r="I3688" s="295">
        <v>-1780.13</v>
      </c>
    </row>
    <row r="3689" spans="1:9" x14ac:dyDescent="0.2">
      <c r="A3689" s="293" t="s">
        <v>9432</v>
      </c>
      <c r="B3689" s="293" t="s">
        <v>5666</v>
      </c>
      <c r="C3689" s="293" t="s">
        <v>6115</v>
      </c>
      <c r="D3689" s="293" t="s">
        <v>5878</v>
      </c>
      <c r="E3689" s="293" t="s">
        <v>6305</v>
      </c>
      <c r="F3689" s="293" t="s">
        <v>7609</v>
      </c>
      <c r="G3689" s="293" t="s">
        <v>5581</v>
      </c>
      <c r="H3689" s="294">
        <v>43008</v>
      </c>
      <c r="I3689" s="295">
        <v>-2230.71</v>
      </c>
    </row>
    <row r="3690" spans="1:9" x14ac:dyDescent="0.2">
      <c r="A3690" s="293" t="s">
        <v>9433</v>
      </c>
      <c r="B3690" s="293" t="s">
        <v>5666</v>
      </c>
      <c r="C3690" s="293" t="s">
        <v>6086</v>
      </c>
      <c r="D3690" s="293" t="s">
        <v>5878</v>
      </c>
      <c r="E3690" s="293" t="s">
        <v>6307</v>
      </c>
      <c r="F3690" s="293" t="s">
        <v>7609</v>
      </c>
      <c r="G3690" s="293" t="s">
        <v>5581</v>
      </c>
      <c r="H3690" s="294">
        <v>43008</v>
      </c>
      <c r="I3690" s="295">
        <v>-2490.34</v>
      </c>
    </row>
    <row r="3691" spans="1:9" x14ac:dyDescent="0.2">
      <c r="A3691" s="293" t="s">
        <v>9434</v>
      </c>
      <c r="B3691" s="293" t="s">
        <v>5666</v>
      </c>
      <c r="C3691" s="293" t="s">
        <v>6113</v>
      </c>
      <c r="D3691" s="293" t="s">
        <v>5878</v>
      </c>
      <c r="E3691" s="293" t="s">
        <v>6316</v>
      </c>
      <c r="F3691" s="293" t="s">
        <v>7609</v>
      </c>
      <c r="G3691" s="293" t="s">
        <v>5573</v>
      </c>
      <c r="H3691" s="294">
        <v>43008</v>
      </c>
      <c r="I3691" s="295">
        <v>-5336.81</v>
      </c>
    </row>
    <row r="3692" spans="1:9" x14ac:dyDescent="0.2">
      <c r="A3692" s="293" t="s">
        <v>9435</v>
      </c>
      <c r="B3692" s="293" t="s">
        <v>5666</v>
      </c>
      <c r="C3692" s="293" t="s">
        <v>6313</v>
      </c>
      <c r="D3692" s="293" t="s">
        <v>5878</v>
      </c>
      <c r="E3692" s="293" t="s">
        <v>6314</v>
      </c>
      <c r="F3692" s="293" t="s">
        <v>7609</v>
      </c>
      <c r="G3692" s="293" t="s">
        <v>5576</v>
      </c>
      <c r="H3692" s="294">
        <v>43008</v>
      </c>
      <c r="I3692" s="295">
        <v>-4207.3500000000004</v>
      </c>
    </row>
    <row r="3693" spans="1:9" x14ac:dyDescent="0.2">
      <c r="A3693" s="293" t="s">
        <v>9436</v>
      </c>
      <c r="B3693" s="293" t="s">
        <v>5666</v>
      </c>
      <c r="C3693" s="293" t="s">
        <v>6272</v>
      </c>
      <c r="D3693" s="293" t="s">
        <v>5878</v>
      </c>
      <c r="E3693" s="293" t="s">
        <v>6273</v>
      </c>
      <c r="F3693" s="293" t="s">
        <v>7628</v>
      </c>
      <c r="G3693" s="293" t="s">
        <v>5576</v>
      </c>
      <c r="H3693" s="294">
        <v>43039</v>
      </c>
      <c r="I3693" s="295">
        <v>-3340.78</v>
      </c>
    </row>
    <row r="3694" spans="1:9" x14ac:dyDescent="0.2">
      <c r="A3694" s="293" t="s">
        <v>9437</v>
      </c>
      <c r="B3694" s="293" t="s">
        <v>5666</v>
      </c>
      <c r="C3694" s="293" t="s">
        <v>6124</v>
      </c>
      <c r="D3694" s="293" t="s">
        <v>5878</v>
      </c>
      <c r="E3694" s="293" t="s">
        <v>6277</v>
      </c>
      <c r="F3694" s="293" t="s">
        <v>7628</v>
      </c>
      <c r="G3694" s="293" t="s">
        <v>5578</v>
      </c>
      <c r="H3694" s="294">
        <v>43039</v>
      </c>
      <c r="I3694" s="295">
        <v>-1019.33</v>
      </c>
    </row>
    <row r="3695" spans="1:9" x14ac:dyDescent="0.2">
      <c r="A3695" s="293" t="s">
        <v>9438</v>
      </c>
      <c r="B3695" s="293" t="s">
        <v>5666</v>
      </c>
      <c r="C3695" s="293" t="s">
        <v>6126</v>
      </c>
      <c r="D3695" s="293" t="s">
        <v>5878</v>
      </c>
      <c r="E3695" s="293" t="s">
        <v>6279</v>
      </c>
      <c r="F3695" s="293" t="s">
        <v>7628</v>
      </c>
      <c r="G3695" s="293" t="s">
        <v>5579</v>
      </c>
      <c r="H3695" s="294">
        <v>43039</v>
      </c>
      <c r="I3695" s="295">
        <v>-857.57</v>
      </c>
    </row>
    <row r="3696" spans="1:9" x14ac:dyDescent="0.2">
      <c r="A3696" s="293" t="s">
        <v>9439</v>
      </c>
      <c r="B3696" s="293" t="s">
        <v>5666</v>
      </c>
      <c r="C3696" s="293" t="s">
        <v>6091</v>
      </c>
      <c r="D3696" s="293" t="s">
        <v>5878</v>
      </c>
      <c r="E3696" s="293" t="s">
        <v>6281</v>
      </c>
      <c r="F3696" s="293" t="s">
        <v>7628</v>
      </c>
      <c r="G3696" s="293" t="s">
        <v>5573</v>
      </c>
      <c r="H3696" s="294">
        <v>43039</v>
      </c>
      <c r="I3696" s="295">
        <v>-3125.47</v>
      </c>
    </row>
    <row r="3697" spans="1:9" x14ac:dyDescent="0.2">
      <c r="A3697" s="293" t="s">
        <v>9440</v>
      </c>
      <c r="B3697" s="293" t="s">
        <v>5666</v>
      </c>
      <c r="C3697" s="293" t="s">
        <v>6093</v>
      </c>
      <c r="D3697" s="293" t="s">
        <v>5878</v>
      </c>
      <c r="E3697" s="293" t="s">
        <v>6283</v>
      </c>
      <c r="F3697" s="293" t="s">
        <v>7628</v>
      </c>
      <c r="G3697" s="293" t="s">
        <v>5573</v>
      </c>
      <c r="H3697" s="294">
        <v>43039</v>
      </c>
      <c r="I3697" s="295">
        <v>-4451.78</v>
      </c>
    </row>
    <row r="3698" spans="1:9" x14ac:dyDescent="0.2">
      <c r="A3698" s="293" t="s">
        <v>9441</v>
      </c>
      <c r="B3698" s="293" t="s">
        <v>5666</v>
      </c>
      <c r="C3698" s="293" t="s">
        <v>6080</v>
      </c>
      <c r="D3698" s="293" t="s">
        <v>5878</v>
      </c>
      <c r="E3698" s="293" t="s">
        <v>6285</v>
      </c>
      <c r="F3698" s="293" t="s">
        <v>7628</v>
      </c>
      <c r="G3698" s="293" t="s">
        <v>5573</v>
      </c>
      <c r="H3698" s="294">
        <v>43039</v>
      </c>
      <c r="I3698" s="295">
        <v>-10077.08</v>
      </c>
    </row>
    <row r="3699" spans="1:9" x14ac:dyDescent="0.2">
      <c r="A3699" s="293" t="s">
        <v>9442</v>
      </c>
      <c r="B3699" s="293" t="s">
        <v>5666</v>
      </c>
      <c r="C3699" s="293" t="s">
        <v>6095</v>
      </c>
      <c r="D3699" s="293" t="s">
        <v>5878</v>
      </c>
      <c r="E3699" s="293" t="s">
        <v>6287</v>
      </c>
      <c r="F3699" s="293" t="s">
        <v>7628</v>
      </c>
      <c r="G3699" s="293" t="s">
        <v>5580</v>
      </c>
      <c r="H3699" s="294">
        <v>43039</v>
      </c>
      <c r="I3699" s="295">
        <v>-5589.54</v>
      </c>
    </row>
    <row r="3700" spans="1:9" x14ac:dyDescent="0.2">
      <c r="A3700" s="293" t="s">
        <v>9443</v>
      </c>
      <c r="B3700" s="293" t="s">
        <v>5666</v>
      </c>
      <c r="C3700" s="293" t="s">
        <v>6097</v>
      </c>
      <c r="D3700" s="293" t="s">
        <v>5878</v>
      </c>
      <c r="E3700" s="293" t="s">
        <v>6289</v>
      </c>
      <c r="F3700" s="293" t="s">
        <v>7628</v>
      </c>
      <c r="G3700" s="293" t="s">
        <v>5580</v>
      </c>
      <c r="H3700" s="294">
        <v>43039</v>
      </c>
      <c r="I3700" s="295">
        <v>-10099.59</v>
      </c>
    </row>
    <row r="3701" spans="1:9" x14ac:dyDescent="0.2">
      <c r="A3701" s="293" t="s">
        <v>9444</v>
      </c>
      <c r="B3701" s="293" t="s">
        <v>5666</v>
      </c>
      <c r="C3701" s="293" t="s">
        <v>6099</v>
      </c>
      <c r="D3701" s="293" t="s">
        <v>5878</v>
      </c>
      <c r="E3701" s="293" t="s">
        <v>6291</v>
      </c>
      <c r="F3701" s="293" t="s">
        <v>7628</v>
      </c>
      <c r="G3701" s="293" t="s">
        <v>5579</v>
      </c>
      <c r="H3701" s="294">
        <v>43039</v>
      </c>
      <c r="I3701" s="295">
        <v>-1407.23</v>
      </c>
    </row>
    <row r="3702" spans="1:9" x14ac:dyDescent="0.2">
      <c r="A3702" s="293" t="s">
        <v>9445</v>
      </c>
      <c r="B3702" s="293" t="s">
        <v>5666</v>
      </c>
      <c r="C3702" s="293" t="s">
        <v>6083</v>
      </c>
      <c r="D3702" s="293" t="s">
        <v>5878</v>
      </c>
      <c r="E3702" s="293" t="s">
        <v>6293</v>
      </c>
      <c r="F3702" s="293" t="s">
        <v>7628</v>
      </c>
      <c r="G3702" s="293" t="s">
        <v>5579</v>
      </c>
      <c r="H3702" s="294">
        <v>43039</v>
      </c>
      <c r="I3702" s="295">
        <v>-2524.9</v>
      </c>
    </row>
    <row r="3703" spans="1:9" x14ac:dyDescent="0.2">
      <c r="A3703" s="293" t="s">
        <v>9446</v>
      </c>
      <c r="B3703" s="293" t="s">
        <v>5666</v>
      </c>
      <c r="C3703" s="293" t="s">
        <v>6101</v>
      </c>
      <c r="D3703" s="293" t="s">
        <v>5878</v>
      </c>
      <c r="E3703" s="293" t="s">
        <v>6295</v>
      </c>
      <c r="F3703" s="293" t="s">
        <v>7628</v>
      </c>
      <c r="G3703" s="293" t="s">
        <v>5580</v>
      </c>
      <c r="H3703" s="294">
        <v>43039</v>
      </c>
      <c r="I3703" s="295">
        <v>-193.73</v>
      </c>
    </row>
    <row r="3704" spans="1:9" x14ac:dyDescent="0.2">
      <c r="A3704" s="293" t="s">
        <v>9447</v>
      </c>
      <c r="B3704" s="293" t="s">
        <v>5666</v>
      </c>
      <c r="C3704" s="293" t="s">
        <v>6104</v>
      </c>
      <c r="D3704" s="293" t="s">
        <v>5878</v>
      </c>
      <c r="E3704" s="293" t="s">
        <v>6297</v>
      </c>
      <c r="F3704" s="293" t="s">
        <v>7628</v>
      </c>
      <c r="G3704" s="293" t="s">
        <v>5580</v>
      </c>
      <c r="H3704" s="294">
        <v>43039</v>
      </c>
      <c r="I3704" s="295">
        <v>-274.12</v>
      </c>
    </row>
    <row r="3705" spans="1:9" x14ac:dyDescent="0.2">
      <c r="A3705" s="293" t="s">
        <v>9448</v>
      </c>
      <c r="B3705" s="293" t="s">
        <v>5666</v>
      </c>
      <c r="C3705" s="293" t="s">
        <v>6106</v>
      </c>
      <c r="D3705" s="293" t="s">
        <v>5878</v>
      </c>
      <c r="E3705" s="293" t="s">
        <v>6299</v>
      </c>
      <c r="F3705" s="293" t="s">
        <v>7628</v>
      </c>
      <c r="G3705" s="293" t="s">
        <v>5580</v>
      </c>
      <c r="H3705" s="294">
        <v>43039</v>
      </c>
      <c r="I3705" s="295">
        <v>-1347.95</v>
      </c>
    </row>
    <row r="3706" spans="1:9" x14ac:dyDescent="0.2">
      <c r="A3706" s="293" t="s">
        <v>9449</v>
      </c>
      <c r="B3706" s="293" t="s">
        <v>5666</v>
      </c>
      <c r="C3706" s="293" t="s">
        <v>6108</v>
      </c>
      <c r="D3706" s="293" t="s">
        <v>5878</v>
      </c>
      <c r="E3706" s="293" t="s">
        <v>6301</v>
      </c>
      <c r="F3706" s="293" t="s">
        <v>7628</v>
      </c>
      <c r="G3706" s="293" t="s">
        <v>5580</v>
      </c>
      <c r="H3706" s="294">
        <v>43039</v>
      </c>
      <c r="I3706" s="295">
        <v>-1918.86</v>
      </c>
    </row>
    <row r="3707" spans="1:9" x14ac:dyDescent="0.2">
      <c r="A3707" s="293" t="s">
        <v>9450</v>
      </c>
      <c r="B3707" s="293" t="s">
        <v>5666</v>
      </c>
      <c r="C3707" s="293" t="s">
        <v>6110</v>
      </c>
      <c r="D3707" s="293" t="s">
        <v>5878</v>
      </c>
      <c r="E3707" s="293" t="s">
        <v>6303</v>
      </c>
      <c r="F3707" s="293" t="s">
        <v>7628</v>
      </c>
      <c r="G3707" s="293" t="s">
        <v>5573</v>
      </c>
      <c r="H3707" s="294">
        <v>43039</v>
      </c>
      <c r="I3707" s="295">
        <v>-1780.13</v>
      </c>
    </row>
    <row r="3708" spans="1:9" x14ac:dyDescent="0.2">
      <c r="A3708" s="293" t="s">
        <v>9451</v>
      </c>
      <c r="B3708" s="293" t="s">
        <v>5666</v>
      </c>
      <c r="C3708" s="293" t="s">
        <v>6115</v>
      </c>
      <c r="D3708" s="293" t="s">
        <v>5878</v>
      </c>
      <c r="E3708" s="293" t="s">
        <v>6305</v>
      </c>
      <c r="F3708" s="293" t="s">
        <v>7628</v>
      </c>
      <c r="G3708" s="293" t="s">
        <v>5581</v>
      </c>
      <c r="H3708" s="294">
        <v>43039</v>
      </c>
      <c r="I3708" s="295">
        <v>-2230.71</v>
      </c>
    </row>
    <row r="3709" spans="1:9" x14ac:dyDescent="0.2">
      <c r="A3709" s="293" t="s">
        <v>9452</v>
      </c>
      <c r="B3709" s="293" t="s">
        <v>5666</v>
      </c>
      <c r="C3709" s="293" t="s">
        <v>6086</v>
      </c>
      <c r="D3709" s="293" t="s">
        <v>5878</v>
      </c>
      <c r="E3709" s="293" t="s">
        <v>6307</v>
      </c>
      <c r="F3709" s="293" t="s">
        <v>7628</v>
      </c>
      <c r="G3709" s="293" t="s">
        <v>5581</v>
      </c>
      <c r="H3709" s="294">
        <v>43039</v>
      </c>
      <c r="I3709" s="295">
        <v>-2490.34</v>
      </c>
    </row>
    <row r="3710" spans="1:9" x14ac:dyDescent="0.2">
      <c r="A3710" s="293" t="s">
        <v>9453</v>
      </c>
      <c r="B3710" s="293" t="s">
        <v>5666</v>
      </c>
      <c r="C3710" s="293" t="s">
        <v>6113</v>
      </c>
      <c r="D3710" s="293" t="s">
        <v>5878</v>
      </c>
      <c r="E3710" s="293" t="s">
        <v>6316</v>
      </c>
      <c r="F3710" s="293" t="s">
        <v>7628</v>
      </c>
      <c r="G3710" s="293" t="s">
        <v>5573</v>
      </c>
      <c r="H3710" s="294">
        <v>43039</v>
      </c>
      <c r="I3710" s="295">
        <v>-5336.81</v>
      </c>
    </row>
    <row r="3711" spans="1:9" x14ac:dyDescent="0.2">
      <c r="A3711" s="293" t="s">
        <v>9454</v>
      </c>
      <c r="B3711" s="293" t="s">
        <v>5666</v>
      </c>
      <c r="C3711" s="293" t="s">
        <v>6313</v>
      </c>
      <c r="D3711" s="293" t="s">
        <v>5878</v>
      </c>
      <c r="E3711" s="293" t="s">
        <v>6314</v>
      </c>
      <c r="F3711" s="293" t="s">
        <v>7628</v>
      </c>
      <c r="G3711" s="293" t="s">
        <v>5576</v>
      </c>
      <c r="H3711" s="294">
        <v>43039</v>
      </c>
      <c r="I3711" s="295">
        <v>-4207.3500000000004</v>
      </c>
    </row>
    <row r="3712" spans="1:9" x14ac:dyDescent="0.2">
      <c r="A3712" s="293" t="s">
        <v>9455</v>
      </c>
      <c r="B3712" s="293" t="s">
        <v>5666</v>
      </c>
      <c r="C3712" s="293" t="s">
        <v>6272</v>
      </c>
      <c r="D3712" s="293" t="s">
        <v>5878</v>
      </c>
      <c r="E3712" s="293" t="s">
        <v>6273</v>
      </c>
      <c r="F3712" s="293" t="s">
        <v>7646</v>
      </c>
      <c r="G3712" s="293" t="s">
        <v>5576</v>
      </c>
      <c r="H3712" s="294">
        <v>43069</v>
      </c>
      <c r="I3712" s="295">
        <v>-3340.78</v>
      </c>
    </row>
    <row r="3713" spans="1:9" x14ac:dyDescent="0.2">
      <c r="A3713" s="293" t="s">
        <v>9456</v>
      </c>
      <c r="B3713" s="293" t="s">
        <v>5666</v>
      </c>
      <c r="C3713" s="293" t="s">
        <v>6124</v>
      </c>
      <c r="D3713" s="293" t="s">
        <v>5878</v>
      </c>
      <c r="E3713" s="293" t="s">
        <v>6277</v>
      </c>
      <c r="F3713" s="293" t="s">
        <v>7646</v>
      </c>
      <c r="G3713" s="293" t="s">
        <v>5578</v>
      </c>
      <c r="H3713" s="294">
        <v>43069</v>
      </c>
      <c r="I3713" s="295">
        <v>-1019.33</v>
      </c>
    </row>
    <row r="3714" spans="1:9" x14ac:dyDescent="0.2">
      <c r="A3714" s="293" t="s">
        <v>9457</v>
      </c>
      <c r="B3714" s="293" t="s">
        <v>5666</v>
      </c>
      <c r="C3714" s="293" t="s">
        <v>6126</v>
      </c>
      <c r="D3714" s="293" t="s">
        <v>5878</v>
      </c>
      <c r="E3714" s="293" t="s">
        <v>6279</v>
      </c>
      <c r="F3714" s="293" t="s">
        <v>7646</v>
      </c>
      <c r="G3714" s="293" t="s">
        <v>5579</v>
      </c>
      <c r="H3714" s="294">
        <v>43069</v>
      </c>
      <c r="I3714" s="295">
        <v>-857.57</v>
      </c>
    </row>
    <row r="3715" spans="1:9" x14ac:dyDescent="0.2">
      <c r="A3715" s="293" t="s">
        <v>9458</v>
      </c>
      <c r="B3715" s="293" t="s">
        <v>5666</v>
      </c>
      <c r="C3715" s="293" t="s">
        <v>6091</v>
      </c>
      <c r="D3715" s="293" t="s">
        <v>5878</v>
      </c>
      <c r="E3715" s="293" t="s">
        <v>6281</v>
      </c>
      <c r="F3715" s="293" t="s">
        <v>7646</v>
      </c>
      <c r="G3715" s="293" t="s">
        <v>5573</v>
      </c>
      <c r="H3715" s="294">
        <v>43069</v>
      </c>
      <c r="I3715" s="295">
        <v>-3125.47</v>
      </c>
    </row>
    <row r="3716" spans="1:9" x14ac:dyDescent="0.2">
      <c r="A3716" s="293" t="s">
        <v>9459</v>
      </c>
      <c r="B3716" s="293" t="s">
        <v>5666</v>
      </c>
      <c r="C3716" s="293" t="s">
        <v>6093</v>
      </c>
      <c r="D3716" s="293" t="s">
        <v>5878</v>
      </c>
      <c r="E3716" s="293" t="s">
        <v>6283</v>
      </c>
      <c r="F3716" s="293" t="s">
        <v>7646</v>
      </c>
      <c r="G3716" s="293" t="s">
        <v>5573</v>
      </c>
      <c r="H3716" s="294">
        <v>43069</v>
      </c>
      <c r="I3716" s="295">
        <v>-4451.78</v>
      </c>
    </row>
    <row r="3717" spans="1:9" x14ac:dyDescent="0.2">
      <c r="A3717" s="293" t="s">
        <v>9460</v>
      </c>
      <c r="B3717" s="293" t="s">
        <v>5666</v>
      </c>
      <c r="C3717" s="293" t="s">
        <v>6080</v>
      </c>
      <c r="D3717" s="293" t="s">
        <v>5878</v>
      </c>
      <c r="E3717" s="293" t="s">
        <v>6285</v>
      </c>
      <c r="F3717" s="293" t="s">
        <v>7646</v>
      </c>
      <c r="G3717" s="293" t="s">
        <v>5573</v>
      </c>
      <c r="H3717" s="294">
        <v>43069</v>
      </c>
      <c r="I3717" s="295">
        <v>-10077.08</v>
      </c>
    </row>
    <row r="3718" spans="1:9" x14ac:dyDescent="0.2">
      <c r="A3718" s="293" t="s">
        <v>9461</v>
      </c>
      <c r="B3718" s="293" t="s">
        <v>5666</v>
      </c>
      <c r="C3718" s="293" t="s">
        <v>6095</v>
      </c>
      <c r="D3718" s="293" t="s">
        <v>5878</v>
      </c>
      <c r="E3718" s="293" t="s">
        <v>6287</v>
      </c>
      <c r="F3718" s="293" t="s">
        <v>7646</v>
      </c>
      <c r="G3718" s="293" t="s">
        <v>5580</v>
      </c>
      <c r="H3718" s="294">
        <v>43069</v>
      </c>
      <c r="I3718" s="295">
        <v>-5589.54</v>
      </c>
    </row>
    <row r="3719" spans="1:9" x14ac:dyDescent="0.2">
      <c r="A3719" s="293" t="s">
        <v>9462</v>
      </c>
      <c r="B3719" s="293" t="s">
        <v>5666</v>
      </c>
      <c r="C3719" s="293" t="s">
        <v>6097</v>
      </c>
      <c r="D3719" s="293" t="s">
        <v>5878</v>
      </c>
      <c r="E3719" s="293" t="s">
        <v>6289</v>
      </c>
      <c r="F3719" s="293" t="s">
        <v>7646</v>
      </c>
      <c r="G3719" s="293" t="s">
        <v>5580</v>
      </c>
      <c r="H3719" s="294">
        <v>43069</v>
      </c>
      <c r="I3719" s="295">
        <v>-10099.59</v>
      </c>
    </row>
    <row r="3720" spans="1:9" x14ac:dyDescent="0.2">
      <c r="A3720" s="293" t="s">
        <v>9463</v>
      </c>
      <c r="B3720" s="293" t="s">
        <v>5666</v>
      </c>
      <c r="C3720" s="293" t="s">
        <v>6099</v>
      </c>
      <c r="D3720" s="293" t="s">
        <v>5878</v>
      </c>
      <c r="E3720" s="293" t="s">
        <v>6291</v>
      </c>
      <c r="F3720" s="293" t="s">
        <v>7646</v>
      </c>
      <c r="G3720" s="293" t="s">
        <v>5579</v>
      </c>
      <c r="H3720" s="294">
        <v>43069</v>
      </c>
      <c r="I3720" s="295">
        <v>-1407.23</v>
      </c>
    </row>
    <row r="3721" spans="1:9" x14ac:dyDescent="0.2">
      <c r="A3721" s="293" t="s">
        <v>9464</v>
      </c>
      <c r="B3721" s="293" t="s">
        <v>5666</v>
      </c>
      <c r="C3721" s="293" t="s">
        <v>6083</v>
      </c>
      <c r="D3721" s="293" t="s">
        <v>5878</v>
      </c>
      <c r="E3721" s="293" t="s">
        <v>6293</v>
      </c>
      <c r="F3721" s="293" t="s">
        <v>7646</v>
      </c>
      <c r="G3721" s="293" t="s">
        <v>5579</v>
      </c>
      <c r="H3721" s="294">
        <v>43069</v>
      </c>
      <c r="I3721" s="295">
        <v>-2524.9</v>
      </c>
    </row>
    <row r="3722" spans="1:9" x14ac:dyDescent="0.2">
      <c r="A3722" s="293" t="s">
        <v>9465</v>
      </c>
      <c r="B3722" s="293" t="s">
        <v>5666</v>
      </c>
      <c r="C3722" s="293" t="s">
        <v>6101</v>
      </c>
      <c r="D3722" s="293" t="s">
        <v>5878</v>
      </c>
      <c r="E3722" s="293" t="s">
        <v>6295</v>
      </c>
      <c r="F3722" s="293" t="s">
        <v>7646</v>
      </c>
      <c r="G3722" s="293" t="s">
        <v>5580</v>
      </c>
      <c r="H3722" s="294">
        <v>43069</v>
      </c>
      <c r="I3722" s="295">
        <v>-193.73</v>
      </c>
    </row>
    <row r="3723" spans="1:9" x14ac:dyDescent="0.2">
      <c r="A3723" s="293" t="s">
        <v>9466</v>
      </c>
      <c r="B3723" s="293" t="s">
        <v>5666</v>
      </c>
      <c r="C3723" s="293" t="s">
        <v>6104</v>
      </c>
      <c r="D3723" s="293" t="s">
        <v>5878</v>
      </c>
      <c r="E3723" s="293" t="s">
        <v>6297</v>
      </c>
      <c r="F3723" s="293" t="s">
        <v>7646</v>
      </c>
      <c r="G3723" s="293" t="s">
        <v>5580</v>
      </c>
      <c r="H3723" s="294">
        <v>43069</v>
      </c>
      <c r="I3723" s="295">
        <v>-274.12</v>
      </c>
    </row>
    <row r="3724" spans="1:9" x14ac:dyDescent="0.2">
      <c r="A3724" s="293" t="s">
        <v>9467</v>
      </c>
      <c r="B3724" s="293" t="s">
        <v>5666</v>
      </c>
      <c r="C3724" s="293" t="s">
        <v>6106</v>
      </c>
      <c r="D3724" s="293" t="s">
        <v>5878</v>
      </c>
      <c r="E3724" s="293" t="s">
        <v>6299</v>
      </c>
      <c r="F3724" s="293" t="s">
        <v>7646</v>
      </c>
      <c r="G3724" s="293" t="s">
        <v>5580</v>
      </c>
      <c r="H3724" s="294">
        <v>43069</v>
      </c>
      <c r="I3724" s="295">
        <v>-1347.95</v>
      </c>
    </row>
    <row r="3725" spans="1:9" x14ac:dyDescent="0.2">
      <c r="A3725" s="293" t="s">
        <v>9468</v>
      </c>
      <c r="B3725" s="293" t="s">
        <v>5666</v>
      </c>
      <c r="C3725" s="293" t="s">
        <v>6108</v>
      </c>
      <c r="D3725" s="293" t="s">
        <v>5878</v>
      </c>
      <c r="E3725" s="293" t="s">
        <v>6301</v>
      </c>
      <c r="F3725" s="293" t="s">
        <v>7646</v>
      </c>
      <c r="G3725" s="293" t="s">
        <v>5580</v>
      </c>
      <c r="H3725" s="294">
        <v>43069</v>
      </c>
      <c r="I3725" s="295">
        <v>-1918.86</v>
      </c>
    </row>
    <row r="3726" spans="1:9" x14ac:dyDescent="0.2">
      <c r="A3726" s="293" t="s">
        <v>9469</v>
      </c>
      <c r="B3726" s="293" t="s">
        <v>5666</v>
      </c>
      <c r="C3726" s="293" t="s">
        <v>6110</v>
      </c>
      <c r="D3726" s="293" t="s">
        <v>5878</v>
      </c>
      <c r="E3726" s="293" t="s">
        <v>6303</v>
      </c>
      <c r="F3726" s="293" t="s">
        <v>7646</v>
      </c>
      <c r="G3726" s="293" t="s">
        <v>5573</v>
      </c>
      <c r="H3726" s="294">
        <v>43069</v>
      </c>
      <c r="I3726" s="295">
        <v>-1780.13</v>
      </c>
    </row>
    <row r="3727" spans="1:9" x14ac:dyDescent="0.2">
      <c r="A3727" s="293" t="s">
        <v>9470</v>
      </c>
      <c r="B3727" s="293" t="s">
        <v>5666</v>
      </c>
      <c r="C3727" s="293" t="s">
        <v>6115</v>
      </c>
      <c r="D3727" s="293" t="s">
        <v>5878</v>
      </c>
      <c r="E3727" s="293" t="s">
        <v>6305</v>
      </c>
      <c r="F3727" s="293" t="s">
        <v>7646</v>
      </c>
      <c r="G3727" s="293" t="s">
        <v>5581</v>
      </c>
      <c r="H3727" s="294">
        <v>43069</v>
      </c>
      <c r="I3727" s="295">
        <v>-2230.71</v>
      </c>
    </row>
    <row r="3728" spans="1:9" x14ac:dyDescent="0.2">
      <c r="A3728" s="293" t="s">
        <v>9471</v>
      </c>
      <c r="B3728" s="293" t="s">
        <v>5666</v>
      </c>
      <c r="C3728" s="293" t="s">
        <v>6086</v>
      </c>
      <c r="D3728" s="293" t="s">
        <v>5878</v>
      </c>
      <c r="E3728" s="293" t="s">
        <v>6307</v>
      </c>
      <c r="F3728" s="293" t="s">
        <v>7646</v>
      </c>
      <c r="G3728" s="293" t="s">
        <v>5581</v>
      </c>
      <c r="H3728" s="294">
        <v>43069</v>
      </c>
      <c r="I3728" s="295">
        <v>-2490.34</v>
      </c>
    </row>
    <row r="3729" spans="1:9" x14ac:dyDescent="0.2">
      <c r="A3729" s="293" t="s">
        <v>9472</v>
      </c>
      <c r="B3729" s="293" t="s">
        <v>5666</v>
      </c>
      <c r="C3729" s="293" t="s">
        <v>6113</v>
      </c>
      <c r="D3729" s="293" t="s">
        <v>5878</v>
      </c>
      <c r="E3729" s="293" t="s">
        <v>6316</v>
      </c>
      <c r="F3729" s="293" t="s">
        <v>7646</v>
      </c>
      <c r="G3729" s="293" t="s">
        <v>5573</v>
      </c>
      <c r="H3729" s="294">
        <v>43069</v>
      </c>
      <c r="I3729" s="295">
        <v>-5336.81</v>
      </c>
    </row>
    <row r="3730" spans="1:9" x14ac:dyDescent="0.2">
      <c r="A3730" s="293" t="s">
        <v>9473</v>
      </c>
      <c r="B3730" s="293" t="s">
        <v>5666</v>
      </c>
      <c r="C3730" s="293" t="s">
        <v>6313</v>
      </c>
      <c r="D3730" s="293" t="s">
        <v>5878</v>
      </c>
      <c r="E3730" s="293" t="s">
        <v>6314</v>
      </c>
      <c r="F3730" s="293" t="s">
        <v>7646</v>
      </c>
      <c r="G3730" s="293" t="s">
        <v>5576</v>
      </c>
      <c r="H3730" s="294">
        <v>43069</v>
      </c>
      <c r="I3730" s="295">
        <v>-4207.3500000000004</v>
      </c>
    </row>
    <row r="3731" spans="1:9" x14ac:dyDescent="0.2">
      <c r="A3731" s="293" t="s">
        <v>9474</v>
      </c>
      <c r="B3731" s="293" t="s">
        <v>5666</v>
      </c>
      <c r="C3731" s="293" t="s">
        <v>6272</v>
      </c>
      <c r="D3731" s="293" t="s">
        <v>5878</v>
      </c>
      <c r="E3731" s="293" t="s">
        <v>6273</v>
      </c>
      <c r="F3731" s="293" t="s">
        <v>7664</v>
      </c>
      <c r="G3731" s="293" t="s">
        <v>5576</v>
      </c>
      <c r="H3731" s="294">
        <v>43100</v>
      </c>
      <c r="I3731" s="295">
        <v>-3340.78</v>
      </c>
    </row>
    <row r="3732" spans="1:9" x14ac:dyDescent="0.2">
      <c r="A3732" s="293" t="s">
        <v>9475</v>
      </c>
      <c r="B3732" s="293" t="s">
        <v>5666</v>
      </c>
      <c r="C3732" s="293" t="s">
        <v>6124</v>
      </c>
      <c r="D3732" s="293" t="s">
        <v>5878</v>
      </c>
      <c r="E3732" s="293" t="s">
        <v>6277</v>
      </c>
      <c r="F3732" s="293" t="s">
        <v>7664</v>
      </c>
      <c r="G3732" s="293" t="s">
        <v>5578</v>
      </c>
      <c r="H3732" s="294">
        <v>43100</v>
      </c>
      <c r="I3732" s="295">
        <v>-1019.33</v>
      </c>
    </row>
    <row r="3733" spans="1:9" x14ac:dyDescent="0.2">
      <c r="A3733" s="293" t="s">
        <v>9476</v>
      </c>
      <c r="B3733" s="293" t="s">
        <v>5666</v>
      </c>
      <c r="C3733" s="293" t="s">
        <v>6126</v>
      </c>
      <c r="D3733" s="293" t="s">
        <v>5878</v>
      </c>
      <c r="E3733" s="293" t="s">
        <v>6279</v>
      </c>
      <c r="F3733" s="293" t="s">
        <v>7664</v>
      </c>
      <c r="G3733" s="293" t="s">
        <v>5579</v>
      </c>
      <c r="H3733" s="294">
        <v>43100</v>
      </c>
      <c r="I3733" s="295">
        <v>-857.57</v>
      </c>
    </row>
    <row r="3734" spans="1:9" x14ac:dyDescent="0.2">
      <c r="A3734" s="293" t="s">
        <v>9477</v>
      </c>
      <c r="B3734" s="293" t="s">
        <v>5666</v>
      </c>
      <c r="C3734" s="293" t="s">
        <v>6091</v>
      </c>
      <c r="D3734" s="293" t="s">
        <v>5878</v>
      </c>
      <c r="E3734" s="293" t="s">
        <v>6281</v>
      </c>
      <c r="F3734" s="293" t="s">
        <v>7664</v>
      </c>
      <c r="G3734" s="293" t="s">
        <v>5573</v>
      </c>
      <c r="H3734" s="294">
        <v>43100</v>
      </c>
      <c r="I3734" s="295">
        <v>-3125.47</v>
      </c>
    </row>
    <row r="3735" spans="1:9" x14ac:dyDescent="0.2">
      <c r="A3735" s="293" t="s">
        <v>9478</v>
      </c>
      <c r="B3735" s="293" t="s">
        <v>5666</v>
      </c>
      <c r="C3735" s="293" t="s">
        <v>6093</v>
      </c>
      <c r="D3735" s="293" t="s">
        <v>5878</v>
      </c>
      <c r="E3735" s="293" t="s">
        <v>6283</v>
      </c>
      <c r="F3735" s="293" t="s">
        <v>7664</v>
      </c>
      <c r="G3735" s="293" t="s">
        <v>5573</v>
      </c>
      <c r="H3735" s="294">
        <v>43100</v>
      </c>
      <c r="I3735" s="295">
        <v>-4451.78</v>
      </c>
    </row>
    <row r="3736" spans="1:9" x14ac:dyDescent="0.2">
      <c r="A3736" s="293" t="s">
        <v>9479</v>
      </c>
      <c r="B3736" s="293" t="s">
        <v>5666</v>
      </c>
      <c r="C3736" s="293" t="s">
        <v>6080</v>
      </c>
      <c r="D3736" s="293" t="s">
        <v>5878</v>
      </c>
      <c r="E3736" s="293" t="s">
        <v>6285</v>
      </c>
      <c r="F3736" s="293" t="s">
        <v>7664</v>
      </c>
      <c r="G3736" s="293" t="s">
        <v>5573</v>
      </c>
      <c r="H3736" s="294">
        <v>43100</v>
      </c>
      <c r="I3736" s="295">
        <v>-10077.08</v>
      </c>
    </row>
    <row r="3737" spans="1:9" x14ac:dyDescent="0.2">
      <c r="A3737" s="293" t="s">
        <v>9480</v>
      </c>
      <c r="B3737" s="293" t="s">
        <v>5666</v>
      </c>
      <c r="C3737" s="293" t="s">
        <v>6095</v>
      </c>
      <c r="D3737" s="293" t="s">
        <v>5878</v>
      </c>
      <c r="E3737" s="293" t="s">
        <v>6287</v>
      </c>
      <c r="F3737" s="293" t="s">
        <v>7664</v>
      </c>
      <c r="G3737" s="293" t="s">
        <v>5580</v>
      </c>
      <c r="H3737" s="294">
        <v>43100</v>
      </c>
      <c r="I3737" s="295">
        <v>-5589.54</v>
      </c>
    </row>
    <row r="3738" spans="1:9" x14ac:dyDescent="0.2">
      <c r="A3738" s="293" t="s">
        <v>9481</v>
      </c>
      <c r="B3738" s="293" t="s">
        <v>5666</v>
      </c>
      <c r="C3738" s="293" t="s">
        <v>6097</v>
      </c>
      <c r="D3738" s="293" t="s">
        <v>5878</v>
      </c>
      <c r="E3738" s="293" t="s">
        <v>6289</v>
      </c>
      <c r="F3738" s="293" t="s">
        <v>7664</v>
      </c>
      <c r="G3738" s="293" t="s">
        <v>5580</v>
      </c>
      <c r="H3738" s="294">
        <v>43100</v>
      </c>
      <c r="I3738" s="295">
        <v>-10099.59</v>
      </c>
    </row>
    <row r="3739" spans="1:9" x14ac:dyDescent="0.2">
      <c r="A3739" s="293" t="s">
        <v>9482</v>
      </c>
      <c r="B3739" s="293" t="s">
        <v>5666</v>
      </c>
      <c r="C3739" s="293" t="s">
        <v>6099</v>
      </c>
      <c r="D3739" s="293" t="s">
        <v>5878</v>
      </c>
      <c r="E3739" s="293" t="s">
        <v>6291</v>
      </c>
      <c r="F3739" s="293" t="s">
        <v>7664</v>
      </c>
      <c r="G3739" s="293" t="s">
        <v>5579</v>
      </c>
      <c r="H3739" s="294">
        <v>43100</v>
      </c>
      <c r="I3739" s="295">
        <v>-1407.23</v>
      </c>
    </row>
    <row r="3740" spans="1:9" x14ac:dyDescent="0.2">
      <c r="A3740" s="293" t="s">
        <v>9483</v>
      </c>
      <c r="B3740" s="293" t="s">
        <v>5666</v>
      </c>
      <c r="C3740" s="293" t="s">
        <v>6083</v>
      </c>
      <c r="D3740" s="293" t="s">
        <v>5878</v>
      </c>
      <c r="E3740" s="293" t="s">
        <v>6293</v>
      </c>
      <c r="F3740" s="293" t="s">
        <v>7664</v>
      </c>
      <c r="G3740" s="293" t="s">
        <v>5579</v>
      </c>
      <c r="H3740" s="294">
        <v>43100</v>
      </c>
      <c r="I3740" s="295">
        <v>-2524.9</v>
      </c>
    </row>
    <row r="3741" spans="1:9" x14ac:dyDescent="0.2">
      <c r="A3741" s="293" t="s">
        <v>9484</v>
      </c>
      <c r="B3741" s="293" t="s">
        <v>5666</v>
      </c>
      <c r="C3741" s="293" t="s">
        <v>6101</v>
      </c>
      <c r="D3741" s="293" t="s">
        <v>5878</v>
      </c>
      <c r="E3741" s="293" t="s">
        <v>6295</v>
      </c>
      <c r="F3741" s="293" t="s">
        <v>7664</v>
      </c>
      <c r="G3741" s="293" t="s">
        <v>5580</v>
      </c>
      <c r="H3741" s="294">
        <v>43100</v>
      </c>
      <c r="I3741" s="295">
        <v>-193.73</v>
      </c>
    </row>
    <row r="3742" spans="1:9" x14ac:dyDescent="0.2">
      <c r="A3742" s="293" t="s">
        <v>9485</v>
      </c>
      <c r="B3742" s="293" t="s">
        <v>5666</v>
      </c>
      <c r="C3742" s="293" t="s">
        <v>6104</v>
      </c>
      <c r="D3742" s="293" t="s">
        <v>5878</v>
      </c>
      <c r="E3742" s="293" t="s">
        <v>6297</v>
      </c>
      <c r="F3742" s="293" t="s">
        <v>7664</v>
      </c>
      <c r="G3742" s="293" t="s">
        <v>5580</v>
      </c>
      <c r="H3742" s="294">
        <v>43100</v>
      </c>
      <c r="I3742" s="295">
        <v>-274.12</v>
      </c>
    </row>
    <row r="3743" spans="1:9" x14ac:dyDescent="0.2">
      <c r="A3743" s="293" t="s">
        <v>9486</v>
      </c>
      <c r="B3743" s="293" t="s">
        <v>5666</v>
      </c>
      <c r="C3743" s="293" t="s">
        <v>6106</v>
      </c>
      <c r="D3743" s="293" t="s">
        <v>5878</v>
      </c>
      <c r="E3743" s="293" t="s">
        <v>6299</v>
      </c>
      <c r="F3743" s="293" t="s">
        <v>7664</v>
      </c>
      <c r="G3743" s="293" t="s">
        <v>5580</v>
      </c>
      <c r="H3743" s="294">
        <v>43100</v>
      </c>
      <c r="I3743" s="295">
        <v>-1347.95</v>
      </c>
    </row>
    <row r="3744" spans="1:9" x14ac:dyDescent="0.2">
      <c r="A3744" s="293" t="s">
        <v>9487</v>
      </c>
      <c r="B3744" s="293" t="s">
        <v>5666</v>
      </c>
      <c r="C3744" s="293" t="s">
        <v>6108</v>
      </c>
      <c r="D3744" s="293" t="s">
        <v>5878</v>
      </c>
      <c r="E3744" s="293" t="s">
        <v>6301</v>
      </c>
      <c r="F3744" s="293" t="s">
        <v>7664</v>
      </c>
      <c r="G3744" s="293" t="s">
        <v>5580</v>
      </c>
      <c r="H3744" s="294">
        <v>43100</v>
      </c>
      <c r="I3744" s="295">
        <v>-1918.86</v>
      </c>
    </row>
    <row r="3745" spans="1:9" x14ac:dyDescent="0.2">
      <c r="A3745" s="293" t="s">
        <v>9488</v>
      </c>
      <c r="B3745" s="293" t="s">
        <v>5666</v>
      </c>
      <c r="C3745" s="293" t="s">
        <v>6110</v>
      </c>
      <c r="D3745" s="293" t="s">
        <v>5878</v>
      </c>
      <c r="E3745" s="293" t="s">
        <v>6303</v>
      </c>
      <c r="F3745" s="293" t="s">
        <v>7664</v>
      </c>
      <c r="G3745" s="293" t="s">
        <v>5573</v>
      </c>
      <c r="H3745" s="294">
        <v>43100</v>
      </c>
      <c r="I3745" s="295">
        <v>-1780.13</v>
      </c>
    </row>
    <row r="3746" spans="1:9" x14ac:dyDescent="0.2">
      <c r="A3746" s="293" t="s">
        <v>9489</v>
      </c>
      <c r="B3746" s="293" t="s">
        <v>5666</v>
      </c>
      <c r="C3746" s="293" t="s">
        <v>6115</v>
      </c>
      <c r="D3746" s="293" t="s">
        <v>5878</v>
      </c>
      <c r="E3746" s="293" t="s">
        <v>6305</v>
      </c>
      <c r="F3746" s="293" t="s">
        <v>7664</v>
      </c>
      <c r="G3746" s="293" t="s">
        <v>5581</v>
      </c>
      <c r="H3746" s="294">
        <v>43100</v>
      </c>
      <c r="I3746" s="295">
        <v>-2230.71</v>
      </c>
    </row>
    <row r="3747" spans="1:9" x14ac:dyDescent="0.2">
      <c r="A3747" s="293" t="s">
        <v>9490</v>
      </c>
      <c r="B3747" s="293" t="s">
        <v>5666</v>
      </c>
      <c r="C3747" s="293" t="s">
        <v>6086</v>
      </c>
      <c r="D3747" s="293" t="s">
        <v>5878</v>
      </c>
      <c r="E3747" s="293" t="s">
        <v>6307</v>
      </c>
      <c r="F3747" s="293" t="s">
        <v>7664</v>
      </c>
      <c r="G3747" s="293" t="s">
        <v>5581</v>
      </c>
      <c r="H3747" s="294">
        <v>43100</v>
      </c>
      <c r="I3747" s="295">
        <v>-2490.34</v>
      </c>
    </row>
    <row r="3748" spans="1:9" x14ac:dyDescent="0.2">
      <c r="A3748" s="293" t="s">
        <v>9491</v>
      </c>
      <c r="B3748" s="293" t="s">
        <v>5666</v>
      </c>
      <c r="C3748" s="293" t="s">
        <v>6113</v>
      </c>
      <c r="D3748" s="293" t="s">
        <v>5878</v>
      </c>
      <c r="E3748" s="293" t="s">
        <v>6316</v>
      </c>
      <c r="F3748" s="293" t="s">
        <v>7664</v>
      </c>
      <c r="G3748" s="293" t="s">
        <v>5573</v>
      </c>
      <c r="H3748" s="294">
        <v>43100</v>
      </c>
      <c r="I3748" s="295">
        <v>-5336.81</v>
      </c>
    </row>
    <row r="3749" spans="1:9" x14ac:dyDescent="0.2">
      <c r="A3749" s="293" t="s">
        <v>9492</v>
      </c>
      <c r="B3749" s="293" t="s">
        <v>5666</v>
      </c>
      <c r="C3749" s="293" t="s">
        <v>6313</v>
      </c>
      <c r="D3749" s="293" t="s">
        <v>5878</v>
      </c>
      <c r="E3749" s="293" t="s">
        <v>6314</v>
      </c>
      <c r="F3749" s="293" t="s">
        <v>7664</v>
      </c>
      <c r="G3749" s="293" t="s">
        <v>5576</v>
      </c>
      <c r="H3749" s="294">
        <v>43100</v>
      </c>
      <c r="I3749" s="295">
        <v>-4207.3500000000004</v>
      </c>
    </row>
    <row r="3750" spans="1:9" x14ac:dyDescent="0.2">
      <c r="A3750" s="293" t="s">
        <v>9493</v>
      </c>
      <c r="B3750" s="293" t="s">
        <v>5666</v>
      </c>
      <c r="C3750" s="293" t="s">
        <v>6272</v>
      </c>
      <c r="D3750" s="293" t="s">
        <v>5878</v>
      </c>
      <c r="E3750" s="293" t="s">
        <v>6273</v>
      </c>
      <c r="F3750" s="293" t="s">
        <v>7682</v>
      </c>
      <c r="G3750" s="293" t="s">
        <v>5576</v>
      </c>
      <c r="H3750" s="294">
        <v>43131</v>
      </c>
      <c r="I3750" s="295">
        <v>-3340.78</v>
      </c>
    </row>
    <row r="3751" spans="1:9" x14ac:dyDescent="0.2">
      <c r="A3751" s="293" t="s">
        <v>9494</v>
      </c>
      <c r="B3751" s="293" t="s">
        <v>5666</v>
      </c>
      <c r="C3751" s="293" t="s">
        <v>6124</v>
      </c>
      <c r="D3751" s="293" t="s">
        <v>5878</v>
      </c>
      <c r="E3751" s="293" t="s">
        <v>6277</v>
      </c>
      <c r="F3751" s="293" t="s">
        <v>7682</v>
      </c>
      <c r="G3751" s="293" t="s">
        <v>5578</v>
      </c>
      <c r="H3751" s="294">
        <v>43131</v>
      </c>
      <c r="I3751" s="295">
        <v>-1019.33</v>
      </c>
    </row>
    <row r="3752" spans="1:9" x14ac:dyDescent="0.2">
      <c r="A3752" s="293" t="s">
        <v>9495</v>
      </c>
      <c r="B3752" s="293" t="s">
        <v>5666</v>
      </c>
      <c r="C3752" s="293" t="s">
        <v>6126</v>
      </c>
      <c r="D3752" s="293" t="s">
        <v>5878</v>
      </c>
      <c r="E3752" s="293" t="s">
        <v>6279</v>
      </c>
      <c r="F3752" s="293" t="s">
        <v>7682</v>
      </c>
      <c r="G3752" s="293" t="s">
        <v>5579</v>
      </c>
      <c r="H3752" s="294">
        <v>43131</v>
      </c>
      <c r="I3752" s="295">
        <v>-857.57</v>
      </c>
    </row>
    <row r="3753" spans="1:9" x14ac:dyDescent="0.2">
      <c r="A3753" s="293" t="s">
        <v>9496</v>
      </c>
      <c r="B3753" s="293" t="s">
        <v>5666</v>
      </c>
      <c r="C3753" s="293" t="s">
        <v>6091</v>
      </c>
      <c r="D3753" s="293" t="s">
        <v>5878</v>
      </c>
      <c r="E3753" s="293" t="s">
        <v>6281</v>
      </c>
      <c r="F3753" s="293" t="s">
        <v>7682</v>
      </c>
      <c r="G3753" s="293" t="s">
        <v>5573</v>
      </c>
      <c r="H3753" s="294">
        <v>43131</v>
      </c>
      <c r="I3753" s="295">
        <v>-3125.47</v>
      </c>
    </row>
    <row r="3754" spans="1:9" x14ac:dyDescent="0.2">
      <c r="A3754" s="293" t="s">
        <v>9497</v>
      </c>
      <c r="B3754" s="293" t="s">
        <v>5666</v>
      </c>
      <c r="C3754" s="293" t="s">
        <v>6093</v>
      </c>
      <c r="D3754" s="293" t="s">
        <v>5878</v>
      </c>
      <c r="E3754" s="293" t="s">
        <v>6283</v>
      </c>
      <c r="F3754" s="293" t="s">
        <v>7682</v>
      </c>
      <c r="G3754" s="293" t="s">
        <v>5573</v>
      </c>
      <c r="H3754" s="294">
        <v>43131</v>
      </c>
      <c r="I3754" s="295">
        <v>-4451.78</v>
      </c>
    </row>
    <row r="3755" spans="1:9" x14ac:dyDescent="0.2">
      <c r="A3755" s="293" t="s">
        <v>9498</v>
      </c>
      <c r="B3755" s="293" t="s">
        <v>5666</v>
      </c>
      <c r="C3755" s="293" t="s">
        <v>6080</v>
      </c>
      <c r="D3755" s="293" t="s">
        <v>5878</v>
      </c>
      <c r="E3755" s="293" t="s">
        <v>6285</v>
      </c>
      <c r="F3755" s="293" t="s">
        <v>7682</v>
      </c>
      <c r="G3755" s="293" t="s">
        <v>5573</v>
      </c>
      <c r="H3755" s="294">
        <v>43131</v>
      </c>
      <c r="I3755" s="295">
        <v>-10077.08</v>
      </c>
    </row>
    <row r="3756" spans="1:9" x14ac:dyDescent="0.2">
      <c r="A3756" s="293" t="s">
        <v>9499</v>
      </c>
      <c r="B3756" s="293" t="s">
        <v>5666</v>
      </c>
      <c r="C3756" s="293" t="s">
        <v>6095</v>
      </c>
      <c r="D3756" s="293" t="s">
        <v>5878</v>
      </c>
      <c r="E3756" s="293" t="s">
        <v>6287</v>
      </c>
      <c r="F3756" s="293" t="s">
        <v>7682</v>
      </c>
      <c r="G3756" s="293" t="s">
        <v>5580</v>
      </c>
      <c r="H3756" s="294">
        <v>43131</v>
      </c>
      <c r="I3756" s="295">
        <v>-5589.54</v>
      </c>
    </row>
    <row r="3757" spans="1:9" x14ac:dyDescent="0.2">
      <c r="A3757" s="293" t="s">
        <v>9500</v>
      </c>
      <c r="B3757" s="293" t="s">
        <v>5666</v>
      </c>
      <c r="C3757" s="293" t="s">
        <v>6097</v>
      </c>
      <c r="D3757" s="293" t="s">
        <v>5878</v>
      </c>
      <c r="E3757" s="293" t="s">
        <v>6289</v>
      </c>
      <c r="F3757" s="293" t="s">
        <v>7682</v>
      </c>
      <c r="G3757" s="293" t="s">
        <v>5580</v>
      </c>
      <c r="H3757" s="294">
        <v>43131</v>
      </c>
      <c r="I3757" s="295">
        <v>-10099.59</v>
      </c>
    </row>
    <row r="3758" spans="1:9" x14ac:dyDescent="0.2">
      <c r="A3758" s="293" t="s">
        <v>9501</v>
      </c>
      <c r="B3758" s="293" t="s">
        <v>5666</v>
      </c>
      <c r="C3758" s="293" t="s">
        <v>6099</v>
      </c>
      <c r="D3758" s="293" t="s">
        <v>5878</v>
      </c>
      <c r="E3758" s="293" t="s">
        <v>6291</v>
      </c>
      <c r="F3758" s="293" t="s">
        <v>7682</v>
      </c>
      <c r="G3758" s="293" t="s">
        <v>5579</v>
      </c>
      <c r="H3758" s="294">
        <v>43131</v>
      </c>
      <c r="I3758" s="295">
        <v>-1407.23</v>
      </c>
    </row>
    <row r="3759" spans="1:9" x14ac:dyDescent="0.2">
      <c r="A3759" s="293" t="s">
        <v>9502</v>
      </c>
      <c r="B3759" s="293" t="s">
        <v>5666</v>
      </c>
      <c r="C3759" s="293" t="s">
        <v>6083</v>
      </c>
      <c r="D3759" s="293" t="s">
        <v>5878</v>
      </c>
      <c r="E3759" s="293" t="s">
        <v>6293</v>
      </c>
      <c r="F3759" s="293" t="s">
        <v>7682</v>
      </c>
      <c r="G3759" s="293" t="s">
        <v>5579</v>
      </c>
      <c r="H3759" s="294">
        <v>43131</v>
      </c>
      <c r="I3759" s="295">
        <v>-2524.9</v>
      </c>
    </row>
    <row r="3760" spans="1:9" x14ac:dyDescent="0.2">
      <c r="A3760" s="293" t="s">
        <v>9503</v>
      </c>
      <c r="B3760" s="293" t="s">
        <v>5666</v>
      </c>
      <c r="C3760" s="293" t="s">
        <v>6101</v>
      </c>
      <c r="D3760" s="293" t="s">
        <v>5878</v>
      </c>
      <c r="E3760" s="293" t="s">
        <v>6295</v>
      </c>
      <c r="F3760" s="293" t="s">
        <v>7682</v>
      </c>
      <c r="G3760" s="293" t="s">
        <v>5580</v>
      </c>
      <c r="H3760" s="294">
        <v>43131</v>
      </c>
      <c r="I3760" s="295">
        <v>-193.73</v>
      </c>
    </row>
    <row r="3761" spans="1:9" x14ac:dyDescent="0.2">
      <c r="A3761" s="293" t="s">
        <v>9504</v>
      </c>
      <c r="B3761" s="293" t="s">
        <v>5666</v>
      </c>
      <c r="C3761" s="293" t="s">
        <v>6104</v>
      </c>
      <c r="D3761" s="293" t="s">
        <v>5878</v>
      </c>
      <c r="E3761" s="293" t="s">
        <v>6297</v>
      </c>
      <c r="F3761" s="293" t="s">
        <v>7682</v>
      </c>
      <c r="G3761" s="293" t="s">
        <v>5580</v>
      </c>
      <c r="H3761" s="294">
        <v>43131</v>
      </c>
      <c r="I3761" s="295">
        <v>-274.12</v>
      </c>
    </row>
    <row r="3762" spans="1:9" x14ac:dyDescent="0.2">
      <c r="A3762" s="293" t="s">
        <v>9505</v>
      </c>
      <c r="B3762" s="293" t="s">
        <v>5666</v>
      </c>
      <c r="C3762" s="293" t="s">
        <v>6106</v>
      </c>
      <c r="D3762" s="293" t="s">
        <v>5878</v>
      </c>
      <c r="E3762" s="293" t="s">
        <v>6299</v>
      </c>
      <c r="F3762" s="293" t="s">
        <v>7682</v>
      </c>
      <c r="G3762" s="293" t="s">
        <v>5580</v>
      </c>
      <c r="H3762" s="294">
        <v>43131</v>
      </c>
      <c r="I3762" s="295">
        <v>-1347.95</v>
      </c>
    </row>
    <row r="3763" spans="1:9" x14ac:dyDescent="0.2">
      <c r="A3763" s="293" t="s">
        <v>9506</v>
      </c>
      <c r="B3763" s="293" t="s">
        <v>5666</v>
      </c>
      <c r="C3763" s="293" t="s">
        <v>6108</v>
      </c>
      <c r="D3763" s="293" t="s">
        <v>5878</v>
      </c>
      <c r="E3763" s="293" t="s">
        <v>6301</v>
      </c>
      <c r="F3763" s="293" t="s">
        <v>7682</v>
      </c>
      <c r="G3763" s="293" t="s">
        <v>5580</v>
      </c>
      <c r="H3763" s="294">
        <v>43131</v>
      </c>
      <c r="I3763" s="295">
        <v>-1918.86</v>
      </c>
    </row>
    <row r="3764" spans="1:9" x14ac:dyDescent="0.2">
      <c r="A3764" s="293" t="s">
        <v>9507</v>
      </c>
      <c r="B3764" s="293" t="s">
        <v>5666</v>
      </c>
      <c r="C3764" s="293" t="s">
        <v>6110</v>
      </c>
      <c r="D3764" s="293" t="s">
        <v>5878</v>
      </c>
      <c r="E3764" s="293" t="s">
        <v>6303</v>
      </c>
      <c r="F3764" s="293" t="s">
        <v>7682</v>
      </c>
      <c r="G3764" s="293" t="s">
        <v>5573</v>
      </c>
      <c r="H3764" s="294">
        <v>43131</v>
      </c>
      <c r="I3764" s="295">
        <v>-1780.13</v>
      </c>
    </row>
    <row r="3765" spans="1:9" x14ac:dyDescent="0.2">
      <c r="A3765" s="293" t="s">
        <v>9508</v>
      </c>
      <c r="B3765" s="293" t="s">
        <v>5666</v>
      </c>
      <c r="C3765" s="293" t="s">
        <v>6115</v>
      </c>
      <c r="D3765" s="293" t="s">
        <v>5878</v>
      </c>
      <c r="E3765" s="293" t="s">
        <v>6305</v>
      </c>
      <c r="F3765" s="293" t="s">
        <v>7682</v>
      </c>
      <c r="G3765" s="293" t="s">
        <v>5581</v>
      </c>
      <c r="H3765" s="294">
        <v>43131</v>
      </c>
      <c r="I3765" s="295">
        <v>-2230.71</v>
      </c>
    </row>
    <row r="3766" spans="1:9" x14ac:dyDescent="0.2">
      <c r="A3766" s="293" t="s">
        <v>9509</v>
      </c>
      <c r="B3766" s="293" t="s">
        <v>5666</v>
      </c>
      <c r="C3766" s="293" t="s">
        <v>6086</v>
      </c>
      <c r="D3766" s="293" t="s">
        <v>5878</v>
      </c>
      <c r="E3766" s="293" t="s">
        <v>6307</v>
      </c>
      <c r="F3766" s="293" t="s">
        <v>7682</v>
      </c>
      <c r="G3766" s="293" t="s">
        <v>5581</v>
      </c>
      <c r="H3766" s="294">
        <v>43131</v>
      </c>
      <c r="I3766" s="295">
        <v>-2490.34</v>
      </c>
    </row>
    <row r="3767" spans="1:9" x14ac:dyDescent="0.2">
      <c r="A3767" s="293" t="s">
        <v>9510</v>
      </c>
      <c r="B3767" s="293" t="s">
        <v>5666</v>
      </c>
      <c r="C3767" s="293" t="s">
        <v>6113</v>
      </c>
      <c r="D3767" s="293" t="s">
        <v>5878</v>
      </c>
      <c r="E3767" s="293" t="s">
        <v>6316</v>
      </c>
      <c r="F3767" s="293" t="s">
        <v>7682</v>
      </c>
      <c r="G3767" s="293" t="s">
        <v>5573</v>
      </c>
      <c r="H3767" s="294">
        <v>43131</v>
      </c>
      <c r="I3767" s="295">
        <v>-5336.81</v>
      </c>
    </row>
    <row r="3768" spans="1:9" x14ac:dyDescent="0.2">
      <c r="A3768" s="293" t="s">
        <v>9511</v>
      </c>
      <c r="B3768" s="293" t="s">
        <v>5666</v>
      </c>
      <c r="C3768" s="293" t="s">
        <v>6313</v>
      </c>
      <c r="D3768" s="293" t="s">
        <v>5878</v>
      </c>
      <c r="E3768" s="293" t="s">
        <v>6314</v>
      </c>
      <c r="F3768" s="293" t="s">
        <v>7682</v>
      </c>
      <c r="G3768" s="293" t="s">
        <v>5576</v>
      </c>
      <c r="H3768" s="294">
        <v>43131</v>
      </c>
      <c r="I3768" s="295">
        <v>-4207.3500000000004</v>
      </c>
    </row>
    <row r="3769" spans="1:9" x14ac:dyDescent="0.2">
      <c r="A3769" s="293" t="s">
        <v>9512</v>
      </c>
      <c r="B3769" s="293" t="s">
        <v>5666</v>
      </c>
      <c r="C3769" s="293" t="s">
        <v>6272</v>
      </c>
      <c r="D3769" s="293" t="s">
        <v>5878</v>
      </c>
      <c r="E3769" s="293" t="s">
        <v>6273</v>
      </c>
      <c r="F3769" s="293" t="s">
        <v>7700</v>
      </c>
      <c r="G3769" s="293" t="s">
        <v>5576</v>
      </c>
      <c r="H3769" s="294">
        <v>43159</v>
      </c>
      <c r="I3769" s="295">
        <v>-3340.78</v>
      </c>
    </row>
    <row r="3770" spans="1:9" x14ac:dyDescent="0.2">
      <c r="A3770" s="293" t="s">
        <v>7986</v>
      </c>
      <c r="B3770" s="293" t="s">
        <v>5666</v>
      </c>
      <c r="C3770" s="293" t="s">
        <v>6124</v>
      </c>
      <c r="D3770" s="293" t="s">
        <v>5878</v>
      </c>
      <c r="E3770" s="293" t="s">
        <v>6277</v>
      </c>
      <c r="F3770" s="293" t="s">
        <v>7700</v>
      </c>
      <c r="G3770" s="293" t="s">
        <v>5578</v>
      </c>
      <c r="H3770" s="294">
        <v>43159</v>
      </c>
      <c r="I3770" s="295">
        <v>-1019.33</v>
      </c>
    </row>
    <row r="3771" spans="1:9" x14ac:dyDescent="0.2">
      <c r="A3771" s="293" t="s">
        <v>7988</v>
      </c>
      <c r="B3771" s="293" t="s">
        <v>5666</v>
      </c>
      <c r="C3771" s="293" t="s">
        <v>6126</v>
      </c>
      <c r="D3771" s="293" t="s">
        <v>5878</v>
      </c>
      <c r="E3771" s="293" t="s">
        <v>6279</v>
      </c>
      <c r="F3771" s="293" t="s">
        <v>7700</v>
      </c>
      <c r="G3771" s="293" t="s">
        <v>5579</v>
      </c>
      <c r="H3771" s="294">
        <v>43159</v>
      </c>
      <c r="I3771" s="295">
        <v>-857.57</v>
      </c>
    </row>
    <row r="3772" spans="1:9" x14ac:dyDescent="0.2">
      <c r="A3772" s="293" t="s">
        <v>7989</v>
      </c>
      <c r="B3772" s="293" t="s">
        <v>5666</v>
      </c>
      <c r="C3772" s="293" t="s">
        <v>6091</v>
      </c>
      <c r="D3772" s="293" t="s">
        <v>5878</v>
      </c>
      <c r="E3772" s="293" t="s">
        <v>6281</v>
      </c>
      <c r="F3772" s="293" t="s">
        <v>7700</v>
      </c>
      <c r="G3772" s="293" t="s">
        <v>5573</v>
      </c>
      <c r="H3772" s="294">
        <v>43159</v>
      </c>
      <c r="I3772" s="295">
        <v>-3125.47</v>
      </c>
    </row>
    <row r="3773" spans="1:9" x14ac:dyDescent="0.2">
      <c r="A3773" s="293" t="s">
        <v>7990</v>
      </c>
      <c r="B3773" s="293" t="s">
        <v>5666</v>
      </c>
      <c r="C3773" s="293" t="s">
        <v>6093</v>
      </c>
      <c r="D3773" s="293" t="s">
        <v>5878</v>
      </c>
      <c r="E3773" s="293" t="s">
        <v>6283</v>
      </c>
      <c r="F3773" s="293" t="s">
        <v>7700</v>
      </c>
      <c r="G3773" s="293" t="s">
        <v>5573</v>
      </c>
      <c r="H3773" s="294">
        <v>43159</v>
      </c>
      <c r="I3773" s="295">
        <v>-4451.78</v>
      </c>
    </row>
    <row r="3774" spans="1:9" x14ac:dyDescent="0.2">
      <c r="A3774" s="293" t="s">
        <v>7991</v>
      </c>
      <c r="B3774" s="293" t="s">
        <v>5666</v>
      </c>
      <c r="C3774" s="293" t="s">
        <v>6080</v>
      </c>
      <c r="D3774" s="293" t="s">
        <v>5878</v>
      </c>
      <c r="E3774" s="293" t="s">
        <v>6285</v>
      </c>
      <c r="F3774" s="293" t="s">
        <v>7700</v>
      </c>
      <c r="G3774" s="293" t="s">
        <v>5573</v>
      </c>
      <c r="H3774" s="294">
        <v>43159</v>
      </c>
      <c r="I3774" s="295">
        <v>-10077.08</v>
      </c>
    </row>
    <row r="3775" spans="1:9" x14ac:dyDescent="0.2">
      <c r="A3775" s="293" t="s">
        <v>7992</v>
      </c>
      <c r="B3775" s="293" t="s">
        <v>5666</v>
      </c>
      <c r="C3775" s="293" t="s">
        <v>6095</v>
      </c>
      <c r="D3775" s="293" t="s">
        <v>5878</v>
      </c>
      <c r="E3775" s="293" t="s">
        <v>6287</v>
      </c>
      <c r="F3775" s="293" t="s">
        <v>7700</v>
      </c>
      <c r="G3775" s="293" t="s">
        <v>5580</v>
      </c>
      <c r="H3775" s="294">
        <v>43159</v>
      </c>
      <c r="I3775" s="295">
        <v>-5589.54</v>
      </c>
    </row>
    <row r="3776" spans="1:9" x14ac:dyDescent="0.2">
      <c r="A3776" s="293" t="s">
        <v>7993</v>
      </c>
      <c r="B3776" s="293" t="s">
        <v>5666</v>
      </c>
      <c r="C3776" s="293" t="s">
        <v>6097</v>
      </c>
      <c r="D3776" s="293" t="s">
        <v>5878</v>
      </c>
      <c r="E3776" s="293" t="s">
        <v>6289</v>
      </c>
      <c r="F3776" s="293" t="s">
        <v>7700</v>
      </c>
      <c r="G3776" s="293" t="s">
        <v>5580</v>
      </c>
      <c r="H3776" s="294">
        <v>43159</v>
      </c>
      <c r="I3776" s="295">
        <v>-10099.59</v>
      </c>
    </row>
    <row r="3777" spans="1:9" x14ac:dyDescent="0.2">
      <c r="A3777" s="293" t="s">
        <v>7994</v>
      </c>
      <c r="B3777" s="293" t="s">
        <v>5666</v>
      </c>
      <c r="C3777" s="293" t="s">
        <v>6099</v>
      </c>
      <c r="D3777" s="293" t="s">
        <v>5878</v>
      </c>
      <c r="E3777" s="293" t="s">
        <v>6291</v>
      </c>
      <c r="F3777" s="293" t="s">
        <v>7700</v>
      </c>
      <c r="G3777" s="293" t="s">
        <v>5579</v>
      </c>
      <c r="H3777" s="294">
        <v>43159</v>
      </c>
      <c r="I3777" s="295">
        <v>-1407.23</v>
      </c>
    </row>
    <row r="3778" spans="1:9" x14ac:dyDescent="0.2">
      <c r="A3778" s="293" t="s">
        <v>7995</v>
      </c>
      <c r="B3778" s="293" t="s">
        <v>5666</v>
      </c>
      <c r="C3778" s="293" t="s">
        <v>6083</v>
      </c>
      <c r="D3778" s="293" t="s">
        <v>5878</v>
      </c>
      <c r="E3778" s="293" t="s">
        <v>6293</v>
      </c>
      <c r="F3778" s="293" t="s">
        <v>7700</v>
      </c>
      <c r="G3778" s="293" t="s">
        <v>5579</v>
      </c>
      <c r="H3778" s="294">
        <v>43159</v>
      </c>
      <c r="I3778" s="295">
        <v>-2524.9</v>
      </c>
    </row>
    <row r="3779" spans="1:9" x14ac:dyDescent="0.2">
      <c r="A3779" s="293" t="s">
        <v>9513</v>
      </c>
      <c r="B3779" s="293" t="s">
        <v>5666</v>
      </c>
      <c r="C3779" s="293" t="s">
        <v>6101</v>
      </c>
      <c r="D3779" s="293" t="s">
        <v>5878</v>
      </c>
      <c r="E3779" s="293" t="s">
        <v>6295</v>
      </c>
      <c r="F3779" s="293" t="s">
        <v>7700</v>
      </c>
      <c r="G3779" s="293" t="s">
        <v>5580</v>
      </c>
      <c r="H3779" s="294">
        <v>43159</v>
      </c>
      <c r="I3779" s="295">
        <v>-193.73</v>
      </c>
    </row>
    <row r="3780" spans="1:9" x14ac:dyDescent="0.2">
      <c r="A3780" s="293" t="s">
        <v>9514</v>
      </c>
      <c r="B3780" s="293" t="s">
        <v>5666</v>
      </c>
      <c r="C3780" s="293" t="s">
        <v>6104</v>
      </c>
      <c r="D3780" s="293" t="s">
        <v>5878</v>
      </c>
      <c r="E3780" s="293" t="s">
        <v>6297</v>
      </c>
      <c r="F3780" s="293" t="s">
        <v>7700</v>
      </c>
      <c r="G3780" s="293" t="s">
        <v>5580</v>
      </c>
      <c r="H3780" s="294">
        <v>43159</v>
      </c>
      <c r="I3780" s="295">
        <v>-274.12</v>
      </c>
    </row>
    <row r="3781" spans="1:9" x14ac:dyDescent="0.2">
      <c r="A3781" s="293" t="s">
        <v>9515</v>
      </c>
      <c r="B3781" s="293" t="s">
        <v>5666</v>
      </c>
      <c r="C3781" s="293" t="s">
        <v>6106</v>
      </c>
      <c r="D3781" s="293" t="s">
        <v>5878</v>
      </c>
      <c r="E3781" s="293" t="s">
        <v>6299</v>
      </c>
      <c r="F3781" s="293" t="s">
        <v>7700</v>
      </c>
      <c r="G3781" s="293" t="s">
        <v>5580</v>
      </c>
      <c r="H3781" s="294">
        <v>43159</v>
      </c>
      <c r="I3781" s="295">
        <v>-1347.95</v>
      </c>
    </row>
    <row r="3782" spans="1:9" x14ac:dyDescent="0.2">
      <c r="A3782" s="293" t="s">
        <v>9516</v>
      </c>
      <c r="B3782" s="293" t="s">
        <v>5666</v>
      </c>
      <c r="C3782" s="293" t="s">
        <v>6108</v>
      </c>
      <c r="D3782" s="293" t="s">
        <v>5878</v>
      </c>
      <c r="E3782" s="293" t="s">
        <v>6301</v>
      </c>
      <c r="F3782" s="293" t="s">
        <v>7700</v>
      </c>
      <c r="G3782" s="293" t="s">
        <v>5580</v>
      </c>
      <c r="H3782" s="294">
        <v>43159</v>
      </c>
      <c r="I3782" s="295">
        <v>-1918.86</v>
      </c>
    </row>
    <row r="3783" spans="1:9" x14ac:dyDescent="0.2">
      <c r="A3783" s="293" t="s">
        <v>9517</v>
      </c>
      <c r="B3783" s="293" t="s">
        <v>5666</v>
      </c>
      <c r="C3783" s="293" t="s">
        <v>6110</v>
      </c>
      <c r="D3783" s="293" t="s">
        <v>5878</v>
      </c>
      <c r="E3783" s="293" t="s">
        <v>6303</v>
      </c>
      <c r="F3783" s="293" t="s">
        <v>7700</v>
      </c>
      <c r="G3783" s="293" t="s">
        <v>5573</v>
      </c>
      <c r="H3783" s="294">
        <v>43159</v>
      </c>
      <c r="I3783" s="295">
        <v>-1780.13</v>
      </c>
    </row>
    <row r="3784" spans="1:9" x14ac:dyDescent="0.2">
      <c r="A3784" s="293" t="s">
        <v>9518</v>
      </c>
      <c r="B3784" s="293" t="s">
        <v>5666</v>
      </c>
      <c r="C3784" s="293" t="s">
        <v>6115</v>
      </c>
      <c r="D3784" s="293" t="s">
        <v>5878</v>
      </c>
      <c r="E3784" s="293" t="s">
        <v>6305</v>
      </c>
      <c r="F3784" s="293" t="s">
        <v>7700</v>
      </c>
      <c r="G3784" s="293" t="s">
        <v>5581</v>
      </c>
      <c r="H3784" s="294">
        <v>43159</v>
      </c>
      <c r="I3784" s="295">
        <v>-2230.71</v>
      </c>
    </row>
    <row r="3785" spans="1:9" x14ac:dyDescent="0.2">
      <c r="A3785" s="293" t="s">
        <v>9519</v>
      </c>
      <c r="B3785" s="293" t="s">
        <v>5666</v>
      </c>
      <c r="C3785" s="293" t="s">
        <v>6086</v>
      </c>
      <c r="D3785" s="293" t="s">
        <v>5878</v>
      </c>
      <c r="E3785" s="293" t="s">
        <v>6307</v>
      </c>
      <c r="F3785" s="293" t="s">
        <v>7700</v>
      </c>
      <c r="G3785" s="293" t="s">
        <v>5581</v>
      </c>
      <c r="H3785" s="294">
        <v>43159</v>
      </c>
      <c r="I3785" s="295">
        <v>-2490.34</v>
      </c>
    </row>
    <row r="3786" spans="1:9" x14ac:dyDescent="0.2">
      <c r="A3786" s="293" t="s">
        <v>9520</v>
      </c>
      <c r="B3786" s="293" t="s">
        <v>5666</v>
      </c>
      <c r="C3786" s="293" t="s">
        <v>6113</v>
      </c>
      <c r="D3786" s="293" t="s">
        <v>5878</v>
      </c>
      <c r="E3786" s="293" t="s">
        <v>6316</v>
      </c>
      <c r="F3786" s="293" t="s">
        <v>7700</v>
      </c>
      <c r="G3786" s="293" t="s">
        <v>5573</v>
      </c>
      <c r="H3786" s="294">
        <v>43159</v>
      </c>
      <c r="I3786" s="295">
        <v>-5336.81</v>
      </c>
    </row>
    <row r="3787" spans="1:9" x14ac:dyDescent="0.2">
      <c r="A3787" s="293" t="s">
        <v>9521</v>
      </c>
      <c r="B3787" s="293" t="s">
        <v>5666</v>
      </c>
      <c r="C3787" s="293" t="s">
        <v>6313</v>
      </c>
      <c r="D3787" s="293" t="s">
        <v>5878</v>
      </c>
      <c r="E3787" s="293" t="s">
        <v>6314</v>
      </c>
      <c r="F3787" s="293" t="s">
        <v>7700</v>
      </c>
      <c r="G3787" s="293" t="s">
        <v>5576</v>
      </c>
      <c r="H3787" s="294">
        <v>43159</v>
      </c>
      <c r="I3787" s="295">
        <v>-4207.3500000000004</v>
      </c>
    </row>
    <row r="3788" spans="1:9" x14ac:dyDescent="0.2">
      <c r="A3788" s="293" t="s">
        <v>9522</v>
      </c>
      <c r="B3788" s="293" t="s">
        <v>5666</v>
      </c>
      <c r="C3788" s="293" t="s">
        <v>6272</v>
      </c>
      <c r="D3788" s="293" t="s">
        <v>5878</v>
      </c>
      <c r="E3788" s="293" t="s">
        <v>6273</v>
      </c>
      <c r="F3788" s="293" t="s">
        <v>7718</v>
      </c>
      <c r="G3788" s="293" t="s">
        <v>5576</v>
      </c>
      <c r="H3788" s="294">
        <v>43190</v>
      </c>
      <c r="I3788" s="295">
        <v>-3340.78</v>
      </c>
    </row>
    <row r="3789" spans="1:9" x14ac:dyDescent="0.2">
      <c r="A3789" s="293" t="s">
        <v>9523</v>
      </c>
      <c r="B3789" s="293" t="s">
        <v>5666</v>
      </c>
      <c r="C3789" s="293" t="s">
        <v>6124</v>
      </c>
      <c r="D3789" s="293" t="s">
        <v>5878</v>
      </c>
      <c r="E3789" s="293" t="s">
        <v>6277</v>
      </c>
      <c r="F3789" s="293" t="s">
        <v>7718</v>
      </c>
      <c r="G3789" s="293" t="s">
        <v>5578</v>
      </c>
      <c r="H3789" s="294">
        <v>43190</v>
      </c>
      <c r="I3789" s="295">
        <v>-1019.33</v>
      </c>
    </row>
    <row r="3790" spans="1:9" x14ac:dyDescent="0.2">
      <c r="A3790" s="293" t="s">
        <v>9524</v>
      </c>
      <c r="B3790" s="293" t="s">
        <v>5666</v>
      </c>
      <c r="C3790" s="293" t="s">
        <v>6126</v>
      </c>
      <c r="D3790" s="293" t="s">
        <v>5878</v>
      </c>
      <c r="E3790" s="293" t="s">
        <v>6279</v>
      </c>
      <c r="F3790" s="293" t="s">
        <v>7718</v>
      </c>
      <c r="G3790" s="293" t="s">
        <v>5579</v>
      </c>
      <c r="H3790" s="294">
        <v>43190</v>
      </c>
      <c r="I3790" s="295">
        <v>-857.57</v>
      </c>
    </row>
    <row r="3791" spans="1:9" x14ac:dyDescent="0.2">
      <c r="A3791" s="293" t="s">
        <v>9525</v>
      </c>
      <c r="B3791" s="293" t="s">
        <v>5666</v>
      </c>
      <c r="C3791" s="293" t="s">
        <v>6091</v>
      </c>
      <c r="D3791" s="293" t="s">
        <v>5878</v>
      </c>
      <c r="E3791" s="293" t="s">
        <v>6281</v>
      </c>
      <c r="F3791" s="293" t="s">
        <v>7718</v>
      </c>
      <c r="G3791" s="293" t="s">
        <v>5573</v>
      </c>
      <c r="H3791" s="294">
        <v>43190</v>
      </c>
      <c r="I3791" s="295">
        <v>-3125.47</v>
      </c>
    </row>
    <row r="3792" spans="1:9" x14ac:dyDescent="0.2">
      <c r="A3792" s="293" t="s">
        <v>9526</v>
      </c>
      <c r="B3792" s="293" t="s">
        <v>5666</v>
      </c>
      <c r="C3792" s="293" t="s">
        <v>6093</v>
      </c>
      <c r="D3792" s="293" t="s">
        <v>5878</v>
      </c>
      <c r="E3792" s="293" t="s">
        <v>6283</v>
      </c>
      <c r="F3792" s="293" t="s">
        <v>7718</v>
      </c>
      <c r="G3792" s="293" t="s">
        <v>5573</v>
      </c>
      <c r="H3792" s="294">
        <v>43190</v>
      </c>
      <c r="I3792" s="295">
        <v>-4451.78</v>
      </c>
    </row>
    <row r="3793" spans="1:9" x14ac:dyDescent="0.2">
      <c r="A3793" s="293" t="s">
        <v>9527</v>
      </c>
      <c r="B3793" s="293" t="s">
        <v>5666</v>
      </c>
      <c r="C3793" s="293" t="s">
        <v>6080</v>
      </c>
      <c r="D3793" s="293" t="s">
        <v>5878</v>
      </c>
      <c r="E3793" s="293" t="s">
        <v>6285</v>
      </c>
      <c r="F3793" s="293" t="s">
        <v>7718</v>
      </c>
      <c r="G3793" s="293" t="s">
        <v>5573</v>
      </c>
      <c r="H3793" s="294">
        <v>43190</v>
      </c>
      <c r="I3793" s="295">
        <v>-10077.08</v>
      </c>
    </row>
    <row r="3794" spans="1:9" x14ac:dyDescent="0.2">
      <c r="A3794" s="293" t="s">
        <v>9528</v>
      </c>
      <c r="B3794" s="293" t="s">
        <v>5666</v>
      </c>
      <c r="C3794" s="293" t="s">
        <v>6095</v>
      </c>
      <c r="D3794" s="293" t="s">
        <v>5878</v>
      </c>
      <c r="E3794" s="293" t="s">
        <v>6287</v>
      </c>
      <c r="F3794" s="293" t="s">
        <v>7718</v>
      </c>
      <c r="G3794" s="293" t="s">
        <v>5580</v>
      </c>
      <c r="H3794" s="294">
        <v>43190</v>
      </c>
      <c r="I3794" s="295">
        <v>-5589.54</v>
      </c>
    </row>
    <row r="3795" spans="1:9" x14ac:dyDescent="0.2">
      <c r="A3795" s="293" t="s">
        <v>9529</v>
      </c>
      <c r="B3795" s="293" t="s">
        <v>5666</v>
      </c>
      <c r="C3795" s="293" t="s">
        <v>6097</v>
      </c>
      <c r="D3795" s="293" t="s">
        <v>5878</v>
      </c>
      <c r="E3795" s="293" t="s">
        <v>6289</v>
      </c>
      <c r="F3795" s="293" t="s">
        <v>7718</v>
      </c>
      <c r="G3795" s="293" t="s">
        <v>5580</v>
      </c>
      <c r="H3795" s="294">
        <v>43190</v>
      </c>
      <c r="I3795" s="295">
        <v>-10099.59</v>
      </c>
    </row>
    <row r="3796" spans="1:9" x14ac:dyDescent="0.2">
      <c r="A3796" s="293" t="s">
        <v>9530</v>
      </c>
      <c r="B3796" s="293" t="s">
        <v>5666</v>
      </c>
      <c r="C3796" s="293" t="s">
        <v>6099</v>
      </c>
      <c r="D3796" s="293" t="s">
        <v>5878</v>
      </c>
      <c r="E3796" s="293" t="s">
        <v>6291</v>
      </c>
      <c r="F3796" s="293" t="s">
        <v>7718</v>
      </c>
      <c r="G3796" s="293" t="s">
        <v>5579</v>
      </c>
      <c r="H3796" s="294">
        <v>43190</v>
      </c>
      <c r="I3796" s="295">
        <v>-1407.23</v>
      </c>
    </row>
    <row r="3797" spans="1:9" x14ac:dyDescent="0.2">
      <c r="A3797" s="293" t="s">
        <v>9531</v>
      </c>
      <c r="B3797" s="293" t="s">
        <v>5666</v>
      </c>
      <c r="C3797" s="293" t="s">
        <v>6083</v>
      </c>
      <c r="D3797" s="293" t="s">
        <v>5878</v>
      </c>
      <c r="E3797" s="293" t="s">
        <v>6293</v>
      </c>
      <c r="F3797" s="293" t="s">
        <v>7718</v>
      </c>
      <c r="G3797" s="293" t="s">
        <v>5579</v>
      </c>
      <c r="H3797" s="294">
        <v>43190</v>
      </c>
      <c r="I3797" s="295">
        <v>-2524.9</v>
      </c>
    </row>
    <row r="3798" spans="1:9" x14ac:dyDescent="0.2">
      <c r="A3798" s="293" t="s">
        <v>9532</v>
      </c>
      <c r="B3798" s="293" t="s">
        <v>5666</v>
      </c>
      <c r="C3798" s="293" t="s">
        <v>6101</v>
      </c>
      <c r="D3798" s="293" t="s">
        <v>5878</v>
      </c>
      <c r="E3798" s="293" t="s">
        <v>6295</v>
      </c>
      <c r="F3798" s="293" t="s">
        <v>7718</v>
      </c>
      <c r="G3798" s="293" t="s">
        <v>5580</v>
      </c>
      <c r="H3798" s="294">
        <v>43190</v>
      </c>
      <c r="I3798" s="295">
        <v>-193.73</v>
      </c>
    </row>
    <row r="3799" spans="1:9" x14ac:dyDescent="0.2">
      <c r="A3799" s="293" t="s">
        <v>9533</v>
      </c>
      <c r="B3799" s="293" t="s">
        <v>5666</v>
      </c>
      <c r="C3799" s="293" t="s">
        <v>6104</v>
      </c>
      <c r="D3799" s="293" t="s">
        <v>5878</v>
      </c>
      <c r="E3799" s="293" t="s">
        <v>6297</v>
      </c>
      <c r="F3799" s="293" t="s">
        <v>7718</v>
      </c>
      <c r="G3799" s="293" t="s">
        <v>5580</v>
      </c>
      <c r="H3799" s="294">
        <v>43190</v>
      </c>
      <c r="I3799" s="295">
        <v>-274.12</v>
      </c>
    </row>
    <row r="3800" spans="1:9" x14ac:dyDescent="0.2">
      <c r="A3800" s="293" t="s">
        <v>9534</v>
      </c>
      <c r="B3800" s="293" t="s">
        <v>5666</v>
      </c>
      <c r="C3800" s="293" t="s">
        <v>6106</v>
      </c>
      <c r="D3800" s="293" t="s">
        <v>5878</v>
      </c>
      <c r="E3800" s="293" t="s">
        <v>6299</v>
      </c>
      <c r="F3800" s="293" t="s">
        <v>7718</v>
      </c>
      <c r="G3800" s="293" t="s">
        <v>5580</v>
      </c>
      <c r="H3800" s="294">
        <v>43190</v>
      </c>
      <c r="I3800" s="295">
        <v>-1347.95</v>
      </c>
    </row>
    <row r="3801" spans="1:9" x14ac:dyDescent="0.2">
      <c r="A3801" s="293" t="s">
        <v>9535</v>
      </c>
      <c r="B3801" s="293" t="s">
        <v>5666</v>
      </c>
      <c r="C3801" s="293" t="s">
        <v>6108</v>
      </c>
      <c r="D3801" s="293" t="s">
        <v>5878</v>
      </c>
      <c r="E3801" s="293" t="s">
        <v>6301</v>
      </c>
      <c r="F3801" s="293" t="s">
        <v>7718</v>
      </c>
      <c r="G3801" s="293" t="s">
        <v>5580</v>
      </c>
      <c r="H3801" s="294">
        <v>43190</v>
      </c>
      <c r="I3801" s="295">
        <v>-1918.86</v>
      </c>
    </row>
    <row r="3802" spans="1:9" x14ac:dyDescent="0.2">
      <c r="A3802" s="293" t="s">
        <v>9536</v>
      </c>
      <c r="B3802" s="293" t="s">
        <v>5666</v>
      </c>
      <c r="C3802" s="293" t="s">
        <v>6110</v>
      </c>
      <c r="D3802" s="293" t="s">
        <v>5878</v>
      </c>
      <c r="E3802" s="293" t="s">
        <v>6303</v>
      </c>
      <c r="F3802" s="293" t="s">
        <v>7718</v>
      </c>
      <c r="G3802" s="293" t="s">
        <v>5573</v>
      </c>
      <c r="H3802" s="294">
        <v>43190</v>
      </c>
      <c r="I3802" s="295">
        <v>-1780.13</v>
      </c>
    </row>
    <row r="3803" spans="1:9" x14ac:dyDescent="0.2">
      <c r="A3803" s="293" t="s">
        <v>9537</v>
      </c>
      <c r="B3803" s="293" t="s">
        <v>5666</v>
      </c>
      <c r="C3803" s="293" t="s">
        <v>6115</v>
      </c>
      <c r="D3803" s="293" t="s">
        <v>5878</v>
      </c>
      <c r="E3803" s="293" t="s">
        <v>6305</v>
      </c>
      <c r="F3803" s="293" t="s">
        <v>7718</v>
      </c>
      <c r="G3803" s="293" t="s">
        <v>5581</v>
      </c>
      <c r="H3803" s="294">
        <v>43190</v>
      </c>
      <c r="I3803" s="295">
        <v>-2230.71</v>
      </c>
    </row>
    <row r="3804" spans="1:9" x14ac:dyDescent="0.2">
      <c r="A3804" s="293" t="s">
        <v>9538</v>
      </c>
      <c r="B3804" s="293" t="s">
        <v>5666</v>
      </c>
      <c r="C3804" s="293" t="s">
        <v>6086</v>
      </c>
      <c r="D3804" s="293" t="s">
        <v>5878</v>
      </c>
      <c r="E3804" s="293" t="s">
        <v>6307</v>
      </c>
      <c r="F3804" s="293" t="s">
        <v>7718</v>
      </c>
      <c r="G3804" s="293" t="s">
        <v>5581</v>
      </c>
      <c r="H3804" s="294">
        <v>43190</v>
      </c>
      <c r="I3804" s="295">
        <v>-2490.34</v>
      </c>
    </row>
    <row r="3805" spans="1:9" x14ac:dyDescent="0.2">
      <c r="A3805" s="293" t="s">
        <v>9539</v>
      </c>
      <c r="B3805" s="293" t="s">
        <v>5666</v>
      </c>
      <c r="C3805" s="293" t="s">
        <v>6113</v>
      </c>
      <c r="D3805" s="293" t="s">
        <v>5878</v>
      </c>
      <c r="E3805" s="293" t="s">
        <v>6316</v>
      </c>
      <c r="F3805" s="293" t="s">
        <v>7718</v>
      </c>
      <c r="G3805" s="293" t="s">
        <v>5573</v>
      </c>
      <c r="H3805" s="294">
        <v>43190</v>
      </c>
      <c r="I3805" s="295">
        <v>-5336.81</v>
      </c>
    </row>
    <row r="3806" spans="1:9" x14ac:dyDescent="0.2">
      <c r="A3806" s="293" t="s">
        <v>9540</v>
      </c>
      <c r="B3806" s="293" t="s">
        <v>5666</v>
      </c>
      <c r="C3806" s="293" t="s">
        <v>6313</v>
      </c>
      <c r="D3806" s="293" t="s">
        <v>5878</v>
      </c>
      <c r="E3806" s="293" t="s">
        <v>6314</v>
      </c>
      <c r="F3806" s="293" t="s">
        <v>7718</v>
      </c>
      <c r="G3806" s="293" t="s">
        <v>5576</v>
      </c>
      <c r="H3806" s="294">
        <v>43190</v>
      </c>
      <c r="I3806" s="295">
        <v>-4207.3500000000004</v>
      </c>
    </row>
    <row r="3807" spans="1:9" x14ac:dyDescent="0.2">
      <c r="A3807" s="293" t="s">
        <v>9541</v>
      </c>
      <c r="B3807" s="293" t="s">
        <v>5666</v>
      </c>
      <c r="C3807" s="293" t="s">
        <v>6272</v>
      </c>
      <c r="D3807" s="293" t="s">
        <v>5878</v>
      </c>
      <c r="E3807" s="293" t="s">
        <v>6273</v>
      </c>
      <c r="F3807" s="293" t="s">
        <v>7741</v>
      </c>
      <c r="G3807" s="293" t="s">
        <v>5576</v>
      </c>
      <c r="H3807" s="294">
        <v>43220</v>
      </c>
      <c r="I3807" s="295">
        <v>-3340.78</v>
      </c>
    </row>
    <row r="3808" spans="1:9" x14ac:dyDescent="0.2">
      <c r="A3808" s="293" t="s">
        <v>9542</v>
      </c>
      <c r="B3808" s="293" t="s">
        <v>5666</v>
      </c>
      <c r="C3808" s="293" t="s">
        <v>6124</v>
      </c>
      <c r="D3808" s="293" t="s">
        <v>5878</v>
      </c>
      <c r="E3808" s="293" t="s">
        <v>6277</v>
      </c>
      <c r="F3808" s="293" t="s">
        <v>7741</v>
      </c>
      <c r="G3808" s="293" t="s">
        <v>5578</v>
      </c>
      <c r="H3808" s="294">
        <v>43220</v>
      </c>
      <c r="I3808" s="295">
        <v>-1019.33</v>
      </c>
    </row>
    <row r="3809" spans="1:9" x14ac:dyDescent="0.2">
      <c r="A3809" s="293" t="s">
        <v>9543</v>
      </c>
      <c r="B3809" s="293" t="s">
        <v>5666</v>
      </c>
      <c r="C3809" s="293" t="s">
        <v>6126</v>
      </c>
      <c r="D3809" s="293" t="s">
        <v>5878</v>
      </c>
      <c r="E3809" s="293" t="s">
        <v>6279</v>
      </c>
      <c r="F3809" s="293" t="s">
        <v>7741</v>
      </c>
      <c r="G3809" s="293" t="s">
        <v>5579</v>
      </c>
      <c r="H3809" s="294">
        <v>43220</v>
      </c>
      <c r="I3809" s="295">
        <v>-857.57</v>
      </c>
    </row>
    <row r="3810" spans="1:9" x14ac:dyDescent="0.2">
      <c r="A3810" s="293" t="s">
        <v>9544</v>
      </c>
      <c r="B3810" s="293" t="s">
        <v>5666</v>
      </c>
      <c r="C3810" s="293" t="s">
        <v>6091</v>
      </c>
      <c r="D3810" s="293" t="s">
        <v>5878</v>
      </c>
      <c r="E3810" s="293" t="s">
        <v>6281</v>
      </c>
      <c r="F3810" s="293" t="s">
        <v>7741</v>
      </c>
      <c r="G3810" s="293" t="s">
        <v>5573</v>
      </c>
      <c r="H3810" s="294">
        <v>43220</v>
      </c>
      <c r="I3810" s="295">
        <v>-3125.47</v>
      </c>
    </row>
    <row r="3811" spans="1:9" x14ac:dyDescent="0.2">
      <c r="A3811" s="293" t="s">
        <v>9545</v>
      </c>
      <c r="B3811" s="293" t="s">
        <v>5666</v>
      </c>
      <c r="C3811" s="293" t="s">
        <v>6093</v>
      </c>
      <c r="D3811" s="293" t="s">
        <v>5878</v>
      </c>
      <c r="E3811" s="293" t="s">
        <v>6283</v>
      </c>
      <c r="F3811" s="293" t="s">
        <v>7741</v>
      </c>
      <c r="G3811" s="293" t="s">
        <v>5573</v>
      </c>
      <c r="H3811" s="294">
        <v>43220</v>
      </c>
      <c r="I3811" s="295">
        <v>-4451.78</v>
      </c>
    </row>
    <row r="3812" spans="1:9" x14ac:dyDescent="0.2">
      <c r="A3812" s="293" t="s">
        <v>9546</v>
      </c>
      <c r="B3812" s="293" t="s">
        <v>5666</v>
      </c>
      <c r="C3812" s="293" t="s">
        <v>6080</v>
      </c>
      <c r="D3812" s="293" t="s">
        <v>5878</v>
      </c>
      <c r="E3812" s="293" t="s">
        <v>6285</v>
      </c>
      <c r="F3812" s="293" t="s">
        <v>7741</v>
      </c>
      <c r="G3812" s="293" t="s">
        <v>5573</v>
      </c>
      <c r="H3812" s="294">
        <v>43220</v>
      </c>
      <c r="I3812" s="295">
        <v>-10077.08</v>
      </c>
    </row>
    <row r="3813" spans="1:9" x14ac:dyDescent="0.2">
      <c r="A3813" s="293" t="s">
        <v>9547</v>
      </c>
      <c r="B3813" s="293" t="s">
        <v>5666</v>
      </c>
      <c r="C3813" s="293" t="s">
        <v>6095</v>
      </c>
      <c r="D3813" s="293" t="s">
        <v>5878</v>
      </c>
      <c r="E3813" s="293" t="s">
        <v>6287</v>
      </c>
      <c r="F3813" s="293" t="s">
        <v>7741</v>
      </c>
      <c r="G3813" s="293" t="s">
        <v>5580</v>
      </c>
      <c r="H3813" s="294">
        <v>43220</v>
      </c>
      <c r="I3813" s="295">
        <v>-5589.54</v>
      </c>
    </row>
    <row r="3814" spans="1:9" x14ac:dyDescent="0.2">
      <c r="A3814" s="293" t="s">
        <v>9548</v>
      </c>
      <c r="B3814" s="293" t="s">
        <v>5666</v>
      </c>
      <c r="C3814" s="293" t="s">
        <v>6097</v>
      </c>
      <c r="D3814" s="293" t="s">
        <v>5878</v>
      </c>
      <c r="E3814" s="293" t="s">
        <v>6289</v>
      </c>
      <c r="F3814" s="293" t="s">
        <v>7741</v>
      </c>
      <c r="G3814" s="293" t="s">
        <v>5580</v>
      </c>
      <c r="H3814" s="294">
        <v>43220</v>
      </c>
      <c r="I3814" s="295">
        <v>-10099.59</v>
      </c>
    </row>
    <row r="3815" spans="1:9" x14ac:dyDescent="0.2">
      <c r="A3815" s="293" t="s">
        <v>9549</v>
      </c>
      <c r="B3815" s="293" t="s">
        <v>5666</v>
      </c>
      <c r="C3815" s="293" t="s">
        <v>6099</v>
      </c>
      <c r="D3815" s="293" t="s">
        <v>5878</v>
      </c>
      <c r="E3815" s="293" t="s">
        <v>6291</v>
      </c>
      <c r="F3815" s="293" t="s">
        <v>7741</v>
      </c>
      <c r="G3815" s="293" t="s">
        <v>5579</v>
      </c>
      <c r="H3815" s="294">
        <v>43220</v>
      </c>
      <c r="I3815" s="295">
        <v>-1407.23</v>
      </c>
    </row>
    <row r="3816" spans="1:9" x14ac:dyDescent="0.2">
      <c r="A3816" s="293" t="s">
        <v>9550</v>
      </c>
      <c r="B3816" s="293" t="s">
        <v>5666</v>
      </c>
      <c r="C3816" s="293" t="s">
        <v>6083</v>
      </c>
      <c r="D3816" s="293" t="s">
        <v>5878</v>
      </c>
      <c r="E3816" s="293" t="s">
        <v>6293</v>
      </c>
      <c r="F3816" s="293" t="s">
        <v>7741</v>
      </c>
      <c r="G3816" s="293" t="s">
        <v>5579</v>
      </c>
      <c r="H3816" s="294">
        <v>43220</v>
      </c>
      <c r="I3816" s="295">
        <v>-2524.9</v>
      </c>
    </row>
    <row r="3817" spans="1:9" x14ac:dyDescent="0.2">
      <c r="A3817" s="293" t="s">
        <v>9551</v>
      </c>
      <c r="B3817" s="293" t="s">
        <v>5666</v>
      </c>
      <c r="C3817" s="293" t="s">
        <v>6101</v>
      </c>
      <c r="D3817" s="293" t="s">
        <v>5878</v>
      </c>
      <c r="E3817" s="293" t="s">
        <v>6295</v>
      </c>
      <c r="F3817" s="293" t="s">
        <v>7741</v>
      </c>
      <c r="G3817" s="293" t="s">
        <v>5580</v>
      </c>
      <c r="H3817" s="294">
        <v>43220</v>
      </c>
      <c r="I3817" s="295">
        <v>-193.73</v>
      </c>
    </row>
    <row r="3818" spans="1:9" x14ac:dyDescent="0.2">
      <c r="A3818" s="293" t="s">
        <v>9552</v>
      </c>
      <c r="B3818" s="293" t="s">
        <v>5666</v>
      </c>
      <c r="C3818" s="293" t="s">
        <v>6104</v>
      </c>
      <c r="D3818" s="293" t="s">
        <v>5878</v>
      </c>
      <c r="E3818" s="293" t="s">
        <v>6297</v>
      </c>
      <c r="F3818" s="293" t="s">
        <v>7741</v>
      </c>
      <c r="G3818" s="293" t="s">
        <v>5580</v>
      </c>
      <c r="H3818" s="294">
        <v>43220</v>
      </c>
      <c r="I3818" s="295">
        <v>-274.12</v>
      </c>
    </row>
    <row r="3819" spans="1:9" x14ac:dyDescent="0.2">
      <c r="A3819" s="293" t="s">
        <v>9553</v>
      </c>
      <c r="B3819" s="293" t="s">
        <v>5666</v>
      </c>
      <c r="C3819" s="293" t="s">
        <v>6106</v>
      </c>
      <c r="D3819" s="293" t="s">
        <v>5878</v>
      </c>
      <c r="E3819" s="293" t="s">
        <v>6299</v>
      </c>
      <c r="F3819" s="293" t="s">
        <v>7741</v>
      </c>
      <c r="G3819" s="293" t="s">
        <v>5580</v>
      </c>
      <c r="H3819" s="294">
        <v>43220</v>
      </c>
      <c r="I3819" s="295">
        <v>-1347.95</v>
      </c>
    </row>
    <row r="3820" spans="1:9" x14ac:dyDescent="0.2">
      <c r="A3820" s="293" t="s">
        <v>9554</v>
      </c>
      <c r="B3820" s="293" t="s">
        <v>5666</v>
      </c>
      <c r="C3820" s="293" t="s">
        <v>6108</v>
      </c>
      <c r="D3820" s="293" t="s">
        <v>5878</v>
      </c>
      <c r="E3820" s="293" t="s">
        <v>6301</v>
      </c>
      <c r="F3820" s="293" t="s">
        <v>7741</v>
      </c>
      <c r="G3820" s="293" t="s">
        <v>5580</v>
      </c>
      <c r="H3820" s="294">
        <v>43220</v>
      </c>
      <c r="I3820" s="295">
        <v>-1918.86</v>
      </c>
    </row>
    <row r="3821" spans="1:9" x14ac:dyDescent="0.2">
      <c r="A3821" s="293" t="s">
        <v>9555</v>
      </c>
      <c r="B3821" s="293" t="s">
        <v>5666</v>
      </c>
      <c r="C3821" s="293" t="s">
        <v>6110</v>
      </c>
      <c r="D3821" s="293" t="s">
        <v>5878</v>
      </c>
      <c r="E3821" s="293" t="s">
        <v>6303</v>
      </c>
      <c r="F3821" s="293" t="s">
        <v>7741</v>
      </c>
      <c r="G3821" s="293" t="s">
        <v>5573</v>
      </c>
      <c r="H3821" s="294">
        <v>43220</v>
      </c>
      <c r="I3821" s="295">
        <v>-1780.13</v>
      </c>
    </row>
    <row r="3822" spans="1:9" x14ac:dyDescent="0.2">
      <c r="A3822" s="293" t="s">
        <v>9556</v>
      </c>
      <c r="B3822" s="293" t="s">
        <v>5666</v>
      </c>
      <c r="C3822" s="293" t="s">
        <v>6115</v>
      </c>
      <c r="D3822" s="293" t="s">
        <v>5878</v>
      </c>
      <c r="E3822" s="293" t="s">
        <v>6305</v>
      </c>
      <c r="F3822" s="293" t="s">
        <v>7741</v>
      </c>
      <c r="G3822" s="293" t="s">
        <v>5581</v>
      </c>
      <c r="H3822" s="294">
        <v>43220</v>
      </c>
      <c r="I3822" s="295">
        <v>-2230.71</v>
      </c>
    </row>
    <row r="3823" spans="1:9" x14ac:dyDescent="0.2">
      <c r="A3823" s="293" t="s">
        <v>9557</v>
      </c>
      <c r="B3823" s="293" t="s">
        <v>5666</v>
      </c>
      <c r="C3823" s="293" t="s">
        <v>6086</v>
      </c>
      <c r="D3823" s="293" t="s">
        <v>5878</v>
      </c>
      <c r="E3823" s="293" t="s">
        <v>6307</v>
      </c>
      <c r="F3823" s="293" t="s">
        <v>7741</v>
      </c>
      <c r="G3823" s="293" t="s">
        <v>5581</v>
      </c>
      <c r="H3823" s="294">
        <v>43220</v>
      </c>
      <c r="I3823" s="295">
        <v>-2490.34</v>
      </c>
    </row>
    <row r="3824" spans="1:9" x14ac:dyDescent="0.2">
      <c r="A3824" s="293" t="s">
        <v>9558</v>
      </c>
      <c r="B3824" s="293" t="s">
        <v>5666</v>
      </c>
      <c r="C3824" s="293" t="s">
        <v>6113</v>
      </c>
      <c r="D3824" s="293" t="s">
        <v>5878</v>
      </c>
      <c r="E3824" s="293" t="s">
        <v>6316</v>
      </c>
      <c r="F3824" s="293" t="s">
        <v>7741</v>
      </c>
      <c r="G3824" s="293" t="s">
        <v>5573</v>
      </c>
      <c r="H3824" s="294">
        <v>43220</v>
      </c>
      <c r="I3824" s="295">
        <v>-5336.81</v>
      </c>
    </row>
    <row r="3825" spans="1:9" x14ac:dyDescent="0.2">
      <c r="A3825" s="293" t="s">
        <v>9559</v>
      </c>
      <c r="B3825" s="293" t="s">
        <v>5666</v>
      </c>
      <c r="C3825" s="293" t="s">
        <v>6313</v>
      </c>
      <c r="D3825" s="293" t="s">
        <v>5878</v>
      </c>
      <c r="E3825" s="293" t="s">
        <v>6314</v>
      </c>
      <c r="F3825" s="293" t="s">
        <v>7741</v>
      </c>
      <c r="G3825" s="293" t="s">
        <v>5576</v>
      </c>
      <c r="H3825" s="294">
        <v>43220</v>
      </c>
      <c r="I3825" s="295">
        <v>-4207.3500000000004</v>
      </c>
    </row>
    <row r="3826" spans="1:9" x14ac:dyDescent="0.2">
      <c r="A3826" s="293" t="s">
        <v>9560</v>
      </c>
      <c r="B3826" s="293" t="s">
        <v>5666</v>
      </c>
      <c r="C3826" s="293" t="s">
        <v>6272</v>
      </c>
      <c r="D3826" s="293" t="s">
        <v>5878</v>
      </c>
      <c r="E3826" s="293" t="s">
        <v>6273</v>
      </c>
      <c r="F3826" s="293" t="s">
        <v>7755</v>
      </c>
      <c r="G3826" s="293" t="s">
        <v>5576</v>
      </c>
      <c r="H3826" s="294">
        <v>43251</v>
      </c>
      <c r="I3826" s="295">
        <v>-3340.78</v>
      </c>
    </row>
    <row r="3827" spans="1:9" x14ac:dyDescent="0.2">
      <c r="A3827" s="293" t="s">
        <v>9561</v>
      </c>
      <c r="B3827" s="293" t="s">
        <v>5666</v>
      </c>
      <c r="C3827" s="293" t="s">
        <v>6124</v>
      </c>
      <c r="D3827" s="293" t="s">
        <v>5878</v>
      </c>
      <c r="E3827" s="293" t="s">
        <v>6277</v>
      </c>
      <c r="F3827" s="293" t="s">
        <v>7755</v>
      </c>
      <c r="G3827" s="293" t="s">
        <v>5578</v>
      </c>
      <c r="H3827" s="294">
        <v>43251</v>
      </c>
      <c r="I3827" s="295">
        <v>-1019.33</v>
      </c>
    </row>
    <row r="3828" spans="1:9" x14ac:dyDescent="0.2">
      <c r="A3828" s="293" t="s">
        <v>9562</v>
      </c>
      <c r="B3828" s="293" t="s">
        <v>5666</v>
      </c>
      <c r="C3828" s="293" t="s">
        <v>6126</v>
      </c>
      <c r="D3828" s="293" t="s">
        <v>5878</v>
      </c>
      <c r="E3828" s="293" t="s">
        <v>6279</v>
      </c>
      <c r="F3828" s="293" t="s">
        <v>7755</v>
      </c>
      <c r="G3828" s="293" t="s">
        <v>5579</v>
      </c>
      <c r="H3828" s="294">
        <v>43251</v>
      </c>
      <c r="I3828" s="295">
        <v>-857.57</v>
      </c>
    </row>
    <row r="3829" spans="1:9" x14ac:dyDescent="0.2">
      <c r="A3829" s="293" t="s">
        <v>9563</v>
      </c>
      <c r="B3829" s="293" t="s">
        <v>5666</v>
      </c>
      <c r="C3829" s="293" t="s">
        <v>6091</v>
      </c>
      <c r="D3829" s="293" t="s">
        <v>5878</v>
      </c>
      <c r="E3829" s="293" t="s">
        <v>6281</v>
      </c>
      <c r="F3829" s="293" t="s">
        <v>7755</v>
      </c>
      <c r="G3829" s="293" t="s">
        <v>5573</v>
      </c>
      <c r="H3829" s="294">
        <v>43251</v>
      </c>
      <c r="I3829" s="295">
        <v>-3125.47</v>
      </c>
    </row>
    <row r="3830" spans="1:9" x14ac:dyDescent="0.2">
      <c r="A3830" s="293" t="s">
        <v>9564</v>
      </c>
      <c r="B3830" s="293" t="s">
        <v>5666</v>
      </c>
      <c r="C3830" s="293" t="s">
        <v>6093</v>
      </c>
      <c r="D3830" s="293" t="s">
        <v>5878</v>
      </c>
      <c r="E3830" s="293" t="s">
        <v>6283</v>
      </c>
      <c r="F3830" s="293" t="s">
        <v>7755</v>
      </c>
      <c r="G3830" s="293" t="s">
        <v>5573</v>
      </c>
      <c r="H3830" s="294">
        <v>43251</v>
      </c>
      <c r="I3830" s="295">
        <v>-4451.78</v>
      </c>
    </row>
    <row r="3831" spans="1:9" x14ac:dyDescent="0.2">
      <c r="A3831" s="293" t="s">
        <v>9565</v>
      </c>
      <c r="B3831" s="293" t="s">
        <v>5666</v>
      </c>
      <c r="C3831" s="293" t="s">
        <v>6080</v>
      </c>
      <c r="D3831" s="293" t="s">
        <v>5878</v>
      </c>
      <c r="E3831" s="293" t="s">
        <v>6285</v>
      </c>
      <c r="F3831" s="293" t="s">
        <v>7755</v>
      </c>
      <c r="G3831" s="293" t="s">
        <v>5573</v>
      </c>
      <c r="H3831" s="294">
        <v>43251</v>
      </c>
      <c r="I3831" s="295">
        <v>-10077.08</v>
      </c>
    </row>
    <row r="3832" spans="1:9" x14ac:dyDescent="0.2">
      <c r="A3832" s="293" t="s">
        <v>9566</v>
      </c>
      <c r="B3832" s="293" t="s">
        <v>5666</v>
      </c>
      <c r="C3832" s="293" t="s">
        <v>6095</v>
      </c>
      <c r="D3832" s="293" t="s">
        <v>5878</v>
      </c>
      <c r="E3832" s="293" t="s">
        <v>6287</v>
      </c>
      <c r="F3832" s="293" t="s">
        <v>7755</v>
      </c>
      <c r="G3832" s="293" t="s">
        <v>5580</v>
      </c>
      <c r="H3832" s="294">
        <v>43251</v>
      </c>
      <c r="I3832" s="295">
        <v>-5589.54</v>
      </c>
    </row>
    <row r="3833" spans="1:9" x14ac:dyDescent="0.2">
      <c r="A3833" s="293" t="s">
        <v>9567</v>
      </c>
      <c r="B3833" s="293" t="s">
        <v>5666</v>
      </c>
      <c r="C3833" s="293" t="s">
        <v>6097</v>
      </c>
      <c r="D3833" s="293" t="s">
        <v>5878</v>
      </c>
      <c r="E3833" s="293" t="s">
        <v>6289</v>
      </c>
      <c r="F3833" s="293" t="s">
        <v>7755</v>
      </c>
      <c r="G3833" s="293" t="s">
        <v>5580</v>
      </c>
      <c r="H3833" s="294">
        <v>43251</v>
      </c>
      <c r="I3833" s="295">
        <v>-10099.59</v>
      </c>
    </row>
    <row r="3834" spans="1:9" x14ac:dyDescent="0.2">
      <c r="A3834" s="293" t="s">
        <v>9568</v>
      </c>
      <c r="B3834" s="293" t="s">
        <v>5666</v>
      </c>
      <c r="C3834" s="293" t="s">
        <v>6099</v>
      </c>
      <c r="D3834" s="293" t="s">
        <v>5878</v>
      </c>
      <c r="E3834" s="293" t="s">
        <v>6291</v>
      </c>
      <c r="F3834" s="293" t="s">
        <v>7755</v>
      </c>
      <c r="G3834" s="293" t="s">
        <v>5579</v>
      </c>
      <c r="H3834" s="294">
        <v>43251</v>
      </c>
      <c r="I3834" s="295">
        <v>-1407.23</v>
      </c>
    </row>
    <row r="3835" spans="1:9" x14ac:dyDescent="0.2">
      <c r="A3835" s="293" t="s">
        <v>9569</v>
      </c>
      <c r="B3835" s="293" t="s">
        <v>5666</v>
      </c>
      <c r="C3835" s="293" t="s">
        <v>6083</v>
      </c>
      <c r="D3835" s="293" t="s">
        <v>5878</v>
      </c>
      <c r="E3835" s="293" t="s">
        <v>6293</v>
      </c>
      <c r="F3835" s="293" t="s">
        <v>7755</v>
      </c>
      <c r="G3835" s="293" t="s">
        <v>5579</v>
      </c>
      <c r="H3835" s="294">
        <v>43251</v>
      </c>
      <c r="I3835" s="295">
        <v>-2524.9</v>
      </c>
    </row>
    <row r="3836" spans="1:9" x14ac:dyDescent="0.2">
      <c r="A3836" s="293" t="s">
        <v>9570</v>
      </c>
      <c r="B3836" s="293" t="s">
        <v>5666</v>
      </c>
      <c r="C3836" s="293" t="s">
        <v>6101</v>
      </c>
      <c r="D3836" s="293" t="s">
        <v>5878</v>
      </c>
      <c r="E3836" s="293" t="s">
        <v>6295</v>
      </c>
      <c r="F3836" s="293" t="s">
        <v>7755</v>
      </c>
      <c r="G3836" s="293" t="s">
        <v>5580</v>
      </c>
      <c r="H3836" s="294">
        <v>43251</v>
      </c>
      <c r="I3836" s="295">
        <v>-193.73</v>
      </c>
    </row>
    <row r="3837" spans="1:9" x14ac:dyDescent="0.2">
      <c r="A3837" s="293" t="s">
        <v>9571</v>
      </c>
      <c r="B3837" s="293" t="s">
        <v>5666</v>
      </c>
      <c r="C3837" s="293" t="s">
        <v>6104</v>
      </c>
      <c r="D3837" s="293" t="s">
        <v>5878</v>
      </c>
      <c r="E3837" s="293" t="s">
        <v>6297</v>
      </c>
      <c r="F3837" s="293" t="s">
        <v>7755</v>
      </c>
      <c r="G3837" s="293" t="s">
        <v>5580</v>
      </c>
      <c r="H3837" s="294">
        <v>43251</v>
      </c>
      <c r="I3837" s="295">
        <v>-274.12</v>
      </c>
    </row>
    <row r="3838" spans="1:9" x14ac:dyDescent="0.2">
      <c r="A3838" s="293" t="s">
        <v>9572</v>
      </c>
      <c r="B3838" s="293" t="s">
        <v>5666</v>
      </c>
      <c r="C3838" s="293" t="s">
        <v>6106</v>
      </c>
      <c r="D3838" s="293" t="s">
        <v>5878</v>
      </c>
      <c r="E3838" s="293" t="s">
        <v>6299</v>
      </c>
      <c r="F3838" s="293" t="s">
        <v>7755</v>
      </c>
      <c r="G3838" s="293" t="s">
        <v>5580</v>
      </c>
      <c r="H3838" s="294">
        <v>43251</v>
      </c>
      <c r="I3838" s="295">
        <v>-1347.95</v>
      </c>
    </row>
    <row r="3839" spans="1:9" x14ac:dyDescent="0.2">
      <c r="A3839" s="293" t="s">
        <v>9573</v>
      </c>
      <c r="B3839" s="293" t="s">
        <v>5666</v>
      </c>
      <c r="C3839" s="293" t="s">
        <v>6108</v>
      </c>
      <c r="D3839" s="293" t="s">
        <v>5878</v>
      </c>
      <c r="E3839" s="293" t="s">
        <v>6301</v>
      </c>
      <c r="F3839" s="293" t="s">
        <v>7755</v>
      </c>
      <c r="G3839" s="293" t="s">
        <v>5580</v>
      </c>
      <c r="H3839" s="294">
        <v>43251</v>
      </c>
      <c r="I3839" s="295">
        <v>-1918.86</v>
      </c>
    </row>
    <row r="3840" spans="1:9" x14ac:dyDescent="0.2">
      <c r="A3840" s="293" t="s">
        <v>9574</v>
      </c>
      <c r="B3840" s="293" t="s">
        <v>5666</v>
      </c>
      <c r="C3840" s="293" t="s">
        <v>6110</v>
      </c>
      <c r="D3840" s="293" t="s">
        <v>5878</v>
      </c>
      <c r="E3840" s="293" t="s">
        <v>6303</v>
      </c>
      <c r="F3840" s="293" t="s">
        <v>7755</v>
      </c>
      <c r="G3840" s="293" t="s">
        <v>5573</v>
      </c>
      <c r="H3840" s="294">
        <v>43251</v>
      </c>
      <c r="I3840" s="295">
        <v>-1780.13</v>
      </c>
    </row>
    <row r="3841" spans="1:9" x14ac:dyDescent="0.2">
      <c r="A3841" s="293" t="s">
        <v>9575</v>
      </c>
      <c r="B3841" s="293" t="s">
        <v>5666</v>
      </c>
      <c r="C3841" s="293" t="s">
        <v>6115</v>
      </c>
      <c r="D3841" s="293" t="s">
        <v>5878</v>
      </c>
      <c r="E3841" s="293" t="s">
        <v>6305</v>
      </c>
      <c r="F3841" s="293" t="s">
        <v>7755</v>
      </c>
      <c r="G3841" s="293" t="s">
        <v>5581</v>
      </c>
      <c r="H3841" s="294">
        <v>43251</v>
      </c>
      <c r="I3841" s="295">
        <v>-2230.71</v>
      </c>
    </row>
    <row r="3842" spans="1:9" x14ac:dyDescent="0.2">
      <c r="A3842" s="293" t="s">
        <v>9576</v>
      </c>
      <c r="B3842" s="293" t="s">
        <v>5666</v>
      </c>
      <c r="C3842" s="293" t="s">
        <v>6086</v>
      </c>
      <c r="D3842" s="293" t="s">
        <v>5878</v>
      </c>
      <c r="E3842" s="293" t="s">
        <v>6307</v>
      </c>
      <c r="F3842" s="293" t="s">
        <v>7755</v>
      </c>
      <c r="G3842" s="293" t="s">
        <v>5581</v>
      </c>
      <c r="H3842" s="294">
        <v>43251</v>
      </c>
      <c r="I3842" s="295">
        <v>-2490.34</v>
      </c>
    </row>
    <row r="3843" spans="1:9" x14ac:dyDescent="0.2">
      <c r="A3843" s="293" t="s">
        <v>9577</v>
      </c>
      <c r="B3843" s="293" t="s">
        <v>5666</v>
      </c>
      <c r="C3843" s="293" t="s">
        <v>6113</v>
      </c>
      <c r="D3843" s="293" t="s">
        <v>5878</v>
      </c>
      <c r="E3843" s="293" t="s">
        <v>6316</v>
      </c>
      <c r="F3843" s="293" t="s">
        <v>7755</v>
      </c>
      <c r="G3843" s="293" t="s">
        <v>5573</v>
      </c>
      <c r="H3843" s="294">
        <v>43251</v>
      </c>
      <c r="I3843" s="295">
        <v>-5336.81</v>
      </c>
    </row>
    <row r="3844" spans="1:9" x14ac:dyDescent="0.2">
      <c r="A3844" s="293" t="s">
        <v>9578</v>
      </c>
      <c r="B3844" s="293" t="s">
        <v>5666</v>
      </c>
      <c r="C3844" s="293" t="s">
        <v>6313</v>
      </c>
      <c r="D3844" s="293" t="s">
        <v>5878</v>
      </c>
      <c r="E3844" s="293" t="s">
        <v>6314</v>
      </c>
      <c r="F3844" s="293" t="s">
        <v>7755</v>
      </c>
      <c r="G3844" s="293" t="s">
        <v>5576</v>
      </c>
      <c r="H3844" s="294">
        <v>43251</v>
      </c>
      <c r="I3844" s="295">
        <v>-4207.3500000000004</v>
      </c>
    </row>
    <row r="3845" spans="1:9" x14ac:dyDescent="0.2">
      <c r="A3845" s="293" t="s">
        <v>9579</v>
      </c>
      <c r="B3845" s="293" t="s">
        <v>5666</v>
      </c>
      <c r="C3845" s="293" t="s">
        <v>6272</v>
      </c>
      <c r="D3845" s="293" t="s">
        <v>5878</v>
      </c>
      <c r="E3845" s="293" t="s">
        <v>6273</v>
      </c>
      <c r="F3845" s="293" t="s">
        <v>7802</v>
      </c>
      <c r="G3845" s="293" t="s">
        <v>5576</v>
      </c>
      <c r="H3845" s="294">
        <v>43281</v>
      </c>
      <c r="I3845" s="295">
        <v>-3340.78</v>
      </c>
    </row>
    <row r="3846" spans="1:9" x14ac:dyDescent="0.2">
      <c r="A3846" s="293" t="s">
        <v>9580</v>
      </c>
      <c r="B3846" s="293" t="s">
        <v>5666</v>
      </c>
      <c r="C3846" s="293" t="s">
        <v>6124</v>
      </c>
      <c r="D3846" s="293" t="s">
        <v>5878</v>
      </c>
      <c r="E3846" s="293" t="s">
        <v>6277</v>
      </c>
      <c r="F3846" s="293" t="s">
        <v>7802</v>
      </c>
      <c r="G3846" s="293" t="s">
        <v>5578</v>
      </c>
      <c r="H3846" s="294">
        <v>43281</v>
      </c>
      <c r="I3846" s="295">
        <v>-1019.33</v>
      </c>
    </row>
    <row r="3847" spans="1:9" x14ac:dyDescent="0.2">
      <c r="A3847" s="293" t="s">
        <v>9581</v>
      </c>
      <c r="B3847" s="293" t="s">
        <v>5666</v>
      </c>
      <c r="C3847" s="293" t="s">
        <v>6126</v>
      </c>
      <c r="D3847" s="293" t="s">
        <v>5878</v>
      </c>
      <c r="E3847" s="293" t="s">
        <v>6279</v>
      </c>
      <c r="F3847" s="293" t="s">
        <v>7802</v>
      </c>
      <c r="G3847" s="293" t="s">
        <v>5579</v>
      </c>
      <c r="H3847" s="294">
        <v>43281</v>
      </c>
      <c r="I3847" s="295">
        <v>-857.57</v>
      </c>
    </row>
    <row r="3848" spans="1:9" x14ac:dyDescent="0.2">
      <c r="A3848" s="293" t="s">
        <v>9582</v>
      </c>
      <c r="B3848" s="293" t="s">
        <v>5666</v>
      </c>
      <c r="C3848" s="293" t="s">
        <v>6091</v>
      </c>
      <c r="D3848" s="293" t="s">
        <v>5878</v>
      </c>
      <c r="E3848" s="293" t="s">
        <v>6281</v>
      </c>
      <c r="F3848" s="293" t="s">
        <v>7802</v>
      </c>
      <c r="G3848" s="293" t="s">
        <v>5573</v>
      </c>
      <c r="H3848" s="294">
        <v>43281</v>
      </c>
      <c r="I3848" s="295">
        <v>-3125.47</v>
      </c>
    </row>
    <row r="3849" spans="1:9" x14ac:dyDescent="0.2">
      <c r="A3849" s="293" t="s">
        <v>9583</v>
      </c>
      <c r="B3849" s="293" t="s">
        <v>5666</v>
      </c>
      <c r="C3849" s="293" t="s">
        <v>6093</v>
      </c>
      <c r="D3849" s="293" t="s">
        <v>5878</v>
      </c>
      <c r="E3849" s="293" t="s">
        <v>6283</v>
      </c>
      <c r="F3849" s="293" t="s">
        <v>7802</v>
      </c>
      <c r="G3849" s="293" t="s">
        <v>5573</v>
      </c>
      <c r="H3849" s="294">
        <v>43281</v>
      </c>
      <c r="I3849" s="295">
        <v>-4451.78</v>
      </c>
    </row>
    <row r="3850" spans="1:9" x14ac:dyDescent="0.2">
      <c r="A3850" s="293" t="s">
        <v>9584</v>
      </c>
      <c r="B3850" s="293" t="s">
        <v>5666</v>
      </c>
      <c r="C3850" s="293" t="s">
        <v>6080</v>
      </c>
      <c r="D3850" s="293" t="s">
        <v>5878</v>
      </c>
      <c r="E3850" s="293" t="s">
        <v>6285</v>
      </c>
      <c r="F3850" s="293" t="s">
        <v>7802</v>
      </c>
      <c r="G3850" s="293" t="s">
        <v>5573</v>
      </c>
      <c r="H3850" s="294">
        <v>43281</v>
      </c>
      <c r="I3850" s="295">
        <v>-10077.08</v>
      </c>
    </row>
    <row r="3851" spans="1:9" x14ac:dyDescent="0.2">
      <c r="A3851" s="293" t="s">
        <v>9585</v>
      </c>
      <c r="B3851" s="293" t="s">
        <v>5666</v>
      </c>
      <c r="C3851" s="293" t="s">
        <v>6095</v>
      </c>
      <c r="D3851" s="293" t="s">
        <v>5878</v>
      </c>
      <c r="E3851" s="293" t="s">
        <v>6287</v>
      </c>
      <c r="F3851" s="293" t="s">
        <v>7802</v>
      </c>
      <c r="G3851" s="293" t="s">
        <v>5580</v>
      </c>
      <c r="H3851" s="294">
        <v>43281</v>
      </c>
      <c r="I3851" s="295">
        <v>-5589.54</v>
      </c>
    </row>
    <row r="3852" spans="1:9" x14ac:dyDescent="0.2">
      <c r="A3852" s="293" t="s">
        <v>9586</v>
      </c>
      <c r="B3852" s="293" t="s">
        <v>5666</v>
      </c>
      <c r="C3852" s="293" t="s">
        <v>6097</v>
      </c>
      <c r="D3852" s="293" t="s">
        <v>5878</v>
      </c>
      <c r="E3852" s="293" t="s">
        <v>6289</v>
      </c>
      <c r="F3852" s="293" t="s">
        <v>7802</v>
      </c>
      <c r="G3852" s="293" t="s">
        <v>5580</v>
      </c>
      <c r="H3852" s="294">
        <v>43281</v>
      </c>
      <c r="I3852" s="295">
        <v>-10099.59</v>
      </c>
    </row>
    <row r="3853" spans="1:9" x14ac:dyDescent="0.2">
      <c r="A3853" s="293" t="s">
        <v>9587</v>
      </c>
      <c r="B3853" s="293" t="s">
        <v>5666</v>
      </c>
      <c r="C3853" s="293" t="s">
        <v>6099</v>
      </c>
      <c r="D3853" s="293" t="s">
        <v>5878</v>
      </c>
      <c r="E3853" s="293" t="s">
        <v>6291</v>
      </c>
      <c r="F3853" s="293" t="s">
        <v>7802</v>
      </c>
      <c r="G3853" s="293" t="s">
        <v>5579</v>
      </c>
      <c r="H3853" s="294">
        <v>43281</v>
      </c>
      <c r="I3853" s="295">
        <v>-1407.23</v>
      </c>
    </row>
    <row r="3854" spans="1:9" x14ac:dyDescent="0.2">
      <c r="A3854" s="293" t="s">
        <v>9588</v>
      </c>
      <c r="B3854" s="293" t="s">
        <v>5666</v>
      </c>
      <c r="C3854" s="293" t="s">
        <v>6083</v>
      </c>
      <c r="D3854" s="293" t="s">
        <v>5878</v>
      </c>
      <c r="E3854" s="293" t="s">
        <v>6293</v>
      </c>
      <c r="F3854" s="293" t="s">
        <v>7802</v>
      </c>
      <c r="G3854" s="293" t="s">
        <v>5579</v>
      </c>
      <c r="H3854" s="294">
        <v>43281</v>
      </c>
      <c r="I3854" s="295">
        <v>-2524.9</v>
      </c>
    </row>
    <row r="3855" spans="1:9" x14ac:dyDescent="0.2">
      <c r="A3855" s="293" t="s">
        <v>9589</v>
      </c>
      <c r="B3855" s="293" t="s">
        <v>5666</v>
      </c>
      <c r="C3855" s="293" t="s">
        <v>6101</v>
      </c>
      <c r="D3855" s="293" t="s">
        <v>5878</v>
      </c>
      <c r="E3855" s="293" t="s">
        <v>6295</v>
      </c>
      <c r="F3855" s="293" t="s">
        <v>7802</v>
      </c>
      <c r="G3855" s="293" t="s">
        <v>5580</v>
      </c>
      <c r="H3855" s="294">
        <v>43281</v>
      </c>
      <c r="I3855" s="295">
        <v>-193.73</v>
      </c>
    </row>
    <row r="3856" spans="1:9" x14ac:dyDescent="0.2">
      <c r="A3856" s="293" t="s">
        <v>9590</v>
      </c>
      <c r="B3856" s="293" t="s">
        <v>5666</v>
      </c>
      <c r="C3856" s="293" t="s">
        <v>6104</v>
      </c>
      <c r="D3856" s="293" t="s">
        <v>5878</v>
      </c>
      <c r="E3856" s="293" t="s">
        <v>6297</v>
      </c>
      <c r="F3856" s="293" t="s">
        <v>7802</v>
      </c>
      <c r="G3856" s="293" t="s">
        <v>5580</v>
      </c>
      <c r="H3856" s="294">
        <v>43281</v>
      </c>
      <c r="I3856" s="295">
        <v>-274.12</v>
      </c>
    </row>
    <row r="3857" spans="1:9" x14ac:dyDescent="0.2">
      <c r="A3857" s="293" t="s">
        <v>9591</v>
      </c>
      <c r="B3857" s="293" t="s">
        <v>5666</v>
      </c>
      <c r="C3857" s="293" t="s">
        <v>6106</v>
      </c>
      <c r="D3857" s="293" t="s">
        <v>5878</v>
      </c>
      <c r="E3857" s="293" t="s">
        <v>6299</v>
      </c>
      <c r="F3857" s="293" t="s">
        <v>7802</v>
      </c>
      <c r="G3857" s="293" t="s">
        <v>5580</v>
      </c>
      <c r="H3857" s="294">
        <v>43281</v>
      </c>
      <c r="I3857" s="295">
        <v>-1347.95</v>
      </c>
    </row>
    <row r="3858" spans="1:9" x14ac:dyDescent="0.2">
      <c r="A3858" s="293" t="s">
        <v>9592</v>
      </c>
      <c r="B3858" s="293" t="s">
        <v>5666</v>
      </c>
      <c r="C3858" s="293" t="s">
        <v>6108</v>
      </c>
      <c r="D3858" s="293" t="s">
        <v>5878</v>
      </c>
      <c r="E3858" s="293" t="s">
        <v>6301</v>
      </c>
      <c r="F3858" s="293" t="s">
        <v>7802</v>
      </c>
      <c r="G3858" s="293" t="s">
        <v>5580</v>
      </c>
      <c r="H3858" s="294">
        <v>43281</v>
      </c>
      <c r="I3858" s="295">
        <v>-1918.86</v>
      </c>
    </row>
    <row r="3859" spans="1:9" x14ac:dyDescent="0.2">
      <c r="A3859" s="293" t="s">
        <v>9593</v>
      </c>
      <c r="B3859" s="293" t="s">
        <v>5666</v>
      </c>
      <c r="C3859" s="293" t="s">
        <v>6110</v>
      </c>
      <c r="D3859" s="293" t="s">
        <v>5878</v>
      </c>
      <c r="E3859" s="293" t="s">
        <v>6303</v>
      </c>
      <c r="F3859" s="293" t="s">
        <v>7802</v>
      </c>
      <c r="G3859" s="293" t="s">
        <v>5573</v>
      </c>
      <c r="H3859" s="294">
        <v>43281</v>
      </c>
      <c r="I3859" s="295">
        <v>-1780.13</v>
      </c>
    </row>
    <row r="3860" spans="1:9" x14ac:dyDescent="0.2">
      <c r="A3860" s="293" t="s">
        <v>9594</v>
      </c>
      <c r="B3860" s="293" t="s">
        <v>5666</v>
      </c>
      <c r="C3860" s="293" t="s">
        <v>6115</v>
      </c>
      <c r="D3860" s="293" t="s">
        <v>5878</v>
      </c>
      <c r="E3860" s="293" t="s">
        <v>6305</v>
      </c>
      <c r="F3860" s="293" t="s">
        <v>7802</v>
      </c>
      <c r="G3860" s="293" t="s">
        <v>5581</v>
      </c>
      <c r="H3860" s="294">
        <v>43281</v>
      </c>
      <c r="I3860" s="295">
        <v>-2230.71</v>
      </c>
    </row>
    <row r="3861" spans="1:9" x14ac:dyDescent="0.2">
      <c r="A3861" s="293" t="s">
        <v>9595</v>
      </c>
      <c r="B3861" s="293" t="s">
        <v>5666</v>
      </c>
      <c r="C3861" s="293" t="s">
        <v>6086</v>
      </c>
      <c r="D3861" s="293" t="s">
        <v>5878</v>
      </c>
      <c r="E3861" s="293" t="s">
        <v>6307</v>
      </c>
      <c r="F3861" s="293" t="s">
        <v>7802</v>
      </c>
      <c r="G3861" s="293" t="s">
        <v>5581</v>
      </c>
      <c r="H3861" s="294">
        <v>43281</v>
      </c>
      <c r="I3861" s="295">
        <v>-2490.34</v>
      </c>
    </row>
    <row r="3862" spans="1:9" x14ac:dyDescent="0.2">
      <c r="A3862" s="293" t="s">
        <v>9596</v>
      </c>
      <c r="B3862" s="293" t="s">
        <v>5666</v>
      </c>
      <c r="C3862" s="293" t="s">
        <v>6113</v>
      </c>
      <c r="D3862" s="293" t="s">
        <v>5878</v>
      </c>
      <c r="E3862" s="293" t="s">
        <v>6316</v>
      </c>
      <c r="F3862" s="293" t="s">
        <v>7802</v>
      </c>
      <c r="G3862" s="293" t="s">
        <v>5573</v>
      </c>
      <c r="H3862" s="294">
        <v>43281</v>
      </c>
      <c r="I3862" s="295">
        <v>-5336.81</v>
      </c>
    </row>
    <row r="3863" spans="1:9" x14ac:dyDescent="0.2">
      <c r="A3863" s="293" t="s">
        <v>9597</v>
      </c>
      <c r="B3863" s="293" t="s">
        <v>5666</v>
      </c>
      <c r="C3863" s="293" t="s">
        <v>6313</v>
      </c>
      <c r="D3863" s="293" t="s">
        <v>5878</v>
      </c>
      <c r="E3863" s="293" t="s">
        <v>6314</v>
      </c>
      <c r="F3863" s="293" t="s">
        <v>7802</v>
      </c>
      <c r="G3863" s="293" t="s">
        <v>5576</v>
      </c>
      <c r="H3863" s="294">
        <v>43281</v>
      </c>
      <c r="I3863" s="295">
        <v>-4207.3500000000004</v>
      </c>
    </row>
    <row r="3864" spans="1:9" x14ac:dyDescent="0.2">
      <c r="A3864" s="293" t="s">
        <v>9598</v>
      </c>
      <c r="B3864" s="293" t="s">
        <v>5666</v>
      </c>
      <c r="C3864" s="293" t="s">
        <v>6272</v>
      </c>
      <c r="D3864" s="293" t="s">
        <v>5878</v>
      </c>
      <c r="E3864" s="293" t="s">
        <v>6273</v>
      </c>
      <c r="F3864" s="293" t="s">
        <v>7826</v>
      </c>
      <c r="G3864" s="293" t="s">
        <v>5576</v>
      </c>
      <c r="H3864" s="294">
        <v>43312</v>
      </c>
      <c r="I3864" s="295">
        <v>-3340.78</v>
      </c>
    </row>
    <row r="3865" spans="1:9" x14ac:dyDescent="0.2">
      <c r="A3865" s="293" t="s">
        <v>9599</v>
      </c>
      <c r="B3865" s="293" t="s">
        <v>5666</v>
      </c>
      <c r="C3865" s="293" t="s">
        <v>6124</v>
      </c>
      <c r="D3865" s="293" t="s">
        <v>5878</v>
      </c>
      <c r="E3865" s="293" t="s">
        <v>6277</v>
      </c>
      <c r="F3865" s="293" t="s">
        <v>7826</v>
      </c>
      <c r="G3865" s="293" t="s">
        <v>5578</v>
      </c>
      <c r="H3865" s="294">
        <v>43312</v>
      </c>
      <c r="I3865" s="295">
        <v>-1019.33</v>
      </c>
    </row>
    <row r="3866" spans="1:9" x14ac:dyDescent="0.2">
      <c r="A3866" s="293" t="s">
        <v>9600</v>
      </c>
      <c r="B3866" s="293" t="s">
        <v>5666</v>
      </c>
      <c r="C3866" s="293" t="s">
        <v>6126</v>
      </c>
      <c r="D3866" s="293" t="s">
        <v>5878</v>
      </c>
      <c r="E3866" s="293" t="s">
        <v>6279</v>
      </c>
      <c r="F3866" s="293" t="s">
        <v>7826</v>
      </c>
      <c r="G3866" s="293" t="s">
        <v>5579</v>
      </c>
      <c r="H3866" s="294">
        <v>43312</v>
      </c>
      <c r="I3866" s="295">
        <v>-857.57</v>
      </c>
    </row>
    <row r="3867" spans="1:9" x14ac:dyDescent="0.2">
      <c r="A3867" s="293" t="s">
        <v>9601</v>
      </c>
      <c r="B3867" s="293" t="s">
        <v>5666</v>
      </c>
      <c r="C3867" s="293" t="s">
        <v>6091</v>
      </c>
      <c r="D3867" s="293" t="s">
        <v>5878</v>
      </c>
      <c r="E3867" s="293" t="s">
        <v>6281</v>
      </c>
      <c r="F3867" s="293" t="s">
        <v>7826</v>
      </c>
      <c r="G3867" s="293" t="s">
        <v>5573</v>
      </c>
      <c r="H3867" s="294">
        <v>43312</v>
      </c>
      <c r="I3867" s="295">
        <v>-3125.47</v>
      </c>
    </row>
    <row r="3868" spans="1:9" x14ac:dyDescent="0.2">
      <c r="A3868" s="293" t="s">
        <v>9602</v>
      </c>
      <c r="B3868" s="293" t="s">
        <v>5666</v>
      </c>
      <c r="C3868" s="293" t="s">
        <v>6093</v>
      </c>
      <c r="D3868" s="293" t="s">
        <v>5878</v>
      </c>
      <c r="E3868" s="293" t="s">
        <v>6283</v>
      </c>
      <c r="F3868" s="293" t="s">
        <v>7826</v>
      </c>
      <c r="G3868" s="293" t="s">
        <v>5573</v>
      </c>
      <c r="H3868" s="294">
        <v>43312</v>
      </c>
      <c r="I3868" s="295">
        <v>-4451.78</v>
      </c>
    </row>
    <row r="3869" spans="1:9" x14ac:dyDescent="0.2">
      <c r="A3869" s="293" t="s">
        <v>9603</v>
      </c>
      <c r="B3869" s="293" t="s">
        <v>5666</v>
      </c>
      <c r="C3869" s="293" t="s">
        <v>6080</v>
      </c>
      <c r="D3869" s="293" t="s">
        <v>5878</v>
      </c>
      <c r="E3869" s="293" t="s">
        <v>6285</v>
      </c>
      <c r="F3869" s="293" t="s">
        <v>7826</v>
      </c>
      <c r="G3869" s="293" t="s">
        <v>5573</v>
      </c>
      <c r="H3869" s="294">
        <v>43312</v>
      </c>
      <c r="I3869" s="295">
        <v>-10077.08</v>
      </c>
    </row>
    <row r="3870" spans="1:9" x14ac:dyDescent="0.2">
      <c r="A3870" s="293" t="s">
        <v>9604</v>
      </c>
      <c r="B3870" s="293" t="s">
        <v>5666</v>
      </c>
      <c r="C3870" s="293" t="s">
        <v>6095</v>
      </c>
      <c r="D3870" s="293" t="s">
        <v>5878</v>
      </c>
      <c r="E3870" s="293" t="s">
        <v>6287</v>
      </c>
      <c r="F3870" s="293" t="s">
        <v>7826</v>
      </c>
      <c r="G3870" s="293" t="s">
        <v>5580</v>
      </c>
      <c r="H3870" s="294">
        <v>43312</v>
      </c>
      <c r="I3870" s="295">
        <v>-5589.54</v>
      </c>
    </row>
    <row r="3871" spans="1:9" x14ac:dyDescent="0.2">
      <c r="A3871" s="293" t="s">
        <v>9605</v>
      </c>
      <c r="B3871" s="293" t="s">
        <v>5666</v>
      </c>
      <c r="C3871" s="293" t="s">
        <v>6097</v>
      </c>
      <c r="D3871" s="293" t="s">
        <v>5878</v>
      </c>
      <c r="E3871" s="293" t="s">
        <v>6289</v>
      </c>
      <c r="F3871" s="293" t="s">
        <v>7826</v>
      </c>
      <c r="G3871" s="293" t="s">
        <v>5580</v>
      </c>
      <c r="H3871" s="294">
        <v>43312</v>
      </c>
      <c r="I3871" s="295">
        <v>-10099.59</v>
      </c>
    </row>
    <row r="3872" spans="1:9" x14ac:dyDescent="0.2">
      <c r="A3872" s="293" t="s">
        <v>9606</v>
      </c>
      <c r="B3872" s="293" t="s">
        <v>5666</v>
      </c>
      <c r="C3872" s="293" t="s">
        <v>6099</v>
      </c>
      <c r="D3872" s="293" t="s">
        <v>5878</v>
      </c>
      <c r="E3872" s="293" t="s">
        <v>6291</v>
      </c>
      <c r="F3872" s="293" t="s">
        <v>7826</v>
      </c>
      <c r="G3872" s="293" t="s">
        <v>5579</v>
      </c>
      <c r="H3872" s="294">
        <v>43312</v>
      </c>
      <c r="I3872" s="295">
        <v>-1407.23</v>
      </c>
    </row>
    <row r="3873" spans="1:9" x14ac:dyDescent="0.2">
      <c r="A3873" s="293" t="s">
        <v>9607</v>
      </c>
      <c r="B3873" s="293" t="s">
        <v>5666</v>
      </c>
      <c r="C3873" s="293" t="s">
        <v>6083</v>
      </c>
      <c r="D3873" s="293" t="s">
        <v>5878</v>
      </c>
      <c r="E3873" s="293" t="s">
        <v>6293</v>
      </c>
      <c r="F3873" s="293" t="s">
        <v>7826</v>
      </c>
      <c r="G3873" s="293" t="s">
        <v>5579</v>
      </c>
      <c r="H3873" s="294">
        <v>43312</v>
      </c>
      <c r="I3873" s="295">
        <v>-2524.9</v>
      </c>
    </row>
    <row r="3874" spans="1:9" x14ac:dyDescent="0.2">
      <c r="A3874" s="293" t="s">
        <v>9608</v>
      </c>
      <c r="B3874" s="293" t="s">
        <v>5666</v>
      </c>
      <c r="C3874" s="293" t="s">
        <v>6101</v>
      </c>
      <c r="D3874" s="293" t="s">
        <v>5878</v>
      </c>
      <c r="E3874" s="293" t="s">
        <v>6295</v>
      </c>
      <c r="F3874" s="293" t="s">
        <v>7826</v>
      </c>
      <c r="G3874" s="293" t="s">
        <v>5580</v>
      </c>
      <c r="H3874" s="294">
        <v>43312</v>
      </c>
      <c r="I3874" s="295">
        <v>-193.73</v>
      </c>
    </row>
    <row r="3875" spans="1:9" x14ac:dyDescent="0.2">
      <c r="A3875" s="293" t="s">
        <v>9609</v>
      </c>
      <c r="B3875" s="293" t="s">
        <v>5666</v>
      </c>
      <c r="C3875" s="293" t="s">
        <v>6104</v>
      </c>
      <c r="D3875" s="293" t="s">
        <v>5878</v>
      </c>
      <c r="E3875" s="293" t="s">
        <v>6297</v>
      </c>
      <c r="F3875" s="293" t="s">
        <v>7826</v>
      </c>
      <c r="G3875" s="293" t="s">
        <v>5580</v>
      </c>
      <c r="H3875" s="294">
        <v>43312</v>
      </c>
      <c r="I3875" s="295">
        <v>-274.12</v>
      </c>
    </row>
    <row r="3876" spans="1:9" x14ac:dyDescent="0.2">
      <c r="A3876" s="293" t="s">
        <v>9610</v>
      </c>
      <c r="B3876" s="293" t="s">
        <v>5666</v>
      </c>
      <c r="C3876" s="293" t="s">
        <v>6106</v>
      </c>
      <c r="D3876" s="293" t="s">
        <v>5878</v>
      </c>
      <c r="E3876" s="293" t="s">
        <v>6299</v>
      </c>
      <c r="F3876" s="293" t="s">
        <v>7826</v>
      </c>
      <c r="G3876" s="293" t="s">
        <v>5580</v>
      </c>
      <c r="H3876" s="294">
        <v>43312</v>
      </c>
      <c r="I3876" s="295">
        <v>-1347.95</v>
      </c>
    </row>
    <row r="3877" spans="1:9" x14ac:dyDescent="0.2">
      <c r="A3877" s="293" t="s">
        <v>9611</v>
      </c>
      <c r="B3877" s="293" t="s">
        <v>5666</v>
      </c>
      <c r="C3877" s="293" t="s">
        <v>6108</v>
      </c>
      <c r="D3877" s="293" t="s">
        <v>5878</v>
      </c>
      <c r="E3877" s="293" t="s">
        <v>6301</v>
      </c>
      <c r="F3877" s="293" t="s">
        <v>7826</v>
      </c>
      <c r="G3877" s="293" t="s">
        <v>5580</v>
      </c>
      <c r="H3877" s="294">
        <v>43312</v>
      </c>
      <c r="I3877" s="295">
        <v>-1918.86</v>
      </c>
    </row>
    <row r="3878" spans="1:9" x14ac:dyDescent="0.2">
      <c r="A3878" s="293" t="s">
        <v>9612</v>
      </c>
      <c r="B3878" s="293" t="s">
        <v>5666</v>
      </c>
      <c r="C3878" s="293" t="s">
        <v>6110</v>
      </c>
      <c r="D3878" s="293" t="s">
        <v>5878</v>
      </c>
      <c r="E3878" s="293" t="s">
        <v>6303</v>
      </c>
      <c r="F3878" s="293" t="s">
        <v>7826</v>
      </c>
      <c r="G3878" s="293" t="s">
        <v>5573</v>
      </c>
      <c r="H3878" s="294">
        <v>43312</v>
      </c>
      <c r="I3878" s="295">
        <v>-1780.13</v>
      </c>
    </row>
    <row r="3879" spans="1:9" x14ac:dyDescent="0.2">
      <c r="A3879" s="293" t="s">
        <v>9613</v>
      </c>
      <c r="B3879" s="293" t="s">
        <v>5666</v>
      </c>
      <c r="C3879" s="293" t="s">
        <v>6115</v>
      </c>
      <c r="D3879" s="293" t="s">
        <v>5878</v>
      </c>
      <c r="E3879" s="293" t="s">
        <v>6305</v>
      </c>
      <c r="F3879" s="293" t="s">
        <v>7826</v>
      </c>
      <c r="G3879" s="293" t="s">
        <v>5581</v>
      </c>
      <c r="H3879" s="294">
        <v>43312</v>
      </c>
      <c r="I3879" s="295">
        <v>-2230.71</v>
      </c>
    </row>
    <row r="3880" spans="1:9" x14ac:dyDescent="0.2">
      <c r="A3880" s="293" t="s">
        <v>9614</v>
      </c>
      <c r="B3880" s="293" t="s">
        <v>5666</v>
      </c>
      <c r="C3880" s="293" t="s">
        <v>6086</v>
      </c>
      <c r="D3880" s="293" t="s">
        <v>5878</v>
      </c>
      <c r="E3880" s="293" t="s">
        <v>6307</v>
      </c>
      <c r="F3880" s="293" t="s">
        <v>7826</v>
      </c>
      <c r="G3880" s="293" t="s">
        <v>5581</v>
      </c>
      <c r="H3880" s="294">
        <v>43312</v>
      </c>
      <c r="I3880" s="295">
        <v>-2490.34</v>
      </c>
    </row>
    <row r="3881" spans="1:9" x14ac:dyDescent="0.2">
      <c r="A3881" s="293" t="s">
        <v>9615</v>
      </c>
      <c r="B3881" s="293" t="s">
        <v>5666</v>
      </c>
      <c r="C3881" s="293" t="s">
        <v>6113</v>
      </c>
      <c r="D3881" s="293" t="s">
        <v>5878</v>
      </c>
      <c r="E3881" s="293" t="s">
        <v>6316</v>
      </c>
      <c r="F3881" s="293" t="s">
        <v>7826</v>
      </c>
      <c r="G3881" s="293" t="s">
        <v>5573</v>
      </c>
      <c r="H3881" s="294">
        <v>43312</v>
      </c>
      <c r="I3881" s="295">
        <v>-5336.81</v>
      </c>
    </row>
    <row r="3882" spans="1:9" x14ac:dyDescent="0.2">
      <c r="A3882" s="293" t="s">
        <v>9616</v>
      </c>
      <c r="B3882" s="293" t="s">
        <v>5666</v>
      </c>
      <c r="C3882" s="293" t="s">
        <v>6313</v>
      </c>
      <c r="D3882" s="293" t="s">
        <v>5878</v>
      </c>
      <c r="E3882" s="293" t="s">
        <v>6314</v>
      </c>
      <c r="F3882" s="293" t="s">
        <v>7826</v>
      </c>
      <c r="G3882" s="293" t="s">
        <v>5576</v>
      </c>
      <c r="H3882" s="294">
        <v>43312</v>
      </c>
      <c r="I3882" s="295">
        <v>-4207.3500000000004</v>
      </c>
    </row>
    <row r="3883" spans="1:9" x14ac:dyDescent="0.2">
      <c r="A3883" s="293" t="s">
        <v>9617</v>
      </c>
      <c r="B3883" s="293" t="s">
        <v>5666</v>
      </c>
      <c r="C3883" s="293" t="s">
        <v>6272</v>
      </c>
      <c r="D3883" s="293" t="s">
        <v>5878</v>
      </c>
      <c r="E3883" s="293" t="s">
        <v>6273</v>
      </c>
      <c r="F3883" s="293" t="s">
        <v>7849</v>
      </c>
      <c r="G3883" s="293" t="s">
        <v>5576</v>
      </c>
      <c r="H3883" s="294">
        <v>43343</v>
      </c>
      <c r="I3883" s="295">
        <v>-3340.78</v>
      </c>
    </row>
    <row r="3884" spans="1:9" x14ac:dyDescent="0.2">
      <c r="A3884" s="293" t="s">
        <v>9618</v>
      </c>
      <c r="B3884" s="293" t="s">
        <v>5666</v>
      </c>
      <c r="C3884" s="293" t="s">
        <v>6124</v>
      </c>
      <c r="D3884" s="293" t="s">
        <v>5878</v>
      </c>
      <c r="E3884" s="293" t="s">
        <v>6277</v>
      </c>
      <c r="F3884" s="293" t="s">
        <v>7849</v>
      </c>
      <c r="G3884" s="293" t="s">
        <v>5578</v>
      </c>
      <c r="H3884" s="294">
        <v>43343</v>
      </c>
      <c r="I3884" s="295">
        <v>-1019.33</v>
      </c>
    </row>
    <row r="3885" spans="1:9" x14ac:dyDescent="0.2">
      <c r="A3885" s="293" t="s">
        <v>9619</v>
      </c>
      <c r="B3885" s="293" t="s">
        <v>5666</v>
      </c>
      <c r="C3885" s="293" t="s">
        <v>6126</v>
      </c>
      <c r="D3885" s="293" t="s">
        <v>5878</v>
      </c>
      <c r="E3885" s="293" t="s">
        <v>6279</v>
      </c>
      <c r="F3885" s="293" t="s">
        <v>7849</v>
      </c>
      <c r="G3885" s="293" t="s">
        <v>5579</v>
      </c>
      <c r="H3885" s="294">
        <v>43343</v>
      </c>
      <c r="I3885" s="295">
        <v>-857.57</v>
      </c>
    </row>
    <row r="3886" spans="1:9" x14ac:dyDescent="0.2">
      <c r="A3886" s="293" t="s">
        <v>9620</v>
      </c>
      <c r="B3886" s="293" t="s">
        <v>5666</v>
      </c>
      <c r="C3886" s="293" t="s">
        <v>6091</v>
      </c>
      <c r="D3886" s="293" t="s">
        <v>5878</v>
      </c>
      <c r="E3886" s="293" t="s">
        <v>6281</v>
      </c>
      <c r="F3886" s="293" t="s">
        <v>7849</v>
      </c>
      <c r="G3886" s="293" t="s">
        <v>5573</v>
      </c>
      <c r="H3886" s="294">
        <v>43343</v>
      </c>
      <c r="I3886" s="295">
        <v>-3125.47</v>
      </c>
    </row>
    <row r="3887" spans="1:9" x14ac:dyDescent="0.2">
      <c r="A3887" s="293" t="s">
        <v>9621</v>
      </c>
      <c r="B3887" s="293" t="s">
        <v>5666</v>
      </c>
      <c r="C3887" s="293" t="s">
        <v>6093</v>
      </c>
      <c r="D3887" s="293" t="s">
        <v>5878</v>
      </c>
      <c r="E3887" s="293" t="s">
        <v>6283</v>
      </c>
      <c r="F3887" s="293" t="s">
        <v>7849</v>
      </c>
      <c r="G3887" s="293" t="s">
        <v>5573</v>
      </c>
      <c r="H3887" s="294">
        <v>43343</v>
      </c>
      <c r="I3887" s="295">
        <v>-4451.78</v>
      </c>
    </row>
    <row r="3888" spans="1:9" x14ac:dyDescent="0.2">
      <c r="A3888" s="293" t="s">
        <v>9622</v>
      </c>
      <c r="B3888" s="293" t="s">
        <v>5666</v>
      </c>
      <c r="C3888" s="293" t="s">
        <v>6080</v>
      </c>
      <c r="D3888" s="293" t="s">
        <v>5878</v>
      </c>
      <c r="E3888" s="293" t="s">
        <v>6285</v>
      </c>
      <c r="F3888" s="293" t="s">
        <v>7849</v>
      </c>
      <c r="G3888" s="293" t="s">
        <v>5573</v>
      </c>
      <c r="H3888" s="294">
        <v>43343</v>
      </c>
      <c r="I3888" s="295">
        <v>-10077.08</v>
      </c>
    </row>
    <row r="3889" spans="1:9" x14ac:dyDescent="0.2">
      <c r="A3889" s="293" t="s">
        <v>9623</v>
      </c>
      <c r="B3889" s="293" t="s">
        <v>5666</v>
      </c>
      <c r="C3889" s="293" t="s">
        <v>6095</v>
      </c>
      <c r="D3889" s="293" t="s">
        <v>5878</v>
      </c>
      <c r="E3889" s="293" t="s">
        <v>6287</v>
      </c>
      <c r="F3889" s="293" t="s">
        <v>7849</v>
      </c>
      <c r="G3889" s="293" t="s">
        <v>5580</v>
      </c>
      <c r="H3889" s="294">
        <v>43343</v>
      </c>
      <c r="I3889" s="295">
        <v>-5589.54</v>
      </c>
    </row>
    <row r="3890" spans="1:9" x14ac:dyDescent="0.2">
      <c r="A3890" s="293" t="s">
        <v>9624</v>
      </c>
      <c r="B3890" s="293" t="s">
        <v>5666</v>
      </c>
      <c r="C3890" s="293" t="s">
        <v>6097</v>
      </c>
      <c r="D3890" s="293" t="s">
        <v>5878</v>
      </c>
      <c r="E3890" s="293" t="s">
        <v>6289</v>
      </c>
      <c r="F3890" s="293" t="s">
        <v>7849</v>
      </c>
      <c r="G3890" s="293" t="s">
        <v>5580</v>
      </c>
      <c r="H3890" s="294">
        <v>43343</v>
      </c>
      <c r="I3890" s="295">
        <v>-10099.59</v>
      </c>
    </row>
    <row r="3891" spans="1:9" x14ac:dyDescent="0.2">
      <c r="A3891" s="293" t="s">
        <v>9625</v>
      </c>
      <c r="B3891" s="293" t="s">
        <v>5666</v>
      </c>
      <c r="C3891" s="293" t="s">
        <v>6099</v>
      </c>
      <c r="D3891" s="293" t="s">
        <v>5878</v>
      </c>
      <c r="E3891" s="293" t="s">
        <v>6291</v>
      </c>
      <c r="F3891" s="293" t="s">
        <v>7849</v>
      </c>
      <c r="G3891" s="293" t="s">
        <v>5579</v>
      </c>
      <c r="H3891" s="294">
        <v>43343</v>
      </c>
      <c r="I3891" s="295">
        <v>-1407.23</v>
      </c>
    </row>
    <row r="3892" spans="1:9" x14ac:dyDescent="0.2">
      <c r="A3892" s="293" t="s">
        <v>9626</v>
      </c>
      <c r="B3892" s="293" t="s">
        <v>5666</v>
      </c>
      <c r="C3892" s="293" t="s">
        <v>6083</v>
      </c>
      <c r="D3892" s="293" t="s">
        <v>5878</v>
      </c>
      <c r="E3892" s="293" t="s">
        <v>6293</v>
      </c>
      <c r="F3892" s="293" t="s">
        <v>7849</v>
      </c>
      <c r="G3892" s="293" t="s">
        <v>5579</v>
      </c>
      <c r="H3892" s="294">
        <v>43343</v>
      </c>
      <c r="I3892" s="295">
        <v>-2524.9</v>
      </c>
    </row>
    <row r="3893" spans="1:9" x14ac:dyDescent="0.2">
      <c r="A3893" s="293" t="s">
        <v>9627</v>
      </c>
      <c r="B3893" s="293" t="s">
        <v>5666</v>
      </c>
      <c r="C3893" s="293" t="s">
        <v>6101</v>
      </c>
      <c r="D3893" s="293" t="s">
        <v>5878</v>
      </c>
      <c r="E3893" s="293" t="s">
        <v>6295</v>
      </c>
      <c r="F3893" s="293" t="s">
        <v>7849</v>
      </c>
      <c r="G3893" s="293" t="s">
        <v>5580</v>
      </c>
      <c r="H3893" s="294">
        <v>43343</v>
      </c>
      <c r="I3893" s="295">
        <v>-193.73</v>
      </c>
    </row>
    <row r="3894" spans="1:9" x14ac:dyDescent="0.2">
      <c r="A3894" s="293" t="s">
        <v>9628</v>
      </c>
      <c r="B3894" s="293" t="s">
        <v>5666</v>
      </c>
      <c r="C3894" s="293" t="s">
        <v>6104</v>
      </c>
      <c r="D3894" s="293" t="s">
        <v>5878</v>
      </c>
      <c r="E3894" s="293" t="s">
        <v>6297</v>
      </c>
      <c r="F3894" s="293" t="s">
        <v>7849</v>
      </c>
      <c r="G3894" s="293" t="s">
        <v>5580</v>
      </c>
      <c r="H3894" s="294">
        <v>43343</v>
      </c>
      <c r="I3894" s="295">
        <v>-274.12</v>
      </c>
    </row>
    <row r="3895" spans="1:9" x14ac:dyDescent="0.2">
      <c r="A3895" s="293" t="s">
        <v>9629</v>
      </c>
      <c r="B3895" s="293" t="s">
        <v>5666</v>
      </c>
      <c r="C3895" s="293" t="s">
        <v>6106</v>
      </c>
      <c r="D3895" s="293" t="s">
        <v>5878</v>
      </c>
      <c r="E3895" s="293" t="s">
        <v>6299</v>
      </c>
      <c r="F3895" s="293" t="s">
        <v>7849</v>
      </c>
      <c r="G3895" s="293" t="s">
        <v>5580</v>
      </c>
      <c r="H3895" s="294">
        <v>43343</v>
      </c>
      <c r="I3895" s="295">
        <v>-1347.95</v>
      </c>
    </row>
    <row r="3896" spans="1:9" x14ac:dyDescent="0.2">
      <c r="A3896" s="293" t="s">
        <v>9630</v>
      </c>
      <c r="B3896" s="293" t="s">
        <v>5666</v>
      </c>
      <c r="C3896" s="293" t="s">
        <v>6108</v>
      </c>
      <c r="D3896" s="293" t="s">
        <v>5878</v>
      </c>
      <c r="E3896" s="293" t="s">
        <v>6301</v>
      </c>
      <c r="F3896" s="293" t="s">
        <v>7849</v>
      </c>
      <c r="G3896" s="293" t="s">
        <v>5580</v>
      </c>
      <c r="H3896" s="294">
        <v>43343</v>
      </c>
      <c r="I3896" s="295">
        <v>-1918.86</v>
      </c>
    </row>
    <row r="3897" spans="1:9" x14ac:dyDescent="0.2">
      <c r="A3897" s="293" t="s">
        <v>9631</v>
      </c>
      <c r="B3897" s="293" t="s">
        <v>5666</v>
      </c>
      <c r="C3897" s="293" t="s">
        <v>6110</v>
      </c>
      <c r="D3897" s="293" t="s">
        <v>5878</v>
      </c>
      <c r="E3897" s="293" t="s">
        <v>6303</v>
      </c>
      <c r="F3897" s="293" t="s">
        <v>7849</v>
      </c>
      <c r="G3897" s="293" t="s">
        <v>5573</v>
      </c>
      <c r="H3897" s="294">
        <v>43343</v>
      </c>
      <c r="I3897" s="295">
        <v>-1780.13</v>
      </c>
    </row>
    <row r="3898" spans="1:9" x14ac:dyDescent="0.2">
      <c r="A3898" s="293" t="s">
        <v>9632</v>
      </c>
      <c r="B3898" s="293" t="s">
        <v>5666</v>
      </c>
      <c r="C3898" s="293" t="s">
        <v>6115</v>
      </c>
      <c r="D3898" s="293" t="s">
        <v>5878</v>
      </c>
      <c r="E3898" s="293" t="s">
        <v>6305</v>
      </c>
      <c r="F3898" s="293" t="s">
        <v>7849</v>
      </c>
      <c r="G3898" s="293" t="s">
        <v>5581</v>
      </c>
      <c r="H3898" s="294">
        <v>43343</v>
      </c>
      <c r="I3898" s="295">
        <v>-2230.71</v>
      </c>
    </row>
    <row r="3899" spans="1:9" x14ac:dyDescent="0.2">
      <c r="A3899" s="293" t="s">
        <v>9633</v>
      </c>
      <c r="B3899" s="293" t="s">
        <v>5666</v>
      </c>
      <c r="C3899" s="293" t="s">
        <v>6086</v>
      </c>
      <c r="D3899" s="293" t="s">
        <v>5878</v>
      </c>
      <c r="E3899" s="293" t="s">
        <v>6307</v>
      </c>
      <c r="F3899" s="293" t="s">
        <v>7849</v>
      </c>
      <c r="G3899" s="293" t="s">
        <v>5581</v>
      </c>
      <c r="H3899" s="294">
        <v>43343</v>
      </c>
      <c r="I3899" s="295">
        <v>-2490.34</v>
      </c>
    </row>
    <row r="3900" spans="1:9" x14ac:dyDescent="0.2">
      <c r="A3900" s="293" t="s">
        <v>9634</v>
      </c>
      <c r="B3900" s="293" t="s">
        <v>5666</v>
      </c>
      <c r="C3900" s="293" t="s">
        <v>6113</v>
      </c>
      <c r="D3900" s="293" t="s">
        <v>5878</v>
      </c>
      <c r="E3900" s="293" t="s">
        <v>6316</v>
      </c>
      <c r="F3900" s="293" t="s">
        <v>7849</v>
      </c>
      <c r="G3900" s="293" t="s">
        <v>5573</v>
      </c>
      <c r="H3900" s="294">
        <v>43343</v>
      </c>
      <c r="I3900" s="295">
        <v>-5336.81</v>
      </c>
    </row>
    <row r="3901" spans="1:9" x14ac:dyDescent="0.2">
      <c r="A3901" s="293" t="s">
        <v>9635</v>
      </c>
      <c r="B3901" s="293" t="s">
        <v>5666</v>
      </c>
      <c r="C3901" s="293" t="s">
        <v>6313</v>
      </c>
      <c r="D3901" s="293" t="s">
        <v>5878</v>
      </c>
      <c r="E3901" s="293" t="s">
        <v>6314</v>
      </c>
      <c r="F3901" s="293" t="s">
        <v>7849</v>
      </c>
      <c r="G3901" s="293" t="s">
        <v>5576</v>
      </c>
      <c r="H3901" s="294">
        <v>43343</v>
      </c>
      <c r="I3901" s="295">
        <v>-4207.3500000000004</v>
      </c>
    </row>
    <row r="3902" spans="1:9" x14ac:dyDescent="0.2">
      <c r="A3902" s="293" t="s">
        <v>9636</v>
      </c>
      <c r="B3902" s="293" t="s">
        <v>5666</v>
      </c>
      <c r="C3902" s="293" t="s">
        <v>6272</v>
      </c>
      <c r="D3902" s="293" t="s">
        <v>5878</v>
      </c>
      <c r="E3902" s="293" t="s">
        <v>6273</v>
      </c>
      <c r="F3902" s="293" t="s">
        <v>7869</v>
      </c>
      <c r="G3902" s="293" t="s">
        <v>5576</v>
      </c>
      <c r="H3902" s="294">
        <v>43373</v>
      </c>
      <c r="I3902" s="295">
        <v>-3340.78</v>
      </c>
    </row>
    <row r="3903" spans="1:9" x14ac:dyDescent="0.2">
      <c r="A3903" s="293" t="s">
        <v>9637</v>
      </c>
      <c r="B3903" s="293" t="s">
        <v>5666</v>
      </c>
      <c r="C3903" s="293" t="s">
        <v>6124</v>
      </c>
      <c r="D3903" s="293" t="s">
        <v>5878</v>
      </c>
      <c r="E3903" s="293" t="s">
        <v>6277</v>
      </c>
      <c r="F3903" s="293" t="s">
        <v>7869</v>
      </c>
      <c r="G3903" s="293" t="s">
        <v>5578</v>
      </c>
      <c r="H3903" s="294">
        <v>43373</v>
      </c>
      <c r="I3903" s="295">
        <v>-1019.33</v>
      </c>
    </row>
    <row r="3904" spans="1:9" x14ac:dyDescent="0.2">
      <c r="A3904" s="293" t="s">
        <v>9638</v>
      </c>
      <c r="B3904" s="293" t="s">
        <v>5666</v>
      </c>
      <c r="C3904" s="293" t="s">
        <v>6126</v>
      </c>
      <c r="D3904" s="293" t="s">
        <v>5878</v>
      </c>
      <c r="E3904" s="293" t="s">
        <v>6279</v>
      </c>
      <c r="F3904" s="293" t="s">
        <v>7869</v>
      </c>
      <c r="G3904" s="293" t="s">
        <v>5579</v>
      </c>
      <c r="H3904" s="294">
        <v>43373</v>
      </c>
      <c r="I3904" s="295">
        <v>-857.57</v>
      </c>
    </row>
    <row r="3905" spans="1:9" x14ac:dyDescent="0.2">
      <c r="A3905" s="293" t="s">
        <v>9639</v>
      </c>
      <c r="B3905" s="293" t="s">
        <v>5666</v>
      </c>
      <c r="C3905" s="293" t="s">
        <v>6091</v>
      </c>
      <c r="D3905" s="293" t="s">
        <v>5878</v>
      </c>
      <c r="E3905" s="293" t="s">
        <v>6281</v>
      </c>
      <c r="F3905" s="293" t="s">
        <v>7869</v>
      </c>
      <c r="G3905" s="293" t="s">
        <v>5573</v>
      </c>
      <c r="H3905" s="294">
        <v>43373</v>
      </c>
      <c r="I3905" s="295">
        <v>-3125.47</v>
      </c>
    </row>
    <row r="3906" spans="1:9" x14ac:dyDescent="0.2">
      <c r="A3906" s="293" t="s">
        <v>9640</v>
      </c>
      <c r="B3906" s="293" t="s">
        <v>5666</v>
      </c>
      <c r="C3906" s="293" t="s">
        <v>6093</v>
      </c>
      <c r="D3906" s="293" t="s">
        <v>5878</v>
      </c>
      <c r="E3906" s="293" t="s">
        <v>6283</v>
      </c>
      <c r="F3906" s="293" t="s">
        <v>7869</v>
      </c>
      <c r="G3906" s="293" t="s">
        <v>5573</v>
      </c>
      <c r="H3906" s="294">
        <v>43373</v>
      </c>
      <c r="I3906" s="295">
        <v>-4451.78</v>
      </c>
    </row>
    <row r="3907" spans="1:9" x14ac:dyDescent="0.2">
      <c r="A3907" s="293" t="s">
        <v>9641</v>
      </c>
      <c r="B3907" s="293" t="s">
        <v>5666</v>
      </c>
      <c r="C3907" s="293" t="s">
        <v>6080</v>
      </c>
      <c r="D3907" s="293" t="s">
        <v>5878</v>
      </c>
      <c r="E3907" s="293" t="s">
        <v>6285</v>
      </c>
      <c r="F3907" s="293" t="s">
        <v>7869</v>
      </c>
      <c r="G3907" s="293" t="s">
        <v>5573</v>
      </c>
      <c r="H3907" s="294">
        <v>43373</v>
      </c>
      <c r="I3907" s="295">
        <v>-10077.08</v>
      </c>
    </row>
    <row r="3908" spans="1:9" x14ac:dyDescent="0.2">
      <c r="A3908" s="293" t="s">
        <v>9642</v>
      </c>
      <c r="B3908" s="293" t="s">
        <v>5666</v>
      </c>
      <c r="C3908" s="293" t="s">
        <v>6095</v>
      </c>
      <c r="D3908" s="293" t="s">
        <v>5878</v>
      </c>
      <c r="E3908" s="293" t="s">
        <v>6287</v>
      </c>
      <c r="F3908" s="293" t="s">
        <v>7869</v>
      </c>
      <c r="G3908" s="293" t="s">
        <v>5580</v>
      </c>
      <c r="H3908" s="294">
        <v>43373</v>
      </c>
      <c r="I3908" s="295">
        <v>-5589.54</v>
      </c>
    </row>
    <row r="3909" spans="1:9" x14ac:dyDescent="0.2">
      <c r="A3909" s="293" t="s">
        <v>9643</v>
      </c>
      <c r="B3909" s="293" t="s">
        <v>5666</v>
      </c>
      <c r="C3909" s="293" t="s">
        <v>6097</v>
      </c>
      <c r="D3909" s="293" t="s">
        <v>5878</v>
      </c>
      <c r="E3909" s="293" t="s">
        <v>6289</v>
      </c>
      <c r="F3909" s="293" t="s">
        <v>7869</v>
      </c>
      <c r="G3909" s="293" t="s">
        <v>5580</v>
      </c>
      <c r="H3909" s="294">
        <v>43373</v>
      </c>
      <c r="I3909" s="295">
        <v>-10099.59</v>
      </c>
    </row>
    <row r="3910" spans="1:9" x14ac:dyDescent="0.2">
      <c r="A3910" s="293" t="s">
        <v>9644</v>
      </c>
      <c r="B3910" s="293" t="s">
        <v>5666</v>
      </c>
      <c r="C3910" s="293" t="s">
        <v>6099</v>
      </c>
      <c r="D3910" s="293" t="s">
        <v>5878</v>
      </c>
      <c r="E3910" s="293" t="s">
        <v>6291</v>
      </c>
      <c r="F3910" s="293" t="s">
        <v>7869</v>
      </c>
      <c r="G3910" s="293" t="s">
        <v>5579</v>
      </c>
      <c r="H3910" s="294">
        <v>43373</v>
      </c>
      <c r="I3910" s="295">
        <v>-1407.23</v>
      </c>
    </row>
    <row r="3911" spans="1:9" x14ac:dyDescent="0.2">
      <c r="A3911" s="293" t="s">
        <v>9645</v>
      </c>
      <c r="B3911" s="293" t="s">
        <v>5666</v>
      </c>
      <c r="C3911" s="293" t="s">
        <v>6083</v>
      </c>
      <c r="D3911" s="293" t="s">
        <v>5878</v>
      </c>
      <c r="E3911" s="293" t="s">
        <v>6293</v>
      </c>
      <c r="F3911" s="293" t="s">
        <v>7869</v>
      </c>
      <c r="G3911" s="293" t="s">
        <v>5579</v>
      </c>
      <c r="H3911" s="294">
        <v>43373</v>
      </c>
      <c r="I3911" s="295">
        <v>-2524.9</v>
      </c>
    </row>
    <row r="3912" spans="1:9" x14ac:dyDescent="0.2">
      <c r="A3912" s="293" t="s">
        <v>9646</v>
      </c>
      <c r="B3912" s="293" t="s">
        <v>5666</v>
      </c>
      <c r="C3912" s="293" t="s">
        <v>6101</v>
      </c>
      <c r="D3912" s="293" t="s">
        <v>5878</v>
      </c>
      <c r="E3912" s="293" t="s">
        <v>6295</v>
      </c>
      <c r="F3912" s="293" t="s">
        <v>7869</v>
      </c>
      <c r="G3912" s="293" t="s">
        <v>5580</v>
      </c>
      <c r="H3912" s="294">
        <v>43373</v>
      </c>
      <c r="I3912" s="295">
        <v>-193.73</v>
      </c>
    </row>
    <row r="3913" spans="1:9" x14ac:dyDescent="0.2">
      <c r="A3913" s="293" t="s">
        <v>9647</v>
      </c>
      <c r="B3913" s="293" t="s">
        <v>5666</v>
      </c>
      <c r="C3913" s="293" t="s">
        <v>6104</v>
      </c>
      <c r="D3913" s="293" t="s">
        <v>5878</v>
      </c>
      <c r="E3913" s="293" t="s">
        <v>6297</v>
      </c>
      <c r="F3913" s="293" t="s">
        <v>7869</v>
      </c>
      <c r="G3913" s="293" t="s">
        <v>5580</v>
      </c>
      <c r="H3913" s="294">
        <v>43373</v>
      </c>
      <c r="I3913" s="295">
        <v>-274.12</v>
      </c>
    </row>
    <row r="3914" spans="1:9" x14ac:dyDescent="0.2">
      <c r="A3914" s="293" t="s">
        <v>9648</v>
      </c>
      <c r="B3914" s="293" t="s">
        <v>5666</v>
      </c>
      <c r="C3914" s="293" t="s">
        <v>6106</v>
      </c>
      <c r="D3914" s="293" t="s">
        <v>5878</v>
      </c>
      <c r="E3914" s="293" t="s">
        <v>6299</v>
      </c>
      <c r="F3914" s="293" t="s">
        <v>7869</v>
      </c>
      <c r="G3914" s="293" t="s">
        <v>5580</v>
      </c>
      <c r="H3914" s="294">
        <v>43373</v>
      </c>
      <c r="I3914" s="295">
        <v>-1347.95</v>
      </c>
    </row>
    <row r="3915" spans="1:9" x14ac:dyDescent="0.2">
      <c r="A3915" s="293" t="s">
        <v>9649</v>
      </c>
      <c r="B3915" s="293" t="s">
        <v>5666</v>
      </c>
      <c r="C3915" s="293" t="s">
        <v>6108</v>
      </c>
      <c r="D3915" s="293" t="s">
        <v>5878</v>
      </c>
      <c r="E3915" s="293" t="s">
        <v>6301</v>
      </c>
      <c r="F3915" s="293" t="s">
        <v>7869</v>
      </c>
      <c r="G3915" s="293" t="s">
        <v>5580</v>
      </c>
      <c r="H3915" s="294">
        <v>43373</v>
      </c>
      <c r="I3915" s="295">
        <v>-1918.86</v>
      </c>
    </row>
    <row r="3916" spans="1:9" x14ac:dyDescent="0.2">
      <c r="A3916" s="293" t="s">
        <v>9650</v>
      </c>
      <c r="B3916" s="293" t="s">
        <v>5666</v>
      </c>
      <c r="C3916" s="293" t="s">
        <v>6110</v>
      </c>
      <c r="D3916" s="293" t="s">
        <v>5878</v>
      </c>
      <c r="E3916" s="293" t="s">
        <v>6303</v>
      </c>
      <c r="F3916" s="293" t="s">
        <v>7869</v>
      </c>
      <c r="G3916" s="293" t="s">
        <v>5573</v>
      </c>
      <c r="H3916" s="294">
        <v>43373</v>
      </c>
      <c r="I3916" s="295">
        <v>-1780.13</v>
      </c>
    </row>
    <row r="3917" spans="1:9" x14ac:dyDescent="0.2">
      <c r="A3917" s="293" t="s">
        <v>9651</v>
      </c>
      <c r="B3917" s="293" t="s">
        <v>5666</v>
      </c>
      <c r="C3917" s="293" t="s">
        <v>6115</v>
      </c>
      <c r="D3917" s="293" t="s">
        <v>5878</v>
      </c>
      <c r="E3917" s="293" t="s">
        <v>6305</v>
      </c>
      <c r="F3917" s="293" t="s">
        <v>7869</v>
      </c>
      <c r="G3917" s="293" t="s">
        <v>5581</v>
      </c>
      <c r="H3917" s="294">
        <v>43373</v>
      </c>
      <c r="I3917" s="295">
        <v>-2230.71</v>
      </c>
    </row>
    <row r="3918" spans="1:9" x14ac:dyDescent="0.2">
      <c r="A3918" s="293" t="s">
        <v>9652</v>
      </c>
      <c r="B3918" s="293" t="s">
        <v>5666</v>
      </c>
      <c r="C3918" s="293" t="s">
        <v>6086</v>
      </c>
      <c r="D3918" s="293" t="s">
        <v>5878</v>
      </c>
      <c r="E3918" s="293" t="s">
        <v>6307</v>
      </c>
      <c r="F3918" s="293" t="s">
        <v>7869</v>
      </c>
      <c r="G3918" s="293" t="s">
        <v>5581</v>
      </c>
      <c r="H3918" s="294">
        <v>43373</v>
      </c>
      <c r="I3918" s="295">
        <v>-2490.34</v>
      </c>
    </row>
    <row r="3919" spans="1:9" x14ac:dyDescent="0.2">
      <c r="A3919" s="293" t="s">
        <v>9653</v>
      </c>
      <c r="B3919" s="293" t="s">
        <v>5666</v>
      </c>
      <c r="C3919" s="293" t="s">
        <v>6113</v>
      </c>
      <c r="D3919" s="293" t="s">
        <v>5878</v>
      </c>
      <c r="E3919" s="293" t="s">
        <v>6316</v>
      </c>
      <c r="F3919" s="293" t="s">
        <v>7869</v>
      </c>
      <c r="G3919" s="293" t="s">
        <v>5573</v>
      </c>
      <c r="H3919" s="294">
        <v>43373</v>
      </c>
      <c r="I3919" s="295">
        <v>-5336.81</v>
      </c>
    </row>
    <row r="3920" spans="1:9" x14ac:dyDescent="0.2">
      <c r="A3920" s="293" t="s">
        <v>9654</v>
      </c>
      <c r="B3920" s="293" t="s">
        <v>5666</v>
      </c>
      <c r="C3920" s="293" t="s">
        <v>6313</v>
      </c>
      <c r="D3920" s="293" t="s">
        <v>5878</v>
      </c>
      <c r="E3920" s="293" t="s">
        <v>6314</v>
      </c>
      <c r="F3920" s="293" t="s">
        <v>7869</v>
      </c>
      <c r="G3920" s="293" t="s">
        <v>5576</v>
      </c>
      <c r="H3920" s="294">
        <v>43373</v>
      </c>
      <c r="I3920" s="295">
        <v>-4207.3500000000004</v>
      </c>
    </row>
    <row r="3921" spans="1:9" x14ac:dyDescent="0.2">
      <c r="A3921" s="293" t="s">
        <v>9655</v>
      </c>
      <c r="B3921" s="293" t="s">
        <v>5666</v>
      </c>
      <c r="C3921" s="293" t="s">
        <v>6272</v>
      </c>
      <c r="D3921" s="293" t="s">
        <v>5878</v>
      </c>
      <c r="E3921" s="293" t="s">
        <v>6273</v>
      </c>
      <c r="F3921" s="293" t="s">
        <v>7907</v>
      </c>
      <c r="G3921" s="293" t="s">
        <v>5576</v>
      </c>
      <c r="H3921" s="294">
        <v>43404</v>
      </c>
      <c r="I3921" s="295">
        <v>-3340.78</v>
      </c>
    </row>
    <row r="3922" spans="1:9" x14ac:dyDescent="0.2">
      <c r="A3922" s="293" t="s">
        <v>9656</v>
      </c>
      <c r="B3922" s="293" t="s">
        <v>5666</v>
      </c>
      <c r="C3922" s="293" t="s">
        <v>6124</v>
      </c>
      <c r="D3922" s="293" t="s">
        <v>5878</v>
      </c>
      <c r="E3922" s="293" t="s">
        <v>6277</v>
      </c>
      <c r="F3922" s="293" t="s">
        <v>7907</v>
      </c>
      <c r="G3922" s="293" t="s">
        <v>5578</v>
      </c>
      <c r="H3922" s="294">
        <v>43404</v>
      </c>
      <c r="I3922" s="295">
        <v>-1019.33</v>
      </c>
    </row>
    <row r="3923" spans="1:9" x14ac:dyDescent="0.2">
      <c r="A3923" s="293" t="s">
        <v>9657</v>
      </c>
      <c r="B3923" s="293" t="s">
        <v>5666</v>
      </c>
      <c r="C3923" s="293" t="s">
        <v>6126</v>
      </c>
      <c r="D3923" s="293" t="s">
        <v>5878</v>
      </c>
      <c r="E3923" s="293" t="s">
        <v>6279</v>
      </c>
      <c r="F3923" s="293" t="s">
        <v>7907</v>
      </c>
      <c r="G3923" s="293" t="s">
        <v>5579</v>
      </c>
      <c r="H3923" s="294">
        <v>43404</v>
      </c>
      <c r="I3923" s="295">
        <v>-857.57</v>
      </c>
    </row>
    <row r="3924" spans="1:9" x14ac:dyDescent="0.2">
      <c r="A3924" s="293" t="s">
        <v>9658</v>
      </c>
      <c r="B3924" s="293" t="s">
        <v>5666</v>
      </c>
      <c r="C3924" s="293" t="s">
        <v>6091</v>
      </c>
      <c r="D3924" s="293" t="s">
        <v>5878</v>
      </c>
      <c r="E3924" s="293" t="s">
        <v>6281</v>
      </c>
      <c r="F3924" s="293" t="s">
        <v>7907</v>
      </c>
      <c r="G3924" s="293" t="s">
        <v>5573</v>
      </c>
      <c r="H3924" s="294">
        <v>43404</v>
      </c>
      <c r="I3924" s="295">
        <v>-3125.47</v>
      </c>
    </row>
    <row r="3925" spans="1:9" x14ac:dyDescent="0.2">
      <c r="A3925" s="293" t="s">
        <v>9659</v>
      </c>
      <c r="B3925" s="293" t="s">
        <v>5666</v>
      </c>
      <c r="C3925" s="293" t="s">
        <v>6093</v>
      </c>
      <c r="D3925" s="293" t="s">
        <v>5878</v>
      </c>
      <c r="E3925" s="293" t="s">
        <v>6283</v>
      </c>
      <c r="F3925" s="293" t="s">
        <v>7907</v>
      </c>
      <c r="G3925" s="293" t="s">
        <v>5573</v>
      </c>
      <c r="H3925" s="294">
        <v>43404</v>
      </c>
      <c r="I3925" s="295">
        <v>-4451.78</v>
      </c>
    </row>
    <row r="3926" spans="1:9" x14ac:dyDescent="0.2">
      <c r="A3926" s="293" t="s">
        <v>9660</v>
      </c>
      <c r="B3926" s="293" t="s">
        <v>5666</v>
      </c>
      <c r="C3926" s="293" t="s">
        <v>6080</v>
      </c>
      <c r="D3926" s="293" t="s">
        <v>5878</v>
      </c>
      <c r="E3926" s="293" t="s">
        <v>6285</v>
      </c>
      <c r="F3926" s="293" t="s">
        <v>7907</v>
      </c>
      <c r="G3926" s="293" t="s">
        <v>5573</v>
      </c>
      <c r="H3926" s="294">
        <v>43404</v>
      </c>
      <c r="I3926" s="295">
        <v>-10077.08</v>
      </c>
    </row>
    <row r="3927" spans="1:9" x14ac:dyDescent="0.2">
      <c r="A3927" s="293" t="s">
        <v>9661</v>
      </c>
      <c r="B3927" s="293" t="s">
        <v>5666</v>
      </c>
      <c r="C3927" s="293" t="s">
        <v>6095</v>
      </c>
      <c r="D3927" s="293" t="s">
        <v>5878</v>
      </c>
      <c r="E3927" s="293" t="s">
        <v>6287</v>
      </c>
      <c r="F3927" s="293" t="s">
        <v>7907</v>
      </c>
      <c r="G3927" s="293" t="s">
        <v>5580</v>
      </c>
      <c r="H3927" s="294">
        <v>43404</v>
      </c>
      <c r="I3927" s="295">
        <v>-5589.54</v>
      </c>
    </row>
    <row r="3928" spans="1:9" x14ac:dyDescent="0.2">
      <c r="A3928" s="293" t="s">
        <v>9662</v>
      </c>
      <c r="B3928" s="293" t="s">
        <v>5666</v>
      </c>
      <c r="C3928" s="293" t="s">
        <v>6097</v>
      </c>
      <c r="D3928" s="293" t="s">
        <v>5878</v>
      </c>
      <c r="E3928" s="293" t="s">
        <v>6289</v>
      </c>
      <c r="F3928" s="293" t="s">
        <v>7907</v>
      </c>
      <c r="G3928" s="293" t="s">
        <v>5580</v>
      </c>
      <c r="H3928" s="294">
        <v>43404</v>
      </c>
      <c r="I3928" s="295">
        <v>-10099.59</v>
      </c>
    </row>
    <row r="3929" spans="1:9" x14ac:dyDescent="0.2">
      <c r="A3929" s="293" t="s">
        <v>9663</v>
      </c>
      <c r="B3929" s="293" t="s">
        <v>5666</v>
      </c>
      <c r="C3929" s="293" t="s">
        <v>6099</v>
      </c>
      <c r="D3929" s="293" t="s">
        <v>5878</v>
      </c>
      <c r="E3929" s="293" t="s">
        <v>6291</v>
      </c>
      <c r="F3929" s="293" t="s">
        <v>7907</v>
      </c>
      <c r="G3929" s="293" t="s">
        <v>5579</v>
      </c>
      <c r="H3929" s="294">
        <v>43404</v>
      </c>
      <c r="I3929" s="295">
        <v>-1407.23</v>
      </c>
    </row>
    <row r="3930" spans="1:9" x14ac:dyDescent="0.2">
      <c r="A3930" s="293" t="s">
        <v>9664</v>
      </c>
      <c r="B3930" s="293" t="s">
        <v>5666</v>
      </c>
      <c r="C3930" s="293" t="s">
        <v>6083</v>
      </c>
      <c r="D3930" s="293" t="s">
        <v>5878</v>
      </c>
      <c r="E3930" s="293" t="s">
        <v>6293</v>
      </c>
      <c r="F3930" s="293" t="s">
        <v>7907</v>
      </c>
      <c r="G3930" s="293" t="s">
        <v>5579</v>
      </c>
      <c r="H3930" s="294">
        <v>43404</v>
      </c>
      <c r="I3930" s="295">
        <v>-2524.9</v>
      </c>
    </row>
    <row r="3931" spans="1:9" x14ac:dyDescent="0.2">
      <c r="A3931" s="293" t="s">
        <v>9665</v>
      </c>
      <c r="B3931" s="293" t="s">
        <v>5666</v>
      </c>
      <c r="C3931" s="293" t="s">
        <v>6101</v>
      </c>
      <c r="D3931" s="293" t="s">
        <v>5878</v>
      </c>
      <c r="E3931" s="293" t="s">
        <v>6295</v>
      </c>
      <c r="F3931" s="293" t="s">
        <v>7907</v>
      </c>
      <c r="G3931" s="293" t="s">
        <v>5580</v>
      </c>
      <c r="H3931" s="294">
        <v>43404</v>
      </c>
      <c r="I3931" s="295">
        <v>-193.73</v>
      </c>
    </row>
    <row r="3932" spans="1:9" x14ac:dyDescent="0.2">
      <c r="A3932" s="293" t="s">
        <v>9666</v>
      </c>
      <c r="B3932" s="293" t="s">
        <v>5666</v>
      </c>
      <c r="C3932" s="293" t="s">
        <v>6104</v>
      </c>
      <c r="D3932" s="293" t="s">
        <v>5878</v>
      </c>
      <c r="E3932" s="293" t="s">
        <v>6297</v>
      </c>
      <c r="F3932" s="293" t="s">
        <v>7907</v>
      </c>
      <c r="G3932" s="293" t="s">
        <v>5580</v>
      </c>
      <c r="H3932" s="294">
        <v>43404</v>
      </c>
      <c r="I3932" s="295">
        <v>-274.12</v>
      </c>
    </row>
    <row r="3933" spans="1:9" x14ac:dyDescent="0.2">
      <c r="A3933" s="293" t="s">
        <v>9667</v>
      </c>
      <c r="B3933" s="293" t="s">
        <v>5666</v>
      </c>
      <c r="C3933" s="293" t="s">
        <v>6106</v>
      </c>
      <c r="D3933" s="293" t="s">
        <v>5878</v>
      </c>
      <c r="E3933" s="293" t="s">
        <v>6299</v>
      </c>
      <c r="F3933" s="293" t="s">
        <v>7907</v>
      </c>
      <c r="G3933" s="293" t="s">
        <v>5580</v>
      </c>
      <c r="H3933" s="294">
        <v>43404</v>
      </c>
      <c r="I3933" s="295">
        <v>-1347.95</v>
      </c>
    </row>
    <row r="3934" spans="1:9" x14ac:dyDescent="0.2">
      <c r="A3934" s="293" t="s">
        <v>9668</v>
      </c>
      <c r="B3934" s="293" t="s">
        <v>5666</v>
      </c>
      <c r="C3934" s="293" t="s">
        <v>6108</v>
      </c>
      <c r="D3934" s="293" t="s">
        <v>5878</v>
      </c>
      <c r="E3934" s="293" t="s">
        <v>6301</v>
      </c>
      <c r="F3934" s="293" t="s">
        <v>7907</v>
      </c>
      <c r="G3934" s="293" t="s">
        <v>5580</v>
      </c>
      <c r="H3934" s="294">
        <v>43404</v>
      </c>
      <c r="I3934" s="295">
        <v>-1918.86</v>
      </c>
    </row>
    <row r="3935" spans="1:9" x14ac:dyDescent="0.2">
      <c r="A3935" s="293" t="s">
        <v>9669</v>
      </c>
      <c r="B3935" s="293" t="s">
        <v>5666</v>
      </c>
      <c r="C3935" s="293" t="s">
        <v>6110</v>
      </c>
      <c r="D3935" s="293" t="s">
        <v>5878</v>
      </c>
      <c r="E3935" s="293" t="s">
        <v>6303</v>
      </c>
      <c r="F3935" s="293" t="s">
        <v>7907</v>
      </c>
      <c r="G3935" s="293" t="s">
        <v>5573</v>
      </c>
      <c r="H3935" s="294">
        <v>43404</v>
      </c>
      <c r="I3935" s="295">
        <v>-1780.13</v>
      </c>
    </row>
    <row r="3936" spans="1:9" x14ac:dyDescent="0.2">
      <c r="A3936" s="293" t="s">
        <v>9670</v>
      </c>
      <c r="B3936" s="293" t="s">
        <v>5666</v>
      </c>
      <c r="C3936" s="293" t="s">
        <v>6115</v>
      </c>
      <c r="D3936" s="293" t="s">
        <v>5878</v>
      </c>
      <c r="E3936" s="293" t="s">
        <v>6305</v>
      </c>
      <c r="F3936" s="293" t="s">
        <v>7907</v>
      </c>
      <c r="G3936" s="293" t="s">
        <v>5581</v>
      </c>
      <c r="H3936" s="294">
        <v>43404</v>
      </c>
      <c r="I3936" s="295">
        <v>-2230.71</v>
      </c>
    </row>
    <row r="3937" spans="1:9" x14ac:dyDescent="0.2">
      <c r="A3937" s="293" t="s">
        <v>9671</v>
      </c>
      <c r="B3937" s="293" t="s">
        <v>5666</v>
      </c>
      <c r="C3937" s="293" t="s">
        <v>6086</v>
      </c>
      <c r="D3937" s="293" t="s">
        <v>5878</v>
      </c>
      <c r="E3937" s="293" t="s">
        <v>6307</v>
      </c>
      <c r="F3937" s="293" t="s">
        <v>7907</v>
      </c>
      <c r="G3937" s="293" t="s">
        <v>5581</v>
      </c>
      <c r="H3937" s="294">
        <v>43404</v>
      </c>
      <c r="I3937" s="295">
        <v>-2490.34</v>
      </c>
    </row>
    <row r="3938" spans="1:9" x14ac:dyDescent="0.2">
      <c r="A3938" s="293" t="s">
        <v>9672</v>
      </c>
      <c r="B3938" s="293" t="s">
        <v>5666</v>
      </c>
      <c r="C3938" s="293" t="s">
        <v>6113</v>
      </c>
      <c r="D3938" s="293" t="s">
        <v>5878</v>
      </c>
      <c r="E3938" s="293" t="s">
        <v>6316</v>
      </c>
      <c r="F3938" s="293" t="s">
        <v>7907</v>
      </c>
      <c r="G3938" s="293" t="s">
        <v>5573</v>
      </c>
      <c r="H3938" s="294">
        <v>43404</v>
      </c>
      <c r="I3938" s="295">
        <v>-5336.81</v>
      </c>
    </row>
    <row r="3939" spans="1:9" x14ac:dyDescent="0.2">
      <c r="A3939" s="293" t="s">
        <v>9673</v>
      </c>
      <c r="B3939" s="293" t="s">
        <v>5666</v>
      </c>
      <c r="C3939" s="293" t="s">
        <v>6313</v>
      </c>
      <c r="D3939" s="293" t="s">
        <v>5878</v>
      </c>
      <c r="E3939" s="293" t="s">
        <v>6314</v>
      </c>
      <c r="F3939" s="293" t="s">
        <v>7907</v>
      </c>
      <c r="G3939" s="293" t="s">
        <v>5576</v>
      </c>
      <c r="H3939" s="294">
        <v>43404</v>
      </c>
      <c r="I3939" s="295">
        <v>-4207.3500000000004</v>
      </c>
    </row>
    <row r="3940" spans="1:9" x14ac:dyDescent="0.2">
      <c r="A3940" s="293" t="s">
        <v>9674</v>
      </c>
      <c r="B3940" s="293" t="s">
        <v>5666</v>
      </c>
      <c r="C3940" s="293" t="s">
        <v>6272</v>
      </c>
      <c r="D3940" s="293" t="s">
        <v>5878</v>
      </c>
      <c r="E3940" s="293" t="s">
        <v>6273</v>
      </c>
      <c r="F3940" s="293" t="s">
        <v>7930</v>
      </c>
      <c r="G3940" s="293" t="s">
        <v>5576</v>
      </c>
      <c r="H3940" s="294">
        <v>43434</v>
      </c>
      <c r="I3940" s="295">
        <v>-3340.78</v>
      </c>
    </row>
    <row r="3941" spans="1:9" x14ac:dyDescent="0.2">
      <c r="A3941" s="293" t="s">
        <v>9675</v>
      </c>
      <c r="B3941" s="293" t="s">
        <v>5666</v>
      </c>
      <c r="C3941" s="293" t="s">
        <v>6124</v>
      </c>
      <c r="D3941" s="293" t="s">
        <v>5878</v>
      </c>
      <c r="E3941" s="293" t="s">
        <v>6277</v>
      </c>
      <c r="F3941" s="293" t="s">
        <v>7930</v>
      </c>
      <c r="G3941" s="293" t="s">
        <v>5578</v>
      </c>
      <c r="H3941" s="294">
        <v>43434</v>
      </c>
      <c r="I3941" s="295">
        <v>-1019.33</v>
      </c>
    </row>
    <row r="3942" spans="1:9" x14ac:dyDescent="0.2">
      <c r="A3942" s="293" t="s">
        <v>9676</v>
      </c>
      <c r="B3942" s="293" t="s">
        <v>5666</v>
      </c>
      <c r="C3942" s="293" t="s">
        <v>6126</v>
      </c>
      <c r="D3942" s="293" t="s">
        <v>5878</v>
      </c>
      <c r="E3942" s="293" t="s">
        <v>6279</v>
      </c>
      <c r="F3942" s="293" t="s">
        <v>7930</v>
      </c>
      <c r="G3942" s="293" t="s">
        <v>5579</v>
      </c>
      <c r="H3942" s="294">
        <v>43434</v>
      </c>
      <c r="I3942" s="295">
        <v>-857.57</v>
      </c>
    </row>
    <row r="3943" spans="1:9" x14ac:dyDescent="0.2">
      <c r="A3943" s="293" t="s">
        <v>9677</v>
      </c>
      <c r="B3943" s="293" t="s">
        <v>5666</v>
      </c>
      <c r="C3943" s="293" t="s">
        <v>6091</v>
      </c>
      <c r="D3943" s="293" t="s">
        <v>5878</v>
      </c>
      <c r="E3943" s="293" t="s">
        <v>6281</v>
      </c>
      <c r="F3943" s="293" t="s">
        <v>7930</v>
      </c>
      <c r="G3943" s="293" t="s">
        <v>5573</v>
      </c>
      <c r="H3943" s="294">
        <v>43434</v>
      </c>
      <c r="I3943" s="295">
        <v>-3125.47</v>
      </c>
    </row>
    <row r="3944" spans="1:9" x14ac:dyDescent="0.2">
      <c r="A3944" s="293" t="s">
        <v>9678</v>
      </c>
      <c r="B3944" s="293" t="s">
        <v>5666</v>
      </c>
      <c r="C3944" s="293" t="s">
        <v>6093</v>
      </c>
      <c r="D3944" s="293" t="s">
        <v>5878</v>
      </c>
      <c r="E3944" s="293" t="s">
        <v>6283</v>
      </c>
      <c r="F3944" s="293" t="s">
        <v>7930</v>
      </c>
      <c r="G3944" s="293" t="s">
        <v>5573</v>
      </c>
      <c r="H3944" s="294">
        <v>43434</v>
      </c>
      <c r="I3944" s="295">
        <v>-4451.78</v>
      </c>
    </row>
    <row r="3945" spans="1:9" x14ac:dyDescent="0.2">
      <c r="A3945" s="293" t="s">
        <v>9679</v>
      </c>
      <c r="B3945" s="293" t="s">
        <v>5666</v>
      </c>
      <c r="C3945" s="293" t="s">
        <v>6080</v>
      </c>
      <c r="D3945" s="293" t="s">
        <v>5878</v>
      </c>
      <c r="E3945" s="293" t="s">
        <v>6285</v>
      </c>
      <c r="F3945" s="293" t="s">
        <v>7930</v>
      </c>
      <c r="G3945" s="293" t="s">
        <v>5573</v>
      </c>
      <c r="H3945" s="294">
        <v>43434</v>
      </c>
      <c r="I3945" s="295">
        <v>-10077.08</v>
      </c>
    </row>
    <row r="3946" spans="1:9" x14ac:dyDescent="0.2">
      <c r="A3946" s="293" t="s">
        <v>9680</v>
      </c>
      <c r="B3946" s="293" t="s">
        <v>5666</v>
      </c>
      <c r="C3946" s="293" t="s">
        <v>6095</v>
      </c>
      <c r="D3946" s="293" t="s">
        <v>5878</v>
      </c>
      <c r="E3946" s="293" t="s">
        <v>6287</v>
      </c>
      <c r="F3946" s="293" t="s">
        <v>7930</v>
      </c>
      <c r="G3946" s="293" t="s">
        <v>5580</v>
      </c>
      <c r="H3946" s="294">
        <v>43434</v>
      </c>
      <c r="I3946" s="295">
        <v>-5589.54</v>
      </c>
    </row>
    <row r="3947" spans="1:9" x14ac:dyDescent="0.2">
      <c r="A3947" s="293" t="s">
        <v>9681</v>
      </c>
      <c r="B3947" s="293" t="s">
        <v>5666</v>
      </c>
      <c r="C3947" s="293" t="s">
        <v>6097</v>
      </c>
      <c r="D3947" s="293" t="s">
        <v>5878</v>
      </c>
      <c r="E3947" s="293" t="s">
        <v>6289</v>
      </c>
      <c r="F3947" s="293" t="s">
        <v>7930</v>
      </c>
      <c r="G3947" s="293" t="s">
        <v>5580</v>
      </c>
      <c r="H3947" s="294">
        <v>43434</v>
      </c>
      <c r="I3947" s="295">
        <v>-10099.59</v>
      </c>
    </row>
    <row r="3948" spans="1:9" x14ac:dyDescent="0.2">
      <c r="A3948" s="293" t="s">
        <v>9682</v>
      </c>
      <c r="B3948" s="293" t="s">
        <v>5666</v>
      </c>
      <c r="C3948" s="293" t="s">
        <v>6099</v>
      </c>
      <c r="D3948" s="293" t="s">
        <v>5878</v>
      </c>
      <c r="E3948" s="293" t="s">
        <v>6291</v>
      </c>
      <c r="F3948" s="293" t="s">
        <v>7930</v>
      </c>
      <c r="G3948" s="293" t="s">
        <v>5579</v>
      </c>
      <c r="H3948" s="294">
        <v>43434</v>
      </c>
      <c r="I3948" s="295">
        <v>-1407.23</v>
      </c>
    </row>
    <row r="3949" spans="1:9" x14ac:dyDescent="0.2">
      <c r="A3949" s="293" t="s">
        <v>9683</v>
      </c>
      <c r="B3949" s="293" t="s">
        <v>5666</v>
      </c>
      <c r="C3949" s="293" t="s">
        <v>6083</v>
      </c>
      <c r="D3949" s="293" t="s">
        <v>5878</v>
      </c>
      <c r="E3949" s="293" t="s">
        <v>6293</v>
      </c>
      <c r="F3949" s="293" t="s">
        <v>7930</v>
      </c>
      <c r="G3949" s="293" t="s">
        <v>5579</v>
      </c>
      <c r="H3949" s="294">
        <v>43434</v>
      </c>
      <c r="I3949" s="295">
        <v>-2524.9</v>
      </c>
    </row>
    <row r="3950" spans="1:9" x14ac:dyDescent="0.2">
      <c r="A3950" s="293" t="s">
        <v>9684</v>
      </c>
      <c r="B3950" s="293" t="s">
        <v>5666</v>
      </c>
      <c r="C3950" s="293" t="s">
        <v>6101</v>
      </c>
      <c r="D3950" s="293" t="s">
        <v>5878</v>
      </c>
      <c r="E3950" s="293" t="s">
        <v>6295</v>
      </c>
      <c r="F3950" s="293" t="s">
        <v>7930</v>
      </c>
      <c r="G3950" s="293" t="s">
        <v>5580</v>
      </c>
      <c r="H3950" s="294">
        <v>43434</v>
      </c>
      <c r="I3950" s="295">
        <v>-193.73</v>
      </c>
    </row>
    <row r="3951" spans="1:9" x14ac:dyDescent="0.2">
      <c r="A3951" s="293" t="s">
        <v>9685</v>
      </c>
      <c r="B3951" s="293" t="s">
        <v>5666</v>
      </c>
      <c r="C3951" s="293" t="s">
        <v>6104</v>
      </c>
      <c r="D3951" s="293" t="s">
        <v>5878</v>
      </c>
      <c r="E3951" s="293" t="s">
        <v>6297</v>
      </c>
      <c r="F3951" s="293" t="s">
        <v>7930</v>
      </c>
      <c r="G3951" s="293" t="s">
        <v>5580</v>
      </c>
      <c r="H3951" s="294">
        <v>43434</v>
      </c>
      <c r="I3951" s="295">
        <v>-274.12</v>
      </c>
    </row>
    <row r="3952" spans="1:9" x14ac:dyDescent="0.2">
      <c r="A3952" s="293" t="s">
        <v>9686</v>
      </c>
      <c r="B3952" s="293" t="s">
        <v>5666</v>
      </c>
      <c r="C3952" s="293" t="s">
        <v>6106</v>
      </c>
      <c r="D3952" s="293" t="s">
        <v>5878</v>
      </c>
      <c r="E3952" s="293" t="s">
        <v>6299</v>
      </c>
      <c r="F3952" s="293" t="s">
        <v>7930</v>
      </c>
      <c r="G3952" s="293" t="s">
        <v>5580</v>
      </c>
      <c r="H3952" s="294">
        <v>43434</v>
      </c>
      <c r="I3952" s="295">
        <v>-1347.95</v>
      </c>
    </row>
    <row r="3953" spans="1:9" x14ac:dyDescent="0.2">
      <c r="A3953" s="293" t="s">
        <v>9687</v>
      </c>
      <c r="B3953" s="293" t="s">
        <v>5666</v>
      </c>
      <c r="C3953" s="293" t="s">
        <v>6108</v>
      </c>
      <c r="D3953" s="293" t="s">
        <v>5878</v>
      </c>
      <c r="E3953" s="293" t="s">
        <v>6301</v>
      </c>
      <c r="F3953" s="293" t="s">
        <v>7930</v>
      </c>
      <c r="G3953" s="293" t="s">
        <v>5580</v>
      </c>
      <c r="H3953" s="294">
        <v>43434</v>
      </c>
      <c r="I3953" s="295">
        <v>-1918.86</v>
      </c>
    </row>
    <row r="3954" spans="1:9" x14ac:dyDescent="0.2">
      <c r="A3954" s="293" t="s">
        <v>9688</v>
      </c>
      <c r="B3954" s="293" t="s">
        <v>5666</v>
      </c>
      <c r="C3954" s="293" t="s">
        <v>6110</v>
      </c>
      <c r="D3954" s="293" t="s">
        <v>5878</v>
      </c>
      <c r="E3954" s="293" t="s">
        <v>6303</v>
      </c>
      <c r="F3954" s="293" t="s">
        <v>7930</v>
      </c>
      <c r="G3954" s="293" t="s">
        <v>5573</v>
      </c>
      <c r="H3954" s="294">
        <v>43434</v>
      </c>
      <c r="I3954" s="295">
        <v>-1780.13</v>
      </c>
    </row>
    <row r="3955" spans="1:9" x14ac:dyDescent="0.2">
      <c r="A3955" s="293" t="s">
        <v>9689</v>
      </c>
      <c r="B3955" s="293" t="s">
        <v>5666</v>
      </c>
      <c r="C3955" s="293" t="s">
        <v>6115</v>
      </c>
      <c r="D3955" s="293" t="s">
        <v>5878</v>
      </c>
      <c r="E3955" s="293" t="s">
        <v>6305</v>
      </c>
      <c r="F3955" s="293" t="s">
        <v>7930</v>
      </c>
      <c r="G3955" s="293" t="s">
        <v>5581</v>
      </c>
      <c r="H3955" s="294">
        <v>43434</v>
      </c>
      <c r="I3955" s="295">
        <v>-2230.71</v>
      </c>
    </row>
    <row r="3956" spans="1:9" x14ac:dyDescent="0.2">
      <c r="A3956" s="293" t="s">
        <v>9690</v>
      </c>
      <c r="B3956" s="293" t="s">
        <v>5666</v>
      </c>
      <c r="C3956" s="293" t="s">
        <v>6086</v>
      </c>
      <c r="D3956" s="293" t="s">
        <v>5878</v>
      </c>
      <c r="E3956" s="293" t="s">
        <v>6307</v>
      </c>
      <c r="F3956" s="293" t="s">
        <v>7930</v>
      </c>
      <c r="G3956" s="293" t="s">
        <v>5581</v>
      </c>
      <c r="H3956" s="294">
        <v>43434</v>
      </c>
      <c r="I3956" s="295">
        <v>-2490.34</v>
      </c>
    </row>
    <row r="3957" spans="1:9" x14ac:dyDescent="0.2">
      <c r="A3957" s="293" t="s">
        <v>9691</v>
      </c>
      <c r="B3957" s="293" t="s">
        <v>5666</v>
      </c>
      <c r="C3957" s="293" t="s">
        <v>6113</v>
      </c>
      <c r="D3957" s="293" t="s">
        <v>5878</v>
      </c>
      <c r="E3957" s="293" t="s">
        <v>6316</v>
      </c>
      <c r="F3957" s="293" t="s">
        <v>7930</v>
      </c>
      <c r="G3957" s="293" t="s">
        <v>5573</v>
      </c>
      <c r="H3957" s="294">
        <v>43434</v>
      </c>
      <c r="I3957" s="295">
        <v>-5336.81</v>
      </c>
    </row>
    <row r="3958" spans="1:9" x14ac:dyDescent="0.2">
      <c r="A3958" s="293" t="s">
        <v>9692</v>
      </c>
      <c r="B3958" s="293" t="s">
        <v>5666</v>
      </c>
      <c r="C3958" s="293" t="s">
        <v>6313</v>
      </c>
      <c r="D3958" s="293" t="s">
        <v>5878</v>
      </c>
      <c r="E3958" s="293" t="s">
        <v>6314</v>
      </c>
      <c r="F3958" s="293" t="s">
        <v>7930</v>
      </c>
      <c r="G3958" s="293" t="s">
        <v>5576</v>
      </c>
      <c r="H3958" s="294">
        <v>43434</v>
      </c>
      <c r="I3958" s="295">
        <v>-4207.3500000000004</v>
      </c>
    </row>
    <row r="3959" spans="1:9" x14ac:dyDescent="0.2">
      <c r="A3959" s="293" t="s">
        <v>9693</v>
      </c>
      <c r="B3959" s="293" t="s">
        <v>5666</v>
      </c>
      <c r="C3959" s="293" t="s">
        <v>6272</v>
      </c>
      <c r="D3959" s="293" t="s">
        <v>5878</v>
      </c>
      <c r="E3959" s="293" t="s">
        <v>6273</v>
      </c>
      <c r="F3959" s="293" t="s">
        <v>7946</v>
      </c>
      <c r="G3959" s="293" t="s">
        <v>5576</v>
      </c>
      <c r="H3959" s="294">
        <v>43465</v>
      </c>
      <c r="I3959" s="295">
        <v>-3340.78</v>
      </c>
    </row>
    <row r="3960" spans="1:9" x14ac:dyDescent="0.2">
      <c r="A3960" s="293" t="s">
        <v>9694</v>
      </c>
      <c r="B3960" s="293" t="s">
        <v>5666</v>
      </c>
      <c r="C3960" s="293" t="s">
        <v>6124</v>
      </c>
      <c r="D3960" s="293" t="s">
        <v>5878</v>
      </c>
      <c r="E3960" s="293" t="s">
        <v>6277</v>
      </c>
      <c r="F3960" s="293" t="s">
        <v>7946</v>
      </c>
      <c r="G3960" s="293" t="s">
        <v>5578</v>
      </c>
      <c r="H3960" s="294">
        <v>43465</v>
      </c>
      <c r="I3960" s="295">
        <v>-1019.33</v>
      </c>
    </row>
    <row r="3961" spans="1:9" x14ac:dyDescent="0.2">
      <c r="A3961" s="293" t="s">
        <v>9695</v>
      </c>
      <c r="B3961" s="293" t="s">
        <v>5666</v>
      </c>
      <c r="C3961" s="293" t="s">
        <v>6126</v>
      </c>
      <c r="D3961" s="293" t="s">
        <v>5878</v>
      </c>
      <c r="E3961" s="293" t="s">
        <v>6279</v>
      </c>
      <c r="F3961" s="293" t="s">
        <v>7946</v>
      </c>
      <c r="G3961" s="293" t="s">
        <v>5579</v>
      </c>
      <c r="H3961" s="294">
        <v>43465</v>
      </c>
      <c r="I3961" s="295">
        <v>-857.57</v>
      </c>
    </row>
    <row r="3962" spans="1:9" x14ac:dyDescent="0.2">
      <c r="A3962" s="293" t="s">
        <v>9696</v>
      </c>
      <c r="B3962" s="293" t="s">
        <v>5666</v>
      </c>
      <c r="C3962" s="293" t="s">
        <v>6091</v>
      </c>
      <c r="D3962" s="293" t="s">
        <v>5878</v>
      </c>
      <c r="E3962" s="293" t="s">
        <v>6281</v>
      </c>
      <c r="F3962" s="293" t="s">
        <v>7946</v>
      </c>
      <c r="G3962" s="293" t="s">
        <v>5573</v>
      </c>
      <c r="H3962" s="294">
        <v>43465</v>
      </c>
      <c r="I3962" s="295">
        <v>-3125.47</v>
      </c>
    </row>
    <row r="3963" spans="1:9" x14ac:dyDescent="0.2">
      <c r="A3963" s="293" t="s">
        <v>9697</v>
      </c>
      <c r="B3963" s="293" t="s">
        <v>5666</v>
      </c>
      <c r="C3963" s="293" t="s">
        <v>6093</v>
      </c>
      <c r="D3963" s="293" t="s">
        <v>5878</v>
      </c>
      <c r="E3963" s="293" t="s">
        <v>6283</v>
      </c>
      <c r="F3963" s="293" t="s">
        <v>7946</v>
      </c>
      <c r="G3963" s="293" t="s">
        <v>5573</v>
      </c>
      <c r="H3963" s="294">
        <v>43465</v>
      </c>
      <c r="I3963" s="295">
        <v>-4451.78</v>
      </c>
    </row>
    <row r="3964" spans="1:9" x14ac:dyDescent="0.2">
      <c r="A3964" s="293" t="s">
        <v>9698</v>
      </c>
      <c r="B3964" s="293" t="s">
        <v>5666</v>
      </c>
      <c r="C3964" s="293" t="s">
        <v>6080</v>
      </c>
      <c r="D3964" s="293" t="s">
        <v>5878</v>
      </c>
      <c r="E3964" s="293" t="s">
        <v>6285</v>
      </c>
      <c r="F3964" s="293" t="s">
        <v>7946</v>
      </c>
      <c r="G3964" s="293" t="s">
        <v>5573</v>
      </c>
      <c r="H3964" s="294">
        <v>43465</v>
      </c>
      <c r="I3964" s="295">
        <v>-10077.08</v>
      </c>
    </row>
    <row r="3965" spans="1:9" x14ac:dyDescent="0.2">
      <c r="A3965" s="293" t="s">
        <v>9699</v>
      </c>
      <c r="B3965" s="293" t="s">
        <v>5666</v>
      </c>
      <c r="C3965" s="293" t="s">
        <v>6095</v>
      </c>
      <c r="D3965" s="293" t="s">
        <v>5878</v>
      </c>
      <c r="E3965" s="293" t="s">
        <v>6287</v>
      </c>
      <c r="F3965" s="293" t="s">
        <v>7946</v>
      </c>
      <c r="G3965" s="293" t="s">
        <v>5580</v>
      </c>
      <c r="H3965" s="294">
        <v>43465</v>
      </c>
      <c r="I3965" s="295">
        <v>-5589.54</v>
      </c>
    </row>
    <row r="3966" spans="1:9" x14ac:dyDescent="0.2">
      <c r="A3966" s="293" t="s">
        <v>9700</v>
      </c>
      <c r="B3966" s="293" t="s">
        <v>5666</v>
      </c>
      <c r="C3966" s="293" t="s">
        <v>6097</v>
      </c>
      <c r="D3966" s="293" t="s">
        <v>5878</v>
      </c>
      <c r="E3966" s="293" t="s">
        <v>6289</v>
      </c>
      <c r="F3966" s="293" t="s">
        <v>7946</v>
      </c>
      <c r="G3966" s="293" t="s">
        <v>5580</v>
      </c>
      <c r="H3966" s="294">
        <v>43465</v>
      </c>
      <c r="I3966" s="295">
        <v>-10099.59</v>
      </c>
    </row>
    <row r="3967" spans="1:9" x14ac:dyDescent="0.2">
      <c r="A3967" s="293" t="s">
        <v>9701</v>
      </c>
      <c r="B3967" s="293" t="s">
        <v>5666</v>
      </c>
      <c r="C3967" s="293" t="s">
        <v>6099</v>
      </c>
      <c r="D3967" s="293" t="s">
        <v>5878</v>
      </c>
      <c r="E3967" s="293" t="s">
        <v>6291</v>
      </c>
      <c r="F3967" s="293" t="s">
        <v>7946</v>
      </c>
      <c r="G3967" s="293" t="s">
        <v>5579</v>
      </c>
      <c r="H3967" s="294">
        <v>43465</v>
      </c>
      <c r="I3967" s="295">
        <v>-1407.23</v>
      </c>
    </row>
    <row r="3968" spans="1:9" x14ac:dyDescent="0.2">
      <c r="A3968" s="293" t="s">
        <v>9702</v>
      </c>
      <c r="B3968" s="293" t="s">
        <v>5666</v>
      </c>
      <c r="C3968" s="293" t="s">
        <v>6083</v>
      </c>
      <c r="D3968" s="293" t="s">
        <v>5878</v>
      </c>
      <c r="E3968" s="293" t="s">
        <v>6293</v>
      </c>
      <c r="F3968" s="293" t="s">
        <v>7946</v>
      </c>
      <c r="G3968" s="293" t="s">
        <v>5579</v>
      </c>
      <c r="H3968" s="294">
        <v>43465</v>
      </c>
      <c r="I3968" s="295">
        <v>-2524.9</v>
      </c>
    </row>
    <row r="3969" spans="1:9" x14ac:dyDescent="0.2">
      <c r="A3969" s="293" t="s">
        <v>9703</v>
      </c>
      <c r="B3969" s="293" t="s">
        <v>5666</v>
      </c>
      <c r="C3969" s="293" t="s">
        <v>6101</v>
      </c>
      <c r="D3969" s="293" t="s">
        <v>5878</v>
      </c>
      <c r="E3969" s="293" t="s">
        <v>6295</v>
      </c>
      <c r="F3969" s="293" t="s">
        <v>7946</v>
      </c>
      <c r="G3969" s="293" t="s">
        <v>5580</v>
      </c>
      <c r="H3969" s="294">
        <v>43465</v>
      </c>
      <c r="I3969" s="295">
        <v>-193.73</v>
      </c>
    </row>
    <row r="3970" spans="1:9" x14ac:dyDescent="0.2">
      <c r="A3970" s="293" t="s">
        <v>9704</v>
      </c>
      <c r="B3970" s="293" t="s">
        <v>5666</v>
      </c>
      <c r="C3970" s="293" t="s">
        <v>6104</v>
      </c>
      <c r="D3970" s="293" t="s">
        <v>5878</v>
      </c>
      <c r="E3970" s="293" t="s">
        <v>6297</v>
      </c>
      <c r="F3970" s="293" t="s">
        <v>7946</v>
      </c>
      <c r="G3970" s="293" t="s">
        <v>5580</v>
      </c>
      <c r="H3970" s="294">
        <v>43465</v>
      </c>
      <c r="I3970" s="295">
        <v>-274.12</v>
      </c>
    </row>
    <row r="3971" spans="1:9" x14ac:dyDescent="0.2">
      <c r="A3971" s="293" t="s">
        <v>9705</v>
      </c>
      <c r="B3971" s="293" t="s">
        <v>5666</v>
      </c>
      <c r="C3971" s="293" t="s">
        <v>6106</v>
      </c>
      <c r="D3971" s="293" t="s">
        <v>5878</v>
      </c>
      <c r="E3971" s="293" t="s">
        <v>6299</v>
      </c>
      <c r="F3971" s="293" t="s">
        <v>7946</v>
      </c>
      <c r="G3971" s="293" t="s">
        <v>5580</v>
      </c>
      <c r="H3971" s="294">
        <v>43465</v>
      </c>
      <c r="I3971" s="295">
        <v>-1347.95</v>
      </c>
    </row>
    <row r="3972" spans="1:9" x14ac:dyDescent="0.2">
      <c r="A3972" s="293" t="s">
        <v>9706</v>
      </c>
      <c r="B3972" s="293" t="s">
        <v>5666</v>
      </c>
      <c r="C3972" s="293" t="s">
        <v>6108</v>
      </c>
      <c r="D3972" s="293" t="s">
        <v>5878</v>
      </c>
      <c r="E3972" s="293" t="s">
        <v>6301</v>
      </c>
      <c r="F3972" s="293" t="s">
        <v>7946</v>
      </c>
      <c r="G3972" s="293" t="s">
        <v>5580</v>
      </c>
      <c r="H3972" s="294">
        <v>43465</v>
      </c>
      <c r="I3972" s="295">
        <v>-1918.86</v>
      </c>
    </row>
    <row r="3973" spans="1:9" x14ac:dyDescent="0.2">
      <c r="A3973" s="293" t="s">
        <v>9707</v>
      </c>
      <c r="B3973" s="293" t="s">
        <v>5666</v>
      </c>
      <c r="C3973" s="293" t="s">
        <v>6110</v>
      </c>
      <c r="D3973" s="293" t="s">
        <v>5878</v>
      </c>
      <c r="E3973" s="293" t="s">
        <v>6303</v>
      </c>
      <c r="F3973" s="293" t="s">
        <v>7946</v>
      </c>
      <c r="G3973" s="293" t="s">
        <v>5573</v>
      </c>
      <c r="H3973" s="294">
        <v>43465</v>
      </c>
      <c r="I3973" s="295">
        <v>-1780.13</v>
      </c>
    </row>
    <row r="3974" spans="1:9" x14ac:dyDescent="0.2">
      <c r="A3974" s="293" t="s">
        <v>9708</v>
      </c>
      <c r="B3974" s="293" t="s">
        <v>5666</v>
      </c>
      <c r="C3974" s="293" t="s">
        <v>6115</v>
      </c>
      <c r="D3974" s="293" t="s">
        <v>5878</v>
      </c>
      <c r="E3974" s="293" t="s">
        <v>6305</v>
      </c>
      <c r="F3974" s="293" t="s">
        <v>7946</v>
      </c>
      <c r="G3974" s="293" t="s">
        <v>5581</v>
      </c>
      <c r="H3974" s="294">
        <v>43465</v>
      </c>
      <c r="I3974" s="295">
        <v>-2230.71</v>
      </c>
    </row>
    <row r="3975" spans="1:9" x14ac:dyDescent="0.2">
      <c r="A3975" s="293" t="s">
        <v>9709</v>
      </c>
      <c r="B3975" s="293" t="s">
        <v>5666</v>
      </c>
      <c r="C3975" s="293" t="s">
        <v>6086</v>
      </c>
      <c r="D3975" s="293" t="s">
        <v>5878</v>
      </c>
      <c r="E3975" s="293" t="s">
        <v>6307</v>
      </c>
      <c r="F3975" s="293" t="s">
        <v>7946</v>
      </c>
      <c r="G3975" s="293" t="s">
        <v>5581</v>
      </c>
      <c r="H3975" s="294">
        <v>43465</v>
      </c>
      <c r="I3975" s="295">
        <v>-2490.34</v>
      </c>
    </row>
    <row r="3976" spans="1:9" x14ac:dyDescent="0.2">
      <c r="A3976" s="293" t="s">
        <v>9710</v>
      </c>
      <c r="B3976" s="293" t="s">
        <v>5666</v>
      </c>
      <c r="C3976" s="293" t="s">
        <v>6113</v>
      </c>
      <c r="D3976" s="293" t="s">
        <v>5878</v>
      </c>
      <c r="E3976" s="293" t="s">
        <v>6316</v>
      </c>
      <c r="F3976" s="293" t="s">
        <v>7946</v>
      </c>
      <c r="G3976" s="293" t="s">
        <v>5573</v>
      </c>
      <c r="H3976" s="294">
        <v>43465</v>
      </c>
      <c r="I3976" s="295">
        <v>-5336.81</v>
      </c>
    </row>
    <row r="3977" spans="1:9" x14ac:dyDescent="0.2">
      <c r="A3977" s="293" t="s">
        <v>9711</v>
      </c>
      <c r="B3977" s="293" t="s">
        <v>5666</v>
      </c>
      <c r="C3977" s="293" t="s">
        <v>6313</v>
      </c>
      <c r="D3977" s="293" t="s">
        <v>5878</v>
      </c>
      <c r="E3977" s="293" t="s">
        <v>6314</v>
      </c>
      <c r="F3977" s="293" t="s">
        <v>7946</v>
      </c>
      <c r="G3977" s="293" t="s">
        <v>5576</v>
      </c>
      <c r="H3977" s="294">
        <v>43465</v>
      </c>
      <c r="I3977" s="295">
        <v>-4207.3500000000004</v>
      </c>
    </row>
    <row r="3978" spans="1:9" x14ac:dyDescent="0.2">
      <c r="A3978" s="293" t="s">
        <v>9712</v>
      </c>
      <c r="B3978" s="293" t="s">
        <v>5666</v>
      </c>
      <c r="C3978" s="293" t="s">
        <v>6272</v>
      </c>
      <c r="D3978" s="293" t="s">
        <v>5878</v>
      </c>
      <c r="E3978" s="293" t="s">
        <v>6273</v>
      </c>
      <c r="F3978" s="293" t="s">
        <v>7966</v>
      </c>
      <c r="G3978" s="293" t="s">
        <v>5576</v>
      </c>
      <c r="H3978" s="294">
        <v>43496</v>
      </c>
      <c r="I3978" s="295">
        <v>-3340.78</v>
      </c>
    </row>
    <row r="3979" spans="1:9" x14ac:dyDescent="0.2">
      <c r="A3979" s="293" t="s">
        <v>9713</v>
      </c>
      <c r="B3979" s="293" t="s">
        <v>5666</v>
      </c>
      <c r="C3979" s="293" t="s">
        <v>6124</v>
      </c>
      <c r="D3979" s="293" t="s">
        <v>5878</v>
      </c>
      <c r="E3979" s="293" t="s">
        <v>6277</v>
      </c>
      <c r="F3979" s="293" t="s">
        <v>7966</v>
      </c>
      <c r="G3979" s="293" t="s">
        <v>5578</v>
      </c>
      <c r="H3979" s="294">
        <v>43496</v>
      </c>
      <c r="I3979" s="295">
        <v>-1019.33</v>
      </c>
    </row>
    <row r="3980" spans="1:9" x14ac:dyDescent="0.2">
      <c r="A3980" s="293" t="s">
        <v>9714</v>
      </c>
      <c r="B3980" s="293" t="s">
        <v>5666</v>
      </c>
      <c r="C3980" s="293" t="s">
        <v>6126</v>
      </c>
      <c r="D3980" s="293" t="s">
        <v>5878</v>
      </c>
      <c r="E3980" s="293" t="s">
        <v>6279</v>
      </c>
      <c r="F3980" s="293" t="s">
        <v>7966</v>
      </c>
      <c r="G3980" s="293" t="s">
        <v>5579</v>
      </c>
      <c r="H3980" s="294">
        <v>43496</v>
      </c>
      <c r="I3980" s="295">
        <v>-857.57</v>
      </c>
    </row>
    <row r="3981" spans="1:9" x14ac:dyDescent="0.2">
      <c r="A3981" s="293" t="s">
        <v>9715</v>
      </c>
      <c r="B3981" s="293" t="s">
        <v>5666</v>
      </c>
      <c r="C3981" s="293" t="s">
        <v>6091</v>
      </c>
      <c r="D3981" s="293" t="s">
        <v>5878</v>
      </c>
      <c r="E3981" s="293" t="s">
        <v>6281</v>
      </c>
      <c r="F3981" s="293" t="s">
        <v>7966</v>
      </c>
      <c r="G3981" s="293" t="s">
        <v>5573</v>
      </c>
      <c r="H3981" s="294">
        <v>43496</v>
      </c>
      <c r="I3981" s="295">
        <v>-3125.47</v>
      </c>
    </row>
    <row r="3982" spans="1:9" x14ac:dyDescent="0.2">
      <c r="A3982" s="293" t="s">
        <v>9716</v>
      </c>
      <c r="B3982" s="293" t="s">
        <v>5666</v>
      </c>
      <c r="C3982" s="293" t="s">
        <v>6093</v>
      </c>
      <c r="D3982" s="293" t="s">
        <v>5878</v>
      </c>
      <c r="E3982" s="293" t="s">
        <v>6283</v>
      </c>
      <c r="F3982" s="293" t="s">
        <v>7966</v>
      </c>
      <c r="G3982" s="293" t="s">
        <v>5573</v>
      </c>
      <c r="H3982" s="294">
        <v>43496</v>
      </c>
      <c r="I3982" s="295">
        <v>-4451.78</v>
      </c>
    </row>
    <row r="3983" spans="1:9" x14ac:dyDescent="0.2">
      <c r="A3983" s="293" t="s">
        <v>9717</v>
      </c>
      <c r="B3983" s="293" t="s">
        <v>5666</v>
      </c>
      <c r="C3983" s="293" t="s">
        <v>6080</v>
      </c>
      <c r="D3983" s="293" t="s">
        <v>5878</v>
      </c>
      <c r="E3983" s="293" t="s">
        <v>6285</v>
      </c>
      <c r="F3983" s="293" t="s">
        <v>7966</v>
      </c>
      <c r="G3983" s="293" t="s">
        <v>5573</v>
      </c>
      <c r="H3983" s="294">
        <v>43496</v>
      </c>
      <c r="I3983" s="295">
        <v>-10077.08</v>
      </c>
    </row>
    <row r="3984" spans="1:9" x14ac:dyDescent="0.2">
      <c r="A3984" s="293" t="s">
        <v>9718</v>
      </c>
      <c r="B3984" s="293" t="s">
        <v>5666</v>
      </c>
      <c r="C3984" s="293" t="s">
        <v>6095</v>
      </c>
      <c r="D3984" s="293" t="s">
        <v>5878</v>
      </c>
      <c r="E3984" s="293" t="s">
        <v>6287</v>
      </c>
      <c r="F3984" s="293" t="s">
        <v>7966</v>
      </c>
      <c r="G3984" s="293" t="s">
        <v>5580</v>
      </c>
      <c r="H3984" s="294">
        <v>43496</v>
      </c>
      <c r="I3984" s="295">
        <v>-5589.54</v>
      </c>
    </row>
    <row r="3985" spans="1:9" x14ac:dyDescent="0.2">
      <c r="A3985" s="293" t="s">
        <v>9719</v>
      </c>
      <c r="B3985" s="293" t="s">
        <v>5666</v>
      </c>
      <c r="C3985" s="293" t="s">
        <v>6097</v>
      </c>
      <c r="D3985" s="293" t="s">
        <v>5878</v>
      </c>
      <c r="E3985" s="293" t="s">
        <v>6289</v>
      </c>
      <c r="F3985" s="293" t="s">
        <v>7966</v>
      </c>
      <c r="G3985" s="293" t="s">
        <v>5580</v>
      </c>
      <c r="H3985" s="294">
        <v>43496</v>
      </c>
      <c r="I3985" s="295">
        <v>-10099.59</v>
      </c>
    </row>
    <row r="3986" spans="1:9" x14ac:dyDescent="0.2">
      <c r="A3986" s="293" t="s">
        <v>9720</v>
      </c>
      <c r="B3986" s="293" t="s">
        <v>5666</v>
      </c>
      <c r="C3986" s="293" t="s">
        <v>6099</v>
      </c>
      <c r="D3986" s="293" t="s">
        <v>5878</v>
      </c>
      <c r="E3986" s="293" t="s">
        <v>6291</v>
      </c>
      <c r="F3986" s="293" t="s">
        <v>7966</v>
      </c>
      <c r="G3986" s="293" t="s">
        <v>5579</v>
      </c>
      <c r="H3986" s="294">
        <v>43496</v>
      </c>
      <c r="I3986" s="295">
        <v>-1407.23</v>
      </c>
    </row>
    <row r="3987" spans="1:9" x14ac:dyDescent="0.2">
      <c r="A3987" s="293" t="s">
        <v>9721</v>
      </c>
      <c r="B3987" s="293" t="s">
        <v>5666</v>
      </c>
      <c r="C3987" s="293" t="s">
        <v>6083</v>
      </c>
      <c r="D3987" s="293" t="s">
        <v>5878</v>
      </c>
      <c r="E3987" s="293" t="s">
        <v>6293</v>
      </c>
      <c r="F3987" s="293" t="s">
        <v>7966</v>
      </c>
      <c r="G3987" s="293" t="s">
        <v>5579</v>
      </c>
      <c r="H3987" s="294">
        <v>43496</v>
      </c>
      <c r="I3987" s="295">
        <v>-2524.9</v>
      </c>
    </row>
    <row r="3988" spans="1:9" x14ac:dyDescent="0.2">
      <c r="A3988" s="293" t="s">
        <v>9722</v>
      </c>
      <c r="B3988" s="293" t="s">
        <v>5666</v>
      </c>
      <c r="C3988" s="293" t="s">
        <v>6101</v>
      </c>
      <c r="D3988" s="293" t="s">
        <v>5878</v>
      </c>
      <c r="E3988" s="293" t="s">
        <v>6295</v>
      </c>
      <c r="F3988" s="293" t="s">
        <v>7966</v>
      </c>
      <c r="G3988" s="293" t="s">
        <v>5580</v>
      </c>
      <c r="H3988" s="294">
        <v>43496</v>
      </c>
      <c r="I3988" s="295">
        <v>-193.73</v>
      </c>
    </row>
    <row r="3989" spans="1:9" x14ac:dyDescent="0.2">
      <c r="A3989" s="293" t="s">
        <v>9723</v>
      </c>
      <c r="B3989" s="293" t="s">
        <v>5666</v>
      </c>
      <c r="C3989" s="293" t="s">
        <v>6104</v>
      </c>
      <c r="D3989" s="293" t="s">
        <v>5878</v>
      </c>
      <c r="E3989" s="293" t="s">
        <v>6297</v>
      </c>
      <c r="F3989" s="293" t="s">
        <v>7966</v>
      </c>
      <c r="G3989" s="293" t="s">
        <v>5580</v>
      </c>
      <c r="H3989" s="294">
        <v>43496</v>
      </c>
      <c r="I3989" s="295">
        <v>-274.12</v>
      </c>
    </row>
    <row r="3990" spans="1:9" x14ac:dyDescent="0.2">
      <c r="A3990" s="293" t="s">
        <v>9724</v>
      </c>
      <c r="B3990" s="293" t="s">
        <v>5666</v>
      </c>
      <c r="C3990" s="293" t="s">
        <v>6106</v>
      </c>
      <c r="D3990" s="293" t="s">
        <v>5878</v>
      </c>
      <c r="E3990" s="293" t="s">
        <v>6299</v>
      </c>
      <c r="F3990" s="293" t="s">
        <v>7966</v>
      </c>
      <c r="G3990" s="293" t="s">
        <v>5580</v>
      </c>
      <c r="H3990" s="294">
        <v>43496</v>
      </c>
      <c r="I3990" s="295">
        <v>-1347.95</v>
      </c>
    </row>
    <row r="3991" spans="1:9" x14ac:dyDescent="0.2">
      <c r="A3991" s="293" t="s">
        <v>9725</v>
      </c>
      <c r="B3991" s="293" t="s">
        <v>5666</v>
      </c>
      <c r="C3991" s="293" t="s">
        <v>6108</v>
      </c>
      <c r="D3991" s="293" t="s">
        <v>5878</v>
      </c>
      <c r="E3991" s="293" t="s">
        <v>6301</v>
      </c>
      <c r="F3991" s="293" t="s">
        <v>7966</v>
      </c>
      <c r="G3991" s="293" t="s">
        <v>5580</v>
      </c>
      <c r="H3991" s="294">
        <v>43496</v>
      </c>
      <c r="I3991" s="295">
        <v>-1918.86</v>
      </c>
    </row>
    <row r="3992" spans="1:9" x14ac:dyDescent="0.2">
      <c r="A3992" s="293" t="s">
        <v>9726</v>
      </c>
      <c r="B3992" s="293" t="s">
        <v>5666</v>
      </c>
      <c r="C3992" s="293" t="s">
        <v>6110</v>
      </c>
      <c r="D3992" s="293" t="s">
        <v>5878</v>
      </c>
      <c r="E3992" s="293" t="s">
        <v>6303</v>
      </c>
      <c r="F3992" s="293" t="s">
        <v>7966</v>
      </c>
      <c r="G3992" s="293" t="s">
        <v>5573</v>
      </c>
      <c r="H3992" s="294">
        <v>43496</v>
      </c>
      <c r="I3992" s="295">
        <v>-1780.13</v>
      </c>
    </row>
    <row r="3993" spans="1:9" x14ac:dyDescent="0.2">
      <c r="A3993" s="293" t="s">
        <v>9727</v>
      </c>
      <c r="B3993" s="293" t="s">
        <v>5666</v>
      </c>
      <c r="C3993" s="293" t="s">
        <v>6115</v>
      </c>
      <c r="D3993" s="293" t="s">
        <v>5878</v>
      </c>
      <c r="E3993" s="293" t="s">
        <v>6305</v>
      </c>
      <c r="F3993" s="293" t="s">
        <v>7966</v>
      </c>
      <c r="G3993" s="293" t="s">
        <v>5581</v>
      </c>
      <c r="H3993" s="294">
        <v>43496</v>
      </c>
      <c r="I3993" s="295">
        <v>-2230.71</v>
      </c>
    </row>
    <row r="3994" spans="1:9" x14ac:dyDescent="0.2">
      <c r="A3994" s="293" t="s">
        <v>9728</v>
      </c>
      <c r="B3994" s="293" t="s">
        <v>5666</v>
      </c>
      <c r="C3994" s="293" t="s">
        <v>6086</v>
      </c>
      <c r="D3994" s="293" t="s">
        <v>5878</v>
      </c>
      <c r="E3994" s="293" t="s">
        <v>6307</v>
      </c>
      <c r="F3994" s="293" t="s">
        <v>7966</v>
      </c>
      <c r="G3994" s="293" t="s">
        <v>5581</v>
      </c>
      <c r="H3994" s="294">
        <v>43496</v>
      </c>
      <c r="I3994" s="295">
        <v>-2490.34</v>
      </c>
    </row>
    <row r="3995" spans="1:9" x14ac:dyDescent="0.2">
      <c r="A3995" s="293" t="s">
        <v>9729</v>
      </c>
      <c r="B3995" s="293" t="s">
        <v>5666</v>
      </c>
      <c r="C3995" s="293" t="s">
        <v>6113</v>
      </c>
      <c r="D3995" s="293" t="s">
        <v>5878</v>
      </c>
      <c r="E3995" s="293" t="s">
        <v>6316</v>
      </c>
      <c r="F3995" s="293" t="s">
        <v>7966</v>
      </c>
      <c r="G3995" s="293" t="s">
        <v>5573</v>
      </c>
      <c r="H3995" s="294">
        <v>43496</v>
      </c>
      <c r="I3995" s="295">
        <v>-5336.81</v>
      </c>
    </row>
    <row r="3996" spans="1:9" x14ac:dyDescent="0.2">
      <c r="A3996" s="293" t="s">
        <v>9730</v>
      </c>
      <c r="B3996" s="293" t="s">
        <v>5666</v>
      </c>
      <c r="C3996" s="293" t="s">
        <v>6313</v>
      </c>
      <c r="D3996" s="293" t="s">
        <v>5878</v>
      </c>
      <c r="E3996" s="293" t="s">
        <v>6314</v>
      </c>
      <c r="F3996" s="293" t="s">
        <v>7966</v>
      </c>
      <c r="G3996" s="293" t="s">
        <v>5576</v>
      </c>
      <c r="H3996" s="294">
        <v>43496</v>
      </c>
      <c r="I3996" s="295">
        <v>-4207.3500000000004</v>
      </c>
    </row>
    <row r="3997" spans="1:9" x14ac:dyDescent="0.2">
      <c r="A3997" s="293" t="s">
        <v>9731</v>
      </c>
      <c r="B3997" s="293" t="s">
        <v>5666</v>
      </c>
      <c r="C3997" s="293" t="s">
        <v>6272</v>
      </c>
      <c r="D3997" s="293" t="s">
        <v>5878</v>
      </c>
      <c r="E3997" s="293" t="s">
        <v>6273</v>
      </c>
      <c r="F3997" s="293" t="s">
        <v>7987</v>
      </c>
      <c r="G3997" s="293" t="s">
        <v>5576</v>
      </c>
      <c r="H3997" s="294">
        <v>43524</v>
      </c>
      <c r="I3997" s="295">
        <v>-3340.78</v>
      </c>
    </row>
    <row r="3998" spans="1:9" x14ac:dyDescent="0.2">
      <c r="A3998" s="293" t="s">
        <v>9732</v>
      </c>
      <c r="B3998" s="293" t="s">
        <v>5666</v>
      </c>
      <c r="C3998" s="293" t="s">
        <v>6124</v>
      </c>
      <c r="D3998" s="293" t="s">
        <v>5878</v>
      </c>
      <c r="E3998" s="293" t="s">
        <v>6277</v>
      </c>
      <c r="F3998" s="293" t="s">
        <v>7987</v>
      </c>
      <c r="G3998" s="293" t="s">
        <v>5578</v>
      </c>
      <c r="H3998" s="294">
        <v>43524</v>
      </c>
      <c r="I3998" s="295">
        <v>-1019.33</v>
      </c>
    </row>
    <row r="3999" spans="1:9" x14ac:dyDescent="0.2">
      <c r="A3999" s="293" t="s">
        <v>9733</v>
      </c>
      <c r="B3999" s="293" t="s">
        <v>5666</v>
      </c>
      <c r="C3999" s="293" t="s">
        <v>6126</v>
      </c>
      <c r="D3999" s="293" t="s">
        <v>5878</v>
      </c>
      <c r="E3999" s="293" t="s">
        <v>6279</v>
      </c>
      <c r="F3999" s="293" t="s">
        <v>7987</v>
      </c>
      <c r="G3999" s="293" t="s">
        <v>5579</v>
      </c>
      <c r="H3999" s="294">
        <v>43524</v>
      </c>
      <c r="I3999" s="295">
        <v>-857.57</v>
      </c>
    </row>
    <row r="4000" spans="1:9" x14ac:dyDescent="0.2">
      <c r="A4000" s="293" t="s">
        <v>7715</v>
      </c>
      <c r="B4000" s="293" t="s">
        <v>5666</v>
      </c>
      <c r="C4000" s="293" t="s">
        <v>6091</v>
      </c>
      <c r="D4000" s="293" t="s">
        <v>5878</v>
      </c>
      <c r="E4000" s="293" t="s">
        <v>6281</v>
      </c>
      <c r="F4000" s="293" t="s">
        <v>7987</v>
      </c>
      <c r="G4000" s="293" t="s">
        <v>5573</v>
      </c>
      <c r="H4000" s="294">
        <v>43524</v>
      </c>
      <c r="I4000" s="295">
        <v>-3125.47</v>
      </c>
    </row>
    <row r="4001" spans="1:9" x14ac:dyDescent="0.2">
      <c r="A4001" s="293" t="s">
        <v>9734</v>
      </c>
      <c r="B4001" s="293" t="s">
        <v>5666</v>
      </c>
      <c r="C4001" s="293" t="s">
        <v>6093</v>
      </c>
      <c r="D4001" s="293" t="s">
        <v>5878</v>
      </c>
      <c r="E4001" s="293" t="s">
        <v>6283</v>
      </c>
      <c r="F4001" s="293" t="s">
        <v>7987</v>
      </c>
      <c r="G4001" s="293" t="s">
        <v>5573</v>
      </c>
      <c r="H4001" s="294">
        <v>43524</v>
      </c>
      <c r="I4001" s="295">
        <v>-4451.78</v>
      </c>
    </row>
    <row r="4002" spans="1:9" x14ac:dyDescent="0.2">
      <c r="A4002" s="293" t="s">
        <v>9735</v>
      </c>
      <c r="B4002" s="293" t="s">
        <v>5666</v>
      </c>
      <c r="C4002" s="293" t="s">
        <v>6080</v>
      </c>
      <c r="D4002" s="293" t="s">
        <v>5878</v>
      </c>
      <c r="E4002" s="293" t="s">
        <v>6285</v>
      </c>
      <c r="F4002" s="293" t="s">
        <v>7987</v>
      </c>
      <c r="G4002" s="293" t="s">
        <v>5573</v>
      </c>
      <c r="H4002" s="294">
        <v>43524</v>
      </c>
      <c r="I4002" s="295">
        <v>-10077.08</v>
      </c>
    </row>
    <row r="4003" spans="1:9" x14ac:dyDescent="0.2">
      <c r="A4003" s="293" t="s">
        <v>9736</v>
      </c>
      <c r="B4003" s="293" t="s">
        <v>5666</v>
      </c>
      <c r="C4003" s="293" t="s">
        <v>6095</v>
      </c>
      <c r="D4003" s="293" t="s">
        <v>5878</v>
      </c>
      <c r="E4003" s="293" t="s">
        <v>6287</v>
      </c>
      <c r="F4003" s="293" t="s">
        <v>7987</v>
      </c>
      <c r="G4003" s="293" t="s">
        <v>5580</v>
      </c>
      <c r="H4003" s="294">
        <v>43524</v>
      </c>
      <c r="I4003" s="295">
        <v>-5589.54</v>
      </c>
    </row>
    <row r="4004" spans="1:9" x14ac:dyDescent="0.2">
      <c r="A4004" s="293" t="s">
        <v>9737</v>
      </c>
      <c r="B4004" s="293" t="s">
        <v>5666</v>
      </c>
      <c r="C4004" s="293" t="s">
        <v>6097</v>
      </c>
      <c r="D4004" s="293" t="s">
        <v>5878</v>
      </c>
      <c r="E4004" s="293" t="s">
        <v>6289</v>
      </c>
      <c r="F4004" s="293" t="s">
        <v>7987</v>
      </c>
      <c r="G4004" s="293" t="s">
        <v>5580</v>
      </c>
      <c r="H4004" s="294">
        <v>43524</v>
      </c>
      <c r="I4004" s="295">
        <v>-10099.59</v>
      </c>
    </row>
    <row r="4005" spans="1:9" x14ac:dyDescent="0.2">
      <c r="A4005" s="293" t="s">
        <v>7716</v>
      </c>
      <c r="B4005" s="293" t="s">
        <v>5666</v>
      </c>
      <c r="C4005" s="293" t="s">
        <v>6099</v>
      </c>
      <c r="D4005" s="293" t="s">
        <v>5878</v>
      </c>
      <c r="E4005" s="293" t="s">
        <v>6291</v>
      </c>
      <c r="F4005" s="293" t="s">
        <v>7987</v>
      </c>
      <c r="G4005" s="293" t="s">
        <v>5579</v>
      </c>
      <c r="H4005" s="294">
        <v>43524</v>
      </c>
      <c r="I4005" s="295">
        <v>-1407.23</v>
      </c>
    </row>
    <row r="4006" spans="1:9" x14ac:dyDescent="0.2">
      <c r="A4006" s="293" t="s">
        <v>9738</v>
      </c>
      <c r="B4006" s="293" t="s">
        <v>5666</v>
      </c>
      <c r="C4006" s="293" t="s">
        <v>6083</v>
      </c>
      <c r="D4006" s="293" t="s">
        <v>5878</v>
      </c>
      <c r="E4006" s="293" t="s">
        <v>6293</v>
      </c>
      <c r="F4006" s="293" t="s">
        <v>7987</v>
      </c>
      <c r="G4006" s="293" t="s">
        <v>5579</v>
      </c>
      <c r="H4006" s="294">
        <v>43524</v>
      </c>
      <c r="I4006" s="295">
        <v>-2524.9</v>
      </c>
    </row>
    <row r="4007" spans="1:9" x14ac:dyDescent="0.2">
      <c r="A4007" s="293" t="s">
        <v>9739</v>
      </c>
      <c r="B4007" s="293" t="s">
        <v>5666</v>
      </c>
      <c r="C4007" s="293" t="s">
        <v>6101</v>
      </c>
      <c r="D4007" s="293" t="s">
        <v>5878</v>
      </c>
      <c r="E4007" s="293" t="s">
        <v>6295</v>
      </c>
      <c r="F4007" s="293" t="s">
        <v>7987</v>
      </c>
      <c r="G4007" s="293" t="s">
        <v>5580</v>
      </c>
      <c r="H4007" s="294">
        <v>43524</v>
      </c>
      <c r="I4007" s="295">
        <v>-193.73</v>
      </c>
    </row>
    <row r="4008" spans="1:9" x14ac:dyDescent="0.2">
      <c r="A4008" s="293" t="s">
        <v>9740</v>
      </c>
      <c r="B4008" s="293" t="s">
        <v>5666</v>
      </c>
      <c r="C4008" s="293" t="s">
        <v>6104</v>
      </c>
      <c r="D4008" s="293" t="s">
        <v>5878</v>
      </c>
      <c r="E4008" s="293" t="s">
        <v>6297</v>
      </c>
      <c r="F4008" s="293" t="s">
        <v>7987</v>
      </c>
      <c r="G4008" s="293" t="s">
        <v>5580</v>
      </c>
      <c r="H4008" s="294">
        <v>43524</v>
      </c>
      <c r="I4008" s="295">
        <v>-274.12</v>
      </c>
    </row>
    <row r="4009" spans="1:9" x14ac:dyDescent="0.2">
      <c r="A4009" s="293" t="s">
        <v>9741</v>
      </c>
      <c r="B4009" s="293" t="s">
        <v>5666</v>
      </c>
      <c r="C4009" s="293" t="s">
        <v>6106</v>
      </c>
      <c r="D4009" s="293" t="s">
        <v>5878</v>
      </c>
      <c r="E4009" s="293" t="s">
        <v>6299</v>
      </c>
      <c r="F4009" s="293" t="s">
        <v>7987</v>
      </c>
      <c r="G4009" s="293" t="s">
        <v>5580</v>
      </c>
      <c r="H4009" s="294">
        <v>43524</v>
      </c>
      <c r="I4009" s="295">
        <v>-1347.95</v>
      </c>
    </row>
    <row r="4010" spans="1:9" x14ac:dyDescent="0.2">
      <c r="A4010" s="293" t="s">
        <v>9742</v>
      </c>
      <c r="B4010" s="293" t="s">
        <v>5666</v>
      </c>
      <c r="C4010" s="293" t="s">
        <v>6108</v>
      </c>
      <c r="D4010" s="293" t="s">
        <v>5878</v>
      </c>
      <c r="E4010" s="293" t="s">
        <v>6301</v>
      </c>
      <c r="F4010" s="293" t="s">
        <v>7987</v>
      </c>
      <c r="G4010" s="293" t="s">
        <v>5580</v>
      </c>
      <c r="H4010" s="294">
        <v>43524</v>
      </c>
      <c r="I4010" s="295">
        <v>-1918.86</v>
      </c>
    </row>
    <row r="4011" spans="1:9" x14ac:dyDescent="0.2">
      <c r="A4011" s="293" t="s">
        <v>9743</v>
      </c>
      <c r="B4011" s="293" t="s">
        <v>5666</v>
      </c>
      <c r="C4011" s="293" t="s">
        <v>6110</v>
      </c>
      <c r="D4011" s="293" t="s">
        <v>5878</v>
      </c>
      <c r="E4011" s="293" t="s">
        <v>6303</v>
      </c>
      <c r="F4011" s="293" t="s">
        <v>7987</v>
      </c>
      <c r="G4011" s="293" t="s">
        <v>5573</v>
      </c>
      <c r="H4011" s="294">
        <v>43524</v>
      </c>
      <c r="I4011" s="295">
        <v>-1780.13</v>
      </c>
    </row>
    <row r="4012" spans="1:9" x14ac:dyDescent="0.2">
      <c r="A4012" s="293" t="s">
        <v>9744</v>
      </c>
      <c r="B4012" s="293" t="s">
        <v>5666</v>
      </c>
      <c r="C4012" s="293" t="s">
        <v>6115</v>
      </c>
      <c r="D4012" s="293" t="s">
        <v>5878</v>
      </c>
      <c r="E4012" s="293" t="s">
        <v>6305</v>
      </c>
      <c r="F4012" s="293" t="s">
        <v>7987</v>
      </c>
      <c r="G4012" s="293" t="s">
        <v>5581</v>
      </c>
      <c r="H4012" s="294">
        <v>43524</v>
      </c>
      <c r="I4012" s="295">
        <v>-2230.71</v>
      </c>
    </row>
    <row r="4013" spans="1:9" x14ac:dyDescent="0.2">
      <c r="A4013" s="293" t="s">
        <v>9745</v>
      </c>
      <c r="B4013" s="293" t="s">
        <v>5666</v>
      </c>
      <c r="C4013" s="293" t="s">
        <v>6086</v>
      </c>
      <c r="D4013" s="293" t="s">
        <v>5878</v>
      </c>
      <c r="E4013" s="293" t="s">
        <v>6307</v>
      </c>
      <c r="F4013" s="293" t="s">
        <v>7987</v>
      </c>
      <c r="G4013" s="293" t="s">
        <v>5581</v>
      </c>
      <c r="H4013" s="294">
        <v>43524</v>
      </c>
      <c r="I4013" s="295">
        <v>-2490.34</v>
      </c>
    </row>
    <row r="4014" spans="1:9" x14ac:dyDescent="0.2">
      <c r="A4014" s="293" t="s">
        <v>8295</v>
      </c>
      <c r="B4014" s="293" t="s">
        <v>5666</v>
      </c>
      <c r="C4014" s="293" t="s">
        <v>6113</v>
      </c>
      <c r="D4014" s="293" t="s">
        <v>5878</v>
      </c>
      <c r="E4014" s="293" t="s">
        <v>6316</v>
      </c>
      <c r="F4014" s="293" t="s">
        <v>7987</v>
      </c>
      <c r="G4014" s="293" t="s">
        <v>5573</v>
      </c>
      <c r="H4014" s="294">
        <v>43524</v>
      </c>
      <c r="I4014" s="295">
        <v>-5336.81</v>
      </c>
    </row>
    <row r="4015" spans="1:9" x14ac:dyDescent="0.2">
      <c r="A4015" s="293" t="s">
        <v>9746</v>
      </c>
      <c r="B4015" s="293" t="s">
        <v>5666</v>
      </c>
      <c r="C4015" s="293" t="s">
        <v>6313</v>
      </c>
      <c r="D4015" s="293" t="s">
        <v>5878</v>
      </c>
      <c r="E4015" s="293" t="s">
        <v>6314</v>
      </c>
      <c r="F4015" s="293" t="s">
        <v>7987</v>
      </c>
      <c r="G4015" s="293" t="s">
        <v>5576</v>
      </c>
      <c r="H4015" s="294">
        <v>43524</v>
      </c>
      <c r="I4015" s="295">
        <v>-4207.3500000000004</v>
      </c>
    </row>
    <row r="4016" spans="1:9" x14ac:dyDescent="0.2">
      <c r="A4016" s="293" t="s">
        <v>7731</v>
      </c>
      <c r="B4016" s="293" t="s">
        <v>5666</v>
      </c>
      <c r="C4016" s="293" t="s">
        <v>6272</v>
      </c>
      <c r="D4016" s="293" t="s">
        <v>5878</v>
      </c>
      <c r="E4016" s="293" t="s">
        <v>6273</v>
      </c>
      <c r="F4016" s="293" t="s">
        <v>8007</v>
      </c>
      <c r="G4016" s="293" t="s">
        <v>5576</v>
      </c>
      <c r="H4016" s="294">
        <v>43555</v>
      </c>
      <c r="I4016" s="295">
        <v>-3340.78</v>
      </c>
    </row>
    <row r="4017" spans="1:9" x14ac:dyDescent="0.2">
      <c r="A4017" s="293" t="s">
        <v>7732</v>
      </c>
      <c r="B4017" s="293" t="s">
        <v>5666</v>
      </c>
      <c r="C4017" s="293" t="s">
        <v>6124</v>
      </c>
      <c r="D4017" s="293" t="s">
        <v>5878</v>
      </c>
      <c r="E4017" s="293" t="s">
        <v>6277</v>
      </c>
      <c r="F4017" s="293" t="s">
        <v>8007</v>
      </c>
      <c r="G4017" s="293" t="s">
        <v>5578</v>
      </c>
      <c r="H4017" s="294">
        <v>43555</v>
      </c>
      <c r="I4017" s="295">
        <v>-1019.33</v>
      </c>
    </row>
    <row r="4018" spans="1:9" x14ac:dyDescent="0.2">
      <c r="A4018" s="293" t="s">
        <v>9522</v>
      </c>
      <c r="B4018" s="293" t="s">
        <v>5666</v>
      </c>
      <c r="C4018" s="293" t="s">
        <v>6126</v>
      </c>
      <c r="D4018" s="293" t="s">
        <v>5878</v>
      </c>
      <c r="E4018" s="293" t="s">
        <v>6279</v>
      </c>
      <c r="F4018" s="293" t="s">
        <v>8007</v>
      </c>
      <c r="G4018" s="293" t="s">
        <v>5579</v>
      </c>
      <c r="H4018" s="294">
        <v>43555</v>
      </c>
      <c r="I4018" s="295">
        <v>-857.57</v>
      </c>
    </row>
    <row r="4019" spans="1:9" x14ac:dyDescent="0.2">
      <c r="A4019" s="293" t="s">
        <v>9523</v>
      </c>
      <c r="B4019" s="293" t="s">
        <v>5666</v>
      </c>
      <c r="C4019" s="293" t="s">
        <v>6091</v>
      </c>
      <c r="D4019" s="293" t="s">
        <v>5878</v>
      </c>
      <c r="E4019" s="293" t="s">
        <v>6281</v>
      </c>
      <c r="F4019" s="293" t="s">
        <v>8007</v>
      </c>
      <c r="G4019" s="293" t="s">
        <v>5573</v>
      </c>
      <c r="H4019" s="294">
        <v>43555</v>
      </c>
      <c r="I4019" s="295">
        <v>-3125.47</v>
      </c>
    </row>
    <row r="4020" spans="1:9" x14ac:dyDescent="0.2">
      <c r="A4020" s="293" t="s">
        <v>9524</v>
      </c>
      <c r="B4020" s="293" t="s">
        <v>5666</v>
      </c>
      <c r="C4020" s="293" t="s">
        <v>6093</v>
      </c>
      <c r="D4020" s="293" t="s">
        <v>5878</v>
      </c>
      <c r="E4020" s="293" t="s">
        <v>6283</v>
      </c>
      <c r="F4020" s="293" t="s">
        <v>8007</v>
      </c>
      <c r="G4020" s="293" t="s">
        <v>5573</v>
      </c>
      <c r="H4020" s="294">
        <v>43555</v>
      </c>
      <c r="I4020" s="295">
        <v>-4451.78</v>
      </c>
    </row>
    <row r="4021" spans="1:9" x14ac:dyDescent="0.2">
      <c r="A4021" s="293" t="s">
        <v>9525</v>
      </c>
      <c r="B4021" s="293" t="s">
        <v>5666</v>
      </c>
      <c r="C4021" s="293" t="s">
        <v>6080</v>
      </c>
      <c r="D4021" s="293" t="s">
        <v>5878</v>
      </c>
      <c r="E4021" s="293" t="s">
        <v>6285</v>
      </c>
      <c r="F4021" s="293" t="s">
        <v>8007</v>
      </c>
      <c r="G4021" s="293" t="s">
        <v>5573</v>
      </c>
      <c r="H4021" s="294">
        <v>43555</v>
      </c>
      <c r="I4021" s="295">
        <v>-10077.08</v>
      </c>
    </row>
    <row r="4022" spans="1:9" x14ac:dyDescent="0.2">
      <c r="A4022" s="293" t="s">
        <v>9526</v>
      </c>
      <c r="B4022" s="293" t="s">
        <v>5666</v>
      </c>
      <c r="C4022" s="293" t="s">
        <v>6095</v>
      </c>
      <c r="D4022" s="293" t="s">
        <v>5878</v>
      </c>
      <c r="E4022" s="293" t="s">
        <v>6287</v>
      </c>
      <c r="F4022" s="293" t="s">
        <v>8007</v>
      </c>
      <c r="G4022" s="293" t="s">
        <v>5580</v>
      </c>
      <c r="H4022" s="294">
        <v>43555</v>
      </c>
      <c r="I4022" s="295">
        <v>-5589.54</v>
      </c>
    </row>
    <row r="4023" spans="1:9" x14ac:dyDescent="0.2">
      <c r="A4023" s="293" t="s">
        <v>9527</v>
      </c>
      <c r="B4023" s="293" t="s">
        <v>5666</v>
      </c>
      <c r="C4023" s="293" t="s">
        <v>6097</v>
      </c>
      <c r="D4023" s="293" t="s">
        <v>5878</v>
      </c>
      <c r="E4023" s="293" t="s">
        <v>6289</v>
      </c>
      <c r="F4023" s="293" t="s">
        <v>8007</v>
      </c>
      <c r="G4023" s="293" t="s">
        <v>5580</v>
      </c>
      <c r="H4023" s="294">
        <v>43555</v>
      </c>
      <c r="I4023" s="295">
        <v>-10099.59</v>
      </c>
    </row>
    <row r="4024" spans="1:9" x14ac:dyDescent="0.2">
      <c r="A4024" s="293" t="s">
        <v>9528</v>
      </c>
      <c r="B4024" s="293" t="s">
        <v>5666</v>
      </c>
      <c r="C4024" s="293" t="s">
        <v>6099</v>
      </c>
      <c r="D4024" s="293" t="s">
        <v>5878</v>
      </c>
      <c r="E4024" s="293" t="s">
        <v>6291</v>
      </c>
      <c r="F4024" s="293" t="s">
        <v>8007</v>
      </c>
      <c r="G4024" s="293" t="s">
        <v>5579</v>
      </c>
      <c r="H4024" s="294">
        <v>43555</v>
      </c>
      <c r="I4024" s="295">
        <v>-1407.23</v>
      </c>
    </row>
    <row r="4025" spans="1:9" x14ac:dyDescent="0.2">
      <c r="A4025" s="293" t="s">
        <v>9529</v>
      </c>
      <c r="B4025" s="293" t="s">
        <v>5666</v>
      </c>
      <c r="C4025" s="293" t="s">
        <v>6083</v>
      </c>
      <c r="D4025" s="293" t="s">
        <v>5878</v>
      </c>
      <c r="E4025" s="293" t="s">
        <v>6293</v>
      </c>
      <c r="F4025" s="293" t="s">
        <v>8007</v>
      </c>
      <c r="G4025" s="293" t="s">
        <v>5579</v>
      </c>
      <c r="H4025" s="294">
        <v>43555</v>
      </c>
      <c r="I4025" s="295">
        <v>-2524.9</v>
      </c>
    </row>
    <row r="4026" spans="1:9" x14ac:dyDescent="0.2">
      <c r="A4026" s="293" t="s">
        <v>9530</v>
      </c>
      <c r="B4026" s="293" t="s">
        <v>5666</v>
      </c>
      <c r="C4026" s="293" t="s">
        <v>6101</v>
      </c>
      <c r="D4026" s="293" t="s">
        <v>5878</v>
      </c>
      <c r="E4026" s="293" t="s">
        <v>6295</v>
      </c>
      <c r="F4026" s="293" t="s">
        <v>8007</v>
      </c>
      <c r="G4026" s="293" t="s">
        <v>5580</v>
      </c>
      <c r="H4026" s="294">
        <v>43555</v>
      </c>
      <c r="I4026" s="295">
        <v>-193.73</v>
      </c>
    </row>
    <row r="4027" spans="1:9" x14ac:dyDescent="0.2">
      <c r="A4027" s="293" t="s">
        <v>9531</v>
      </c>
      <c r="B4027" s="293" t="s">
        <v>5666</v>
      </c>
      <c r="C4027" s="293" t="s">
        <v>6104</v>
      </c>
      <c r="D4027" s="293" t="s">
        <v>5878</v>
      </c>
      <c r="E4027" s="293" t="s">
        <v>6297</v>
      </c>
      <c r="F4027" s="293" t="s">
        <v>8007</v>
      </c>
      <c r="G4027" s="293" t="s">
        <v>5580</v>
      </c>
      <c r="H4027" s="294">
        <v>43555</v>
      </c>
      <c r="I4027" s="295">
        <v>-274.12</v>
      </c>
    </row>
    <row r="4028" spans="1:9" x14ac:dyDescent="0.2">
      <c r="A4028" s="293" t="s">
        <v>9532</v>
      </c>
      <c r="B4028" s="293" t="s">
        <v>5666</v>
      </c>
      <c r="C4028" s="293" t="s">
        <v>6106</v>
      </c>
      <c r="D4028" s="293" t="s">
        <v>5878</v>
      </c>
      <c r="E4028" s="293" t="s">
        <v>6299</v>
      </c>
      <c r="F4028" s="293" t="s">
        <v>8007</v>
      </c>
      <c r="G4028" s="293" t="s">
        <v>5580</v>
      </c>
      <c r="H4028" s="294">
        <v>43555</v>
      </c>
      <c r="I4028" s="295">
        <v>-1347.95</v>
      </c>
    </row>
    <row r="4029" spans="1:9" x14ac:dyDescent="0.2">
      <c r="A4029" s="293" t="s">
        <v>9533</v>
      </c>
      <c r="B4029" s="293" t="s">
        <v>5666</v>
      </c>
      <c r="C4029" s="293" t="s">
        <v>6108</v>
      </c>
      <c r="D4029" s="293" t="s">
        <v>5878</v>
      </c>
      <c r="E4029" s="293" t="s">
        <v>6301</v>
      </c>
      <c r="F4029" s="293" t="s">
        <v>8007</v>
      </c>
      <c r="G4029" s="293" t="s">
        <v>5580</v>
      </c>
      <c r="H4029" s="294">
        <v>43555</v>
      </c>
      <c r="I4029" s="295">
        <v>-1918.86</v>
      </c>
    </row>
    <row r="4030" spans="1:9" x14ac:dyDescent="0.2">
      <c r="A4030" s="293" t="s">
        <v>9534</v>
      </c>
      <c r="B4030" s="293" t="s">
        <v>5666</v>
      </c>
      <c r="C4030" s="293" t="s">
        <v>6110</v>
      </c>
      <c r="D4030" s="293" t="s">
        <v>5878</v>
      </c>
      <c r="E4030" s="293" t="s">
        <v>6303</v>
      </c>
      <c r="F4030" s="293" t="s">
        <v>8007</v>
      </c>
      <c r="G4030" s="293" t="s">
        <v>5573</v>
      </c>
      <c r="H4030" s="294">
        <v>43555</v>
      </c>
      <c r="I4030" s="295">
        <v>-1780.13</v>
      </c>
    </row>
    <row r="4031" spans="1:9" x14ac:dyDescent="0.2">
      <c r="A4031" s="293" t="s">
        <v>9535</v>
      </c>
      <c r="B4031" s="293" t="s">
        <v>5666</v>
      </c>
      <c r="C4031" s="293" t="s">
        <v>6115</v>
      </c>
      <c r="D4031" s="293" t="s">
        <v>5878</v>
      </c>
      <c r="E4031" s="293" t="s">
        <v>6305</v>
      </c>
      <c r="F4031" s="293" t="s">
        <v>8007</v>
      </c>
      <c r="G4031" s="293" t="s">
        <v>5581</v>
      </c>
      <c r="H4031" s="294">
        <v>43555</v>
      </c>
      <c r="I4031" s="295">
        <v>-2230.71</v>
      </c>
    </row>
    <row r="4032" spans="1:9" x14ac:dyDescent="0.2">
      <c r="A4032" s="293" t="s">
        <v>9536</v>
      </c>
      <c r="B4032" s="293" t="s">
        <v>5666</v>
      </c>
      <c r="C4032" s="293" t="s">
        <v>6086</v>
      </c>
      <c r="D4032" s="293" t="s">
        <v>5878</v>
      </c>
      <c r="E4032" s="293" t="s">
        <v>6307</v>
      </c>
      <c r="F4032" s="293" t="s">
        <v>8007</v>
      </c>
      <c r="G4032" s="293" t="s">
        <v>5581</v>
      </c>
      <c r="H4032" s="294">
        <v>43555</v>
      </c>
      <c r="I4032" s="295">
        <v>-2490.34</v>
      </c>
    </row>
    <row r="4033" spans="1:9" x14ac:dyDescent="0.2">
      <c r="A4033" s="293" t="s">
        <v>9537</v>
      </c>
      <c r="B4033" s="293" t="s">
        <v>5666</v>
      </c>
      <c r="C4033" s="293" t="s">
        <v>6113</v>
      </c>
      <c r="D4033" s="293" t="s">
        <v>5878</v>
      </c>
      <c r="E4033" s="293" t="s">
        <v>6316</v>
      </c>
      <c r="F4033" s="293" t="s">
        <v>8007</v>
      </c>
      <c r="G4033" s="293" t="s">
        <v>5573</v>
      </c>
      <c r="H4033" s="294">
        <v>43555</v>
      </c>
      <c r="I4033" s="295">
        <v>-5336.81</v>
      </c>
    </row>
    <row r="4034" spans="1:9" x14ac:dyDescent="0.2">
      <c r="A4034" s="293" t="s">
        <v>9538</v>
      </c>
      <c r="B4034" s="293" t="s">
        <v>5666</v>
      </c>
      <c r="C4034" s="293" t="s">
        <v>6313</v>
      </c>
      <c r="D4034" s="293" t="s">
        <v>5878</v>
      </c>
      <c r="E4034" s="293" t="s">
        <v>6314</v>
      </c>
      <c r="F4034" s="293" t="s">
        <v>8007</v>
      </c>
      <c r="G4034" s="293" t="s">
        <v>5576</v>
      </c>
      <c r="H4034" s="294">
        <v>43555</v>
      </c>
      <c r="I4034" s="295">
        <v>-4207.3500000000004</v>
      </c>
    </row>
    <row r="4035" spans="1:9" x14ac:dyDescent="0.2">
      <c r="A4035" s="293" t="s">
        <v>9747</v>
      </c>
      <c r="B4035" s="293" t="s">
        <v>5666</v>
      </c>
      <c r="C4035" s="293" t="s">
        <v>6272</v>
      </c>
      <c r="D4035" s="293" t="s">
        <v>5878</v>
      </c>
      <c r="E4035" s="293" t="s">
        <v>6273</v>
      </c>
      <c r="F4035" s="293" t="s">
        <v>8018</v>
      </c>
      <c r="G4035" s="293" t="s">
        <v>5576</v>
      </c>
      <c r="H4035" s="294">
        <v>43585</v>
      </c>
      <c r="I4035" s="295">
        <v>-3340.78</v>
      </c>
    </row>
    <row r="4036" spans="1:9" x14ac:dyDescent="0.2">
      <c r="A4036" s="293" t="s">
        <v>9748</v>
      </c>
      <c r="B4036" s="293" t="s">
        <v>5666</v>
      </c>
      <c r="C4036" s="293" t="s">
        <v>6124</v>
      </c>
      <c r="D4036" s="293" t="s">
        <v>5878</v>
      </c>
      <c r="E4036" s="293" t="s">
        <v>6277</v>
      </c>
      <c r="F4036" s="293" t="s">
        <v>8018</v>
      </c>
      <c r="G4036" s="293" t="s">
        <v>5578</v>
      </c>
      <c r="H4036" s="294">
        <v>43585</v>
      </c>
      <c r="I4036" s="295">
        <v>-1019.33</v>
      </c>
    </row>
    <row r="4037" spans="1:9" x14ac:dyDescent="0.2">
      <c r="A4037" s="293" t="s">
        <v>9749</v>
      </c>
      <c r="B4037" s="293" t="s">
        <v>5666</v>
      </c>
      <c r="C4037" s="293" t="s">
        <v>6126</v>
      </c>
      <c r="D4037" s="293" t="s">
        <v>5878</v>
      </c>
      <c r="E4037" s="293" t="s">
        <v>6279</v>
      </c>
      <c r="F4037" s="293" t="s">
        <v>8018</v>
      </c>
      <c r="G4037" s="293" t="s">
        <v>5579</v>
      </c>
      <c r="H4037" s="294">
        <v>43585</v>
      </c>
      <c r="I4037" s="295">
        <v>-857.57</v>
      </c>
    </row>
    <row r="4038" spans="1:9" x14ac:dyDescent="0.2">
      <c r="A4038" s="293" t="s">
        <v>9750</v>
      </c>
      <c r="B4038" s="293" t="s">
        <v>5666</v>
      </c>
      <c r="C4038" s="293" t="s">
        <v>6091</v>
      </c>
      <c r="D4038" s="293" t="s">
        <v>5878</v>
      </c>
      <c r="E4038" s="293" t="s">
        <v>6281</v>
      </c>
      <c r="F4038" s="293" t="s">
        <v>8018</v>
      </c>
      <c r="G4038" s="293" t="s">
        <v>5573</v>
      </c>
      <c r="H4038" s="294">
        <v>43585</v>
      </c>
      <c r="I4038" s="295">
        <v>-3125.47</v>
      </c>
    </row>
    <row r="4039" spans="1:9" x14ac:dyDescent="0.2">
      <c r="A4039" s="293" t="s">
        <v>9751</v>
      </c>
      <c r="B4039" s="293" t="s">
        <v>5666</v>
      </c>
      <c r="C4039" s="293" t="s">
        <v>6093</v>
      </c>
      <c r="D4039" s="293" t="s">
        <v>5878</v>
      </c>
      <c r="E4039" s="293" t="s">
        <v>6283</v>
      </c>
      <c r="F4039" s="293" t="s">
        <v>8018</v>
      </c>
      <c r="G4039" s="293" t="s">
        <v>5573</v>
      </c>
      <c r="H4039" s="294">
        <v>43585</v>
      </c>
      <c r="I4039" s="295">
        <v>-4451.78</v>
      </c>
    </row>
    <row r="4040" spans="1:9" x14ac:dyDescent="0.2">
      <c r="A4040" s="293" t="s">
        <v>9752</v>
      </c>
      <c r="B4040" s="293" t="s">
        <v>5666</v>
      </c>
      <c r="C4040" s="293" t="s">
        <v>6080</v>
      </c>
      <c r="D4040" s="293" t="s">
        <v>5878</v>
      </c>
      <c r="E4040" s="293" t="s">
        <v>6285</v>
      </c>
      <c r="F4040" s="293" t="s">
        <v>8018</v>
      </c>
      <c r="G4040" s="293" t="s">
        <v>5573</v>
      </c>
      <c r="H4040" s="294">
        <v>43585</v>
      </c>
      <c r="I4040" s="295">
        <v>-10077.08</v>
      </c>
    </row>
    <row r="4041" spans="1:9" x14ac:dyDescent="0.2">
      <c r="A4041" s="293" t="s">
        <v>9753</v>
      </c>
      <c r="B4041" s="293" t="s">
        <v>5666</v>
      </c>
      <c r="C4041" s="293" t="s">
        <v>6095</v>
      </c>
      <c r="D4041" s="293" t="s">
        <v>5878</v>
      </c>
      <c r="E4041" s="293" t="s">
        <v>6287</v>
      </c>
      <c r="F4041" s="293" t="s">
        <v>8018</v>
      </c>
      <c r="G4041" s="293" t="s">
        <v>5580</v>
      </c>
      <c r="H4041" s="294">
        <v>43585</v>
      </c>
      <c r="I4041" s="295">
        <v>-5589.54</v>
      </c>
    </row>
    <row r="4042" spans="1:9" x14ac:dyDescent="0.2">
      <c r="A4042" s="293" t="s">
        <v>9754</v>
      </c>
      <c r="B4042" s="293" t="s">
        <v>5666</v>
      </c>
      <c r="C4042" s="293" t="s">
        <v>6097</v>
      </c>
      <c r="D4042" s="293" t="s">
        <v>5878</v>
      </c>
      <c r="E4042" s="293" t="s">
        <v>6289</v>
      </c>
      <c r="F4042" s="293" t="s">
        <v>8018</v>
      </c>
      <c r="G4042" s="293" t="s">
        <v>5580</v>
      </c>
      <c r="H4042" s="294">
        <v>43585</v>
      </c>
      <c r="I4042" s="295">
        <v>-10099.59</v>
      </c>
    </row>
    <row r="4043" spans="1:9" x14ac:dyDescent="0.2">
      <c r="A4043" s="293" t="s">
        <v>9755</v>
      </c>
      <c r="B4043" s="293" t="s">
        <v>5666</v>
      </c>
      <c r="C4043" s="293" t="s">
        <v>6099</v>
      </c>
      <c r="D4043" s="293" t="s">
        <v>5878</v>
      </c>
      <c r="E4043" s="293" t="s">
        <v>6291</v>
      </c>
      <c r="F4043" s="293" t="s">
        <v>8018</v>
      </c>
      <c r="G4043" s="293" t="s">
        <v>5579</v>
      </c>
      <c r="H4043" s="294">
        <v>43585</v>
      </c>
      <c r="I4043" s="295">
        <v>-1407.23</v>
      </c>
    </row>
    <row r="4044" spans="1:9" x14ac:dyDescent="0.2">
      <c r="A4044" s="293" t="s">
        <v>9756</v>
      </c>
      <c r="B4044" s="293" t="s">
        <v>5666</v>
      </c>
      <c r="C4044" s="293" t="s">
        <v>6083</v>
      </c>
      <c r="D4044" s="293" t="s">
        <v>5878</v>
      </c>
      <c r="E4044" s="293" t="s">
        <v>6293</v>
      </c>
      <c r="F4044" s="293" t="s">
        <v>8018</v>
      </c>
      <c r="G4044" s="293" t="s">
        <v>5579</v>
      </c>
      <c r="H4044" s="294">
        <v>43585</v>
      </c>
      <c r="I4044" s="295">
        <v>-2524.9</v>
      </c>
    </row>
    <row r="4045" spans="1:9" x14ac:dyDescent="0.2">
      <c r="A4045" s="293" t="s">
        <v>9757</v>
      </c>
      <c r="B4045" s="293" t="s">
        <v>5666</v>
      </c>
      <c r="C4045" s="293" t="s">
        <v>6101</v>
      </c>
      <c r="D4045" s="293" t="s">
        <v>5878</v>
      </c>
      <c r="E4045" s="293" t="s">
        <v>6295</v>
      </c>
      <c r="F4045" s="293" t="s">
        <v>8018</v>
      </c>
      <c r="G4045" s="293" t="s">
        <v>5580</v>
      </c>
      <c r="H4045" s="294">
        <v>43585</v>
      </c>
      <c r="I4045" s="295">
        <v>-193.73</v>
      </c>
    </row>
    <row r="4046" spans="1:9" x14ac:dyDescent="0.2">
      <c r="A4046" s="293" t="s">
        <v>9758</v>
      </c>
      <c r="B4046" s="293" t="s">
        <v>5666</v>
      </c>
      <c r="C4046" s="293" t="s">
        <v>6104</v>
      </c>
      <c r="D4046" s="293" t="s">
        <v>5878</v>
      </c>
      <c r="E4046" s="293" t="s">
        <v>6297</v>
      </c>
      <c r="F4046" s="293" t="s">
        <v>8018</v>
      </c>
      <c r="G4046" s="293" t="s">
        <v>5580</v>
      </c>
      <c r="H4046" s="294">
        <v>43585</v>
      </c>
      <c r="I4046" s="295">
        <v>-274.12</v>
      </c>
    </row>
    <row r="4047" spans="1:9" x14ac:dyDescent="0.2">
      <c r="A4047" s="293" t="s">
        <v>9759</v>
      </c>
      <c r="B4047" s="293" t="s">
        <v>5666</v>
      </c>
      <c r="C4047" s="293" t="s">
        <v>6106</v>
      </c>
      <c r="D4047" s="293" t="s">
        <v>5878</v>
      </c>
      <c r="E4047" s="293" t="s">
        <v>6299</v>
      </c>
      <c r="F4047" s="293" t="s">
        <v>8018</v>
      </c>
      <c r="G4047" s="293" t="s">
        <v>5580</v>
      </c>
      <c r="H4047" s="294">
        <v>43585</v>
      </c>
      <c r="I4047" s="295">
        <v>-1347.95</v>
      </c>
    </row>
    <row r="4048" spans="1:9" x14ac:dyDescent="0.2">
      <c r="A4048" s="293" t="s">
        <v>9760</v>
      </c>
      <c r="B4048" s="293" t="s">
        <v>5666</v>
      </c>
      <c r="C4048" s="293" t="s">
        <v>6108</v>
      </c>
      <c r="D4048" s="293" t="s">
        <v>5878</v>
      </c>
      <c r="E4048" s="293" t="s">
        <v>6301</v>
      </c>
      <c r="F4048" s="293" t="s">
        <v>8018</v>
      </c>
      <c r="G4048" s="293" t="s">
        <v>5580</v>
      </c>
      <c r="H4048" s="294">
        <v>43585</v>
      </c>
      <c r="I4048" s="295">
        <v>-1918.86</v>
      </c>
    </row>
    <row r="4049" spans="1:9" x14ac:dyDescent="0.2">
      <c r="A4049" s="293" t="s">
        <v>9761</v>
      </c>
      <c r="B4049" s="293" t="s">
        <v>5666</v>
      </c>
      <c r="C4049" s="293" t="s">
        <v>6110</v>
      </c>
      <c r="D4049" s="293" t="s">
        <v>5878</v>
      </c>
      <c r="E4049" s="293" t="s">
        <v>6303</v>
      </c>
      <c r="F4049" s="293" t="s">
        <v>8018</v>
      </c>
      <c r="G4049" s="293" t="s">
        <v>5573</v>
      </c>
      <c r="H4049" s="294">
        <v>43585</v>
      </c>
      <c r="I4049" s="295">
        <v>-1780.13</v>
      </c>
    </row>
    <row r="4050" spans="1:9" x14ac:dyDescent="0.2">
      <c r="A4050" s="293" t="s">
        <v>9762</v>
      </c>
      <c r="B4050" s="293" t="s">
        <v>5666</v>
      </c>
      <c r="C4050" s="293" t="s">
        <v>6115</v>
      </c>
      <c r="D4050" s="293" t="s">
        <v>5878</v>
      </c>
      <c r="E4050" s="293" t="s">
        <v>6305</v>
      </c>
      <c r="F4050" s="293" t="s">
        <v>8018</v>
      </c>
      <c r="G4050" s="293" t="s">
        <v>5581</v>
      </c>
      <c r="H4050" s="294">
        <v>43585</v>
      </c>
      <c r="I4050" s="295">
        <v>-2230.71</v>
      </c>
    </row>
    <row r="4051" spans="1:9" x14ac:dyDescent="0.2">
      <c r="A4051" s="293" t="s">
        <v>9763</v>
      </c>
      <c r="B4051" s="293" t="s">
        <v>5666</v>
      </c>
      <c r="C4051" s="293" t="s">
        <v>6086</v>
      </c>
      <c r="D4051" s="293" t="s">
        <v>5878</v>
      </c>
      <c r="E4051" s="293" t="s">
        <v>6307</v>
      </c>
      <c r="F4051" s="293" t="s">
        <v>8018</v>
      </c>
      <c r="G4051" s="293" t="s">
        <v>5581</v>
      </c>
      <c r="H4051" s="294">
        <v>43585</v>
      </c>
      <c r="I4051" s="295">
        <v>-2490.34</v>
      </c>
    </row>
    <row r="4052" spans="1:9" x14ac:dyDescent="0.2">
      <c r="A4052" s="293" t="s">
        <v>9764</v>
      </c>
      <c r="B4052" s="293" t="s">
        <v>5666</v>
      </c>
      <c r="C4052" s="293" t="s">
        <v>6113</v>
      </c>
      <c r="D4052" s="293" t="s">
        <v>5878</v>
      </c>
      <c r="E4052" s="293" t="s">
        <v>6316</v>
      </c>
      <c r="F4052" s="293" t="s">
        <v>8018</v>
      </c>
      <c r="G4052" s="293" t="s">
        <v>5573</v>
      </c>
      <c r="H4052" s="294">
        <v>43585</v>
      </c>
      <c r="I4052" s="295">
        <v>-5336.81</v>
      </c>
    </row>
    <row r="4053" spans="1:9" x14ac:dyDescent="0.2">
      <c r="A4053" s="293" t="s">
        <v>9765</v>
      </c>
      <c r="B4053" s="293" t="s">
        <v>5666</v>
      </c>
      <c r="C4053" s="293" t="s">
        <v>6313</v>
      </c>
      <c r="D4053" s="293" t="s">
        <v>5878</v>
      </c>
      <c r="E4053" s="293" t="s">
        <v>6314</v>
      </c>
      <c r="F4053" s="293" t="s">
        <v>8018</v>
      </c>
      <c r="G4053" s="293" t="s">
        <v>5576</v>
      </c>
      <c r="H4053" s="294">
        <v>43585</v>
      </c>
      <c r="I4053" s="295">
        <v>-4207.3500000000004</v>
      </c>
    </row>
    <row r="4054" spans="1:9" x14ac:dyDescent="0.2">
      <c r="A4054" s="293" t="s">
        <v>9766</v>
      </c>
      <c r="B4054" s="293" t="s">
        <v>5666</v>
      </c>
      <c r="C4054" s="293" t="s">
        <v>6272</v>
      </c>
      <c r="D4054" s="293" t="s">
        <v>5878</v>
      </c>
      <c r="E4054" s="293" t="s">
        <v>6273</v>
      </c>
      <c r="F4054" s="293" t="s">
        <v>8037</v>
      </c>
      <c r="G4054" s="293" t="s">
        <v>5576</v>
      </c>
      <c r="H4054" s="294">
        <v>43616</v>
      </c>
      <c r="I4054" s="295">
        <v>-3340.78</v>
      </c>
    </row>
    <row r="4055" spans="1:9" x14ac:dyDescent="0.2">
      <c r="A4055" s="293" t="s">
        <v>9767</v>
      </c>
      <c r="B4055" s="293" t="s">
        <v>5666</v>
      </c>
      <c r="C4055" s="293" t="s">
        <v>6124</v>
      </c>
      <c r="D4055" s="293" t="s">
        <v>5878</v>
      </c>
      <c r="E4055" s="293" t="s">
        <v>6277</v>
      </c>
      <c r="F4055" s="293" t="s">
        <v>8037</v>
      </c>
      <c r="G4055" s="293" t="s">
        <v>5578</v>
      </c>
      <c r="H4055" s="294">
        <v>43616</v>
      </c>
      <c r="I4055" s="295">
        <v>-1019.33</v>
      </c>
    </row>
    <row r="4056" spans="1:9" x14ac:dyDescent="0.2">
      <c r="A4056" s="293" t="s">
        <v>9768</v>
      </c>
      <c r="B4056" s="293" t="s">
        <v>5666</v>
      </c>
      <c r="C4056" s="293" t="s">
        <v>6126</v>
      </c>
      <c r="D4056" s="293" t="s">
        <v>5878</v>
      </c>
      <c r="E4056" s="293" t="s">
        <v>6279</v>
      </c>
      <c r="F4056" s="293" t="s">
        <v>8037</v>
      </c>
      <c r="G4056" s="293" t="s">
        <v>5579</v>
      </c>
      <c r="H4056" s="294">
        <v>43616</v>
      </c>
      <c r="I4056" s="295">
        <v>-857.57</v>
      </c>
    </row>
    <row r="4057" spans="1:9" x14ac:dyDescent="0.2">
      <c r="A4057" s="293" t="s">
        <v>9769</v>
      </c>
      <c r="B4057" s="293" t="s">
        <v>5666</v>
      </c>
      <c r="C4057" s="293" t="s">
        <v>6091</v>
      </c>
      <c r="D4057" s="293" t="s">
        <v>5878</v>
      </c>
      <c r="E4057" s="293" t="s">
        <v>6281</v>
      </c>
      <c r="F4057" s="293" t="s">
        <v>8037</v>
      </c>
      <c r="G4057" s="293" t="s">
        <v>5573</v>
      </c>
      <c r="H4057" s="294">
        <v>43616</v>
      </c>
      <c r="I4057" s="295">
        <v>-3125.47</v>
      </c>
    </row>
    <row r="4058" spans="1:9" x14ac:dyDescent="0.2">
      <c r="A4058" s="293" t="s">
        <v>9770</v>
      </c>
      <c r="B4058" s="293" t="s">
        <v>5666</v>
      </c>
      <c r="C4058" s="293" t="s">
        <v>6093</v>
      </c>
      <c r="D4058" s="293" t="s">
        <v>5878</v>
      </c>
      <c r="E4058" s="293" t="s">
        <v>6283</v>
      </c>
      <c r="F4058" s="293" t="s">
        <v>8037</v>
      </c>
      <c r="G4058" s="293" t="s">
        <v>5573</v>
      </c>
      <c r="H4058" s="294">
        <v>43616</v>
      </c>
      <c r="I4058" s="295">
        <v>-4451.78</v>
      </c>
    </row>
    <row r="4059" spans="1:9" x14ac:dyDescent="0.2">
      <c r="A4059" s="293" t="s">
        <v>9771</v>
      </c>
      <c r="B4059" s="293" t="s">
        <v>5666</v>
      </c>
      <c r="C4059" s="293" t="s">
        <v>6080</v>
      </c>
      <c r="D4059" s="293" t="s">
        <v>5878</v>
      </c>
      <c r="E4059" s="293" t="s">
        <v>6285</v>
      </c>
      <c r="F4059" s="293" t="s">
        <v>8037</v>
      </c>
      <c r="G4059" s="293" t="s">
        <v>5573</v>
      </c>
      <c r="H4059" s="294">
        <v>43616</v>
      </c>
      <c r="I4059" s="295">
        <v>-10077.08</v>
      </c>
    </row>
    <row r="4060" spans="1:9" x14ac:dyDescent="0.2">
      <c r="A4060" s="293" t="s">
        <v>9772</v>
      </c>
      <c r="B4060" s="293" t="s">
        <v>5666</v>
      </c>
      <c r="C4060" s="293" t="s">
        <v>6095</v>
      </c>
      <c r="D4060" s="293" t="s">
        <v>5878</v>
      </c>
      <c r="E4060" s="293" t="s">
        <v>6287</v>
      </c>
      <c r="F4060" s="293" t="s">
        <v>8037</v>
      </c>
      <c r="G4060" s="293" t="s">
        <v>5580</v>
      </c>
      <c r="H4060" s="294">
        <v>43616</v>
      </c>
      <c r="I4060" s="295">
        <v>-5589.54</v>
      </c>
    </row>
    <row r="4061" spans="1:9" x14ac:dyDescent="0.2">
      <c r="A4061" s="293" t="s">
        <v>9773</v>
      </c>
      <c r="B4061" s="293" t="s">
        <v>5666</v>
      </c>
      <c r="C4061" s="293" t="s">
        <v>6097</v>
      </c>
      <c r="D4061" s="293" t="s">
        <v>5878</v>
      </c>
      <c r="E4061" s="293" t="s">
        <v>6289</v>
      </c>
      <c r="F4061" s="293" t="s">
        <v>8037</v>
      </c>
      <c r="G4061" s="293" t="s">
        <v>5580</v>
      </c>
      <c r="H4061" s="294">
        <v>43616</v>
      </c>
      <c r="I4061" s="295">
        <v>-10099.59</v>
      </c>
    </row>
    <row r="4062" spans="1:9" x14ac:dyDescent="0.2">
      <c r="A4062" s="293" t="s">
        <v>9774</v>
      </c>
      <c r="B4062" s="293" t="s">
        <v>5666</v>
      </c>
      <c r="C4062" s="293" t="s">
        <v>6099</v>
      </c>
      <c r="D4062" s="293" t="s">
        <v>5878</v>
      </c>
      <c r="E4062" s="293" t="s">
        <v>6291</v>
      </c>
      <c r="F4062" s="293" t="s">
        <v>8037</v>
      </c>
      <c r="G4062" s="293" t="s">
        <v>5579</v>
      </c>
      <c r="H4062" s="294">
        <v>43616</v>
      </c>
      <c r="I4062" s="295">
        <v>-1407.23</v>
      </c>
    </row>
    <row r="4063" spans="1:9" x14ac:dyDescent="0.2">
      <c r="A4063" s="293" t="s">
        <v>9775</v>
      </c>
      <c r="B4063" s="293" t="s">
        <v>5666</v>
      </c>
      <c r="C4063" s="293" t="s">
        <v>6083</v>
      </c>
      <c r="D4063" s="293" t="s">
        <v>5878</v>
      </c>
      <c r="E4063" s="293" t="s">
        <v>6293</v>
      </c>
      <c r="F4063" s="293" t="s">
        <v>8037</v>
      </c>
      <c r="G4063" s="293" t="s">
        <v>5579</v>
      </c>
      <c r="H4063" s="294">
        <v>43616</v>
      </c>
      <c r="I4063" s="295">
        <v>-2524.9</v>
      </c>
    </row>
    <row r="4064" spans="1:9" x14ac:dyDescent="0.2">
      <c r="A4064" s="293" t="s">
        <v>9776</v>
      </c>
      <c r="B4064" s="293" t="s">
        <v>5666</v>
      </c>
      <c r="C4064" s="293" t="s">
        <v>6101</v>
      </c>
      <c r="D4064" s="293" t="s">
        <v>5878</v>
      </c>
      <c r="E4064" s="293" t="s">
        <v>6295</v>
      </c>
      <c r="F4064" s="293" t="s">
        <v>8037</v>
      </c>
      <c r="G4064" s="293" t="s">
        <v>5580</v>
      </c>
      <c r="H4064" s="294">
        <v>43616</v>
      </c>
      <c r="I4064" s="295">
        <v>-193.73</v>
      </c>
    </row>
    <row r="4065" spans="1:9" x14ac:dyDescent="0.2">
      <c r="A4065" s="293" t="s">
        <v>9777</v>
      </c>
      <c r="B4065" s="293" t="s">
        <v>5666</v>
      </c>
      <c r="C4065" s="293" t="s">
        <v>6104</v>
      </c>
      <c r="D4065" s="293" t="s">
        <v>5878</v>
      </c>
      <c r="E4065" s="293" t="s">
        <v>6297</v>
      </c>
      <c r="F4065" s="293" t="s">
        <v>8037</v>
      </c>
      <c r="G4065" s="293" t="s">
        <v>5580</v>
      </c>
      <c r="H4065" s="294">
        <v>43616</v>
      </c>
      <c r="I4065" s="295">
        <v>-274.12</v>
      </c>
    </row>
    <row r="4066" spans="1:9" x14ac:dyDescent="0.2">
      <c r="A4066" s="293" t="s">
        <v>9778</v>
      </c>
      <c r="B4066" s="293" t="s">
        <v>5666</v>
      </c>
      <c r="C4066" s="293" t="s">
        <v>6106</v>
      </c>
      <c r="D4066" s="293" t="s">
        <v>5878</v>
      </c>
      <c r="E4066" s="293" t="s">
        <v>6299</v>
      </c>
      <c r="F4066" s="293" t="s">
        <v>8037</v>
      </c>
      <c r="G4066" s="293" t="s">
        <v>5580</v>
      </c>
      <c r="H4066" s="294">
        <v>43616</v>
      </c>
      <c r="I4066" s="295">
        <v>-1347.95</v>
      </c>
    </row>
    <row r="4067" spans="1:9" x14ac:dyDescent="0.2">
      <c r="A4067" s="293" t="s">
        <v>9779</v>
      </c>
      <c r="B4067" s="293" t="s">
        <v>5666</v>
      </c>
      <c r="C4067" s="293" t="s">
        <v>6108</v>
      </c>
      <c r="D4067" s="293" t="s">
        <v>5878</v>
      </c>
      <c r="E4067" s="293" t="s">
        <v>6301</v>
      </c>
      <c r="F4067" s="293" t="s">
        <v>8037</v>
      </c>
      <c r="G4067" s="293" t="s">
        <v>5580</v>
      </c>
      <c r="H4067" s="294">
        <v>43616</v>
      </c>
      <c r="I4067" s="295">
        <v>-1918.86</v>
      </c>
    </row>
    <row r="4068" spans="1:9" x14ac:dyDescent="0.2">
      <c r="A4068" s="293" t="s">
        <v>9780</v>
      </c>
      <c r="B4068" s="293" t="s">
        <v>5666</v>
      </c>
      <c r="C4068" s="293" t="s">
        <v>6110</v>
      </c>
      <c r="D4068" s="293" t="s">
        <v>5878</v>
      </c>
      <c r="E4068" s="293" t="s">
        <v>6303</v>
      </c>
      <c r="F4068" s="293" t="s">
        <v>8037</v>
      </c>
      <c r="G4068" s="293" t="s">
        <v>5573</v>
      </c>
      <c r="H4068" s="294">
        <v>43616</v>
      </c>
      <c r="I4068" s="295">
        <v>-1780.13</v>
      </c>
    </row>
    <row r="4069" spans="1:9" x14ac:dyDescent="0.2">
      <c r="A4069" s="293" t="s">
        <v>9781</v>
      </c>
      <c r="B4069" s="293" t="s">
        <v>5666</v>
      </c>
      <c r="C4069" s="293" t="s">
        <v>6115</v>
      </c>
      <c r="D4069" s="293" t="s">
        <v>5878</v>
      </c>
      <c r="E4069" s="293" t="s">
        <v>6305</v>
      </c>
      <c r="F4069" s="293" t="s">
        <v>8037</v>
      </c>
      <c r="G4069" s="293" t="s">
        <v>5581</v>
      </c>
      <c r="H4069" s="294">
        <v>43616</v>
      </c>
      <c r="I4069" s="295">
        <v>-2230.71</v>
      </c>
    </row>
    <row r="4070" spans="1:9" x14ac:dyDescent="0.2">
      <c r="A4070" s="293" t="s">
        <v>9782</v>
      </c>
      <c r="B4070" s="293" t="s">
        <v>5666</v>
      </c>
      <c r="C4070" s="293" t="s">
        <v>6086</v>
      </c>
      <c r="D4070" s="293" t="s">
        <v>5878</v>
      </c>
      <c r="E4070" s="293" t="s">
        <v>6307</v>
      </c>
      <c r="F4070" s="293" t="s">
        <v>8037</v>
      </c>
      <c r="G4070" s="293" t="s">
        <v>5581</v>
      </c>
      <c r="H4070" s="294">
        <v>43616</v>
      </c>
      <c r="I4070" s="295">
        <v>-2490.34</v>
      </c>
    </row>
    <row r="4071" spans="1:9" x14ac:dyDescent="0.2">
      <c r="A4071" s="293" t="s">
        <v>9783</v>
      </c>
      <c r="B4071" s="293" t="s">
        <v>5666</v>
      </c>
      <c r="C4071" s="293" t="s">
        <v>6113</v>
      </c>
      <c r="D4071" s="293" t="s">
        <v>5878</v>
      </c>
      <c r="E4071" s="293" t="s">
        <v>6316</v>
      </c>
      <c r="F4071" s="293" t="s">
        <v>8037</v>
      </c>
      <c r="G4071" s="293" t="s">
        <v>5573</v>
      </c>
      <c r="H4071" s="294">
        <v>43616</v>
      </c>
      <c r="I4071" s="295">
        <v>-5336.81</v>
      </c>
    </row>
    <row r="4072" spans="1:9" x14ac:dyDescent="0.2">
      <c r="A4072" s="293" t="s">
        <v>9784</v>
      </c>
      <c r="B4072" s="293" t="s">
        <v>5666</v>
      </c>
      <c r="C4072" s="293" t="s">
        <v>6313</v>
      </c>
      <c r="D4072" s="293" t="s">
        <v>5878</v>
      </c>
      <c r="E4072" s="293" t="s">
        <v>6314</v>
      </c>
      <c r="F4072" s="293" t="s">
        <v>8037</v>
      </c>
      <c r="G4072" s="293" t="s">
        <v>5576</v>
      </c>
      <c r="H4072" s="294">
        <v>43616</v>
      </c>
      <c r="I4072" s="295">
        <v>-4207.3500000000004</v>
      </c>
    </row>
    <row r="4073" spans="1:9" x14ac:dyDescent="0.2">
      <c r="A4073" s="293" t="s">
        <v>9785</v>
      </c>
      <c r="B4073" s="293" t="s">
        <v>5666</v>
      </c>
      <c r="C4073" s="293" t="s">
        <v>6272</v>
      </c>
      <c r="D4073" s="293" t="s">
        <v>5878</v>
      </c>
      <c r="E4073" s="293" t="s">
        <v>6273</v>
      </c>
      <c r="F4073" s="293" t="s">
        <v>8053</v>
      </c>
      <c r="G4073" s="293" t="s">
        <v>5576</v>
      </c>
      <c r="H4073" s="294">
        <v>43646</v>
      </c>
      <c r="I4073" s="295">
        <v>-3340.78</v>
      </c>
    </row>
    <row r="4074" spans="1:9" x14ac:dyDescent="0.2">
      <c r="A4074" s="293" t="s">
        <v>9786</v>
      </c>
      <c r="B4074" s="293" t="s">
        <v>5666</v>
      </c>
      <c r="C4074" s="293" t="s">
        <v>6124</v>
      </c>
      <c r="D4074" s="293" t="s">
        <v>5878</v>
      </c>
      <c r="E4074" s="293" t="s">
        <v>6277</v>
      </c>
      <c r="F4074" s="293" t="s">
        <v>8053</v>
      </c>
      <c r="G4074" s="293" t="s">
        <v>5578</v>
      </c>
      <c r="H4074" s="294">
        <v>43646</v>
      </c>
      <c r="I4074" s="295">
        <v>-1019.33</v>
      </c>
    </row>
    <row r="4075" spans="1:9" x14ac:dyDescent="0.2">
      <c r="A4075" s="293" t="s">
        <v>9787</v>
      </c>
      <c r="B4075" s="293" t="s">
        <v>5666</v>
      </c>
      <c r="C4075" s="293" t="s">
        <v>6126</v>
      </c>
      <c r="D4075" s="293" t="s">
        <v>5878</v>
      </c>
      <c r="E4075" s="293" t="s">
        <v>6279</v>
      </c>
      <c r="F4075" s="293" t="s">
        <v>8053</v>
      </c>
      <c r="G4075" s="293" t="s">
        <v>5579</v>
      </c>
      <c r="H4075" s="294">
        <v>43646</v>
      </c>
      <c r="I4075" s="295">
        <v>-857.57</v>
      </c>
    </row>
    <row r="4076" spans="1:9" x14ac:dyDescent="0.2">
      <c r="A4076" s="293" t="s">
        <v>9788</v>
      </c>
      <c r="B4076" s="293" t="s">
        <v>5666</v>
      </c>
      <c r="C4076" s="293" t="s">
        <v>6091</v>
      </c>
      <c r="D4076" s="293" t="s">
        <v>5878</v>
      </c>
      <c r="E4076" s="293" t="s">
        <v>6281</v>
      </c>
      <c r="F4076" s="293" t="s">
        <v>8053</v>
      </c>
      <c r="G4076" s="293" t="s">
        <v>5573</v>
      </c>
      <c r="H4076" s="294">
        <v>43646</v>
      </c>
      <c r="I4076" s="295">
        <v>-3125.47</v>
      </c>
    </row>
    <row r="4077" spans="1:9" x14ac:dyDescent="0.2">
      <c r="A4077" s="293" t="s">
        <v>9789</v>
      </c>
      <c r="B4077" s="293" t="s">
        <v>5666</v>
      </c>
      <c r="C4077" s="293" t="s">
        <v>6093</v>
      </c>
      <c r="D4077" s="293" t="s">
        <v>5878</v>
      </c>
      <c r="E4077" s="293" t="s">
        <v>6283</v>
      </c>
      <c r="F4077" s="293" t="s">
        <v>8053</v>
      </c>
      <c r="G4077" s="293" t="s">
        <v>5573</v>
      </c>
      <c r="H4077" s="294">
        <v>43646</v>
      </c>
      <c r="I4077" s="295">
        <v>-4451.78</v>
      </c>
    </row>
    <row r="4078" spans="1:9" x14ac:dyDescent="0.2">
      <c r="A4078" s="293" t="s">
        <v>9790</v>
      </c>
      <c r="B4078" s="293" t="s">
        <v>5666</v>
      </c>
      <c r="C4078" s="293" t="s">
        <v>6080</v>
      </c>
      <c r="D4078" s="293" t="s">
        <v>5878</v>
      </c>
      <c r="E4078" s="293" t="s">
        <v>6285</v>
      </c>
      <c r="F4078" s="293" t="s">
        <v>8053</v>
      </c>
      <c r="G4078" s="293" t="s">
        <v>5573</v>
      </c>
      <c r="H4078" s="294">
        <v>43646</v>
      </c>
      <c r="I4078" s="295">
        <v>-10077.08</v>
      </c>
    </row>
    <row r="4079" spans="1:9" x14ac:dyDescent="0.2">
      <c r="A4079" s="293" t="s">
        <v>9791</v>
      </c>
      <c r="B4079" s="293" t="s">
        <v>5666</v>
      </c>
      <c r="C4079" s="293" t="s">
        <v>6095</v>
      </c>
      <c r="D4079" s="293" t="s">
        <v>5878</v>
      </c>
      <c r="E4079" s="293" t="s">
        <v>6287</v>
      </c>
      <c r="F4079" s="293" t="s">
        <v>8053</v>
      </c>
      <c r="G4079" s="293" t="s">
        <v>5580</v>
      </c>
      <c r="H4079" s="294">
        <v>43646</v>
      </c>
      <c r="I4079" s="295">
        <v>-5589.54</v>
      </c>
    </row>
    <row r="4080" spans="1:9" x14ac:dyDescent="0.2">
      <c r="A4080" s="293" t="s">
        <v>9792</v>
      </c>
      <c r="B4080" s="293" t="s">
        <v>5666</v>
      </c>
      <c r="C4080" s="293" t="s">
        <v>6097</v>
      </c>
      <c r="D4080" s="293" t="s">
        <v>5878</v>
      </c>
      <c r="E4080" s="293" t="s">
        <v>6289</v>
      </c>
      <c r="F4080" s="293" t="s">
        <v>8053</v>
      </c>
      <c r="G4080" s="293" t="s">
        <v>5580</v>
      </c>
      <c r="H4080" s="294">
        <v>43646</v>
      </c>
      <c r="I4080" s="295">
        <v>-10099.59</v>
      </c>
    </row>
    <row r="4081" spans="1:9" x14ac:dyDescent="0.2">
      <c r="A4081" s="293" t="s">
        <v>9793</v>
      </c>
      <c r="B4081" s="293" t="s">
        <v>5666</v>
      </c>
      <c r="C4081" s="293" t="s">
        <v>6099</v>
      </c>
      <c r="D4081" s="293" t="s">
        <v>5878</v>
      </c>
      <c r="E4081" s="293" t="s">
        <v>6291</v>
      </c>
      <c r="F4081" s="293" t="s">
        <v>8053</v>
      </c>
      <c r="G4081" s="293" t="s">
        <v>5579</v>
      </c>
      <c r="H4081" s="294">
        <v>43646</v>
      </c>
      <c r="I4081" s="295">
        <v>-1407.23</v>
      </c>
    </row>
    <row r="4082" spans="1:9" x14ac:dyDescent="0.2">
      <c r="A4082" s="293" t="s">
        <v>9794</v>
      </c>
      <c r="B4082" s="293" t="s">
        <v>5666</v>
      </c>
      <c r="C4082" s="293" t="s">
        <v>6083</v>
      </c>
      <c r="D4082" s="293" t="s">
        <v>5878</v>
      </c>
      <c r="E4082" s="293" t="s">
        <v>6293</v>
      </c>
      <c r="F4082" s="293" t="s">
        <v>8053</v>
      </c>
      <c r="G4082" s="293" t="s">
        <v>5579</v>
      </c>
      <c r="H4082" s="294">
        <v>43646</v>
      </c>
      <c r="I4082" s="295">
        <v>-2524.9</v>
      </c>
    </row>
    <row r="4083" spans="1:9" x14ac:dyDescent="0.2">
      <c r="A4083" s="293" t="s">
        <v>9795</v>
      </c>
      <c r="B4083" s="293" t="s">
        <v>5666</v>
      </c>
      <c r="C4083" s="293" t="s">
        <v>6101</v>
      </c>
      <c r="D4083" s="293" t="s">
        <v>5878</v>
      </c>
      <c r="E4083" s="293" t="s">
        <v>6295</v>
      </c>
      <c r="F4083" s="293" t="s">
        <v>8053</v>
      </c>
      <c r="G4083" s="293" t="s">
        <v>5580</v>
      </c>
      <c r="H4083" s="294">
        <v>43646</v>
      </c>
      <c r="I4083" s="295">
        <v>-193.73</v>
      </c>
    </row>
    <row r="4084" spans="1:9" x14ac:dyDescent="0.2">
      <c r="A4084" s="293" t="s">
        <v>9796</v>
      </c>
      <c r="B4084" s="293" t="s">
        <v>5666</v>
      </c>
      <c r="C4084" s="293" t="s">
        <v>6104</v>
      </c>
      <c r="D4084" s="293" t="s">
        <v>5878</v>
      </c>
      <c r="E4084" s="293" t="s">
        <v>6297</v>
      </c>
      <c r="F4084" s="293" t="s">
        <v>8053</v>
      </c>
      <c r="G4084" s="293" t="s">
        <v>5580</v>
      </c>
      <c r="H4084" s="294">
        <v>43646</v>
      </c>
      <c r="I4084" s="295">
        <v>-274.12</v>
      </c>
    </row>
    <row r="4085" spans="1:9" x14ac:dyDescent="0.2">
      <c r="A4085" s="293" t="s">
        <v>9797</v>
      </c>
      <c r="B4085" s="293" t="s">
        <v>5666</v>
      </c>
      <c r="C4085" s="293" t="s">
        <v>6106</v>
      </c>
      <c r="D4085" s="293" t="s">
        <v>5878</v>
      </c>
      <c r="E4085" s="293" t="s">
        <v>6299</v>
      </c>
      <c r="F4085" s="293" t="s">
        <v>8053</v>
      </c>
      <c r="G4085" s="293" t="s">
        <v>5580</v>
      </c>
      <c r="H4085" s="294">
        <v>43646</v>
      </c>
      <c r="I4085" s="295">
        <v>-1347.95</v>
      </c>
    </row>
    <row r="4086" spans="1:9" x14ac:dyDescent="0.2">
      <c r="A4086" s="293" t="s">
        <v>9798</v>
      </c>
      <c r="B4086" s="293" t="s">
        <v>5666</v>
      </c>
      <c r="C4086" s="293" t="s">
        <v>6108</v>
      </c>
      <c r="D4086" s="293" t="s">
        <v>5878</v>
      </c>
      <c r="E4086" s="293" t="s">
        <v>6301</v>
      </c>
      <c r="F4086" s="293" t="s">
        <v>8053</v>
      </c>
      <c r="G4086" s="293" t="s">
        <v>5580</v>
      </c>
      <c r="H4086" s="294">
        <v>43646</v>
      </c>
      <c r="I4086" s="295">
        <v>-1918.86</v>
      </c>
    </row>
    <row r="4087" spans="1:9" x14ac:dyDescent="0.2">
      <c r="A4087" s="293" t="s">
        <v>9799</v>
      </c>
      <c r="B4087" s="293" t="s">
        <v>5666</v>
      </c>
      <c r="C4087" s="293" t="s">
        <v>6110</v>
      </c>
      <c r="D4087" s="293" t="s">
        <v>5878</v>
      </c>
      <c r="E4087" s="293" t="s">
        <v>6303</v>
      </c>
      <c r="F4087" s="293" t="s">
        <v>8053</v>
      </c>
      <c r="G4087" s="293" t="s">
        <v>5573</v>
      </c>
      <c r="H4087" s="294">
        <v>43646</v>
      </c>
      <c r="I4087" s="295">
        <v>-1780.13</v>
      </c>
    </row>
    <row r="4088" spans="1:9" x14ac:dyDescent="0.2">
      <c r="A4088" s="293" t="s">
        <v>9800</v>
      </c>
      <c r="B4088" s="293" t="s">
        <v>5666</v>
      </c>
      <c r="C4088" s="293" t="s">
        <v>6115</v>
      </c>
      <c r="D4088" s="293" t="s">
        <v>5878</v>
      </c>
      <c r="E4088" s="293" t="s">
        <v>6305</v>
      </c>
      <c r="F4088" s="293" t="s">
        <v>8053</v>
      </c>
      <c r="G4088" s="293" t="s">
        <v>5581</v>
      </c>
      <c r="H4088" s="294">
        <v>43646</v>
      </c>
      <c r="I4088" s="295">
        <v>-2230.71</v>
      </c>
    </row>
    <row r="4089" spans="1:9" x14ac:dyDescent="0.2">
      <c r="A4089" s="293" t="s">
        <v>9801</v>
      </c>
      <c r="B4089" s="293" t="s">
        <v>5666</v>
      </c>
      <c r="C4089" s="293" t="s">
        <v>6086</v>
      </c>
      <c r="D4089" s="293" t="s">
        <v>5878</v>
      </c>
      <c r="E4089" s="293" t="s">
        <v>6307</v>
      </c>
      <c r="F4089" s="293" t="s">
        <v>8053</v>
      </c>
      <c r="G4089" s="293" t="s">
        <v>5581</v>
      </c>
      <c r="H4089" s="294">
        <v>43646</v>
      </c>
      <c r="I4089" s="295">
        <v>-2490.34</v>
      </c>
    </row>
    <row r="4090" spans="1:9" x14ac:dyDescent="0.2">
      <c r="A4090" s="293" t="s">
        <v>9802</v>
      </c>
      <c r="B4090" s="293" t="s">
        <v>5666</v>
      </c>
      <c r="C4090" s="293" t="s">
        <v>6113</v>
      </c>
      <c r="D4090" s="293" t="s">
        <v>5878</v>
      </c>
      <c r="E4090" s="293" t="s">
        <v>6316</v>
      </c>
      <c r="F4090" s="293" t="s">
        <v>8053</v>
      </c>
      <c r="G4090" s="293" t="s">
        <v>5573</v>
      </c>
      <c r="H4090" s="294">
        <v>43646</v>
      </c>
      <c r="I4090" s="295">
        <v>-5336.81</v>
      </c>
    </row>
    <row r="4091" spans="1:9" x14ac:dyDescent="0.2">
      <c r="A4091" s="293" t="s">
        <v>9803</v>
      </c>
      <c r="B4091" s="293" t="s">
        <v>5666</v>
      </c>
      <c r="C4091" s="293" t="s">
        <v>6313</v>
      </c>
      <c r="D4091" s="293" t="s">
        <v>5878</v>
      </c>
      <c r="E4091" s="293" t="s">
        <v>6314</v>
      </c>
      <c r="F4091" s="293" t="s">
        <v>8053</v>
      </c>
      <c r="G4091" s="293" t="s">
        <v>5576</v>
      </c>
      <c r="H4091" s="294">
        <v>43646</v>
      </c>
      <c r="I4091" s="295">
        <v>-4207.3500000000004</v>
      </c>
    </row>
    <row r="4092" spans="1:9" x14ac:dyDescent="0.2">
      <c r="A4092" s="293" t="s">
        <v>9804</v>
      </c>
      <c r="B4092" s="293" t="s">
        <v>5666</v>
      </c>
      <c r="C4092" s="293" t="s">
        <v>6272</v>
      </c>
      <c r="D4092" s="293" t="s">
        <v>5878</v>
      </c>
      <c r="E4092" s="293" t="s">
        <v>6273</v>
      </c>
      <c r="F4092" s="293" t="s">
        <v>8087</v>
      </c>
      <c r="G4092" s="293" t="s">
        <v>5576</v>
      </c>
      <c r="H4092" s="294">
        <v>43677</v>
      </c>
      <c r="I4092" s="295">
        <v>-3340.78</v>
      </c>
    </row>
    <row r="4093" spans="1:9" x14ac:dyDescent="0.2">
      <c r="A4093" s="293" t="s">
        <v>9805</v>
      </c>
      <c r="B4093" s="293" t="s">
        <v>5666</v>
      </c>
      <c r="C4093" s="293" t="s">
        <v>6124</v>
      </c>
      <c r="D4093" s="293" t="s">
        <v>5878</v>
      </c>
      <c r="E4093" s="293" t="s">
        <v>6277</v>
      </c>
      <c r="F4093" s="293" t="s">
        <v>8087</v>
      </c>
      <c r="G4093" s="293" t="s">
        <v>5578</v>
      </c>
      <c r="H4093" s="294">
        <v>43677</v>
      </c>
      <c r="I4093" s="295">
        <v>-1019.33</v>
      </c>
    </row>
    <row r="4094" spans="1:9" x14ac:dyDescent="0.2">
      <c r="A4094" s="293" t="s">
        <v>9806</v>
      </c>
      <c r="B4094" s="293" t="s">
        <v>5666</v>
      </c>
      <c r="C4094" s="293" t="s">
        <v>6126</v>
      </c>
      <c r="D4094" s="293" t="s">
        <v>5878</v>
      </c>
      <c r="E4094" s="293" t="s">
        <v>6279</v>
      </c>
      <c r="F4094" s="293" t="s">
        <v>8087</v>
      </c>
      <c r="G4094" s="293" t="s">
        <v>5579</v>
      </c>
      <c r="H4094" s="294">
        <v>43677</v>
      </c>
      <c r="I4094" s="295">
        <v>-857.57</v>
      </c>
    </row>
    <row r="4095" spans="1:9" x14ac:dyDescent="0.2">
      <c r="A4095" s="293" t="s">
        <v>9807</v>
      </c>
      <c r="B4095" s="293" t="s">
        <v>5666</v>
      </c>
      <c r="C4095" s="293" t="s">
        <v>6091</v>
      </c>
      <c r="D4095" s="293" t="s">
        <v>5878</v>
      </c>
      <c r="E4095" s="293" t="s">
        <v>6281</v>
      </c>
      <c r="F4095" s="293" t="s">
        <v>8087</v>
      </c>
      <c r="G4095" s="293" t="s">
        <v>5573</v>
      </c>
      <c r="H4095" s="294">
        <v>43677</v>
      </c>
      <c r="I4095" s="295">
        <v>-3125.47</v>
      </c>
    </row>
    <row r="4096" spans="1:9" x14ac:dyDescent="0.2">
      <c r="A4096" s="293" t="s">
        <v>9808</v>
      </c>
      <c r="B4096" s="293" t="s">
        <v>5666</v>
      </c>
      <c r="C4096" s="293" t="s">
        <v>6093</v>
      </c>
      <c r="D4096" s="293" t="s">
        <v>5878</v>
      </c>
      <c r="E4096" s="293" t="s">
        <v>6283</v>
      </c>
      <c r="F4096" s="293" t="s">
        <v>8087</v>
      </c>
      <c r="G4096" s="293" t="s">
        <v>5573</v>
      </c>
      <c r="H4096" s="294">
        <v>43677</v>
      </c>
      <c r="I4096" s="295">
        <v>-4451.78</v>
      </c>
    </row>
    <row r="4097" spans="1:9" x14ac:dyDescent="0.2">
      <c r="A4097" s="293" t="s">
        <v>9809</v>
      </c>
      <c r="B4097" s="293" t="s">
        <v>5666</v>
      </c>
      <c r="C4097" s="293" t="s">
        <v>6080</v>
      </c>
      <c r="D4097" s="293" t="s">
        <v>5878</v>
      </c>
      <c r="E4097" s="293" t="s">
        <v>6285</v>
      </c>
      <c r="F4097" s="293" t="s">
        <v>8087</v>
      </c>
      <c r="G4097" s="293" t="s">
        <v>5573</v>
      </c>
      <c r="H4097" s="294">
        <v>43677</v>
      </c>
      <c r="I4097" s="295">
        <v>-10077.08</v>
      </c>
    </row>
    <row r="4098" spans="1:9" x14ac:dyDescent="0.2">
      <c r="A4098" s="293" t="s">
        <v>9810</v>
      </c>
      <c r="B4098" s="293" t="s">
        <v>5666</v>
      </c>
      <c r="C4098" s="293" t="s">
        <v>6095</v>
      </c>
      <c r="D4098" s="293" t="s">
        <v>5878</v>
      </c>
      <c r="E4098" s="293" t="s">
        <v>6287</v>
      </c>
      <c r="F4098" s="293" t="s">
        <v>8087</v>
      </c>
      <c r="G4098" s="293" t="s">
        <v>5580</v>
      </c>
      <c r="H4098" s="294">
        <v>43677</v>
      </c>
      <c r="I4098" s="295">
        <v>-5589.54</v>
      </c>
    </row>
    <row r="4099" spans="1:9" x14ac:dyDescent="0.2">
      <c r="A4099" s="293" t="s">
        <v>9811</v>
      </c>
      <c r="B4099" s="293" t="s">
        <v>5666</v>
      </c>
      <c r="C4099" s="293" t="s">
        <v>6097</v>
      </c>
      <c r="D4099" s="293" t="s">
        <v>5878</v>
      </c>
      <c r="E4099" s="293" t="s">
        <v>6289</v>
      </c>
      <c r="F4099" s="293" t="s">
        <v>8087</v>
      </c>
      <c r="G4099" s="293" t="s">
        <v>5580</v>
      </c>
      <c r="H4099" s="294">
        <v>43677</v>
      </c>
      <c r="I4099" s="295">
        <v>-10099.59</v>
      </c>
    </row>
    <row r="4100" spans="1:9" x14ac:dyDescent="0.2">
      <c r="A4100" s="293" t="s">
        <v>9812</v>
      </c>
      <c r="B4100" s="293" t="s">
        <v>5666</v>
      </c>
      <c r="C4100" s="293" t="s">
        <v>6099</v>
      </c>
      <c r="D4100" s="293" t="s">
        <v>5878</v>
      </c>
      <c r="E4100" s="293" t="s">
        <v>6291</v>
      </c>
      <c r="F4100" s="293" t="s">
        <v>8087</v>
      </c>
      <c r="G4100" s="293" t="s">
        <v>5579</v>
      </c>
      <c r="H4100" s="294">
        <v>43677</v>
      </c>
      <c r="I4100" s="295">
        <v>-1407.23</v>
      </c>
    </row>
    <row r="4101" spans="1:9" x14ac:dyDescent="0.2">
      <c r="A4101" s="293" t="s">
        <v>9813</v>
      </c>
      <c r="B4101" s="293" t="s">
        <v>5666</v>
      </c>
      <c r="C4101" s="293" t="s">
        <v>6083</v>
      </c>
      <c r="D4101" s="293" t="s">
        <v>5878</v>
      </c>
      <c r="E4101" s="293" t="s">
        <v>6293</v>
      </c>
      <c r="F4101" s="293" t="s">
        <v>8087</v>
      </c>
      <c r="G4101" s="293" t="s">
        <v>5579</v>
      </c>
      <c r="H4101" s="294">
        <v>43677</v>
      </c>
      <c r="I4101" s="295">
        <v>-2524.9</v>
      </c>
    </row>
    <row r="4102" spans="1:9" x14ac:dyDescent="0.2">
      <c r="A4102" s="293" t="s">
        <v>9814</v>
      </c>
      <c r="B4102" s="293" t="s">
        <v>5666</v>
      </c>
      <c r="C4102" s="293" t="s">
        <v>6101</v>
      </c>
      <c r="D4102" s="293" t="s">
        <v>5878</v>
      </c>
      <c r="E4102" s="293" t="s">
        <v>6295</v>
      </c>
      <c r="F4102" s="293" t="s">
        <v>8087</v>
      </c>
      <c r="G4102" s="293" t="s">
        <v>5580</v>
      </c>
      <c r="H4102" s="294">
        <v>43677</v>
      </c>
      <c r="I4102" s="295">
        <v>-193.73</v>
      </c>
    </row>
    <row r="4103" spans="1:9" x14ac:dyDescent="0.2">
      <c r="A4103" s="293" t="s">
        <v>9815</v>
      </c>
      <c r="B4103" s="293" t="s">
        <v>5666</v>
      </c>
      <c r="C4103" s="293" t="s">
        <v>6104</v>
      </c>
      <c r="D4103" s="293" t="s">
        <v>5878</v>
      </c>
      <c r="E4103" s="293" t="s">
        <v>6297</v>
      </c>
      <c r="F4103" s="293" t="s">
        <v>8087</v>
      </c>
      <c r="G4103" s="293" t="s">
        <v>5580</v>
      </c>
      <c r="H4103" s="294">
        <v>43677</v>
      </c>
      <c r="I4103" s="295">
        <v>-274.12</v>
      </c>
    </row>
    <row r="4104" spans="1:9" x14ac:dyDescent="0.2">
      <c r="A4104" s="293" t="s">
        <v>9816</v>
      </c>
      <c r="B4104" s="293" t="s">
        <v>5666</v>
      </c>
      <c r="C4104" s="293" t="s">
        <v>6106</v>
      </c>
      <c r="D4104" s="293" t="s">
        <v>5878</v>
      </c>
      <c r="E4104" s="293" t="s">
        <v>6299</v>
      </c>
      <c r="F4104" s="293" t="s">
        <v>8087</v>
      </c>
      <c r="G4104" s="293" t="s">
        <v>5580</v>
      </c>
      <c r="H4104" s="294">
        <v>43677</v>
      </c>
      <c r="I4104" s="295">
        <v>-1347.95</v>
      </c>
    </row>
    <row r="4105" spans="1:9" x14ac:dyDescent="0.2">
      <c r="A4105" s="293" t="s">
        <v>9817</v>
      </c>
      <c r="B4105" s="293" t="s">
        <v>5666</v>
      </c>
      <c r="C4105" s="293" t="s">
        <v>6108</v>
      </c>
      <c r="D4105" s="293" t="s">
        <v>5878</v>
      </c>
      <c r="E4105" s="293" t="s">
        <v>6301</v>
      </c>
      <c r="F4105" s="293" t="s">
        <v>8087</v>
      </c>
      <c r="G4105" s="293" t="s">
        <v>5580</v>
      </c>
      <c r="H4105" s="294">
        <v>43677</v>
      </c>
      <c r="I4105" s="295">
        <v>-1918.86</v>
      </c>
    </row>
    <row r="4106" spans="1:9" x14ac:dyDescent="0.2">
      <c r="A4106" s="293" t="s">
        <v>9818</v>
      </c>
      <c r="B4106" s="293" t="s">
        <v>5666</v>
      </c>
      <c r="C4106" s="293" t="s">
        <v>6110</v>
      </c>
      <c r="D4106" s="293" t="s">
        <v>5878</v>
      </c>
      <c r="E4106" s="293" t="s">
        <v>6303</v>
      </c>
      <c r="F4106" s="293" t="s">
        <v>8087</v>
      </c>
      <c r="G4106" s="293" t="s">
        <v>5573</v>
      </c>
      <c r="H4106" s="294">
        <v>43677</v>
      </c>
      <c r="I4106" s="295">
        <v>-1780.13</v>
      </c>
    </row>
    <row r="4107" spans="1:9" x14ac:dyDescent="0.2">
      <c r="A4107" s="293" t="s">
        <v>9819</v>
      </c>
      <c r="B4107" s="293" t="s">
        <v>5666</v>
      </c>
      <c r="C4107" s="293" t="s">
        <v>6115</v>
      </c>
      <c r="D4107" s="293" t="s">
        <v>5878</v>
      </c>
      <c r="E4107" s="293" t="s">
        <v>6305</v>
      </c>
      <c r="F4107" s="293" t="s">
        <v>8087</v>
      </c>
      <c r="G4107" s="293" t="s">
        <v>5581</v>
      </c>
      <c r="H4107" s="294">
        <v>43677</v>
      </c>
      <c r="I4107" s="295">
        <v>-2230.71</v>
      </c>
    </row>
    <row r="4108" spans="1:9" x14ac:dyDescent="0.2">
      <c r="A4108" s="293" t="s">
        <v>9820</v>
      </c>
      <c r="B4108" s="293" t="s">
        <v>5666</v>
      </c>
      <c r="C4108" s="293" t="s">
        <v>6086</v>
      </c>
      <c r="D4108" s="293" t="s">
        <v>5878</v>
      </c>
      <c r="E4108" s="293" t="s">
        <v>6307</v>
      </c>
      <c r="F4108" s="293" t="s">
        <v>8087</v>
      </c>
      <c r="G4108" s="293" t="s">
        <v>5581</v>
      </c>
      <c r="H4108" s="294">
        <v>43677</v>
      </c>
      <c r="I4108" s="295">
        <v>-2490.34</v>
      </c>
    </row>
    <row r="4109" spans="1:9" x14ac:dyDescent="0.2">
      <c r="A4109" s="293" t="s">
        <v>9821</v>
      </c>
      <c r="B4109" s="293" t="s">
        <v>5666</v>
      </c>
      <c r="C4109" s="293" t="s">
        <v>6113</v>
      </c>
      <c r="D4109" s="293" t="s">
        <v>5878</v>
      </c>
      <c r="E4109" s="293" t="s">
        <v>6316</v>
      </c>
      <c r="F4109" s="293" t="s">
        <v>8087</v>
      </c>
      <c r="G4109" s="293" t="s">
        <v>5573</v>
      </c>
      <c r="H4109" s="294">
        <v>43677</v>
      </c>
      <c r="I4109" s="295">
        <v>-5336.81</v>
      </c>
    </row>
    <row r="4110" spans="1:9" x14ac:dyDescent="0.2">
      <c r="A4110" s="293" t="s">
        <v>9822</v>
      </c>
      <c r="B4110" s="293" t="s">
        <v>5666</v>
      </c>
      <c r="C4110" s="293" t="s">
        <v>6313</v>
      </c>
      <c r="D4110" s="293" t="s">
        <v>5878</v>
      </c>
      <c r="E4110" s="293" t="s">
        <v>6314</v>
      </c>
      <c r="F4110" s="293" t="s">
        <v>8087</v>
      </c>
      <c r="G4110" s="293" t="s">
        <v>5576</v>
      </c>
      <c r="H4110" s="294">
        <v>43677</v>
      </c>
      <c r="I4110" s="295">
        <v>-4207.3500000000004</v>
      </c>
    </row>
    <row r="4111" spans="1:9" x14ac:dyDescent="0.2">
      <c r="A4111" s="293" t="s">
        <v>9823</v>
      </c>
      <c r="B4111" s="293" t="s">
        <v>5666</v>
      </c>
      <c r="C4111" s="293" t="s">
        <v>6272</v>
      </c>
      <c r="D4111" s="293" t="s">
        <v>5878</v>
      </c>
      <c r="E4111" s="293" t="s">
        <v>6273</v>
      </c>
      <c r="F4111" s="293" t="s">
        <v>8131</v>
      </c>
      <c r="G4111" s="293" t="s">
        <v>5576</v>
      </c>
      <c r="H4111" s="294">
        <v>43708</v>
      </c>
      <c r="I4111" s="295">
        <v>-3340.78</v>
      </c>
    </row>
    <row r="4112" spans="1:9" x14ac:dyDescent="0.2">
      <c r="A4112" s="293" t="s">
        <v>9824</v>
      </c>
      <c r="B4112" s="293" t="s">
        <v>5666</v>
      </c>
      <c r="C4112" s="293" t="s">
        <v>6124</v>
      </c>
      <c r="D4112" s="293" t="s">
        <v>5878</v>
      </c>
      <c r="E4112" s="293" t="s">
        <v>6277</v>
      </c>
      <c r="F4112" s="293" t="s">
        <v>8131</v>
      </c>
      <c r="G4112" s="293" t="s">
        <v>5578</v>
      </c>
      <c r="H4112" s="294">
        <v>43708</v>
      </c>
      <c r="I4112" s="295">
        <v>-1019.33</v>
      </c>
    </row>
    <row r="4113" spans="1:9" x14ac:dyDescent="0.2">
      <c r="A4113" s="293" t="s">
        <v>9825</v>
      </c>
      <c r="B4113" s="293" t="s">
        <v>5666</v>
      </c>
      <c r="C4113" s="293" t="s">
        <v>6126</v>
      </c>
      <c r="D4113" s="293" t="s">
        <v>5878</v>
      </c>
      <c r="E4113" s="293" t="s">
        <v>6279</v>
      </c>
      <c r="F4113" s="293" t="s">
        <v>8131</v>
      </c>
      <c r="G4113" s="293" t="s">
        <v>5579</v>
      </c>
      <c r="H4113" s="294">
        <v>43708</v>
      </c>
      <c r="I4113" s="295">
        <v>-857.57</v>
      </c>
    </row>
    <row r="4114" spans="1:9" x14ac:dyDescent="0.2">
      <c r="A4114" s="293" t="s">
        <v>9826</v>
      </c>
      <c r="B4114" s="293" t="s">
        <v>5666</v>
      </c>
      <c r="C4114" s="293" t="s">
        <v>6091</v>
      </c>
      <c r="D4114" s="293" t="s">
        <v>5878</v>
      </c>
      <c r="E4114" s="293" t="s">
        <v>6281</v>
      </c>
      <c r="F4114" s="293" t="s">
        <v>8131</v>
      </c>
      <c r="G4114" s="293" t="s">
        <v>5573</v>
      </c>
      <c r="H4114" s="294">
        <v>43708</v>
      </c>
      <c r="I4114" s="295">
        <v>-3125.47</v>
      </c>
    </row>
    <row r="4115" spans="1:9" x14ac:dyDescent="0.2">
      <c r="A4115" s="293" t="s">
        <v>9827</v>
      </c>
      <c r="B4115" s="293" t="s">
        <v>5666</v>
      </c>
      <c r="C4115" s="293" t="s">
        <v>6093</v>
      </c>
      <c r="D4115" s="293" t="s">
        <v>5878</v>
      </c>
      <c r="E4115" s="293" t="s">
        <v>6283</v>
      </c>
      <c r="F4115" s="293" t="s">
        <v>8131</v>
      </c>
      <c r="G4115" s="293" t="s">
        <v>5573</v>
      </c>
      <c r="H4115" s="294">
        <v>43708</v>
      </c>
      <c r="I4115" s="295">
        <v>-4451.78</v>
      </c>
    </row>
    <row r="4116" spans="1:9" x14ac:dyDescent="0.2">
      <c r="A4116" s="293" t="s">
        <v>9828</v>
      </c>
      <c r="B4116" s="293" t="s">
        <v>5666</v>
      </c>
      <c r="C4116" s="293" t="s">
        <v>6080</v>
      </c>
      <c r="D4116" s="293" t="s">
        <v>5878</v>
      </c>
      <c r="E4116" s="293" t="s">
        <v>6285</v>
      </c>
      <c r="F4116" s="293" t="s">
        <v>8131</v>
      </c>
      <c r="G4116" s="293" t="s">
        <v>5573</v>
      </c>
      <c r="H4116" s="294">
        <v>43708</v>
      </c>
      <c r="I4116" s="295">
        <v>-10077.08</v>
      </c>
    </row>
    <row r="4117" spans="1:9" x14ac:dyDescent="0.2">
      <c r="A4117" s="293" t="s">
        <v>9829</v>
      </c>
      <c r="B4117" s="293" t="s">
        <v>5666</v>
      </c>
      <c r="C4117" s="293" t="s">
        <v>6095</v>
      </c>
      <c r="D4117" s="293" t="s">
        <v>5878</v>
      </c>
      <c r="E4117" s="293" t="s">
        <v>6287</v>
      </c>
      <c r="F4117" s="293" t="s">
        <v>8131</v>
      </c>
      <c r="G4117" s="293" t="s">
        <v>5580</v>
      </c>
      <c r="H4117" s="294">
        <v>43708</v>
      </c>
      <c r="I4117" s="295">
        <v>-5589.54</v>
      </c>
    </row>
    <row r="4118" spans="1:9" x14ac:dyDescent="0.2">
      <c r="A4118" s="293" t="s">
        <v>9830</v>
      </c>
      <c r="B4118" s="293" t="s">
        <v>5666</v>
      </c>
      <c r="C4118" s="293" t="s">
        <v>6097</v>
      </c>
      <c r="D4118" s="293" t="s">
        <v>5878</v>
      </c>
      <c r="E4118" s="293" t="s">
        <v>6289</v>
      </c>
      <c r="F4118" s="293" t="s">
        <v>8131</v>
      </c>
      <c r="G4118" s="293" t="s">
        <v>5580</v>
      </c>
      <c r="H4118" s="294">
        <v>43708</v>
      </c>
      <c r="I4118" s="295">
        <v>-10099.59</v>
      </c>
    </row>
    <row r="4119" spans="1:9" x14ac:dyDescent="0.2">
      <c r="A4119" s="293" t="s">
        <v>9831</v>
      </c>
      <c r="B4119" s="293" t="s">
        <v>5666</v>
      </c>
      <c r="C4119" s="293" t="s">
        <v>6099</v>
      </c>
      <c r="D4119" s="293" t="s">
        <v>5878</v>
      </c>
      <c r="E4119" s="293" t="s">
        <v>6291</v>
      </c>
      <c r="F4119" s="293" t="s">
        <v>8131</v>
      </c>
      <c r="G4119" s="293" t="s">
        <v>5579</v>
      </c>
      <c r="H4119" s="294">
        <v>43708</v>
      </c>
      <c r="I4119" s="295">
        <v>-1407.23</v>
      </c>
    </row>
    <row r="4120" spans="1:9" x14ac:dyDescent="0.2">
      <c r="A4120" s="293" t="s">
        <v>9832</v>
      </c>
      <c r="B4120" s="293" t="s">
        <v>5666</v>
      </c>
      <c r="C4120" s="293" t="s">
        <v>6083</v>
      </c>
      <c r="D4120" s="293" t="s">
        <v>5878</v>
      </c>
      <c r="E4120" s="293" t="s">
        <v>6293</v>
      </c>
      <c r="F4120" s="293" t="s">
        <v>8131</v>
      </c>
      <c r="G4120" s="293" t="s">
        <v>5579</v>
      </c>
      <c r="H4120" s="294">
        <v>43708</v>
      </c>
      <c r="I4120" s="295">
        <v>-2524.9</v>
      </c>
    </row>
    <row r="4121" spans="1:9" x14ac:dyDescent="0.2">
      <c r="A4121" s="293" t="s">
        <v>9833</v>
      </c>
      <c r="B4121" s="293" t="s">
        <v>5666</v>
      </c>
      <c r="C4121" s="293" t="s">
        <v>6101</v>
      </c>
      <c r="D4121" s="293" t="s">
        <v>5878</v>
      </c>
      <c r="E4121" s="293" t="s">
        <v>6295</v>
      </c>
      <c r="F4121" s="293" t="s">
        <v>8131</v>
      </c>
      <c r="G4121" s="293" t="s">
        <v>5580</v>
      </c>
      <c r="H4121" s="294">
        <v>43708</v>
      </c>
      <c r="I4121" s="295">
        <v>-193.73</v>
      </c>
    </row>
    <row r="4122" spans="1:9" x14ac:dyDescent="0.2">
      <c r="A4122" s="293" t="s">
        <v>9834</v>
      </c>
      <c r="B4122" s="293" t="s">
        <v>5666</v>
      </c>
      <c r="C4122" s="293" t="s">
        <v>6104</v>
      </c>
      <c r="D4122" s="293" t="s">
        <v>5878</v>
      </c>
      <c r="E4122" s="293" t="s">
        <v>6297</v>
      </c>
      <c r="F4122" s="293" t="s">
        <v>8131</v>
      </c>
      <c r="G4122" s="293" t="s">
        <v>5580</v>
      </c>
      <c r="H4122" s="294">
        <v>43708</v>
      </c>
      <c r="I4122" s="295">
        <v>-274.12</v>
      </c>
    </row>
    <row r="4123" spans="1:9" x14ac:dyDescent="0.2">
      <c r="A4123" s="293" t="s">
        <v>9835</v>
      </c>
      <c r="B4123" s="293" t="s">
        <v>5666</v>
      </c>
      <c r="C4123" s="293" t="s">
        <v>6106</v>
      </c>
      <c r="D4123" s="293" t="s">
        <v>5878</v>
      </c>
      <c r="E4123" s="293" t="s">
        <v>6299</v>
      </c>
      <c r="F4123" s="293" t="s">
        <v>8131</v>
      </c>
      <c r="G4123" s="293" t="s">
        <v>5580</v>
      </c>
      <c r="H4123" s="294">
        <v>43708</v>
      </c>
      <c r="I4123" s="295">
        <v>-1347.95</v>
      </c>
    </row>
    <row r="4124" spans="1:9" x14ac:dyDescent="0.2">
      <c r="A4124" s="293" t="s">
        <v>9836</v>
      </c>
      <c r="B4124" s="293" t="s">
        <v>5666</v>
      </c>
      <c r="C4124" s="293" t="s">
        <v>6108</v>
      </c>
      <c r="D4124" s="293" t="s">
        <v>5878</v>
      </c>
      <c r="E4124" s="293" t="s">
        <v>6301</v>
      </c>
      <c r="F4124" s="293" t="s">
        <v>8131</v>
      </c>
      <c r="G4124" s="293" t="s">
        <v>5580</v>
      </c>
      <c r="H4124" s="294">
        <v>43708</v>
      </c>
      <c r="I4124" s="295">
        <v>-1918.86</v>
      </c>
    </row>
    <row r="4125" spans="1:9" x14ac:dyDescent="0.2">
      <c r="A4125" s="293" t="s">
        <v>9837</v>
      </c>
      <c r="B4125" s="293" t="s">
        <v>5666</v>
      </c>
      <c r="C4125" s="293" t="s">
        <v>6110</v>
      </c>
      <c r="D4125" s="293" t="s">
        <v>5878</v>
      </c>
      <c r="E4125" s="293" t="s">
        <v>6303</v>
      </c>
      <c r="F4125" s="293" t="s">
        <v>8131</v>
      </c>
      <c r="G4125" s="293" t="s">
        <v>5573</v>
      </c>
      <c r="H4125" s="294">
        <v>43708</v>
      </c>
      <c r="I4125" s="295">
        <v>-1780.13</v>
      </c>
    </row>
    <row r="4126" spans="1:9" x14ac:dyDescent="0.2">
      <c r="A4126" s="293" t="s">
        <v>9838</v>
      </c>
      <c r="B4126" s="293" t="s">
        <v>5666</v>
      </c>
      <c r="C4126" s="293" t="s">
        <v>6115</v>
      </c>
      <c r="D4126" s="293" t="s">
        <v>5878</v>
      </c>
      <c r="E4126" s="293" t="s">
        <v>6305</v>
      </c>
      <c r="F4126" s="293" t="s">
        <v>8131</v>
      </c>
      <c r="G4126" s="293" t="s">
        <v>5581</v>
      </c>
      <c r="H4126" s="294">
        <v>43708</v>
      </c>
      <c r="I4126" s="295">
        <v>-2230.71</v>
      </c>
    </row>
    <row r="4127" spans="1:9" x14ac:dyDescent="0.2">
      <c r="A4127" s="293" t="s">
        <v>9839</v>
      </c>
      <c r="B4127" s="293" t="s">
        <v>5666</v>
      </c>
      <c r="C4127" s="293" t="s">
        <v>6086</v>
      </c>
      <c r="D4127" s="293" t="s">
        <v>5878</v>
      </c>
      <c r="E4127" s="293" t="s">
        <v>6307</v>
      </c>
      <c r="F4127" s="293" t="s">
        <v>8131</v>
      </c>
      <c r="G4127" s="293" t="s">
        <v>5581</v>
      </c>
      <c r="H4127" s="294">
        <v>43708</v>
      </c>
      <c r="I4127" s="295">
        <v>-2490.34</v>
      </c>
    </row>
    <row r="4128" spans="1:9" x14ac:dyDescent="0.2">
      <c r="A4128" s="293" t="s">
        <v>9840</v>
      </c>
      <c r="B4128" s="293" t="s">
        <v>5666</v>
      </c>
      <c r="C4128" s="293" t="s">
        <v>6113</v>
      </c>
      <c r="D4128" s="293" t="s">
        <v>5878</v>
      </c>
      <c r="E4128" s="293" t="s">
        <v>6316</v>
      </c>
      <c r="F4128" s="293" t="s">
        <v>8131</v>
      </c>
      <c r="G4128" s="293" t="s">
        <v>5573</v>
      </c>
      <c r="H4128" s="294">
        <v>43708</v>
      </c>
      <c r="I4128" s="295">
        <v>-5336.81</v>
      </c>
    </row>
    <row r="4129" spans="1:9" x14ac:dyDescent="0.2">
      <c r="A4129" s="293" t="s">
        <v>9841</v>
      </c>
      <c r="B4129" s="293" t="s">
        <v>5666</v>
      </c>
      <c r="C4129" s="293" t="s">
        <v>6313</v>
      </c>
      <c r="D4129" s="293" t="s">
        <v>5878</v>
      </c>
      <c r="E4129" s="293" t="s">
        <v>6314</v>
      </c>
      <c r="F4129" s="293" t="s">
        <v>8131</v>
      </c>
      <c r="G4129" s="293" t="s">
        <v>5576</v>
      </c>
      <c r="H4129" s="294">
        <v>43708</v>
      </c>
      <c r="I4129" s="295">
        <v>-4207.3500000000004</v>
      </c>
    </row>
    <row r="4130" spans="1:9" x14ac:dyDescent="0.2">
      <c r="A4130" s="293" t="s">
        <v>9842</v>
      </c>
      <c r="B4130" s="293" t="s">
        <v>5666</v>
      </c>
      <c r="C4130" s="293" t="s">
        <v>6272</v>
      </c>
      <c r="D4130" s="293" t="s">
        <v>5878</v>
      </c>
      <c r="E4130" s="293" t="s">
        <v>6273</v>
      </c>
      <c r="F4130" s="293" t="s">
        <v>8158</v>
      </c>
      <c r="G4130" s="293" t="s">
        <v>5576</v>
      </c>
      <c r="H4130" s="294">
        <v>43738</v>
      </c>
      <c r="I4130" s="295">
        <v>-3340.78</v>
      </c>
    </row>
    <row r="4131" spans="1:9" x14ac:dyDescent="0.2">
      <c r="A4131" s="293" t="s">
        <v>9843</v>
      </c>
      <c r="B4131" s="293" t="s">
        <v>5666</v>
      </c>
      <c r="C4131" s="293" t="s">
        <v>6124</v>
      </c>
      <c r="D4131" s="293" t="s">
        <v>5878</v>
      </c>
      <c r="E4131" s="293" t="s">
        <v>6277</v>
      </c>
      <c r="F4131" s="293" t="s">
        <v>8158</v>
      </c>
      <c r="G4131" s="293" t="s">
        <v>5578</v>
      </c>
      <c r="H4131" s="294">
        <v>43738</v>
      </c>
      <c r="I4131" s="295">
        <v>-1019.33</v>
      </c>
    </row>
    <row r="4132" spans="1:9" x14ac:dyDescent="0.2">
      <c r="A4132" s="293" t="s">
        <v>9844</v>
      </c>
      <c r="B4132" s="293" t="s">
        <v>5666</v>
      </c>
      <c r="C4132" s="293" t="s">
        <v>6126</v>
      </c>
      <c r="D4132" s="293" t="s">
        <v>5878</v>
      </c>
      <c r="E4132" s="293" t="s">
        <v>6279</v>
      </c>
      <c r="F4132" s="293" t="s">
        <v>8158</v>
      </c>
      <c r="G4132" s="293" t="s">
        <v>5579</v>
      </c>
      <c r="H4132" s="294">
        <v>43738</v>
      </c>
      <c r="I4132" s="295">
        <v>-857.57</v>
      </c>
    </row>
    <row r="4133" spans="1:9" x14ac:dyDescent="0.2">
      <c r="A4133" s="293" t="s">
        <v>9845</v>
      </c>
      <c r="B4133" s="293" t="s">
        <v>5666</v>
      </c>
      <c r="C4133" s="293" t="s">
        <v>6091</v>
      </c>
      <c r="D4133" s="293" t="s">
        <v>5878</v>
      </c>
      <c r="E4133" s="293" t="s">
        <v>6281</v>
      </c>
      <c r="F4133" s="293" t="s">
        <v>8158</v>
      </c>
      <c r="G4133" s="293" t="s">
        <v>5573</v>
      </c>
      <c r="H4133" s="294">
        <v>43738</v>
      </c>
      <c r="I4133" s="295">
        <v>-3125.47</v>
      </c>
    </row>
    <row r="4134" spans="1:9" x14ac:dyDescent="0.2">
      <c r="A4134" s="293" t="s">
        <v>9846</v>
      </c>
      <c r="B4134" s="293" t="s">
        <v>5666</v>
      </c>
      <c r="C4134" s="293" t="s">
        <v>6093</v>
      </c>
      <c r="D4134" s="293" t="s">
        <v>5878</v>
      </c>
      <c r="E4134" s="293" t="s">
        <v>6283</v>
      </c>
      <c r="F4134" s="293" t="s">
        <v>8158</v>
      </c>
      <c r="G4134" s="293" t="s">
        <v>5573</v>
      </c>
      <c r="H4134" s="294">
        <v>43738</v>
      </c>
      <c r="I4134" s="295">
        <v>-4451.78</v>
      </c>
    </row>
    <row r="4135" spans="1:9" x14ac:dyDescent="0.2">
      <c r="A4135" s="293" t="s">
        <v>9847</v>
      </c>
      <c r="B4135" s="293" t="s">
        <v>5666</v>
      </c>
      <c r="C4135" s="293" t="s">
        <v>6080</v>
      </c>
      <c r="D4135" s="293" t="s">
        <v>5878</v>
      </c>
      <c r="E4135" s="293" t="s">
        <v>6285</v>
      </c>
      <c r="F4135" s="293" t="s">
        <v>8158</v>
      </c>
      <c r="G4135" s="293" t="s">
        <v>5573</v>
      </c>
      <c r="H4135" s="294">
        <v>43738</v>
      </c>
      <c r="I4135" s="295">
        <v>-10077.08</v>
      </c>
    </row>
    <row r="4136" spans="1:9" x14ac:dyDescent="0.2">
      <c r="A4136" s="293" t="s">
        <v>9848</v>
      </c>
      <c r="B4136" s="293" t="s">
        <v>5666</v>
      </c>
      <c r="C4136" s="293" t="s">
        <v>6095</v>
      </c>
      <c r="D4136" s="293" t="s">
        <v>5878</v>
      </c>
      <c r="E4136" s="293" t="s">
        <v>6287</v>
      </c>
      <c r="F4136" s="293" t="s">
        <v>8158</v>
      </c>
      <c r="G4136" s="293" t="s">
        <v>5580</v>
      </c>
      <c r="H4136" s="294">
        <v>43738</v>
      </c>
      <c r="I4136" s="295">
        <v>-5589.54</v>
      </c>
    </row>
    <row r="4137" spans="1:9" x14ac:dyDescent="0.2">
      <c r="A4137" s="293" t="s">
        <v>7103</v>
      </c>
      <c r="B4137" s="293" t="s">
        <v>5666</v>
      </c>
      <c r="C4137" s="293" t="s">
        <v>6097</v>
      </c>
      <c r="D4137" s="293" t="s">
        <v>5878</v>
      </c>
      <c r="E4137" s="293" t="s">
        <v>6289</v>
      </c>
      <c r="F4137" s="293" t="s">
        <v>8158</v>
      </c>
      <c r="G4137" s="293" t="s">
        <v>5580</v>
      </c>
      <c r="H4137" s="294">
        <v>43738</v>
      </c>
      <c r="I4137" s="295">
        <v>-10099.59</v>
      </c>
    </row>
    <row r="4138" spans="1:9" x14ac:dyDescent="0.2">
      <c r="A4138" s="293" t="s">
        <v>7104</v>
      </c>
      <c r="B4138" s="293" t="s">
        <v>5666</v>
      </c>
      <c r="C4138" s="293" t="s">
        <v>6099</v>
      </c>
      <c r="D4138" s="293" t="s">
        <v>5878</v>
      </c>
      <c r="E4138" s="293" t="s">
        <v>6291</v>
      </c>
      <c r="F4138" s="293" t="s">
        <v>8158</v>
      </c>
      <c r="G4138" s="293" t="s">
        <v>5579</v>
      </c>
      <c r="H4138" s="294">
        <v>43738</v>
      </c>
      <c r="I4138" s="295">
        <v>-1407.23</v>
      </c>
    </row>
    <row r="4139" spans="1:9" x14ac:dyDescent="0.2">
      <c r="A4139" s="293" t="s">
        <v>8902</v>
      </c>
      <c r="B4139" s="293" t="s">
        <v>5666</v>
      </c>
      <c r="C4139" s="293" t="s">
        <v>6083</v>
      </c>
      <c r="D4139" s="293" t="s">
        <v>5878</v>
      </c>
      <c r="E4139" s="293" t="s">
        <v>6293</v>
      </c>
      <c r="F4139" s="293" t="s">
        <v>8158</v>
      </c>
      <c r="G4139" s="293" t="s">
        <v>5579</v>
      </c>
      <c r="H4139" s="294">
        <v>43738</v>
      </c>
      <c r="I4139" s="295">
        <v>-2524.9</v>
      </c>
    </row>
    <row r="4140" spans="1:9" x14ac:dyDescent="0.2">
      <c r="A4140" s="293" t="s">
        <v>8903</v>
      </c>
      <c r="B4140" s="293" t="s">
        <v>5666</v>
      </c>
      <c r="C4140" s="293" t="s">
        <v>6101</v>
      </c>
      <c r="D4140" s="293" t="s">
        <v>5878</v>
      </c>
      <c r="E4140" s="293" t="s">
        <v>6295</v>
      </c>
      <c r="F4140" s="293" t="s">
        <v>8158</v>
      </c>
      <c r="G4140" s="293" t="s">
        <v>5580</v>
      </c>
      <c r="H4140" s="294">
        <v>43738</v>
      </c>
      <c r="I4140" s="295">
        <v>-193.73</v>
      </c>
    </row>
    <row r="4141" spans="1:9" x14ac:dyDescent="0.2">
      <c r="A4141" s="293" t="s">
        <v>8904</v>
      </c>
      <c r="B4141" s="293" t="s">
        <v>5666</v>
      </c>
      <c r="C4141" s="293" t="s">
        <v>6104</v>
      </c>
      <c r="D4141" s="293" t="s">
        <v>5878</v>
      </c>
      <c r="E4141" s="293" t="s">
        <v>6297</v>
      </c>
      <c r="F4141" s="293" t="s">
        <v>8158</v>
      </c>
      <c r="G4141" s="293" t="s">
        <v>5580</v>
      </c>
      <c r="H4141" s="294">
        <v>43738</v>
      </c>
      <c r="I4141" s="295">
        <v>-274.12</v>
      </c>
    </row>
    <row r="4142" spans="1:9" x14ac:dyDescent="0.2">
      <c r="A4142" s="293" t="s">
        <v>8905</v>
      </c>
      <c r="B4142" s="293" t="s">
        <v>5666</v>
      </c>
      <c r="C4142" s="293" t="s">
        <v>6106</v>
      </c>
      <c r="D4142" s="293" t="s">
        <v>5878</v>
      </c>
      <c r="E4142" s="293" t="s">
        <v>6299</v>
      </c>
      <c r="F4142" s="293" t="s">
        <v>8158</v>
      </c>
      <c r="G4142" s="293" t="s">
        <v>5580</v>
      </c>
      <c r="H4142" s="294">
        <v>43738</v>
      </c>
      <c r="I4142" s="295">
        <v>-1347.95</v>
      </c>
    </row>
    <row r="4143" spans="1:9" x14ac:dyDescent="0.2">
      <c r="A4143" s="293" t="s">
        <v>8906</v>
      </c>
      <c r="B4143" s="293" t="s">
        <v>5666</v>
      </c>
      <c r="C4143" s="293" t="s">
        <v>6108</v>
      </c>
      <c r="D4143" s="293" t="s">
        <v>5878</v>
      </c>
      <c r="E4143" s="293" t="s">
        <v>6301</v>
      </c>
      <c r="F4143" s="293" t="s">
        <v>8158</v>
      </c>
      <c r="G4143" s="293" t="s">
        <v>5580</v>
      </c>
      <c r="H4143" s="294">
        <v>43738</v>
      </c>
      <c r="I4143" s="295">
        <v>-1918.86</v>
      </c>
    </row>
    <row r="4144" spans="1:9" x14ac:dyDescent="0.2">
      <c r="A4144" s="293" t="s">
        <v>8907</v>
      </c>
      <c r="B4144" s="293" t="s">
        <v>5666</v>
      </c>
      <c r="C4144" s="293" t="s">
        <v>6110</v>
      </c>
      <c r="D4144" s="293" t="s">
        <v>5878</v>
      </c>
      <c r="E4144" s="293" t="s">
        <v>6303</v>
      </c>
      <c r="F4144" s="293" t="s">
        <v>8158</v>
      </c>
      <c r="G4144" s="293" t="s">
        <v>5573</v>
      </c>
      <c r="H4144" s="294">
        <v>43738</v>
      </c>
      <c r="I4144" s="295">
        <v>-1780.13</v>
      </c>
    </row>
    <row r="4145" spans="1:9" x14ac:dyDescent="0.2">
      <c r="A4145" s="293" t="s">
        <v>8908</v>
      </c>
      <c r="B4145" s="293" t="s">
        <v>5666</v>
      </c>
      <c r="C4145" s="293" t="s">
        <v>6115</v>
      </c>
      <c r="D4145" s="293" t="s">
        <v>5878</v>
      </c>
      <c r="E4145" s="293" t="s">
        <v>6305</v>
      </c>
      <c r="F4145" s="293" t="s">
        <v>8158</v>
      </c>
      <c r="G4145" s="293" t="s">
        <v>5581</v>
      </c>
      <c r="H4145" s="294">
        <v>43738</v>
      </c>
      <c r="I4145" s="295">
        <v>-2230.71</v>
      </c>
    </row>
    <row r="4146" spans="1:9" x14ac:dyDescent="0.2">
      <c r="A4146" s="293" t="s">
        <v>8909</v>
      </c>
      <c r="B4146" s="293" t="s">
        <v>5666</v>
      </c>
      <c r="C4146" s="293" t="s">
        <v>6086</v>
      </c>
      <c r="D4146" s="293" t="s">
        <v>5878</v>
      </c>
      <c r="E4146" s="293" t="s">
        <v>6307</v>
      </c>
      <c r="F4146" s="293" t="s">
        <v>8158</v>
      </c>
      <c r="G4146" s="293" t="s">
        <v>5581</v>
      </c>
      <c r="H4146" s="294">
        <v>43738</v>
      </c>
      <c r="I4146" s="295">
        <v>-2490.34</v>
      </c>
    </row>
    <row r="4147" spans="1:9" x14ac:dyDescent="0.2">
      <c r="A4147" s="293" t="s">
        <v>8910</v>
      </c>
      <c r="B4147" s="293" t="s">
        <v>5666</v>
      </c>
      <c r="C4147" s="293" t="s">
        <v>6113</v>
      </c>
      <c r="D4147" s="293" t="s">
        <v>5878</v>
      </c>
      <c r="E4147" s="293" t="s">
        <v>6316</v>
      </c>
      <c r="F4147" s="293" t="s">
        <v>8158</v>
      </c>
      <c r="G4147" s="293" t="s">
        <v>5573</v>
      </c>
      <c r="H4147" s="294">
        <v>43738</v>
      </c>
      <c r="I4147" s="295">
        <v>-5336.81</v>
      </c>
    </row>
    <row r="4148" spans="1:9" x14ac:dyDescent="0.2">
      <c r="A4148" s="293" t="s">
        <v>8911</v>
      </c>
      <c r="B4148" s="293" t="s">
        <v>5666</v>
      </c>
      <c r="C4148" s="293" t="s">
        <v>6313</v>
      </c>
      <c r="D4148" s="293" t="s">
        <v>5878</v>
      </c>
      <c r="E4148" s="293" t="s">
        <v>6314</v>
      </c>
      <c r="F4148" s="293" t="s">
        <v>8158</v>
      </c>
      <c r="G4148" s="293" t="s">
        <v>5576</v>
      </c>
      <c r="H4148" s="294">
        <v>43738</v>
      </c>
      <c r="I4148" s="295">
        <v>-4207.3500000000004</v>
      </c>
    </row>
    <row r="4149" spans="1:9" x14ac:dyDescent="0.2">
      <c r="A4149" s="293" t="s">
        <v>9849</v>
      </c>
      <c r="B4149" s="293" t="s">
        <v>5666</v>
      </c>
      <c r="C4149" s="293" t="s">
        <v>6272</v>
      </c>
      <c r="D4149" s="293" t="s">
        <v>5878</v>
      </c>
      <c r="E4149" s="293" t="s">
        <v>6273</v>
      </c>
      <c r="F4149" s="293" t="s">
        <v>8171</v>
      </c>
      <c r="G4149" s="293" t="s">
        <v>5576</v>
      </c>
      <c r="H4149" s="294">
        <v>43769</v>
      </c>
      <c r="I4149" s="295">
        <v>-3340.78</v>
      </c>
    </row>
    <row r="4150" spans="1:9" x14ac:dyDescent="0.2">
      <c r="A4150" s="293" t="s">
        <v>9850</v>
      </c>
      <c r="B4150" s="293" t="s">
        <v>5666</v>
      </c>
      <c r="C4150" s="293" t="s">
        <v>6124</v>
      </c>
      <c r="D4150" s="293" t="s">
        <v>5878</v>
      </c>
      <c r="E4150" s="293" t="s">
        <v>6277</v>
      </c>
      <c r="F4150" s="293" t="s">
        <v>8171</v>
      </c>
      <c r="G4150" s="293" t="s">
        <v>5578</v>
      </c>
      <c r="H4150" s="294">
        <v>43769</v>
      </c>
      <c r="I4150" s="295">
        <v>-1019.33</v>
      </c>
    </row>
    <row r="4151" spans="1:9" x14ac:dyDescent="0.2">
      <c r="A4151" s="293" t="s">
        <v>9851</v>
      </c>
      <c r="B4151" s="293" t="s">
        <v>5666</v>
      </c>
      <c r="C4151" s="293" t="s">
        <v>6126</v>
      </c>
      <c r="D4151" s="293" t="s">
        <v>5878</v>
      </c>
      <c r="E4151" s="293" t="s">
        <v>6279</v>
      </c>
      <c r="F4151" s="293" t="s">
        <v>8171</v>
      </c>
      <c r="G4151" s="293" t="s">
        <v>5579</v>
      </c>
      <c r="H4151" s="294">
        <v>43769</v>
      </c>
      <c r="I4151" s="295">
        <v>-857.57</v>
      </c>
    </row>
    <row r="4152" spans="1:9" x14ac:dyDescent="0.2">
      <c r="A4152" s="293" t="s">
        <v>9852</v>
      </c>
      <c r="B4152" s="293" t="s">
        <v>5666</v>
      </c>
      <c r="C4152" s="293" t="s">
        <v>6091</v>
      </c>
      <c r="D4152" s="293" t="s">
        <v>5878</v>
      </c>
      <c r="E4152" s="293" t="s">
        <v>6281</v>
      </c>
      <c r="F4152" s="293" t="s">
        <v>8171</v>
      </c>
      <c r="G4152" s="293" t="s">
        <v>5573</v>
      </c>
      <c r="H4152" s="294">
        <v>43769</v>
      </c>
      <c r="I4152" s="295">
        <v>-3125.47</v>
      </c>
    </row>
    <row r="4153" spans="1:9" x14ac:dyDescent="0.2">
      <c r="A4153" s="293" t="s">
        <v>9853</v>
      </c>
      <c r="B4153" s="293" t="s">
        <v>5666</v>
      </c>
      <c r="C4153" s="293" t="s">
        <v>6093</v>
      </c>
      <c r="D4153" s="293" t="s">
        <v>5878</v>
      </c>
      <c r="E4153" s="293" t="s">
        <v>6283</v>
      </c>
      <c r="F4153" s="293" t="s">
        <v>8171</v>
      </c>
      <c r="G4153" s="293" t="s">
        <v>5573</v>
      </c>
      <c r="H4153" s="294">
        <v>43769</v>
      </c>
      <c r="I4153" s="295">
        <v>-4451.78</v>
      </c>
    </row>
    <row r="4154" spans="1:9" x14ac:dyDescent="0.2">
      <c r="A4154" s="293" t="s">
        <v>9854</v>
      </c>
      <c r="B4154" s="293" t="s">
        <v>5666</v>
      </c>
      <c r="C4154" s="293" t="s">
        <v>6080</v>
      </c>
      <c r="D4154" s="293" t="s">
        <v>5878</v>
      </c>
      <c r="E4154" s="293" t="s">
        <v>6285</v>
      </c>
      <c r="F4154" s="293" t="s">
        <v>8171</v>
      </c>
      <c r="G4154" s="293" t="s">
        <v>5573</v>
      </c>
      <c r="H4154" s="294">
        <v>43769</v>
      </c>
      <c r="I4154" s="295">
        <v>-10077.08</v>
      </c>
    </row>
    <row r="4155" spans="1:9" x14ac:dyDescent="0.2">
      <c r="A4155" s="293" t="s">
        <v>9855</v>
      </c>
      <c r="B4155" s="293" t="s">
        <v>5666</v>
      </c>
      <c r="C4155" s="293" t="s">
        <v>6095</v>
      </c>
      <c r="D4155" s="293" t="s">
        <v>5878</v>
      </c>
      <c r="E4155" s="293" t="s">
        <v>6287</v>
      </c>
      <c r="F4155" s="293" t="s">
        <v>8171</v>
      </c>
      <c r="G4155" s="293" t="s">
        <v>5580</v>
      </c>
      <c r="H4155" s="294">
        <v>43769</v>
      </c>
      <c r="I4155" s="295">
        <v>-5589.54</v>
      </c>
    </row>
    <row r="4156" spans="1:9" x14ac:dyDescent="0.2">
      <c r="A4156" s="293" t="s">
        <v>9856</v>
      </c>
      <c r="B4156" s="293" t="s">
        <v>5666</v>
      </c>
      <c r="C4156" s="293" t="s">
        <v>6097</v>
      </c>
      <c r="D4156" s="293" t="s">
        <v>5878</v>
      </c>
      <c r="E4156" s="293" t="s">
        <v>6289</v>
      </c>
      <c r="F4156" s="293" t="s">
        <v>8171</v>
      </c>
      <c r="G4156" s="293" t="s">
        <v>5580</v>
      </c>
      <c r="H4156" s="294">
        <v>43769</v>
      </c>
      <c r="I4156" s="295">
        <v>-10099.59</v>
      </c>
    </row>
    <row r="4157" spans="1:9" x14ac:dyDescent="0.2">
      <c r="A4157" s="293" t="s">
        <v>9857</v>
      </c>
      <c r="B4157" s="293" t="s">
        <v>5666</v>
      </c>
      <c r="C4157" s="293" t="s">
        <v>6099</v>
      </c>
      <c r="D4157" s="293" t="s">
        <v>5878</v>
      </c>
      <c r="E4157" s="293" t="s">
        <v>6291</v>
      </c>
      <c r="F4157" s="293" t="s">
        <v>8171</v>
      </c>
      <c r="G4157" s="293" t="s">
        <v>5579</v>
      </c>
      <c r="H4157" s="294">
        <v>43769</v>
      </c>
      <c r="I4157" s="295">
        <v>-1407.23</v>
      </c>
    </row>
    <row r="4158" spans="1:9" x14ac:dyDescent="0.2">
      <c r="A4158" s="293" t="s">
        <v>9858</v>
      </c>
      <c r="B4158" s="293" t="s">
        <v>5666</v>
      </c>
      <c r="C4158" s="293" t="s">
        <v>6083</v>
      </c>
      <c r="D4158" s="293" t="s">
        <v>5878</v>
      </c>
      <c r="E4158" s="293" t="s">
        <v>6293</v>
      </c>
      <c r="F4158" s="293" t="s">
        <v>8171</v>
      </c>
      <c r="G4158" s="293" t="s">
        <v>5579</v>
      </c>
      <c r="H4158" s="294">
        <v>43769</v>
      </c>
      <c r="I4158" s="295">
        <v>-2524.9</v>
      </c>
    </row>
    <row r="4159" spans="1:9" x14ac:dyDescent="0.2">
      <c r="A4159" s="293" t="s">
        <v>9859</v>
      </c>
      <c r="B4159" s="293" t="s">
        <v>5666</v>
      </c>
      <c r="C4159" s="293" t="s">
        <v>6101</v>
      </c>
      <c r="D4159" s="293" t="s">
        <v>5878</v>
      </c>
      <c r="E4159" s="293" t="s">
        <v>6295</v>
      </c>
      <c r="F4159" s="293" t="s">
        <v>8171</v>
      </c>
      <c r="G4159" s="293" t="s">
        <v>5580</v>
      </c>
      <c r="H4159" s="294">
        <v>43769</v>
      </c>
      <c r="I4159" s="295">
        <v>-193.73</v>
      </c>
    </row>
    <row r="4160" spans="1:9" x14ac:dyDescent="0.2">
      <c r="A4160" s="293" t="s">
        <v>9860</v>
      </c>
      <c r="B4160" s="293" t="s">
        <v>5666</v>
      </c>
      <c r="C4160" s="293" t="s">
        <v>6104</v>
      </c>
      <c r="D4160" s="293" t="s">
        <v>5878</v>
      </c>
      <c r="E4160" s="293" t="s">
        <v>6297</v>
      </c>
      <c r="F4160" s="293" t="s">
        <v>8171</v>
      </c>
      <c r="G4160" s="293" t="s">
        <v>5580</v>
      </c>
      <c r="H4160" s="294">
        <v>43769</v>
      </c>
      <c r="I4160" s="295">
        <v>-274.12</v>
      </c>
    </row>
    <row r="4161" spans="1:9" x14ac:dyDescent="0.2">
      <c r="A4161" s="293" t="s">
        <v>9861</v>
      </c>
      <c r="B4161" s="293" t="s">
        <v>5666</v>
      </c>
      <c r="C4161" s="293" t="s">
        <v>6106</v>
      </c>
      <c r="D4161" s="293" t="s">
        <v>5878</v>
      </c>
      <c r="E4161" s="293" t="s">
        <v>6299</v>
      </c>
      <c r="F4161" s="293" t="s">
        <v>8171</v>
      </c>
      <c r="G4161" s="293" t="s">
        <v>5580</v>
      </c>
      <c r="H4161" s="294">
        <v>43769</v>
      </c>
      <c r="I4161" s="295">
        <v>-1347.95</v>
      </c>
    </row>
    <row r="4162" spans="1:9" x14ac:dyDescent="0.2">
      <c r="A4162" s="293" t="s">
        <v>9862</v>
      </c>
      <c r="B4162" s="293" t="s">
        <v>5666</v>
      </c>
      <c r="C4162" s="293" t="s">
        <v>6108</v>
      </c>
      <c r="D4162" s="293" t="s">
        <v>5878</v>
      </c>
      <c r="E4162" s="293" t="s">
        <v>6301</v>
      </c>
      <c r="F4162" s="293" t="s">
        <v>8171</v>
      </c>
      <c r="G4162" s="293" t="s">
        <v>5580</v>
      </c>
      <c r="H4162" s="294">
        <v>43769</v>
      </c>
      <c r="I4162" s="295">
        <v>-1918.86</v>
      </c>
    </row>
    <row r="4163" spans="1:9" x14ac:dyDescent="0.2">
      <c r="A4163" s="293" t="s">
        <v>9863</v>
      </c>
      <c r="B4163" s="293" t="s">
        <v>5666</v>
      </c>
      <c r="C4163" s="293" t="s">
        <v>6110</v>
      </c>
      <c r="D4163" s="293" t="s">
        <v>5878</v>
      </c>
      <c r="E4163" s="293" t="s">
        <v>6303</v>
      </c>
      <c r="F4163" s="293" t="s">
        <v>8171</v>
      </c>
      <c r="G4163" s="293" t="s">
        <v>5573</v>
      </c>
      <c r="H4163" s="294">
        <v>43769</v>
      </c>
      <c r="I4163" s="295">
        <v>-1780.13</v>
      </c>
    </row>
    <row r="4164" spans="1:9" x14ac:dyDescent="0.2">
      <c r="A4164" s="293" t="s">
        <v>9864</v>
      </c>
      <c r="B4164" s="293" t="s">
        <v>5666</v>
      </c>
      <c r="C4164" s="293" t="s">
        <v>6115</v>
      </c>
      <c r="D4164" s="293" t="s">
        <v>5878</v>
      </c>
      <c r="E4164" s="293" t="s">
        <v>6305</v>
      </c>
      <c r="F4164" s="293" t="s">
        <v>8171</v>
      </c>
      <c r="G4164" s="293" t="s">
        <v>5581</v>
      </c>
      <c r="H4164" s="294">
        <v>43769</v>
      </c>
      <c r="I4164" s="295">
        <v>-2230.71</v>
      </c>
    </row>
    <row r="4165" spans="1:9" x14ac:dyDescent="0.2">
      <c r="A4165" s="293" t="s">
        <v>9865</v>
      </c>
      <c r="B4165" s="293" t="s">
        <v>5666</v>
      </c>
      <c r="C4165" s="293" t="s">
        <v>6086</v>
      </c>
      <c r="D4165" s="293" t="s">
        <v>5878</v>
      </c>
      <c r="E4165" s="293" t="s">
        <v>6307</v>
      </c>
      <c r="F4165" s="293" t="s">
        <v>8171</v>
      </c>
      <c r="G4165" s="293" t="s">
        <v>5581</v>
      </c>
      <c r="H4165" s="294">
        <v>43769</v>
      </c>
      <c r="I4165" s="295">
        <v>-2490.34</v>
      </c>
    </row>
    <row r="4166" spans="1:9" x14ac:dyDescent="0.2">
      <c r="A4166" s="293" t="s">
        <v>9866</v>
      </c>
      <c r="B4166" s="293" t="s">
        <v>5666</v>
      </c>
      <c r="C4166" s="293" t="s">
        <v>6113</v>
      </c>
      <c r="D4166" s="293" t="s">
        <v>5878</v>
      </c>
      <c r="E4166" s="293" t="s">
        <v>6316</v>
      </c>
      <c r="F4166" s="293" t="s">
        <v>8171</v>
      </c>
      <c r="G4166" s="293" t="s">
        <v>5573</v>
      </c>
      <c r="H4166" s="294">
        <v>43769</v>
      </c>
      <c r="I4166" s="295">
        <v>-5336.81</v>
      </c>
    </row>
    <row r="4167" spans="1:9" x14ac:dyDescent="0.2">
      <c r="A4167" s="293" t="s">
        <v>9867</v>
      </c>
      <c r="B4167" s="293" t="s">
        <v>5666</v>
      </c>
      <c r="C4167" s="293" t="s">
        <v>6313</v>
      </c>
      <c r="D4167" s="293" t="s">
        <v>5878</v>
      </c>
      <c r="E4167" s="293" t="s">
        <v>6314</v>
      </c>
      <c r="F4167" s="293" t="s">
        <v>8171</v>
      </c>
      <c r="G4167" s="293" t="s">
        <v>5576</v>
      </c>
      <c r="H4167" s="294">
        <v>43769</v>
      </c>
      <c r="I4167" s="295">
        <v>-4207.3500000000004</v>
      </c>
    </row>
    <row r="4168" spans="1:9" x14ac:dyDescent="0.2">
      <c r="A4168" s="293" t="s">
        <v>9868</v>
      </c>
      <c r="B4168" s="293" t="s">
        <v>5666</v>
      </c>
      <c r="C4168" s="293" t="s">
        <v>6272</v>
      </c>
      <c r="D4168" s="293" t="s">
        <v>5878</v>
      </c>
      <c r="E4168" s="293" t="s">
        <v>6273</v>
      </c>
      <c r="F4168" s="293" t="s">
        <v>8188</v>
      </c>
      <c r="G4168" s="293" t="s">
        <v>5576</v>
      </c>
      <c r="H4168" s="294">
        <v>43799</v>
      </c>
      <c r="I4168" s="295">
        <v>-3340.78</v>
      </c>
    </row>
    <row r="4169" spans="1:9" x14ac:dyDescent="0.2">
      <c r="A4169" s="293" t="s">
        <v>9869</v>
      </c>
      <c r="B4169" s="293" t="s">
        <v>5666</v>
      </c>
      <c r="C4169" s="293" t="s">
        <v>6124</v>
      </c>
      <c r="D4169" s="293" t="s">
        <v>5878</v>
      </c>
      <c r="E4169" s="293" t="s">
        <v>6277</v>
      </c>
      <c r="F4169" s="293" t="s">
        <v>8188</v>
      </c>
      <c r="G4169" s="293" t="s">
        <v>5578</v>
      </c>
      <c r="H4169" s="294">
        <v>43799</v>
      </c>
      <c r="I4169" s="295">
        <v>-1019.33</v>
      </c>
    </row>
    <row r="4170" spans="1:9" x14ac:dyDescent="0.2">
      <c r="A4170" s="293" t="s">
        <v>9870</v>
      </c>
      <c r="B4170" s="293" t="s">
        <v>5666</v>
      </c>
      <c r="C4170" s="293" t="s">
        <v>6091</v>
      </c>
      <c r="D4170" s="293" t="s">
        <v>5878</v>
      </c>
      <c r="E4170" s="293" t="s">
        <v>6281</v>
      </c>
      <c r="F4170" s="293" t="s">
        <v>8188</v>
      </c>
      <c r="G4170" s="293" t="s">
        <v>5573</v>
      </c>
      <c r="H4170" s="294">
        <v>43799</v>
      </c>
      <c r="I4170" s="295">
        <v>-3125.47</v>
      </c>
    </row>
    <row r="4171" spans="1:9" x14ac:dyDescent="0.2">
      <c r="A4171" s="293" t="s">
        <v>9871</v>
      </c>
      <c r="B4171" s="293" t="s">
        <v>5666</v>
      </c>
      <c r="C4171" s="293" t="s">
        <v>6093</v>
      </c>
      <c r="D4171" s="293" t="s">
        <v>5878</v>
      </c>
      <c r="E4171" s="293" t="s">
        <v>6283</v>
      </c>
      <c r="F4171" s="293" t="s">
        <v>8188</v>
      </c>
      <c r="G4171" s="293" t="s">
        <v>5573</v>
      </c>
      <c r="H4171" s="294">
        <v>43799</v>
      </c>
      <c r="I4171" s="295">
        <v>-4451.78</v>
      </c>
    </row>
    <row r="4172" spans="1:9" x14ac:dyDescent="0.2">
      <c r="A4172" s="293" t="s">
        <v>9872</v>
      </c>
      <c r="B4172" s="293" t="s">
        <v>5666</v>
      </c>
      <c r="C4172" s="293" t="s">
        <v>6080</v>
      </c>
      <c r="D4172" s="293" t="s">
        <v>5878</v>
      </c>
      <c r="E4172" s="293" t="s">
        <v>6285</v>
      </c>
      <c r="F4172" s="293" t="s">
        <v>8188</v>
      </c>
      <c r="G4172" s="293" t="s">
        <v>5573</v>
      </c>
      <c r="H4172" s="294">
        <v>43799</v>
      </c>
      <c r="I4172" s="295">
        <v>-10077.08</v>
      </c>
    </row>
    <row r="4173" spans="1:9" x14ac:dyDescent="0.2">
      <c r="A4173" s="293" t="s">
        <v>9873</v>
      </c>
      <c r="B4173" s="293" t="s">
        <v>5666</v>
      </c>
      <c r="C4173" s="293" t="s">
        <v>6095</v>
      </c>
      <c r="D4173" s="293" t="s">
        <v>5878</v>
      </c>
      <c r="E4173" s="293" t="s">
        <v>6287</v>
      </c>
      <c r="F4173" s="293" t="s">
        <v>8188</v>
      </c>
      <c r="G4173" s="293" t="s">
        <v>5580</v>
      </c>
      <c r="H4173" s="294">
        <v>43799</v>
      </c>
      <c r="I4173" s="295">
        <v>-5589.54</v>
      </c>
    </row>
    <row r="4174" spans="1:9" x14ac:dyDescent="0.2">
      <c r="A4174" s="293" t="s">
        <v>9874</v>
      </c>
      <c r="B4174" s="293" t="s">
        <v>5666</v>
      </c>
      <c r="C4174" s="293" t="s">
        <v>6097</v>
      </c>
      <c r="D4174" s="293" t="s">
        <v>5878</v>
      </c>
      <c r="E4174" s="293" t="s">
        <v>6289</v>
      </c>
      <c r="F4174" s="293" t="s">
        <v>8188</v>
      </c>
      <c r="G4174" s="293" t="s">
        <v>5580</v>
      </c>
      <c r="H4174" s="294">
        <v>43799</v>
      </c>
      <c r="I4174" s="295">
        <v>-10099.59</v>
      </c>
    </row>
    <row r="4175" spans="1:9" x14ac:dyDescent="0.2">
      <c r="A4175" s="293" t="s">
        <v>9875</v>
      </c>
      <c r="B4175" s="293" t="s">
        <v>5666</v>
      </c>
      <c r="C4175" s="293" t="s">
        <v>6099</v>
      </c>
      <c r="D4175" s="293" t="s">
        <v>5878</v>
      </c>
      <c r="E4175" s="293" t="s">
        <v>6291</v>
      </c>
      <c r="F4175" s="293" t="s">
        <v>8188</v>
      </c>
      <c r="G4175" s="293" t="s">
        <v>5579</v>
      </c>
      <c r="H4175" s="294">
        <v>43799</v>
      </c>
      <c r="I4175" s="295">
        <v>-1407.23</v>
      </c>
    </row>
    <row r="4176" spans="1:9" x14ac:dyDescent="0.2">
      <c r="A4176" s="293" t="s">
        <v>9876</v>
      </c>
      <c r="B4176" s="293" t="s">
        <v>5666</v>
      </c>
      <c r="C4176" s="293" t="s">
        <v>6083</v>
      </c>
      <c r="D4176" s="293" t="s">
        <v>5878</v>
      </c>
      <c r="E4176" s="293" t="s">
        <v>6293</v>
      </c>
      <c r="F4176" s="293" t="s">
        <v>8188</v>
      </c>
      <c r="G4176" s="293" t="s">
        <v>5579</v>
      </c>
      <c r="H4176" s="294">
        <v>43799</v>
      </c>
      <c r="I4176" s="295">
        <v>-2524.9</v>
      </c>
    </row>
    <row r="4177" spans="1:9" x14ac:dyDescent="0.2">
      <c r="A4177" s="293" t="s">
        <v>9877</v>
      </c>
      <c r="B4177" s="293" t="s">
        <v>5666</v>
      </c>
      <c r="C4177" s="293" t="s">
        <v>6101</v>
      </c>
      <c r="D4177" s="293" t="s">
        <v>5878</v>
      </c>
      <c r="E4177" s="293" t="s">
        <v>6295</v>
      </c>
      <c r="F4177" s="293" t="s">
        <v>8188</v>
      </c>
      <c r="G4177" s="293" t="s">
        <v>5580</v>
      </c>
      <c r="H4177" s="294">
        <v>43799</v>
      </c>
      <c r="I4177" s="295">
        <v>-193.73</v>
      </c>
    </row>
    <row r="4178" spans="1:9" x14ac:dyDescent="0.2">
      <c r="A4178" s="293" t="s">
        <v>9878</v>
      </c>
      <c r="B4178" s="293" t="s">
        <v>5666</v>
      </c>
      <c r="C4178" s="293" t="s">
        <v>6104</v>
      </c>
      <c r="D4178" s="293" t="s">
        <v>5878</v>
      </c>
      <c r="E4178" s="293" t="s">
        <v>6297</v>
      </c>
      <c r="F4178" s="293" t="s">
        <v>8188</v>
      </c>
      <c r="G4178" s="293" t="s">
        <v>5580</v>
      </c>
      <c r="H4178" s="294">
        <v>43799</v>
      </c>
      <c r="I4178" s="295">
        <v>-274.12</v>
      </c>
    </row>
    <row r="4179" spans="1:9" x14ac:dyDescent="0.2">
      <c r="A4179" s="293" t="s">
        <v>9879</v>
      </c>
      <c r="B4179" s="293" t="s">
        <v>5666</v>
      </c>
      <c r="C4179" s="293" t="s">
        <v>6106</v>
      </c>
      <c r="D4179" s="293" t="s">
        <v>5878</v>
      </c>
      <c r="E4179" s="293" t="s">
        <v>6299</v>
      </c>
      <c r="F4179" s="293" t="s">
        <v>8188</v>
      </c>
      <c r="G4179" s="293" t="s">
        <v>5580</v>
      </c>
      <c r="H4179" s="294">
        <v>43799</v>
      </c>
      <c r="I4179" s="295">
        <v>-1347.95</v>
      </c>
    </row>
    <row r="4180" spans="1:9" x14ac:dyDescent="0.2">
      <c r="A4180" s="293" t="s">
        <v>9880</v>
      </c>
      <c r="B4180" s="293" t="s">
        <v>5666</v>
      </c>
      <c r="C4180" s="293" t="s">
        <v>6108</v>
      </c>
      <c r="D4180" s="293" t="s">
        <v>5878</v>
      </c>
      <c r="E4180" s="293" t="s">
        <v>6301</v>
      </c>
      <c r="F4180" s="293" t="s">
        <v>8188</v>
      </c>
      <c r="G4180" s="293" t="s">
        <v>5580</v>
      </c>
      <c r="H4180" s="294">
        <v>43799</v>
      </c>
      <c r="I4180" s="295">
        <v>-1918.86</v>
      </c>
    </row>
    <row r="4181" spans="1:9" x14ac:dyDescent="0.2">
      <c r="A4181" s="293" t="s">
        <v>9881</v>
      </c>
      <c r="B4181" s="293" t="s">
        <v>5666</v>
      </c>
      <c r="C4181" s="293" t="s">
        <v>6110</v>
      </c>
      <c r="D4181" s="293" t="s">
        <v>5878</v>
      </c>
      <c r="E4181" s="293" t="s">
        <v>6303</v>
      </c>
      <c r="F4181" s="293" t="s">
        <v>8188</v>
      </c>
      <c r="G4181" s="293" t="s">
        <v>5573</v>
      </c>
      <c r="H4181" s="294">
        <v>43799</v>
      </c>
      <c r="I4181" s="295">
        <v>-1780.13</v>
      </c>
    </row>
    <row r="4182" spans="1:9" x14ac:dyDescent="0.2">
      <c r="A4182" s="293" t="s">
        <v>9882</v>
      </c>
      <c r="B4182" s="293" t="s">
        <v>5666</v>
      </c>
      <c r="C4182" s="293" t="s">
        <v>6115</v>
      </c>
      <c r="D4182" s="293" t="s">
        <v>5878</v>
      </c>
      <c r="E4182" s="293" t="s">
        <v>6305</v>
      </c>
      <c r="F4182" s="293" t="s">
        <v>8188</v>
      </c>
      <c r="G4182" s="293" t="s">
        <v>5581</v>
      </c>
      <c r="H4182" s="294">
        <v>43799</v>
      </c>
      <c r="I4182" s="295">
        <v>-2230.71</v>
      </c>
    </row>
    <row r="4183" spans="1:9" x14ac:dyDescent="0.2">
      <c r="A4183" s="293" t="s">
        <v>9883</v>
      </c>
      <c r="B4183" s="293" t="s">
        <v>5666</v>
      </c>
      <c r="C4183" s="293" t="s">
        <v>6086</v>
      </c>
      <c r="D4183" s="293" t="s">
        <v>5878</v>
      </c>
      <c r="E4183" s="293" t="s">
        <v>6307</v>
      </c>
      <c r="F4183" s="293" t="s">
        <v>8188</v>
      </c>
      <c r="G4183" s="293" t="s">
        <v>5581</v>
      </c>
      <c r="H4183" s="294">
        <v>43799</v>
      </c>
      <c r="I4183" s="295">
        <v>-2490.34</v>
      </c>
    </row>
    <row r="4184" spans="1:9" x14ac:dyDescent="0.2">
      <c r="A4184" s="293" t="s">
        <v>9884</v>
      </c>
      <c r="B4184" s="293" t="s">
        <v>5666</v>
      </c>
      <c r="C4184" s="293" t="s">
        <v>6113</v>
      </c>
      <c r="D4184" s="293" t="s">
        <v>5878</v>
      </c>
      <c r="E4184" s="293" t="s">
        <v>6316</v>
      </c>
      <c r="F4184" s="293" t="s">
        <v>8188</v>
      </c>
      <c r="G4184" s="293" t="s">
        <v>5573</v>
      </c>
      <c r="H4184" s="294">
        <v>43799</v>
      </c>
      <c r="I4184" s="295">
        <v>-5336.81</v>
      </c>
    </row>
    <row r="4185" spans="1:9" x14ac:dyDescent="0.2">
      <c r="A4185" s="293" t="s">
        <v>9885</v>
      </c>
      <c r="B4185" s="293" t="s">
        <v>5666</v>
      </c>
      <c r="C4185" s="293" t="s">
        <v>6313</v>
      </c>
      <c r="D4185" s="293" t="s">
        <v>5878</v>
      </c>
      <c r="E4185" s="293" t="s">
        <v>6314</v>
      </c>
      <c r="F4185" s="293" t="s">
        <v>8188</v>
      </c>
      <c r="G4185" s="293" t="s">
        <v>5576</v>
      </c>
      <c r="H4185" s="294">
        <v>43799</v>
      </c>
      <c r="I4185" s="295">
        <v>-4207.3500000000004</v>
      </c>
    </row>
    <row r="4186" spans="1:9" x14ac:dyDescent="0.2">
      <c r="A4186" s="293" t="s">
        <v>9886</v>
      </c>
      <c r="B4186" s="293" t="s">
        <v>5666</v>
      </c>
      <c r="C4186" s="293" t="s">
        <v>6272</v>
      </c>
      <c r="D4186" s="293" t="s">
        <v>5878</v>
      </c>
      <c r="E4186" s="293" t="s">
        <v>6273</v>
      </c>
      <c r="F4186" s="293" t="s">
        <v>8204</v>
      </c>
      <c r="G4186" s="293" t="s">
        <v>5576</v>
      </c>
      <c r="H4186" s="294">
        <v>43830</v>
      </c>
      <c r="I4186" s="295">
        <v>-3340.78</v>
      </c>
    </row>
    <row r="4187" spans="1:9" x14ac:dyDescent="0.2">
      <c r="A4187" s="293" t="s">
        <v>9887</v>
      </c>
      <c r="B4187" s="293" t="s">
        <v>5666</v>
      </c>
      <c r="C4187" s="293" t="s">
        <v>6124</v>
      </c>
      <c r="D4187" s="293" t="s">
        <v>5878</v>
      </c>
      <c r="E4187" s="293" t="s">
        <v>6277</v>
      </c>
      <c r="F4187" s="293" t="s">
        <v>8204</v>
      </c>
      <c r="G4187" s="293" t="s">
        <v>5578</v>
      </c>
      <c r="H4187" s="294">
        <v>43830</v>
      </c>
      <c r="I4187" s="295">
        <v>-1019.33</v>
      </c>
    </row>
    <row r="4188" spans="1:9" x14ac:dyDescent="0.2">
      <c r="A4188" s="293" t="s">
        <v>9888</v>
      </c>
      <c r="B4188" s="293" t="s">
        <v>5666</v>
      </c>
      <c r="C4188" s="293" t="s">
        <v>6091</v>
      </c>
      <c r="D4188" s="293" t="s">
        <v>5878</v>
      </c>
      <c r="E4188" s="293" t="s">
        <v>6281</v>
      </c>
      <c r="F4188" s="293" t="s">
        <v>8204</v>
      </c>
      <c r="G4188" s="293" t="s">
        <v>5573</v>
      </c>
      <c r="H4188" s="294">
        <v>43830</v>
      </c>
      <c r="I4188" s="295">
        <v>-3125.47</v>
      </c>
    </row>
    <row r="4189" spans="1:9" x14ac:dyDescent="0.2">
      <c r="A4189" s="293" t="s">
        <v>9889</v>
      </c>
      <c r="B4189" s="293" t="s">
        <v>5666</v>
      </c>
      <c r="C4189" s="293" t="s">
        <v>6093</v>
      </c>
      <c r="D4189" s="293" t="s">
        <v>5878</v>
      </c>
      <c r="E4189" s="293" t="s">
        <v>6283</v>
      </c>
      <c r="F4189" s="293" t="s">
        <v>8204</v>
      </c>
      <c r="G4189" s="293" t="s">
        <v>5573</v>
      </c>
      <c r="H4189" s="294">
        <v>43830</v>
      </c>
      <c r="I4189" s="295">
        <v>-4451.78</v>
      </c>
    </row>
    <row r="4190" spans="1:9" x14ac:dyDescent="0.2">
      <c r="A4190" s="293" t="s">
        <v>9890</v>
      </c>
      <c r="B4190" s="293" t="s">
        <v>5666</v>
      </c>
      <c r="C4190" s="293" t="s">
        <v>6080</v>
      </c>
      <c r="D4190" s="293" t="s">
        <v>5878</v>
      </c>
      <c r="E4190" s="293" t="s">
        <v>6285</v>
      </c>
      <c r="F4190" s="293" t="s">
        <v>8204</v>
      </c>
      <c r="G4190" s="293" t="s">
        <v>5573</v>
      </c>
      <c r="H4190" s="294">
        <v>43830</v>
      </c>
      <c r="I4190" s="295">
        <v>-10077.08</v>
      </c>
    </row>
    <row r="4191" spans="1:9" x14ac:dyDescent="0.2">
      <c r="A4191" s="293" t="s">
        <v>9891</v>
      </c>
      <c r="B4191" s="293" t="s">
        <v>5666</v>
      </c>
      <c r="C4191" s="293" t="s">
        <v>6095</v>
      </c>
      <c r="D4191" s="293" t="s">
        <v>5878</v>
      </c>
      <c r="E4191" s="293" t="s">
        <v>6287</v>
      </c>
      <c r="F4191" s="293" t="s">
        <v>8204</v>
      </c>
      <c r="G4191" s="293" t="s">
        <v>5580</v>
      </c>
      <c r="H4191" s="294">
        <v>43830</v>
      </c>
      <c r="I4191" s="295">
        <v>-5589.54</v>
      </c>
    </row>
    <row r="4192" spans="1:9" x14ac:dyDescent="0.2">
      <c r="A4192" s="293" t="s">
        <v>9892</v>
      </c>
      <c r="B4192" s="293" t="s">
        <v>5666</v>
      </c>
      <c r="C4192" s="293" t="s">
        <v>6097</v>
      </c>
      <c r="D4192" s="293" t="s">
        <v>5878</v>
      </c>
      <c r="E4192" s="293" t="s">
        <v>6289</v>
      </c>
      <c r="F4192" s="293" t="s">
        <v>8204</v>
      </c>
      <c r="G4192" s="293" t="s">
        <v>5580</v>
      </c>
      <c r="H4192" s="294">
        <v>43830</v>
      </c>
      <c r="I4192" s="295">
        <v>-10099.59</v>
      </c>
    </row>
    <row r="4193" spans="1:9" x14ac:dyDescent="0.2">
      <c r="A4193" s="293" t="s">
        <v>9893</v>
      </c>
      <c r="B4193" s="293" t="s">
        <v>5666</v>
      </c>
      <c r="C4193" s="293" t="s">
        <v>6099</v>
      </c>
      <c r="D4193" s="293" t="s">
        <v>5878</v>
      </c>
      <c r="E4193" s="293" t="s">
        <v>6291</v>
      </c>
      <c r="F4193" s="293" t="s">
        <v>8204</v>
      </c>
      <c r="G4193" s="293" t="s">
        <v>5579</v>
      </c>
      <c r="H4193" s="294">
        <v>43830</v>
      </c>
      <c r="I4193" s="295">
        <v>-1407.23</v>
      </c>
    </row>
    <row r="4194" spans="1:9" x14ac:dyDescent="0.2">
      <c r="A4194" s="293" t="s">
        <v>9894</v>
      </c>
      <c r="B4194" s="293" t="s">
        <v>5666</v>
      </c>
      <c r="C4194" s="293" t="s">
        <v>6083</v>
      </c>
      <c r="D4194" s="293" t="s">
        <v>5878</v>
      </c>
      <c r="E4194" s="293" t="s">
        <v>6293</v>
      </c>
      <c r="F4194" s="293" t="s">
        <v>8204</v>
      </c>
      <c r="G4194" s="293" t="s">
        <v>5579</v>
      </c>
      <c r="H4194" s="294">
        <v>43830</v>
      </c>
      <c r="I4194" s="295">
        <v>-2524.9</v>
      </c>
    </row>
    <row r="4195" spans="1:9" x14ac:dyDescent="0.2">
      <c r="A4195" s="293" t="s">
        <v>9895</v>
      </c>
      <c r="B4195" s="293" t="s">
        <v>5666</v>
      </c>
      <c r="C4195" s="293" t="s">
        <v>6101</v>
      </c>
      <c r="D4195" s="293" t="s">
        <v>5878</v>
      </c>
      <c r="E4195" s="293" t="s">
        <v>6295</v>
      </c>
      <c r="F4195" s="293" t="s">
        <v>8204</v>
      </c>
      <c r="G4195" s="293" t="s">
        <v>5580</v>
      </c>
      <c r="H4195" s="294">
        <v>43830</v>
      </c>
      <c r="I4195" s="295">
        <v>-193.73</v>
      </c>
    </row>
    <row r="4196" spans="1:9" x14ac:dyDescent="0.2">
      <c r="A4196" s="293" t="s">
        <v>9896</v>
      </c>
      <c r="B4196" s="293" t="s">
        <v>5666</v>
      </c>
      <c r="C4196" s="293" t="s">
        <v>6104</v>
      </c>
      <c r="D4196" s="293" t="s">
        <v>5878</v>
      </c>
      <c r="E4196" s="293" t="s">
        <v>6297</v>
      </c>
      <c r="F4196" s="293" t="s">
        <v>8204</v>
      </c>
      <c r="G4196" s="293" t="s">
        <v>5580</v>
      </c>
      <c r="H4196" s="294">
        <v>43830</v>
      </c>
      <c r="I4196" s="295">
        <v>-274.12</v>
      </c>
    </row>
    <row r="4197" spans="1:9" x14ac:dyDescent="0.2">
      <c r="A4197" s="293" t="s">
        <v>9897</v>
      </c>
      <c r="B4197" s="293" t="s">
        <v>5666</v>
      </c>
      <c r="C4197" s="293" t="s">
        <v>6106</v>
      </c>
      <c r="D4197" s="293" t="s">
        <v>5878</v>
      </c>
      <c r="E4197" s="293" t="s">
        <v>6299</v>
      </c>
      <c r="F4197" s="293" t="s">
        <v>8204</v>
      </c>
      <c r="G4197" s="293" t="s">
        <v>5580</v>
      </c>
      <c r="H4197" s="294">
        <v>43830</v>
      </c>
      <c r="I4197" s="295">
        <v>-1347.95</v>
      </c>
    </row>
    <row r="4198" spans="1:9" x14ac:dyDescent="0.2">
      <c r="A4198" s="293" t="s">
        <v>9898</v>
      </c>
      <c r="B4198" s="293" t="s">
        <v>5666</v>
      </c>
      <c r="C4198" s="293" t="s">
        <v>6108</v>
      </c>
      <c r="D4198" s="293" t="s">
        <v>5878</v>
      </c>
      <c r="E4198" s="293" t="s">
        <v>6301</v>
      </c>
      <c r="F4198" s="293" t="s">
        <v>8204</v>
      </c>
      <c r="G4198" s="293" t="s">
        <v>5580</v>
      </c>
      <c r="H4198" s="294">
        <v>43830</v>
      </c>
      <c r="I4198" s="295">
        <v>-1918.86</v>
      </c>
    </row>
    <row r="4199" spans="1:9" x14ac:dyDescent="0.2">
      <c r="A4199" s="293" t="s">
        <v>9899</v>
      </c>
      <c r="B4199" s="293" t="s">
        <v>5666</v>
      </c>
      <c r="C4199" s="293" t="s">
        <v>6110</v>
      </c>
      <c r="D4199" s="293" t="s">
        <v>5878</v>
      </c>
      <c r="E4199" s="293" t="s">
        <v>6303</v>
      </c>
      <c r="F4199" s="293" t="s">
        <v>8204</v>
      </c>
      <c r="G4199" s="293" t="s">
        <v>5573</v>
      </c>
      <c r="H4199" s="294">
        <v>43830</v>
      </c>
      <c r="I4199" s="295">
        <v>-1780.13</v>
      </c>
    </row>
    <row r="4200" spans="1:9" x14ac:dyDescent="0.2">
      <c r="A4200" s="293" t="s">
        <v>9900</v>
      </c>
      <c r="B4200" s="293" t="s">
        <v>5666</v>
      </c>
      <c r="C4200" s="293" t="s">
        <v>6115</v>
      </c>
      <c r="D4200" s="293" t="s">
        <v>5878</v>
      </c>
      <c r="E4200" s="293" t="s">
        <v>6305</v>
      </c>
      <c r="F4200" s="293" t="s">
        <v>8204</v>
      </c>
      <c r="G4200" s="293" t="s">
        <v>5581</v>
      </c>
      <c r="H4200" s="294">
        <v>43830</v>
      </c>
      <c r="I4200" s="295">
        <v>-2230.71</v>
      </c>
    </row>
    <row r="4201" spans="1:9" x14ac:dyDescent="0.2">
      <c r="A4201" s="293" t="s">
        <v>9901</v>
      </c>
      <c r="B4201" s="293" t="s">
        <v>5666</v>
      </c>
      <c r="C4201" s="293" t="s">
        <v>6086</v>
      </c>
      <c r="D4201" s="293" t="s">
        <v>5878</v>
      </c>
      <c r="E4201" s="293" t="s">
        <v>6307</v>
      </c>
      <c r="F4201" s="293" t="s">
        <v>8204</v>
      </c>
      <c r="G4201" s="293" t="s">
        <v>5581</v>
      </c>
      <c r="H4201" s="294">
        <v>43830</v>
      </c>
      <c r="I4201" s="295">
        <v>-2490.34</v>
      </c>
    </row>
    <row r="4202" spans="1:9" x14ac:dyDescent="0.2">
      <c r="A4202" s="293" t="s">
        <v>9902</v>
      </c>
      <c r="B4202" s="293" t="s">
        <v>5666</v>
      </c>
      <c r="C4202" s="293" t="s">
        <v>6113</v>
      </c>
      <c r="D4202" s="293" t="s">
        <v>5878</v>
      </c>
      <c r="E4202" s="293" t="s">
        <v>6316</v>
      </c>
      <c r="F4202" s="293" t="s">
        <v>8204</v>
      </c>
      <c r="G4202" s="293" t="s">
        <v>5573</v>
      </c>
      <c r="H4202" s="294">
        <v>43830</v>
      </c>
      <c r="I4202" s="295">
        <v>-5336.81</v>
      </c>
    </row>
    <row r="4203" spans="1:9" x14ac:dyDescent="0.2">
      <c r="A4203" s="293" t="s">
        <v>9903</v>
      </c>
      <c r="B4203" s="293" t="s">
        <v>5666</v>
      </c>
      <c r="C4203" s="293" t="s">
        <v>6313</v>
      </c>
      <c r="D4203" s="293" t="s">
        <v>5878</v>
      </c>
      <c r="E4203" s="293" t="s">
        <v>6314</v>
      </c>
      <c r="F4203" s="293" t="s">
        <v>8204</v>
      </c>
      <c r="G4203" s="293" t="s">
        <v>5576</v>
      </c>
      <c r="H4203" s="294">
        <v>43830</v>
      </c>
      <c r="I4203" s="295">
        <v>-4207.3500000000004</v>
      </c>
    </row>
    <row r="4204" spans="1:9" x14ac:dyDescent="0.2">
      <c r="A4204" s="293" t="s">
        <v>5772</v>
      </c>
      <c r="B4204" s="293" t="s">
        <v>5632</v>
      </c>
      <c r="C4204" s="293" t="s">
        <v>5773</v>
      </c>
      <c r="D4204" s="293" t="s">
        <v>5878</v>
      </c>
      <c r="E4204" s="293" t="s">
        <v>5886</v>
      </c>
      <c r="F4204" s="293" t="s">
        <v>688</v>
      </c>
      <c r="G4204" s="293" t="s">
        <v>5580</v>
      </c>
      <c r="H4204" s="294">
        <v>40543</v>
      </c>
      <c r="I4204" s="295">
        <v>32715.75</v>
      </c>
    </row>
    <row r="4205" spans="1:9" x14ac:dyDescent="0.2">
      <c r="A4205" s="293" t="s">
        <v>5777</v>
      </c>
      <c r="B4205" s="293" t="s">
        <v>5632</v>
      </c>
      <c r="C4205" s="293" t="s">
        <v>5773</v>
      </c>
      <c r="D4205" s="293" t="s">
        <v>5878</v>
      </c>
      <c r="E4205" s="293" t="s">
        <v>5886</v>
      </c>
      <c r="F4205" s="293" t="s">
        <v>688</v>
      </c>
      <c r="G4205" s="293" t="s">
        <v>5580</v>
      </c>
      <c r="H4205" s="294">
        <v>40543</v>
      </c>
      <c r="I4205" s="295">
        <v>32715.75</v>
      </c>
    </row>
    <row r="4206" spans="1:9" x14ac:dyDescent="0.2">
      <c r="A4206" s="293" t="s">
        <v>5778</v>
      </c>
      <c r="B4206" s="293" t="s">
        <v>5632</v>
      </c>
      <c r="C4206" s="293" t="s">
        <v>5773</v>
      </c>
      <c r="D4206" s="293" t="s">
        <v>5878</v>
      </c>
      <c r="E4206" s="293" t="s">
        <v>5886</v>
      </c>
      <c r="F4206" s="293" t="s">
        <v>688</v>
      </c>
      <c r="G4206" s="293" t="s">
        <v>5580</v>
      </c>
      <c r="H4206" s="294">
        <v>40543</v>
      </c>
      <c r="I4206" s="295">
        <v>-32715.75</v>
      </c>
    </row>
    <row r="4207" spans="1:9" x14ac:dyDescent="0.2">
      <c r="A4207" s="293" t="s">
        <v>5779</v>
      </c>
      <c r="B4207" s="293" t="s">
        <v>5632</v>
      </c>
      <c r="C4207" s="293" t="s">
        <v>5780</v>
      </c>
      <c r="D4207" s="293" t="s">
        <v>5878</v>
      </c>
      <c r="E4207" s="293" t="s">
        <v>5935</v>
      </c>
      <c r="F4207" s="293" t="s">
        <v>688</v>
      </c>
      <c r="G4207" s="293" t="s">
        <v>5580</v>
      </c>
      <c r="H4207" s="294">
        <v>40574</v>
      </c>
      <c r="I4207" s="295">
        <v>-4669.07</v>
      </c>
    </row>
    <row r="4208" spans="1:9" x14ac:dyDescent="0.2">
      <c r="A4208" s="293" t="s">
        <v>5782</v>
      </c>
      <c r="B4208" s="293" t="s">
        <v>5632</v>
      </c>
      <c r="C4208" s="293" t="s">
        <v>5783</v>
      </c>
      <c r="D4208" s="293" t="s">
        <v>5878</v>
      </c>
      <c r="E4208" s="293" t="s">
        <v>5935</v>
      </c>
      <c r="F4208" s="293" t="s">
        <v>688</v>
      </c>
      <c r="G4208" s="293" t="s">
        <v>5580</v>
      </c>
      <c r="H4208" s="294">
        <v>40602</v>
      </c>
      <c r="I4208" s="295">
        <v>-4669.07</v>
      </c>
    </row>
    <row r="4209" spans="1:9" x14ac:dyDescent="0.2">
      <c r="A4209" s="293" t="s">
        <v>5784</v>
      </c>
      <c r="B4209" s="293" t="s">
        <v>5632</v>
      </c>
      <c r="C4209" s="293" t="s">
        <v>5785</v>
      </c>
      <c r="D4209" s="293" t="s">
        <v>5878</v>
      </c>
      <c r="E4209" s="293" t="s">
        <v>5935</v>
      </c>
      <c r="F4209" s="293" t="s">
        <v>688</v>
      </c>
      <c r="G4209" s="293" t="s">
        <v>5580</v>
      </c>
      <c r="H4209" s="294">
        <v>40633</v>
      </c>
      <c r="I4209" s="295">
        <v>-4669.07</v>
      </c>
    </row>
    <row r="4210" spans="1:9" x14ac:dyDescent="0.2">
      <c r="A4210" s="293" t="s">
        <v>5786</v>
      </c>
      <c r="B4210" s="293" t="s">
        <v>5632</v>
      </c>
      <c r="C4210" s="293" t="s">
        <v>5787</v>
      </c>
      <c r="D4210" s="293" t="s">
        <v>5878</v>
      </c>
      <c r="E4210" s="293" t="s">
        <v>5935</v>
      </c>
      <c r="F4210" s="293" t="s">
        <v>688</v>
      </c>
      <c r="G4210" s="293" t="s">
        <v>5580</v>
      </c>
      <c r="H4210" s="294">
        <v>40663</v>
      </c>
      <c r="I4210" s="295">
        <v>-4669.07</v>
      </c>
    </row>
    <row r="4211" spans="1:9" x14ac:dyDescent="0.2">
      <c r="A4211" s="293" t="s">
        <v>5788</v>
      </c>
      <c r="B4211" s="293" t="s">
        <v>5632</v>
      </c>
      <c r="C4211" s="293" t="s">
        <v>5789</v>
      </c>
      <c r="D4211" s="293" t="s">
        <v>5878</v>
      </c>
      <c r="E4211" s="293" t="s">
        <v>5935</v>
      </c>
      <c r="F4211" s="293" t="s">
        <v>688</v>
      </c>
      <c r="G4211" s="293" t="s">
        <v>5580</v>
      </c>
      <c r="H4211" s="294">
        <v>40694</v>
      </c>
      <c r="I4211" s="295">
        <v>-4669.07</v>
      </c>
    </row>
    <row r="4212" spans="1:9" x14ac:dyDescent="0.2">
      <c r="A4212" s="293" t="s">
        <v>5790</v>
      </c>
      <c r="B4212" s="293" t="s">
        <v>5632</v>
      </c>
      <c r="C4212" s="293" t="s">
        <v>5791</v>
      </c>
      <c r="D4212" s="293" t="s">
        <v>5878</v>
      </c>
      <c r="E4212" s="293" t="s">
        <v>5935</v>
      </c>
      <c r="F4212" s="293" t="s">
        <v>688</v>
      </c>
      <c r="G4212" s="293" t="s">
        <v>5580</v>
      </c>
      <c r="H4212" s="294">
        <v>40724</v>
      </c>
      <c r="I4212" s="295">
        <v>-4669.07</v>
      </c>
    </row>
    <row r="4213" spans="1:9" x14ac:dyDescent="0.2">
      <c r="A4213" s="293" t="s">
        <v>5792</v>
      </c>
      <c r="B4213" s="293" t="s">
        <v>5632</v>
      </c>
      <c r="C4213" s="293" t="s">
        <v>5793</v>
      </c>
      <c r="D4213" s="293" t="s">
        <v>5878</v>
      </c>
      <c r="E4213" s="293" t="s">
        <v>5935</v>
      </c>
      <c r="F4213" s="293" t="s">
        <v>688</v>
      </c>
      <c r="G4213" s="293" t="s">
        <v>5580</v>
      </c>
      <c r="H4213" s="294">
        <v>40755</v>
      </c>
      <c r="I4213" s="295">
        <v>-4701.33</v>
      </c>
    </row>
    <row r="4214" spans="1:9" x14ac:dyDescent="0.2">
      <c r="A4214" s="293" t="s">
        <v>5772</v>
      </c>
      <c r="B4214" s="293" t="s">
        <v>5632</v>
      </c>
      <c r="C4214" s="293" t="s">
        <v>5773</v>
      </c>
      <c r="D4214" s="293" t="s">
        <v>5878</v>
      </c>
      <c r="E4214" s="293" t="s">
        <v>5887</v>
      </c>
      <c r="F4214" s="293" t="s">
        <v>5888</v>
      </c>
      <c r="G4214" s="293" t="s">
        <v>5581</v>
      </c>
      <c r="H4214" s="294">
        <v>40543</v>
      </c>
      <c r="I4214" s="295">
        <v>681424</v>
      </c>
    </row>
    <row r="4215" spans="1:9" x14ac:dyDescent="0.2">
      <c r="A4215" s="293" t="s">
        <v>5777</v>
      </c>
      <c r="B4215" s="293" t="s">
        <v>5632</v>
      </c>
      <c r="C4215" s="293" t="s">
        <v>5773</v>
      </c>
      <c r="D4215" s="293" t="s">
        <v>5878</v>
      </c>
      <c r="E4215" s="293" t="s">
        <v>5887</v>
      </c>
      <c r="F4215" s="293" t="s">
        <v>5888</v>
      </c>
      <c r="G4215" s="293" t="s">
        <v>5581</v>
      </c>
      <c r="H4215" s="294">
        <v>40543</v>
      </c>
      <c r="I4215" s="295">
        <v>681424</v>
      </c>
    </row>
    <row r="4216" spans="1:9" x14ac:dyDescent="0.2">
      <c r="A4216" s="293" t="s">
        <v>5778</v>
      </c>
      <c r="B4216" s="293" t="s">
        <v>5632</v>
      </c>
      <c r="C4216" s="293" t="s">
        <v>5773</v>
      </c>
      <c r="D4216" s="293" t="s">
        <v>5878</v>
      </c>
      <c r="E4216" s="293" t="s">
        <v>5887</v>
      </c>
      <c r="F4216" s="293" t="s">
        <v>5888</v>
      </c>
      <c r="G4216" s="293" t="s">
        <v>5581</v>
      </c>
      <c r="H4216" s="294">
        <v>40543</v>
      </c>
      <c r="I4216" s="295">
        <v>-681424</v>
      </c>
    </row>
    <row r="4217" spans="1:9" x14ac:dyDescent="0.2">
      <c r="A4217" s="293" t="s">
        <v>5779</v>
      </c>
      <c r="B4217" s="293" t="s">
        <v>5632</v>
      </c>
      <c r="C4217" s="293" t="s">
        <v>5780</v>
      </c>
      <c r="D4217" s="293" t="s">
        <v>5878</v>
      </c>
      <c r="E4217" s="293" t="s">
        <v>5936</v>
      </c>
      <c r="F4217" s="293" t="s">
        <v>5888</v>
      </c>
      <c r="G4217" s="293" t="s">
        <v>5581</v>
      </c>
      <c r="H4217" s="294">
        <v>40574</v>
      </c>
      <c r="I4217" s="295">
        <v>-19372</v>
      </c>
    </row>
    <row r="4218" spans="1:9" x14ac:dyDescent="0.2">
      <c r="A4218" s="293" t="s">
        <v>5782</v>
      </c>
      <c r="B4218" s="293" t="s">
        <v>5632</v>
      </c>
      <c r="C4218" s="293" t="s">
        <v>5783</v>
      </c>
      <c r="D4218" s="293" t="s">
        <v>5878</v>
      </c>
      <c r="E4218" s="293" t="s">
        <v>5936</v>
      </c>
      <c r="F4218" s="293" t="s">
        <v>5888</v>
      </c>
      <c r="G4218" s="293" t="s">
        <v>5581</v>
      </c>
      <c r="H4218" s="294">
        <v>40602</v>
      </c>
      <c r="I4218" s="295">
        <v>-18392</v>
      </c>
    </row>
    <row r="4219" spans="1:9" x14ac:dyDescent="0.2">
      <c r="A4219" s="293" t="s">
        <v>5784</v>
      </c>
      <c r="B4219" s="293" t="s">
        <v>5632</v>
      </c>
      <c r="C4219" s="293" t="s">
        <v>5785</v>
      </c>
      <c r="D4219" s="293" t="s">
        <v>5878</v>
      </c>
      <c r="E4219" s="293" t="s">
        <v>5936</v>
      </c>
      <c r="F4219" s="293" t="s">
        <v>5888</v>
      </c>
      <c r="G4219" s="293" t="s">
        <v>5581</v>
      </c>
      <c r="H4219" s="294">
        <v>40633</v>
      </c>
      <c r="I4219" s="295">
        <v>-18392</v>
      </c>
    </row>
    <row r="4220" spans="1:9" x14ac:dyDescent="0.2">
      <c r="A4220" s="293" t="s">
        <v>5786</v>
      </c>
      <c r="B4220" s="293" t="s">
        <v>5632</v>
      </c>
      <c r="C4220" s="293" t="s">
        <v>5787</v>
      </c>
      <c r="D4220" s="293" t="s">
        <v>5878</v>
      </c>
      <c r="E4220" s="293" t="s">
        <v>5936</v>
      </c>
      <c r="F4220" s="293" t="s">
        <v>5888</v>
      </c>
      <c r="G4220" s="293" t="s">
        <v>5581</v>
      </c>
      <c r="H4220" s="294">
        <v>40663</v>
      </c>
      <c r="I4220" s="295">
        <v>-18392</v>
      </c>
    </row>
    <row r="4221" spans="1:9" x14ac:dyDescent="0.2">
      <c r="A4221" s="293" t="s">
        <v>5788</v>
      </c>
      <c r="B4221" s="293" t="s">
        <v>5632</v>
      </c>
      <c r="C4221" s="293" t="s">
        <v>5789</v>
      </c>
      <c r="D4221" s="293" t="s">
        <v>5878</v>
      </c>
      <c r="E4221" s="293" t="s">
        <v>5936</v>
      </c>
      <c r="F4221" s="293" t="s">
        <v>5888</v>
      </c>
      <c r="G4221" s="293" t="s">
        <v>5581</v>
      </c>
      <c r="H4221" s="294">
        <v>40694</v>
      </c>
      <c r="I4221" s="295">
        <v>-18392</v>
      </c>
    </row>
    <row r="4222" spans="1:9" x14ac:dyDescent="0.2">
      <c r="A4222" s="293" t="s">
        <v>5790</v>
      </c>
      <c r="B4222" s="293" t="s">
        <v>5632</v>
      </c>
      <c r="C4222" s="293" t="s">
        <v>5791</v>
      </c>
      <c r="D4222" s="293" t="s">
        <v>5878</v>
      </c>
      <c r="E4222" s="293" t="s">
        <v>5936</v>
      </c>
      <c r="F4222" s="293" t="s">
        <v>5888</v>
      </c>
      <c r="G4222" s="293" t="s">
        <v>5581</v>
      </c>
      <c r="H4222" s="294">
        <v>40724</v>
      </c>
      <c r="I4222" s="295">
        <v>-18392</v>
      </c>
    </row>
    <row r="4223" spans="1:9" x14ac:dyDescent="0.2">
      <c r="A4223" s="293" t="s">
        <v>5792</v>
      </c>
      <c r="B4223" s="293" t="s">
        <v>5632</v>
      </c>
      <c r="C4223" s="293" t="s">
        <v>5793</v>
      </c>
      <c r="D4223" s="293" t="s">
        <v>5878</v>
      </c>
      <c r="E4223" s="293" t="s">
        <v>5936</v>
      </c>
      <c r="F4223" s="293" t="s">
        <v>5888</v>
      </c>
      <c r="G4223" s="293" t="s">
        <v>5581</v>
      </c>
      <c r="H4223" s="294">
        <v>40755</v>
      </c>
      <c r="I4223" s="295">
        <v>-18392</v>
      </c>
    </row>
    <row r="4224" spans="1:9" x14ac:dyDescent="0.2">
      <c r="A4224" s="293" t="s">
        <v>5794</v>
      </c>
      <c r="B4224" s="293" t="s">
        <v>5632</v>
      </c>
      <c r="C4224" s="293" t="s">
        <v>5795</v>
      </c>
      <c r="D4224" s="293" t="s">
        <v>5878</v>
      </c>
      <c r="E4224" s="293" t="s">
        <v>5936</v>
      </c>
      <c r="F4224" s="293" t="s">
        <v>5888</v>
      </c>
      <c r="G4224" s="293" t="s">
        <v>5581</v>
      </c>
      <c r="H4224" s="294">
        <v>40786</v>
      </c>
      <c r="I4224" s="295">
        <v>-18392</v>
      </c>
    </row>
    <row r="4225" spans="1:9" x14ac:dyDescent="0.2">
      <c r="A4225" s="293" t="s">
        <v>5796</v>
      </c>
      <c r="B4225" s="293" t="s">
        <v>5632</v>
      </c>
      <c r="C4225" s="293" t="s">
        <v>5797</v>
      </c>
      <c r="D4225" s="293" t="s">
        <v>5878</v>
      </c>
      <c r="E4225" s="293" t="s">
        <v>5936</v>
      </c>
      <c r="F4225" s="293" t="s">
        <v>5888</v>
      </c>
      <c r="G4225" s="293" t="s">
        <v>5581</v>
      </c>
      <c r="H4225" s="294">
        <v>40816</v>
      </c>
      <c r="I4225" s="295">
        <v>-18392</v>
      </c>
    </row>
    <row r="4226" spans="1:9" x14ac:dyDescent="0.2">
      <c r="A4226" s="293" t="s">
        <v>5798</v>
      </c>
      <c r="B4226" s="293" t="s">
        <v>5632</v>
      </c>
      <c r="C4226" s="293" t="s">
        <v>5799</v>
      </c>
      <c r="D4226" s="293" t="s">
        <v>5878</v>
      </c>
      <c r="E4226" s="293" t="s">
        <v>5936</v>
      </c>
      <c r="F4226" s="293" t="s">
        <v>5888</v>
      </c>
      <c r="G4226" s="293" t="s">
        <v>5581</v>
      </c>
      <c r="H4226" s="294">
        <v>40847</v>
      </c>
      <c r="I4226" s="295">
        <v>-18392</v>
      </c>
    </row>
    <row r="4227" spans="1:9" x14ac:dyDescent="0.2">
      <c r="A4227" s="293" t="s">
        <v>5800</v>
      </c>
      <c r="B4227" s="293" t="s">
        <v>5632</v>
      </c>
      <c r="C4227" s="293" t="s">
        <v>5801</v>
      </c>
      <c r="D4227" s="293" t="s">
        <v>5878</v>
      </c>
      <c r="E4227" s="293" t="s">
        <v>5936</v>
      </c>
      <c r="F4227" s="293" t="s">
        <v>5888</v>
      </c>
      <c r="G4227" s="293" t="s">
        <v>5581</v>
      </c>
      <c r="H4227" s="294">
        <v>40877</v>
      </c>
      <c r="I4227" s="295">
        <v>-18392</v>
      </c>
    </row>
    <row r="4228" spans="1:9" x14ac:dyDescent="0.2">
      <c r="A4228" s="293" t="s">
        <v>5802</v>
      </c>
      <c r="B4228" s="293" t="s">
        <v>5632</v>
      </c>
      <c r="C4228" s="293" t="s">
        <v>5803</v>
      </c>
      <c r="D4228" s="293" t="s">
        <v>5878</v>
      </c>
      <c r="E4228" s="293" t="s">
        <v>5936</v>
      </c>
      <c r="F4228" s="293" t="s">
        <v>5888</v>
      </c>
      <c r="G4228" s="293" t="s">
        <v>5581</v>
      </c>
      <c r="H4228" s="294">
        <v>40908</v>
      </c>
      <c r="I4228" s="295">
        <v>-18392</v>
      </c>
    </row>
    <row r="4229" spans="1:9" x14ac:dyDescent="0.2">
      <c r="A4229" s="293" t="s">
        <v>5631</v>
      </c>
      <c r="B4229" s="293" t="s">
        <v>5632</v>
      </c>
      <c r="C4229" s="293" t="s">
        <v>5633</v>
      </c>
      <c r="D4229" s="293" t="s">
        <v>5878</v>
      </c>
      <c r="E4229" s="293" t="s">
        <v>5936</v>
      </c>
      <c r="F4229" s="293" t="s">
        <v>5888</v>
      </c>
      <c r="G4229" s="293" t="s">
        <v>5581</v>
      </c>
      <c r="H4229" s="294">
        <v>40939</v>
      </c>
      <c r="I4229" s="295">
        <v>-18392</v>
      </c>
    </row>
    <row r="4230" spans="1:9" x14ac:dyDescent="0.2">
      <c r="A4230" s="293" t="s">
        <v>5651</v>
      </c>
      <c r="B4230" s="293" t="s">
        <v>5632</v>
      </c>
      <c r="C4230" s="293" t="s">
        <v>5652</v>
      </c>
      <c r="D4230" s="293" t="s">
        <v>5878</v>
      </c>
      <c r="E4230" s="293" t="s">
        <v>5936</v>
      </c>
      <c r="F4230" s="293" t="s">
        <v>5888</v>
      </c>
      <c r="G4230" s="293" t="s">
        <v>5581</v>
      </c>
      <c r="H4230" s="294">
        <v>40968</v>
      </c>
      <c r="I4230" s="295">
        <v>-18392</v>
      </c>
    </row>
    <row r="4231" spans="1:9" x14ac:dyDescent="0.2">
      <c r="A4231" s="293" t="s">
        <v>5804</v>
      </c>
      <c r="B4231" s="293" t="s">
        <v>5632</v>
      </c>
      <c r="C4231" s="293" t="s">
        <v>5656</v>
      </c>
      <c r="D4231" s="293" t="s">
        <v>5878</v>
      </c>
      <c r="E4231" s="293" t="s">
        <v>5936</v>
      </c>
      <c r="F4231" s="293" t="s">
        <v>5888</v>
      </c>
      <c r="G4231" s="293" t="s">
        <v>5581</v>
      </c>
      <c r="H4231" s="294">
        <v>40999</v>
      </c>
      <c r="I4231" s="295">
        <v>-18392</v>
      </c>
    </row>
    <row r="4232" spans="1:9" x14ac:dyDescent="0.2">
      <c r="A4232" s="293" t="s">
        <v>5805</v>
      </c>
      <c r="B4232" s="293" t="s">
        <v>5632</v>
      </c>
      <c r="C4232" s="293" t="s">
        <v>5659</v>
      </c>
      <c r="D4232" s="293" t="s">
        <v>5878</v>
      </c>
      <c r="E4232" s="293" t="s">
        <v>5936</v>
      </c>
      <c r="F4232" s="293" t="s">
        <v>5888</v>
      </c>
      <c r="G4232" s="293" t="s">
        <v>5581</v>
      </c>
      <c r="H4232" s="294">
        <v>41029</v>
      </c>
      <c r="I4232" s="295">
        <v>-18392</v>
      </c>
    </row>
    <row r="4233" spans="1:9" x14ac:dyDescent="0.2">
      <c r="A4233" s="293" t="s">
        <v>5661</v>
      </c>
      <c r="B4233" s="293" t="s">
        <v>5632</v>
      </c>
      <c r="C4233" s="293" t="s">
        <v>5662</v>
      </c>
      <c r="D4233" s="293" t="s">
        <v>5878</v>
      </c>
      <c r="E4233" s="293" t="s">
        <v>5936</v>
      </c>
      <c r="F4233" s="293" t="s">
        <v>5888</v>
      </c>
      <c r="G4233" s="293" t="s">
        <v>5581</v>
      </c>
      <c r="H4233" s="294">
        <v>41060</v>
      </c>
      <c r="I4233" s="295">
        <v>-18392</v>
      </c>
    </row>
    <row r="4234" spans="1:9" x14ac:dyDescent="0.2">
      <c r="A4234" s="293" t="s">
        <v>5808</v>
      </c>
      <c r="B4234" s="293" t="s">
        <v>5632</v>
      </c>
      <c r="C4234" s="293" t="s">
        <v>5670</v>
      </c>
      <c r="D4234" s="293" t="s">
        <v>5878</v>
      </c>
      <c r="E4234" s="293" t="s">
        <v>5936</v>
      </c>
      <c r="F4234" s="293" t="s">
        <v>5888</v>
      </c>
      <c r="G4234" s="293" t="s">
        <v>5581</v>
      </c>
      <c r="H4234" s="294">
        <v>41090</v>
      </c>
      <c r="I4234" s="295">
        <v>-18392</v>
      </c>
    </row>
    <row r="4235" spans="1:9" x14ac:dyDescent="0.2">
      <c r="A4235" s="293" t="s">
        <v>5809</v>
      </c>
      <c r="B4235" s="293" t="s">
        <v>5632</v>
      </c>
      <c r="C4235" s="293" t="s">
        <v>5670</v>
      </c>
      <c r="D4235" s="293" t="s">
        <v>5878</v>
      </c>
      <c r="E4235" s="293" t="s">
        <v>5936</v>
      </c>
      <c r="F4235" s="293" t="s">
        <v>5888</v>
      </c>
      <c r="G4235" s="293" t="s">
        <v>5581</v>
      </c>
      <c r="H4235" s="294">
        <v>41090</v>
      </c>
      <c r="I4235" s="295">
        <v>18392</v>
      </c>
    </row>
    <row r="4236" spans="1:9" x14ac:dyDescent="0.2">
      <c r="A4236" s="293" t="s">
        <v>5810</v>
      </c>
      <c r="B4236" s="293" t="s">
        <v>5632</v>
      </c>
      <c r="C4236" s="293" t="s">
        <v>5670</v>
      </c>
      <c r="D4236" s="293" t="s">
        <v>5878</v>
      </c>
      <c r="E4236" s="293" t="s">
        <v>5936</v>
      </c>
      <c r="F4236" s="293" t="s">
        <v>5888</v>
      </c>
      <c r="G4236" s="293" t="s">
        <v>5581</v>
      </c>
      <c r="H4236" s="294">
        <v>41090</v>
      </c>
      <c r="I4236" s="295">
        <v>-18392</v>
      </c>
    </row>
    <row r="4237" spans="1:9" x14ac:dyDescent="0.2">
      <c r="A4237" s="293" t="s">
        <v>5772</v>
      </c>
      <c r="B4237" s="293" t="s">
        <v>5632</v>
      </c>
      <c r="C4237" s="293" t="s">
        <v>5773</v>
      </c>
      <c r="D4237" s="293" t="s">
        <v>5878</v>
      </c>
      <c r="E4237" s="293" t="s">
        <v>5889</v>
      </c>
      <c r="F4237" s="293" t="s">
        <v>690</v>
      </c>
      <c r="G4237" s="293" t="s">
        <v>5580</v>
      </c>
      <c r="H4237" s="294">
        <v>40543</v>
      </c>
      <c r="I4237" s="295">
        <v>448544.45</v>
      </c>
    </row>
    <row r="4238" spans="1:9" x14ac:dyDescent="0.2">
      <c r="A4238" s="293" t="s">
        <v>5777</v>
      </c>
      <c r="B4238" s="293" t="s">
        <v>5632</v>
      </c>
      <c r="C4238" s="293" t="s">
        <v>5773</v>
      </c>
      <c r="D4238" s="293" t="s">
        <v>5878</v>
      </c>
      <c r="E4238" s="293" t="s">
        <v>5889</v>
      </c>
      <c r="F4238" s="293" t="s">
        <v>690</v>
      </c>
      <c r="G4238" s="293" t="s">
        <v>5580</v>
      </c>
      <c r="H4238" s="294">
        <v>40543</v>
      </c>
      <c r="I4238" s="295">
        <v>448544.45</v>
      </c>
    </row>
    <row r="4239" spans="1:9" x14ac:dyDescent="0.2">
      <c r="A4239" s="293" t="s">
        <v>5778</v>
      </c>
      <c r="B4239" s="293" t="s">
        <v>5632</v>
      </c>
      <c r="C4239" s="293" t="s">
        <v>5773</v>
      </c>
      <c r="D4239" s="293" t="s">
        <v>5878</v>
      </c>
      <c r="E4239" s="293" t="s">
        <v>5889</v>
      </c>
      <c r="F4239" s="293" t="s">
        <v>690</v>
      </c>
      <c r="G4239" s="293" t="s">
        <v>5580</v>
      </c>
      <c r="H4239" s="294">
        <v>40543</v>
      </c>
      <c r="I4239" s="295">
        <v>-448544.45</v>
      </c>
    </row>
    <row r="4240" spans="1:9" x14ac:dyDescent="0.2">
      <c r="A4240" s="293" t="s">
        <v>5779</v>
      </c>
      <c r="B4240" s="293" t="s">
        <v>5632</v>
      </c>
      <c r="C4240" s="293" t="s">
        <v>5780</v>
      </c>
      <c r="D4240" s="293" t="s">
        <v>5878</v>
      </c>
      <c r="E4240" s="293" t="s">
        <v>5937</v>
      </c>
      <c r="F4240" s="293" t="s">
        <v>690</v>
      </c>
      <c r="G4240" s="293" t="s">
        <v>5580</v>
      </c>
      <c r="H4240" s="294">
        <v>40574</v>
      </c>
      <c r="I4240" s="295">
        <v>-29021.919999999998</v>
      </c>
    </row>
    <row r="4241" spans="1:9" x14ac:dyDescent="0.2">
      <c r="A4241" s="293" t="s">
        <v>5782</v>
      </c>
      <c r="B4241" s="293" t="s">
        <v>5632</v>
      </c>
      <c r="C4241" s="293" t="s">
        <v>5783</v>
      </c>
      <c r="D4241" s="293" t="s">
        <v>5878</v>
      </c>
      <c r="E4241" s="293" t="s">
        <v>5937</v>
      </c>
      <c r="F4241" s="293" t="s">
        <v>690</v>
      </c>
      <c r="G4241" s="293" t="s">
        <v>5580</v>
      </c>
      <c r="H4241" s="294">
        <v>40602</v>
      </c>
      <c r="I4241" s="295">
        <v>-29021.919999999998</v>
      </c>
    </row>
    <row r="4242" spans="1:9" x14ac:dyDescent="0.2">
      <c r="A4242" s="293" t="s">
        <v>5784</v>
      </c>
      <c r="B4242" s="293" t="s">
        <v>5632</v>
      </c>
      <c r="C4242" s="293" t="s">
        <v>5785</v>
      </c>
      <c r="D4242" s="293" t="s">
        <v>5878</v>
      </c>
      <c r="E4242" s="293" t="s">
        <v>5937</v>
      </c>
      <c r="F4242" s="293" t="s">
        <v>690</v>
      </c>
      <c r="G4242" s="293" t="s">
        <v>5580</v>
      </c>
      <c r="H4242" s="294">
        <v>40633</v>
      </c>
      <c r="I4242" s="295">
        <v>-29021.919999999998</v>
      </c>
    </row>
    <row r="4243" spans="1:9" x14ac:dyDescent="0.2">
      <c r="A4243" s="293" t="s">
        <v>5786</v>
      </c>
      <c r="B4243" s="293" t="s">
        <v>5632</v>
      </c>
      <c r="C4243" s="293" t="s">
        <v>5787</v>
      </c>
      <c r="D4243" s="293" t="s">
        <v>5878</v>
      </c>
      <c r="E4243" s="293" t="s">
        <v>5937</v>
      </c>
      <c r="F4243" s="293" t="s">
        <v>690</v>
      </c>
      <c r="G4243" s="293" t="s">
        <v>5580</v>
      </c>
      <c r="H4243" s="294">
        <v>40663</v>
      </c>
      <c r="I4243" s="295">
        <v>-29021.919999999998</v>
      </c>
    </row>
    <row r="4244" spans="1:9" x14ac:dyDescent="0.2">
      <c r="A4244" s="293" t="s">
        <v>5788</v>
      </c>
      <c r="B4244" s="293" t="s">
        <v>5632</v>
      </c>
      <c r="C4244" s="293" t="s">
        <v>5789</v>
      </c>
      <c r="D4244" s="293" t="s">
        <v>5878</v>
      </c>
      <c r="E4244" s="293" t="s">
        <v>5937</v>
      </c>
      <c r="F4244" s="293" t="s">
        <v>690</v>
      </c>
      <c r="G4244" s="293" t="s">
        <v>5580</v>
      </c>
      <c r="H4244" s="294">
        <v>40694</v>
      </c>
      <c r="I4244" s="295">
        <v>-27704.81</v>
      </c>
    </row>
    <row r="4245" spans="1:9" x14ac:dyDescent="0.2">
      <c r="A4245" s="293" t="s">
        <v>5790</v>
      </c>
      <c r="B4245" s="293" t="s">
        <v>5632</v>
      </c>
      <c r="C4245" s="293" t="s">
        <v>5791</v>
      </c>
      <c r="D4245" s="293" t="s">
        <v>5878</v>
      </c>
      <c r="E4245" s="293" t="s">
        <v>5937</v>
      </c>
      <c r="F4245" s="293" t="s">
        <v>690</v>
      </c>
      <c r="G4245" s="293" t="s">
        <v>5580</v>
      </c>
      <c r="H4245" s="294">
        <v>40724</v>
      </c>
      <c r="I4245" s="295">
        <v>-27704.81</v>
      </c>
    </row>
    <row r="4246" spans="1:9" x14ac:dyDescent="0.2">
      <c r="A4246" s="293" t="s">
        <v>5792</v>
      </c>
      <c r="B4246" s="293" t="s">
        <v>5632</v>
      </c>
      <c r="C4246" s="293" t="s">
        <v>5793</v>
      </c>
      <c r="D4246" s="293" t="s">
        <v>5878</v>
      </c>
      <c r="E4246" s="293" t="s">
        <v>5937</v>
      </c>
      <c r="F4246" s="293" t="s">
        <v>690</v>
      </c>
      <c r="G4246" s="293" t="s">
        <v>5580</v>
      </c>
      <c r="H4246" s="294">
        <v>40755</v>
      </c>
      <c r="I4246" s="295">
        <v>-27704.81</v>
      </c>
    </row>
    <row r="4247" spans="1:9" x14ac:dyDescent="0.2">
      <c r="A4247" s="293" t="s">
        <v>5794</v>
      </c>
      <c r="B4247" s="293" t="s">
        <v>5632</v>
      </c>
      <c r="C4247" s="293" t="s">
        <v>5795</v>
      </c>
      <c r="D4247" s="293" t="s">
        <v>5878</v>
      </c>
      <c r="E4247" s="293" t="s">
        <v>5937</v>
      </c>
      <c r="F4247" s="293" t="s">
        <v>690</v>
      </c>
      <c r="G4247" s="293" t="s">
        <v>5580</v>
      </c>
      <c r="H4247" s="294">
        <v>40786</v>
      </c>
      <c r="I4247" s="295">
        <v>-27704.81</v>
      </c>
    </row>
    <row r="4248" spans="1:9" x14ac:dyDescent="0.2">
      <c r="A4248" s="293" t="s">
        <v>5796</v>
      </c>
      <c r="B4248" s="293" t="s">
        <v>5632</v>
      </c>
      <c r="C4248" s="293" t="s">
        <v>5797</v>
      </c>
      <c r="D4248" s="293" t="s">
        <v>5878</v>
      </c>
      <c r="E4248" s="293" t="s">
        <v>5937</v>
      </c>
      <c r="F4248" s="293" t="s">
        <v>690</v>
      </c>
      <c r="G4248" s="293" t="s">
        <v>5580</v>
      </c>
      <c r="H4248" s="294">
        <v>40816</v>
      </c>
      <c r="I4248" s="295">
        <v>-27704.81</v>
      </c>
    </row>
    <row r="4249" spans="1:9" x14ac:dyDescent="0.2">
      <c r="A4249" s="293" t="s">
        <v>5798</v>
      </c>
      <c r="B4249" s="293" t="s">
        <v>5632</v>
      </c>
      <c r="C4249" s="293" t="s">
        <v>5799</v>
      </c>
      <c r="D4249" s="293" t="s">
        <v>5878</v>
      </c>
      <c r="E4249" s="293" t="s">
        <v>5937</v>
      </c>
      <c r="F4249" s="293" t="s">
        <v>690</v>
      </c>
      <c r="G4249" s="293" t="s">
        <v>5580</v>
      </c>
      <c r="H4249" s="294">
        <v>40847</v>
      </c>
      <c r="I4249" s="295">
        <v>-27704.81</v>
      </c>
    </row>
    <row r="4250" spans="1:9" x14ac:dyDescent="0.2">
      <c r="A4250" s="293" t="s">
        <v>5800</v>
      </c>
      <c r="B4250" s="293" t="s">
        <v>5632</v>
      </c>
      <c r="C4250" s="293" t="s">
        <v>5801</v>
      </c>
      <c r="D4250" s="293" t="s">
        <v>5878</v>
      </c>
      <c r="E4250" s="293" t="s">
        <v>5937</v>
      </c>
      <c r="F4250" s="293" t="s">
        <v>690</v>
      </c>
      <c r="G4250" s="293" t="s">
        <v>5580</v>
      </c>
      <c r="H4250" s="294">
        <v>40877</v>
      </c>
      <c r="I4250" s="295">
        <v>-27704.81</v>
      </c>
    </row>
    <row r="4251" spans="1:9" x14ac:dyDescent="0.2">
      <c r="A4251" s="293" t="s">
        <v>5802</v>
      </c>
      <c r="B4251" s="293" t="s">
        <v>5632</v>
      </c>
      <c r="C4251" s="293" t="s">
        <v>5803</v>
      </c>
      <c r="D4251" s="293" t="s">
        <v>5878</v>
      </c>
      <c r="E4251" s="293" t="s">
        <v>5937</v>
      </c>
      <c r="F4251" s="293" t="s">
        <v>690</v>
      </c>
      <c r="G4251" s="293" t="s">
        <v>5580</v>
      </c>
      <c r="H4251" s="294">
        <v>40908</v>
      </c>
      <c r="I4251" s="295">
        <v>-27704.81</v>
      </c>
    </row>
    <row r="4252" spans="1:9" x14ac:dyDescent="0.2">
      <c r="A4252" s="293" t="s">
        <v>5631</v>
      </c>
      <c r="B4252" s="293" t="s">
        <v>5632</v>
      </c>
      <c r="C4252" s="293" t="s">
        <v>5633</v>
      </c>
      <c r="D4252" s="293" t="s">
        <v>5878</v>
      </c>
      <c r="E4252" s="293" t="s">
        <v>5937</v>
      </c>
      <c r="F4252" s="293" t="s">
        <v>690</v>
      </c>
      <c r="G4252" s="293" t="s">
        <v>5580</v>
      </c>
      <c r="H4252" s="294">
        <v>40939</v>
      </c>
      <c r="I4252" s="295">
        <v>-27704.81</v>
      </c>
    </row>
    <row r="4253" spans="1:9" x14ac:dyDescent="0.2">
      <c r="A4253" s="293" t="s">
        <v>5651</v>
      </c>
      <c r="B4253" s="293" t="s">
        <v>5632</v>
      </c>
      <c r="C4253" s="293" t="s">
        <v>5652</v>
      </c>
      <c r="D4253" s="293" t="s">
        <v>5878</v>
      </c>
      <c r="E4253" s="293" t="s">
        <v>5937</v>
      </c>
      <c r="F4253" s="293" t="s">
        <v>690</v>
      </c>
      <c r="G4253" s="293" t="s">
        <v>5580</v>
      </c>
      <c r="H4253" s="294">
        <v>40968</v>
      </c>
      <c r="I4253" s="295">
        <v>-27704.81</v>
      </c>
    </row>
    <row r="4254" spans="1:9" x14ac:dyDescent="0.2">
      <c r="A4254" s="293" t="s">
        <v>5804</v>
      </c>
      <c r="B4254" s="293" t="s">
        <v>5632</v>
      </c>
      <c r="C4254" s="293" t="s">
        <v>5656</v>
      </c>
      <c r="D4254" s="293" t="s">
        <v>5878</v>
      </c>
      <c r="E4254" s="293" t="s">
        <v>5937</v>
      </c>
      <c r="F4254" s="293" t="s">
        <v>690</v>
      </c>
      <c r="G4254" s="293" t="s">
        <v>5580</v>
      </c>
      <c r="H4254" s="294">
        <v>40999</v>
      </c>
      <c r="I4254" s="295">
        <v>-27704.81</v>
      </c>
    </row>
    <row r="4255" spans="1:9" x14ac:dyDescent="0.2">
      <c r="A4255" s="293" t="s">
        <v>5805</v>
      </c>
      <c r="B4255" s="293" t="s">
        <v>5632</v>
      </c>
      <c r="C4255" s="293" t="s">
        <v>5659</v>
      </c>
      <c r="D4255" s="293" t="s">
        <v>5878</v>
      </c>
      <c r="E4255" s="293" t="s">
        <v>5937</v>
      </c>
      <c r="F4255" s="293" t="s">
        <v>690</v>
      </c>
      <c r="G4255" s="293" t="s">
        <v>5580</v>
      </c>
      <c r="H4255" s="294">
        <v>41029</v>
      </c>
      <c r="I4255" s="295">
        <v>-27703.86</v>
      </c>
    </row>
    <row r="4256" spans="1:9" x14ac:dyDescent="0.2">
      <c r="A4256" s="293" t="s">
        <v>5772</v>
      </c>
      <c r="B4256" s="293" t="s">
        <v>5632</v>
      </c>
      <c r="C4256" s="293" t="s">
        <v>5773</v>
      </c>
      <c r="D4256" s="293" t="s">
        <v>5878</v>
      </c>
      <c r="E4256" s="293" t="s">
        <v>5890</v>
      </c>
      <c r="F4256" s="293" t="s">
        <v>5891</v>
      </c>
      <c r="G4256" s="293" t="s">
        <v>5580</v>
      </c>
      <c r="H4256" s="294">
        <v>40543</v>
      </c>
      <c r="I4256" s="295">
        <v>10817379.369999999</v>
      </c>
    </row>
    <row r="4257" spans="1:9" x14ac:dyDescent="0.2">
      <c r="A4257" s="293" t="s">
        <v>5772</v>
      </c>
      <c r="B4257" s="293" t="s">
        <v>5632</v>
      </c>
      <c r="C4257" s="293" t="s">
        <v>5773</v>
      </c>
      <c r="D4257" s="293" t="s">
        <v>5878</v>
      </c>
      <c r="E4257" s="293" t="s">
        <v>5892</v>
      </c>
      <c r="F4257" s="293" t="s">
        <v>5891</v>
      </c>
      <c r="G4257" s="293" t="s">
        <v>5580</v>
      </c>
      <c r="H4257" s="294">
        <v>40543</v>
      </c>
      <c r="I4257" s="295">
        <v>-10817379.369999999</v>
      </c>
    </row>
    <row r="4258" spans="1:9" x14ac:dyDescent="0.2">
      <c r="A4258" s="293" t="s">
        <v>5777</v>
      </c>
      <c r="B4258" s="293" t="s">
        <v>5632</v>
      </c>
      <c r="C4258" s="293" t="s">
        <v>5773</v>
      </c>
      <c r="D4258" s="293" t="s">
        <v>5878</v>
      </c>
      <c r="E4258" s="293" t="s">
        <v>5890</v>
      </c>
      <c r="F4258" s="293" t="s">
        <v>5891</v>
      </c>
      <c r="G4258" s="293" t="s">
        <v>5580</v>
      </c>
      <c r="H4258" s="294">
        <v>40543</v>
      </c>
      <c r="I4258" s="295">
        <v>10817379.369999999</v>
      </c>
    </row>
    <row r="4259" spans="1:9" x14ac:dyDescent="0.2">
      <c r="A4259" s="293" t="s">
        <v>5777</v>
      </c>
      <c r="B4259" s="293" t="s">
        <v>5632</v>
      </c>
      <c r="C4259" s="293" t="s">
        <v>5773</v>
      </c>
      <c r="D4259" s="293" t="s">
        <v>5878</v>
      </c>
      <c r="E4259" s="293" t="s">
        <v>5892</v>
      </c>
      <c r="F4259" s="293" t="s">
        <v>5891</v>
      </c>
      <c r="G4259" s="293" t="s">
        <v>5580</v>
      </c>
      <c r="H4259" s="294">
        <v>40543</v>
      </c>
      <c r="I4259" s="295">
        <v>-10817379.369999999</v>
      </c>
    </row>
    <row r="4260" spans="1:9" x14ac:dyDescent="0.2">
      <c r="A4260" s="293" t="s">
        <v>5778</v>
      </c>
      <c r="B4260" s="293" t="s">
        <v>5632</v>
      </c>
      <c r="C4260" s="293" t="s">
        <v>5773</v>
      </c>
      <c r="D4260" s="293" t="s">
        <v>5878</v>
      </c>
      <c r="E4260" s="293" t="s">
        <v>5890</v>
      </c>
      <c r="F4260" s="293" t="s">
        <v>5891</v>
      </c>
      <c r="G4260" s="293" t="s">
        <v>5580</v>
      </c>
      <c r="H4260" s="294">
        <v>40543</v>
      </c>
      <c r="I4260" s="295">
        <v>-10817379.369999999</v>
      </c>
    </row>
    <row r="4261" spans="1:9" x14ac:dyDescent="0.2">
      <c r="A4261" s="293" t="s">
        <v>5778</v>
      </c>
      <c r="B4261" s="293" t="s">
        <v>5632</v>
      </c>
      <c r="C4261" s="293" t="s">
        <v>5773</v>
      </c>
      <c r="D4261" s="293" t="s">
        <v>5878</v>
      </c>
      <c r="E4261" s="293" t="s">
        <v>5892</v>
      </c>
      <c r="F4261" s="293" t="s">
        <v>5891</v>
      </c>
      <c r="G4261" s="293" t="s">
        <v>5580</v>
      </c>
      <c r="H4261" s="294">
        <v>40543</v>
      </c>
      <c r="I4261" s="295">
        <v>10817379.369999999</v>
      </c>
    </row>
    <row r="4262" spans="1:9" x14ac:dyDescent="0.2">
      <c r="A4262" s="293" t="s">
        <v>5779</v>
      </c>
      <c r="B4262" s="293" t="s">
        <v>5632</v>
      </c>
      <c r="C4262" s="293" t="s">
        <v>5780</v>
      </c>
      <c r="D4262" s="293" t="s">
        <v>5878</v>
      </c>
      <c r="E4262" s="293" t="s">
        <v>5938</v>
      </c>
      <c r="F4262" s="293" t="s">
        <v>5891</v>
      </c>
      <c r="G4262" s="293" t="s">
        <v>5580</v>
      </c>
      <c r="H4262" s="294">
        <v>40574</v>
      </c>
      <c r="I4262" s="295">
        <v>-310476.33</v>
      </c>
    </row>
    <row r="4263" spans="1:9" x14ac:dyDescent="0.2">
      <c r="A4263" s="293" t="s">
        <v>5779</v>
      </c>
      <c r="B4263" s="293" t="s">
        <v>5632</v>
      </c>
      <c r="C4263" s="293" t="s">
        <v>5780</v>
      </c>
      <c r="D4263" s="293" t="s">
        <v>5878</v>
      </c>
      <c r="E4263" s="293" t="s">
        <v>5939</v>
      </c>
      <c r="F4263" s="293" t="s">
        <v>5891</v>
      </c>
      <c r="G4263" s="293" t="s">
        <v>5580</v>
      </c>
      <c r="H4263" s="294">
        <v>40574</v>
      </c>
      <c r="I4263" s="295">
        <v>310476.33</v>
      </c>
    </row>
    <row r="4264" spans="1:9" x14ac:dyDescent="0.2">
      <c r="A4264" s="293" t="s">
        <v>5782</v>
      </c>
      <c r="B4264" s="293" t="s">
        <v>5632</v>
      </c>
      <c r="C4264" s="293" t="s">
        <v>5783</v>
      </c>
      <c r="D4264" s="293" t="s">
        <v>5878</v>
      </c>
      <c r="E4264" s="293" t="s">
        <v>5938</v>
      </c>
      <c r="F4264" s="293" t="s">
        <v>5891</v>
      </c>
      <c r="G4264" s="293" t="s">
        <v>5580</v>
      </c>
      <c r="H4264" s="294">
        <v>40602</v>
      </c>
      <c r="I4264" s="295">
        <v>-310476.33</v>
      </c>
    </row>
    <row r="4265" spans="1:9" x14ac:dyDescent="0.2">
      <c r="A4265" s="293" t="s">
        <v>5782</v>
      </c>
      <c r="B4265" s="293" t="s">
        <v>5632</v>
      </c>
      <c r="C4265" s="293" t="s">
        <v>5783</v>
      </c>
      <c r="D4265" s="293" t="s">
        <v>5878</v>
      </c>
      <c r="E4265" s="293" t="s">
        <v>5939</v>
      </c>
      <c r="F4265" s="293" t="s">
        <v>5891</v>
      </c>
      <c r="G4265" s="293" t="s">
        <v>5580</v>
      </c>
      <c r="H4265" s="294">
        <v>40602</v>
      </c>
      <c r="I4265" s="295">
        <v>310476.33</v>
      </c>
    </row>
    <row r="4266" spans="1:9" x14ac:dyDescent="0.2">
      <c r="A4266" s="293" t="s">
        <v>5784</v>
      </c>
      <c r="B4266" s="293" t="s">
        <v>5632</v>
      </c>
      <c r="C4266" s="293" t="s">
        <v>5785</v>
      </c>
      <c r="D4266" s="293" t="s">
        <v>5878</v>
      </c>
      <c r="E4266" s="293" t="s">
        <v>5938</v>
      </c>
      <c r="F4266" s="293" t="s">
        <v>5891</v>
      </c>
      <c r="G4266" s="293" t="s">
        <v>5580</v>
      </c>
      <c r="H4266" s="294">
        <v>40633</v>
      </c>
      <c r="I4266" s="295">
        <v>-310476.33</v>
      </c>
    </row>
    <row r="4267" spans="1:9" x14ac:dyDescent="0.2">
      <c r="A4267" s="293" t="s">
        <v>5784</v>
      </c>
      <c r="B4267" s="293" t="s">
        <v>5632</v>
      </c>
      <c r="C4267" s="293" t="s">
        <v>5785</v>
      </c>
      <c r="D4267" s="293" t="s">
        <v>5878</v>
      </c>
      <c r="E4267" s="293" t="s">
        <v>5939</v>
      </c>
      <c r="F4267" s="293" t="s">
        <v>5891</v>
      </c>
      <c r="G4267" s="293" t="s">
        <v>5580</v>
      </c>
      <c r="H4267" s="294">
        <v>40633</v>
      </c>
      <c r="I4267" s="295">
        <v>310476.33</v>
      </c>
    </row>
    <row r="4268" spans="1:9" x14ac:dyDescent="0.2">
      <c r="A4268" s="293" t="s">
        <v>5786</v>
      </c>
      <c r="B4268" s="293" t="s">
        <v>5632</v>
      </c>
      <c r="C4268" s="293" t="s">
        <v>5787</v>
      </c>
      <c r="D4268" s="293" t="s">
        <v>5878</v>
      </c>
      <c r="E4268" s="293" t="s">
        <v>5938</v>
      </c>
      <c r="F4268" s="293" t="s">
        <v>5891</v>
      </c>
      <c r="G4268" s="293" t="s">
        <v>5580</v>
      </c>
      <c r="H4268" s="294">
        <v>40663</v>
      </c>
      <c r="I4268" s="295">
        <v>-310488.09000000003</v>
      </c>
    </row>
    <row r="4269" spans="1:9" x14ac:dyDescent="0.2">
      <c r="A4269" s="293" t="s">
        <v>5786</v>
      </c>
      <c r="B4269" s="293" t="s">
        <v>5632</v>
      </c>
      <c r="C4269" s="293" t="s">
        <v>5787</v>
      </c>
      <c r="D4269" s="293" t="s">
        <v>5878</v>
      </c>
      <c r="E4269" s="293" t="s">
        <v>5939</v>
      </c>
      <c r="F4269" s="293" t="s">
        <v>5891</v>
      </c>
      <c r="G4269" s="293" t="s">
        <v>5580</v>
      </c>
      <c r="H4269" s="294">
        <v>40663</v>
      </c>
      <c r="I4269" s="295">
        <v>310488.09000000003</v>
      </c>
    </row>
    <row r="4270" spans="1:9" x14ac:dyDescent="0.2">
      <c r="A4270" s="293" t="s">
        <v>5788</v>
      </c>
      <c r="B4270" s="293" t="s">
        <v>5632</v>
      </c>
      <c r="C4270" s="293" t="s">
        <v>5789</v>
      </c>
      <c r="D4270" s="293" t="s">
        <v>5878</v>
      </c>
      <c r="E4270" s="293" t="s">
        <v>5938</v>
      </c>
      <c r="F4270" s="293" t="s">
        <v>5891</v>
      </c>
      <c r="G4270" s="293" t="s">
        <v>5580</v>
      </c>
      <c r="H4270" s="294">
        <v>40694</v>
      </c>
      <c r="I4270" s="295">
        <v>-271572.65000000002</v>
      </c>
    </row>
    <row r="4271" spans="1:9" x14ac:dyDescent="0.2">
      <c r="A4271" s="293" t="s">
        <v>5788</v>
      </c>
      <c r="B4271" s="293" t="s">
        <v>5632</v>
      </c>
      <c r="C4271" s="293" t="s">
        <v>5789</v>
      </c>
      <c r="D4271" s="293" t="s">
        <v>5878</v>
      </c>
      <c r="E4271" s="293" t="s">
        <v>5939</v>
      </c>
      <c r="F4271" s="293" t="s">
        <v>5891</v>
      </c>
      <c r="G4271" s="293" t="s">
        <v>5580</v>
      </c>
      <c r="H4271" s="294">
        <v>40694</v>
      </c>
      <c r="I4271" s="295">
        <v>271572.65000000002</v>
      </c>
    </row>
    <row r="4272" spans="1:9" x14ac:dyDescent="0.2">
      <c r="A4272" s="293" t="s">
        <v>5790</v>
      </c>
      <c r="B4272" s="293" t="s">
        <v>5632</v>
      </c>
      <c r="C4272" s="293" t="s">
        <v>5791</v>
      </c>
      <c r="D4272" s="293" t="s">
        <v>5878</v>
      </c>
      <c r="E4272" s="293" t="s">
        <v>5938</v>
      </c>
      <c r="F4272" s="293" t="s">
        <v>5891</v>
      </c>
      <c r="G4272" s="293" t="s">
        <v>5580</v>
      </c>
      <c r="H4272" s="294">
        <v>40724</v>
      </c>
      <c r="I4272" s="295">
        <v>-270372.88</v>
      </c>
    </row>
    <row r="4273" spans="1:9" x14ac:dyDescent="0.2">
      <c r="A4273" s="293" t="s">
        <v>5790</v>
      </c>
      <c r="B4273" s="293" t="s">
        <v>5632</v>
      </c>
      <c r="C4273" s="293" t="s">
        <v>5791</v>
      </c>
      <c r="D4273" s="293" t="s">
        <v>5878</v>
      </c>
      <c r="E4273" s="293" t="s">
        <v>5939</v>
      </c>
      <c r="F4273" s="293" t="s">
        <v>5891</v>
      </c>
      <c r="G4273" s="293" t="s">
        <v>5580</v>
      </c>
      <c r="H4273" s="294">
        <v>40724</v>
      </c>
      <c r="I4273" s="295">
        <v>270372.88</v>
      </c>
    </row>
    <row r="4274" spans="1:9" x14ac:dyDescent="0.2">
      <c r="A4274" s="293" t="s">
        <v>5792</v>
      </c>
      <c r="B4274" s="293" t="s">
        <v>5632</v>
      </c>
      <c r="C4274" s="293" t="s">
        <v>5793</v>
      </c>
      <c r="D4274" s="293" t="s">
        <v>5878</v>
      </c>
      <c r="E4274" s="293" t="s">
        <v>5938</v>
      </c>
      <c r="F4274" s="293" t="s">
        <v>5891</v>
      </c>
      <c r="G4274" s="293" t="s">
        <v>5580</v>
      </c>
      <c r="H4274" s="294">
        <v>40755</v>
      </c>
      <c r="I4274" s="295">
        <v>-265575.02</v>
      </c>
    </row>
    <row r="4275" spans="1:9" x14ac:dyDescent="0.2">
      <c r="A4275" s="293" t="s">
        <v>5792</v>
      </c>
      <c r="B4275" s="293" t="s">
        <v>5632</v>
      </c>
      <c r="C4275" s="293" t="s">
        <v>5793</v>
      </c>
      <c r="D4275" s="293" t="s">
        <v>5878</v>
      </c>
      <c r="E4275" s="293" t="s">
        <v>5939</v>
      </c>
      <c r="F4275" s="293" t="s">
        <v>5891</v>
      </c>
      <c r="G4275" s="293" t="s">
        <v>5580</v>
      </c>
      <c r="H4275" s="294">
        <v>40755</v>
      </c>
      <c r="I4275" s="295">
        <v>265575.02</v>
      </c>
    </row>
    <row r="4276" spans="1:9" x14ac:dyDescent="0.2">
      <c r="A4276" s="293" t="s">
        <v>5794</v>
      </c>
      <c r="B4276" s="293" t="s">
        <v>5632</v>
      </c>
      <c r="C4276" s="293" t="s">
        <v>5795</v>
      </c>
      <c r="D4276" s="293" t="s">
        <v>5878</v>
      </c>
      <c r="E4276" s="293" t="s">
        <v>5938</v>
      </c>
      <c r="F4276" s="293" t="s">
        <v>5891</v>
      </c>
      <c r="G4276" s="293" t="s">
        <v>5580</v>
      </c>
      <c r="H4276" s="294">
        <v>40786</v>
      </c>
      <c r="I4276" s="295">
        <v>-172975.03</v>
      </c>
    </row>
    <row r="4277" spans="1:9" x14ac:dyDescent="0.2">
      <c r="A4277" s="293" t="s">
        <v>5794</v>
      </c>
      <c r="B4277" s="293" t="s">
        <v>5632</v>
      </c>
      <c r="C4277" s="293" t="s">
        <v>5795</v>
      </c>
      <c r="D4277" s="293" t="s">
        <v>5878</v>
      </c>
      <c r="E4277" s="293" t="s">
        <v>5939</v>
      </c>
      <c r="F4277" s="293" t="s">
        <v>5891</v>
      </c>
      <c r="G4277" s="293" t="s">
        <v>5580</v>
      </c>
      <c r="H4277" s="294">
        <v>40786</v>
      </c>
      <c r="I4277" s="295">
        <v>172975.03</v>
      </c>
    </row>
    <row r="4278" spans="1:9" x14ac:dyDescent="0.2">
      <c r="A4278" s="293" t="s">
        <v>5796</v>
      </c>
      <c r="B4278" s="293" t="s">
        <v>5632</v>
      </c>
      <c r="C4278" s="293" t="s">
        <v>5797</v>
      </c>
      <c r="D4278" s="293" t="s">
        <v>5878</v>
      </c>
      <c r="E4278" s="293" t="s">
        <v>5938</v>
      </c>
      <c r="F4278" s="293" t="s">
        <v>5891</v>
      </c>
      <c r="G4278" s="293" t="s">
        <v>5580</v>
      </c>
      <c r="H4278" s="294">
        <v>40816</v>
      </c>
      <c r="I4278" s="295">
        <v>-91983.57</v>
      </c>
    </row>
    <row r="4279" spans="1:9" x14ac:dyDescent="0.2">
      <c r="A4279" s="293" t="s">
        <v>5796</v>
      </c>
      <c r="B4279" s="293" t="s">
        <v>5632</v>
      </c>
      <c r="C4279" s="293" t="s">
        <v>5797</v>
      </c>
      <c r="D4279" s="293" t="s">
        <v>5878</v>
      </c>
      <c r="E4279" s="293" t="s">
        <v>5939</v>
      </c>
      <c r="F4279" s="293" t="s">
        <v>5891</v>
      </c>
      <c r="G4279" s="293" t="s">
        <v>5580</v>
      </c>
      <c r="H4279" s="294">
        <v>40816</v>
      </c>
      <c r="I4279" s="295">
        <v>91983.57</v>
      </c>
    </row>
    <row r="4280" spans="1:9" x14ac:dyDescent="0.2">
      <c r="A4280" s="293" t="s">
        <v>5798</v>
      </c>
      <c r="B4280" s="293" t="s">
        <v>5632</v>
      </c>
      <c r="C4280" s="293" t="s">
        <v>5799</v>
      </c>
      <c r="D4280" s="293" t="s">
        <v>5878</v>
      </c>
      <c r="E4280" s="293" t="s">
        <v>5938</v>
      </c>
      <c r="F4280" s="293" t="s">
        <v>5891</v>
      </c>
      <c r="G4280" s="293" t="s">
        <v>5580</v>
      </c>
      <c r="H4280" s="294">
        <v>40847</v>
      </c>
      <c r="I4280" s="295">
        <v>-91983.57</v>
      </c>
    </row>
    <row r="4281" spans="1:9" x14ac:dyDescent="0.2">
      <c r="A4281" s="293" t="s">
        <v>5798</v>
      </c>
      <c r="B4281" s="293" t="s">
        <v>5632</v>
      </c>
      <c r="C4281" s="293" t="s">
        <v>5799</v>
      </c>
      <c r="D4281" s="293" t="s">
        <v>5878</v>
      </c>
      <c r="E4281" s="293" t="s">
        <v>5939</v>
      </c>
      <c r="F4281" s="293" t="s">
        <v>5891</v>
      </c>
      <c r="G4281" s="293" t="s">
        <v>5580</v>
      </c>
      <c r="H4281" s="294">
        <v>40847</v>
      </c>
      <c r="I4281" s="295">
        <v>91983.57</v>
      </c>
    </row>
    <row r="4282" spans="1:9" x14ac:dyDescent="0.2">
      <c r="A4282" s="293" t="s">
        <v>5800</v>
      </c>
      <c r="B4282" s="293" t="s">
        <v>5632</v>
      </c>
      <c r="C4282" s="293" t="s">
        <v>5801</v>
      </c>
      <c r="D4282" s="293" t="s">
        <v>5878</v>
      </c>
      <c r="E4282" s="293" t="s">
        <v>5938</v>
      </c>
      <c r="F4282" s="293" t="s">
        <v>5891</v>
      </c>
      <c r="G4282" s="293" t="s">
        <v>5580</v>
      </c>
      <c r="H4282" s="294">
        <v>40877</v>
      </c>
      <c r="I4282" s="295">
        <v>-91983.57</v>
      </c>
    </row>
    <row r="4283" spans="1:9" x14ac:dyDescent="0.2">
      <c r="A4283" s="293" t="s">
        <v>5800</v>
      </c>
      <c r="B4283" s="293" t="s">
        <v>5632</v>
      </c>
      <c r="C4283" s="293" t="s">
        <v>5801</v>
      </c>
      <c r="D4283" s="293" t="s">
        <v>5878</v>
      </c>
      <c r="E4283" s="293" t="s">
        <v>5939</v>
      </c>
      <c r="F4283" s="293" t="s">
        <v>5891</v>
      </c>
      <c r="G4283" s="293" t="s">
        <v>5580</v>
      </c>
      <c r="H4283" s="294">
        <v>40877</v>
      </c>
      <c r="I4283" s="295">
        <v>91983.57</v>
      </c>
    </row>
    <row r="4284" spans="1:9" x14ac:dyDescent="0.2">
      <c r="A4284" s="293" t="s">
        <v>5802</v>
      </c>
      <c r="B4284" s="293" t="s">
        <v>5632</v>
      </c>
      <c r="C4284" s="293" t="s">
        <v>5803</v>
      </c>
      <c r="D4284" s="293" t="s">
        <v>5878</v>
      </c>
      <c r="E4284" s="293" t="s">
        <v>5938</v>
      </c>
      <c r="F4284" s="293" t="s">
        <v>5891</v>
      </c>
      <c r="G4284" s="293" t="s">
        <v>5580</v>
      </c>
      <c r="H4284" s="294">
        <v>40908</v>
      </c>
      <c r="I4284" s="295">
        <v>-91983.57</v>
      </c>
    </row>
    <row r="4285" spans="1:9" x14ac:dyDescent="0.2">
      <c r="A4285" s="293" t="s">
        <v>5802</v>
      </c>
      <c r="B4285" s="293" t="s">
        <v>5632</v>
      </c>
      <c r="C4285" s="293" t="s">
        <v>5803</v>
      </c>
      <c r="D4285" s="293" t="s">
        <v>5878</v>
      </c>
      <c r="E4285" s="293" t="s">
        <v>5939</v>
      </c>
      <c r="F4285" s="293" t="s">
        <v>5891</v>
      </c>
      <c r="G4285" s="293" t="s">
        <v>5580</v>
      </c>
      <c r="H4285" s="294">
        <v>40908</v>
      </c>
      <c r="I4285" s="295">
        <v>91983.57</v>
      </c>
    </row>
    <row r="4286" spans="1:9" x14ac:dyDescent="0.2">
      <c r="A4286" s="293" t="s">
        <v>5631</v>
      </c>
      <c r="B4286" s="293" t="s">
        <v>5632</v>
      </c>
      <c r="C4286" s="293" t="s">
        <v>5633</v>
      </c>
      <c r="D4286" s="293" t="s">
        <v>5878</v>
      </c>
      <c r="E4286" s="293" t="s">
        <v>5938</v>
      </c>
      <c r="F4286" s="293" t="s">
        <v>5891</v>
      </c>
      <c r="G4286" s="293" t="s">
        <v>5580</v>
      </c>
      <c r="H4286" s="294">
        <v>40939</v>
      </c>
      <c r="I4286" s="295">
        <v>-91983.57</v>
      </c>
    </row>
    <row r="4287" spans="1:9" x14ac:dyDescent="0.2">
      <c r="A4287" s="293" t="s">
        <v>5631</v>
      </c>
      <c r="B4287" s="293" t="s">
        <v>5632</v>
      </c>
      <c r="C4287" s="293" t="s">
        <v>5633</v>
      </c>
      <c r="D4287" s="293" t="s">
        <v>5878</v>
      </c>
      <c r="E4287" s="293" t="s">
        <v>5939</v>
      </c>
      <c r="F4287" s="293" t="s">
        <v>5891</v>
      </c>
      <c r="G4287" s="293" t="s">
        <v>5580</v>
      </c>
      <c r="H4287" s="294">
        <v>40939</v>
      </c>
      <c r="I4287" s="295">
        <v>91983.57</v>
      </c>
    </row>
    <row r="4288" spans="1:9" x14ac:dyDescent="0.2">
      <c r="A4288" s="293" t="s">
        <v>5651</v>
      </c>
      <c r="B4288" s="293" t="s">
        <v>5632</v>
      </c>
      <c r="C4288" s="293" t="s">
        <v>5652</v>
      </c>
      <c r="D4288" s="293" t="s">
        <v>5878</v>
      </c>
      <c r="E4288" s="293" t="s">
        <v>5938</v>
      </c>
      <c r="F4288" s="293" t="s">
        <v>5891</v>
      </c>
      <c r="G4288" s="293" t="s">
        <v>5580</v>
      </c>
      <c r="H4288" s="294">
        <v>40968</v>
      </c>
      <c r="I4288" s="295">
        <v>-91983.57</v>
      </c>
    </row>
    <row r="4289" spans="1:9" x14ac:dyDescent="0.2">
      <c r="A4289" s="293" t="s">
        <v>5651</v>
      </c>
      <c r="B4289" s="293" t="s">
        <v>5632</v>
      </c>
      <c r="C4289" s="293" t="s">
        <v>5652</v>
      </c>
      <c r="D4289" s="293" t="s">
        <v>5878</v>
      </c>
      <c r="E4289" s="293" t="s">
        <v>5939</v>
      </c>
      <c r="F4289" s="293" t="s">
        <v>5891</v>
      </c>
      <c r="G4289" s="293" t="s">
        <v>5580</v>
      </c>
      <c r="H4289" s="294">
        <v>40968</v>
      </c>
      <c r="I4289" s="295">
        <v>91983.57</v>
      </c>
    </row>
    <row r="4290" spans="1:9" x14ac:dyDescent="0.2">
      <c r="A4290" s="293" t="s">
        <v>5804</v>
      </c>
      <c r="B4290" s="293" t="s">
        <v>5632</v>
      </c>
      <c r="C4290" s="293" t="s">
        <v>5656</v>
      </c>
      <c r="D4290" s="293" t="s">
        <v>5878</v>
      </c>
      <c r="E4290" s="293" t="s">
        <v>5938</v>
      </c>
      <c r="F4290" s="293" t="s">
        <v>5891</v>
      </c>
      <c r="G4290" s="293" t="s">
        <v>5580</v>
      </c>
      <c r="H4290" s="294">
        <v>40999</v>
      </c>
      <c r="I4290" s="295">
        <v>-91983.57</v>
      </c>
    </row>
    <row r="4291" spans="1:9" x14ac:dyDescent="0.2">
      <c r="A4291" s="293" t="s">
        <v>5804</v>
      </c>
      <c r="B4291" s="293" t="s">
        <v>5632</v>
      </c>
      <c r="C4291" s="293" t="s">
        <v>5656</v>
      </c>
      <c r="D4291" s="293" t="s">
        <v>5878</v>
      </c>
      <c r="E4291" s="293" t="s">
        <v>5939</v>
      </c>
      <c r="F4291" s="293" t="s">
        <v>5891</v>
      </c>
      <c r="G4291" s="293" t="s">
        <v>5580</v>
      </c>
      <c r="H4291" s="294">
        <v>40999</v>
      </c>
      <c r="I4291" s="295">
        <v>91983.57</v>
      </c>
    </row>
    <row r="4292" spans="1:9" x14ac:dyDescent="0.2">
      <c r="A4292" s="293" t="s">
        <v>5805</v>
      </c>
      <c r="B4292" s="293" t="s">
        <v>5632</v>
      </c>
      <c r="C4292" s="293" t="s">
        <v>5659</v>
      </c>
      <c r="D4292" s="293" t="s">
        <v>5878</v>
      </c>
      <c r="E4292" s="293" t="s">
        <v>5938</v>
      </c>
      <c r="F4292" s="293" t="s">
        <v>5891</v>
      </c>
      <c r="G4292" s="293" t="s">
        <v>5580</v>
      </c>
      <c r="H4292" s="294">
        <v>41029</v>
      </c>
      <c r="I4292" s="295">
        <v>-91983.57</v>
      </c>
    </row>
    <row r="4293" spans="1:9" x14ac:dyDescent="0.2">
      <c r="A4293" s="293" t="s">
        <v>5805</v>
      </c>
      <c r="B4293" s="293" t="s">
        <v>5632</v>
      </c>
      <c r="C4293" s="293" t="s">
        <v>5659</v>
      </c>
      <c r="D4293" s="293" t="s">
        <v>5878</v>
      </c>
      <c r="E4293" s="293" t="s">
        <v>5939</v>
      </c>
      <c r="F4293" s="293" t="s">
        <v>5891</v>
      </c>
      <c r="G4293" s="293" t="s">
        <v>5580</v>
      </c>
      <c r="H4293" s="294">
        <v>41029</v>
      </c>
      <c r="I4293" s="295">
        <v>91983.57</v>
      </c>
    </row>
    <row r="4294" spans="1:9" x14ac:dyDescent="0.2">
      <c r="A4294" s="293" t="s">
        <v>5661</v>
      </c>
      <c r="B4294" s="293" t="s">
        <v>5632</v>
      </c>
      <c r="C4294" s="293" t="s">
        <v>5662</v>
      </c>
      <c r="D4294" s="293" t="s">
        <v>5878</v>
      </c>
      <c r="E4294" s="293" t="s">
        <v>5938</v>
      </c>
      <c r="F4294" s="293" t="s">
        <v>5891</v>
      </c>
      <c r="G4294" s="293" t="s">
        <v>5580</v>
      </c>
      <c r="H4294" s="294">
        <v>41060</v>
      </c>
      <c r="I4294" s="295">
        <v>-91983.57</v>
      </c>
    </row>
    <row r="4295" spans="1:9" x14ac:dyDescent="0.2">
      <c r="A4295" s="293" t="s">
        <v>5661</v>
      </c>
      <c r="B4295" s="293" t="s">
        <v>5632</v>
      </c>
      <c r="C4295" s="293" t="s">
        <v>5662</v>
      </c>
      <c r="D4295" s="293" t="s">
        <v>5878</v>
      </c>
      <c r="E4295" s="293" t="s">
        <v>5939</v>
      </c>
      <c r="F4295" s="293" t="s">
        <v>5891</v>
      </c>
      <c r="G4295" s="293" t="s">
        <v>5580</v>
      </c>
      <c r="H4295" s="294">
        <v>41060</v>
      </c>
      <c r="I4295" s="295">
        <v>91983.57</v>
      </c>
    </row>
    <row r="4296" spans="1:9" x14ac:dyDescent="0.2">
      <c r="A4296" s="293" t="s">
        <v>5808</v>
      </c>
      <c r="B4296" s="293" t="s">
        <v>5632</v>
      </c>
      <c r="C4296" s="293" t="s">
        <v>5670</v>
      </c>
      <c r="D4296" s="293" t="s">
        <v>5878</v>
      </c>
      <c r="E4296" s="293" t="s">
        <v>5938</v>
      </c>
      <c r="F4296" s="293" t="s">
        <v>5891</v>
      </c>
      <c r="G4296" s="293" t="s">
        <v>5580</v>
      </c>
      <c r="H4296" s="294">
        <v>41090</v>
      </c>
      <c r="I4296" s="295">
        <v>-91983.57</v>
      </c>
    </row>
    <row r="4297" spans="1:9" x14ac:dyDescent="0.2">
      <c r="A4297" s="293" t="s">
        <v>5808</v>
      </c>
      <c r="B4297" s="293" t="s">
        <v>5632</v>
      </c>
      <c r="C4297" s="293" t="s">
        <v>5670</v>
      </c>
      <c r="D4297" s="293" t="s">
        <v>5878</v>
      </c>
      <c r="E4297" s="293" t="s">
        <v>5939</v>
      </c>
      <c r="F4297" s="293" t="s">
        <v>5891</v>
      </c>
      <c r="G4297" s="293" t="s">
        <v>5580</v>
      </c>
      <c r="H4297" s="294">
        <v>41090</v>
      </c>
      <c r="I4297" s="295">
        <v>91983.57</v>
      </c>
    </row>
    <row r="4298" spans="1:9" x14ac:dyDescent="0.2">
      <c r="A4298" s="293" t="s">
        <v>5809</v>
      </c>
      <c r="B4298" s="293" t="s">
        <v>5632</v>
      </c>
      <c r="C4298" s="293" t="s">
        <v>5670</v>
      </c>
      <c r="D4298" s="293" t="s">
        <v>5878</v>
      </c>
      <c r="E4298" s="293" t="s">
        <v>5938</v>
      </c>
      <c r="F4298" s="293" t="s">
        <v>5891</v>
      </c>
      <c r="G4298" s="293" t="s">
        <v>5580</v>
      </c>
      <c r="H4298" s="294">
        <v>41090</v>
      </c>
      <c r="I4298" s="295">
        <v>91983.57</v>
      </c>
    </row>
    <row r="4299" spans="1:9" x14ac:dyDescent="0.2">
      <c r="A4299" s="293" t="s">
        <v>5809</v>
      </c>
      <c r="B4299" s="293" t="s">
        <v>5632</v>
      </c>
      <c r="C4299" s="293" t="s">
        <v>5670</v>
      </c>
      <c r="D4299" s="293" t="s">
        <v>5878</v>
      </c>
      <c r="E4299" s="293" t="s">
        <v>5939</v>
      </c>
      <c r="F4299" s="293" t="s">
        <v>5891</v>
      </c>
      <c r="G4299" s="293" t="s">
        <v>5580</v>
      </c>
      <c r="H4299" s="294">
        <v>41090</v>
      </c>
      <c r="I4299" s="295">
        <v>-91983.57</v>
      </c>
    </row>
    <row r="4300" spans="1:9" x14ac:dyDescent="0.2">
      <c r="A4300" s="293" t="s">
        <v>5810</v>
      </c>
      <c r="B4300" s="293" t="s">
        <v>5632</v>
      </c>
      <c r="C4300" s="293" t="s">
        <v>5670</v>
      </c>
      <c r="D4300" s="293" t="s">
        <v>5878</v>
      </c>
      <c r="E4300" s="293" t="s">
        <v>5938</v>
      </c>
      <c r="F4300" s="293" t="s">
        <v>5891</v>
      </c>
      <c r="G4300" s="293" t="s">
        <v>5580</v>
      </c>
      <c r="H4300" s="294">
        <v>41090</v>
      </c>
      <c r="I4300" s="295">
        <v>-91983.57</v>
      </c>
    </row>
    <row r="4301" spans="1:9" x14ac:dyDescent="0.2">
      <c r="A4301" s="293" t="s">
        <v>5810</v>
      </c>
      <c r="B4301" s="293" t="s">
        <v>5632</v>
      </c>
      <c r="C4301" s="293" t="s">
        <v>5670</v>
      </c>
      <c r="D4301" s="293" t="s">
        <v>5878</v>
      </c>
      <c r="E4301" s="293" t="s">
        <v>5939</v>
      </c>
      <c r="F4301" s="293" t="s">
        <v>5891</v>
      </c>
      <c r="G4301" s="293" t="s">
        <v>5580</v>
      </c>
      <c r="H4301" s="294">
        <v>41090</v>
      </c>
      <c r="I4301" s="295">
        <v>91983.57</v>
      </c>
    </row>
    <row r="4302" spans="1:9" x14ac:dyDescent="0.2">
      <c r="A4302" s="293" t="s">
        <v>5772</v>
      </c>
      <c r="B4302" s="293" t="s">
        <v>5632</v>
      </c>
      <c r="C4302" s="293" t="s">
        <v>5773</v>
      </c>
      <c r="D4302" s="293" t="s">
        <v>5878</v>
      </c>
      <c r="E4302" s="293" t="s">
        <v>5893</v>
      </c>
      <c r="F4302" s="293" t="s">
        <v>5894</v>
      </c>
      <c r="G4302" s="293" t="s">
        <v>5580</v>
      </c>
      <c r="H4302" s="294">
        <v>40543</v>
      </c>
      <c r="I4302" s="295">
        <v>3806202.24</v>
      </c>
    </row>
    <row r="4303" spans="1:9" x14ac:dyDescent="0.2">
      <c r="A4303" s="293" t="s">
        <v>5772</v>
      </c>
      <c r="B4303" s="293" t="s">
        <v>5632</v>
      </c>
      <c r="C4303" s="293" t="s">
        <v>5773</v>
      </c>
      <c r="D4303" s="293" t="s">
        <v>5878</v>
      </c>
      <c r="E4303" s="293" t="s">
        <v>5895</v>
      </c>
      <c r="F4303" s="293" t="s">
        <v>5894</v>
      </c>
      <c r="G4303" s="293" t="s">
        <v>5580</v>
      </c>
      <c r="H4303" s="294">
        <v>40543</v>
      </c>
      <c r="I4303" s="295">
        <v>-3806202.24</v>
      </c>
    </row>
    <row r="4304" spans="1:9" x14ac:dyDescent="0.2">
      <c r="A4304" s="293" t="s">
        <v>5777</v>
      </c>
      <c r="B4304" s="293" t="s">
        <v>5632</v>
      </c>
      <c r="C4304" s="293" t="s">
        <v>5773</v>
      </c>
      <c r="D4304" s="293" t="s">
        <v>5878</v>
      </c>
      <c r="E4304" s="293" t="s">
        <v>5893</v>
      </c>
      <c r="F4304" s="293" t="s">
        <v>5894</v>
      </c>
      <c r="G4304" s="293" t="s">
        <v>5580</v>
      </c>
      <c r="H4304" s="294">
        <v>40543</v>
      </c>
      <c r="I4304" s="295">
        <v>3806202.24</v>
      </c>
    </row>
    <row r="4305" spans="1:9" x14ac:dyDescent="0.2">
      <c r="A4305" s="293" t="s">
        <v>5777</v>
      </c>
      <c r="B4305" s="293" t="s">
        <v>5632</v>
      </c>
      <c r="C4305" s="293" t="s">
        <v>5773</v>
      </c>
      <c r="D4305" s="293" t="s">
        <v>5878</v>
      </c>
      <c r="E4305" s="293" t="s">
        <v>5895</v>
      </c>
      <c r="F4305" s="293" t="s">
        <v>5894</v>
      </c>
      <c r="G4305" s="293" t="s">
        <v>5580</v>
      </c>
      <c r="H4305" s="294">
        <v>40543</v>
      </c>
      <c r="I4305" s="295">
        <v>-3806202.24</v>
      </c>
    </row>
    <row r="4306" spans="1:9" x14ac:dyDescent="0.2">
      <c r="A4306" s="293" t="s">
        <v>5778</v>
      </c>
      <c r="B4306" s="293" t="s">
        <v>5632</v>
      </c>
      <c r="C4306" s="293" t="s">
        <v>5773</v>
      </c>
      <c r="D4306" s="293" t="s">
        <v>5878</v>
      </c>
      <c r="E4306" s="293" t="s">
        <v>5893</v>
      </c>
      <c r="F4306" s="293" t="s">
        <v>5894</v>
      </c>
      <c r="G4306" s="293" t="s">
        <v>5580</v>
      </c>
      <c r="H4306" s="294">
        <v>40543</v>
      </c>
      <c r="I4306" s="295">
        <v>-3806202.24</v>
      </c>
    </row>
    <row r="4307" spans="1:9" x14ac:dyDescent="0.2">
      <c r="A4307" s="293" t="s">
        <v>5778</v>
      </c>
      <c r="B4307" s="293" t="s">
        <v>5632</v>
      </c>
      <c r="C4307" s="293" t="s">
        <v>5773</v>
      </c>
      <c r="D4307" s="293" t="s">
        <v>5878</v>
      </c>
      <c r="E4307" s="293" t="s">
        <v>5895</v>
      </c>
      <c r="F4307" s="293" t="s">
        <v>5894</v>
      </c>
      <c r="G4307" s="293" t="s">
        <v>5580</v>
      </c>
      <c r="H4307" s="294">
        <v>40543</v>
      </c>
      <c r="I4307" s="295">
        <v>3806202.24</v>
      </c>
    </row>
    <row r="4308" spans="1:9" x14ac:dyDescent="0.2">
      <c r="A4308" s="293" t="s">
        <v>5779</v>
      </c>
      <c r="B4308" s="293" t="s">
        <v>5632</v>
      </c>
      <c r="C4308" s="293" t="s">
        <v>5780</v>
      </c>
      <c r="D4308" s="293" t="s">
        <v>5878</v>
      </c>
      <c r="E4308" s="293" t="s">
        <v>5940</v>
      </c>
      <c r="F4308" s="293" t="s">
        <v>5894</v>
      </c>
      <c r="G4308" s="293" t="s">
        <v>5580</v>
      </c>
      <c r="H4308" s="294">
        <v>40574</v>
      </c>
      <c r="I4308" s="295">
        <v>-14723.49</v>
      </c>
    </row>
    <row r="4309" spans="1:9" x14ac:dyDescent="0.2">
      <c r="A4309" s="293" t="s">
        <v>5779</v>
      </c>
      <c r="B4309" s="293" t="s">
        <v>5632</v>
      </c>
      <c r="C4309" s="293" t="s">
        <v>5780</v>
      </c>
      <c r="D4309" s="293" t="s">
        <v>5878</v>
      </c>
      <c r="E4309" s="293" t="s">
        <v>5941</v>
      </c>
      <c r="F4309" s="293" t="s">
        <v>5894</v>
      </c>
      <c r="G4309" s="293" t="s">
        <v>5580</v>
      </c>
      <c r="H4309" s="294">
        <v>40574</v>
      </c>
      <c r="I4309" s="295">
        <v>14723.49</v>
      </c>
    </row>
    <row r="4310" spans="1:9" x14ac:dyDescent="0.2">
      <c r="A4310" s="293" t="s">
        <v>5782</v>
      </c>
      <c r="B4310" s="293" t="s">
        <v>5632</v>
      </c>
      <c r="C4310" s="293" t="s">
        <v>5783</v>
      </c>
      <c r="D4310" s="293" t="s">
        <v>5878</v>
      </c>
      <c r="E4310" s="293" t="s">
        <v>5940</v>
      </c>
      <c r="F4310" s="293" t="s">
        <v>5894</v>
      </c>
      <c r="G4310" s="293" t="s">
        <v>5580</v>
      </c>
      <c r="H4310" s="294">
        <v>40602</v>
      </c>
      <c r="I4310" s="295">
        <v>-12217.1</v>
      </c>
    </row>
    <row r="4311" spans="1:9" x14ac:dyDescent="0.2">
      <c r="A4311" s="293" t="s">
        <v>5782</v>
      </c>
      <c r="B4311" s="293" t="s">
        <v>5632</v>
      </c>
      <c r="C4311" s="293" t="s">
        <v>5783</v>
      </c>
      <c r="D4311" s="293" t="s">
        <v>5878</v>
      </c>
      <c r="E4311" s="293" t="s">
        <v>5941</v>
      </c>
      <c r="F4311" s="293" t="s">
        <v>5894</v>
      </c>
      <c r="G4311" s="293" t="s">
        <v>5580</v>
      </c>
      <c r="H4311" s="294">
        <v>40602</v>
      </c>
      <c r="I4311" s="295">
        <v>12217.1</v>
      </c>
    </row>
    <row r="4312" spans="1:9" x14ac:dyDescent="0.2">
      <c r="A4312" s="293" t="s">
        <v>5784</v>
      </c>
      <c r="B4312" s="293" t="s">
        <v>5632</v>
      </c>
      <c r="C4312" s="293" t="s">
        <v>5785</v>
      </c>
      <c r="D4312" s="293" t="s">
        <v>5878</v>
      </c>
      <c r="E4312" s="293" t="s">
        <v>5940</v>
      </c>
      <c r="F4312" s="293" t="s">
        <v>5894</v>
      </c>
      <c r="G4312" s="293" t="s">
        <v>5580</v>
      </c>
      <c r="H4312" s="294">
        <v>40633</v>
      </c>
      <c r="I4312" s="295">
        <v>-12217.1</v>
      </c>
    </row>
    <row r="4313" spans="1:9" x14ac:dyDescent="0.2">
      <c r="A4313" s="293" t="s">
        <v>5784</v>
      </c>
      <c r="B4313" s="293" t="s">
        <v>5632</v>
      </c>
      <c r="C4313" s="293" t="s">
        <v>5785</v>
      </c>
      <c r="D4313" s="293" t="s">
        <v>5878</v>
      </c>
      <c r="E4313" s="293" t="s">
        <v>5941</v>
      </c>
      <c r="F4313" s="293" t="s">
        <v>5894</v>
      </c>
      <c r="G4313" s="293" t="s">
        <v>5580</v>
      </c>
      <c r="H4313" s="294">
        <v>40633</v>
      </c>
      <c r="I4313" s="295">
        <v>12217.1</v>
      </c>
    </row>
    <row r="4314" spans="1:9" x14ac:dyDescent="0.2">
      <c r="A4314" s="293" t="s">
        <v>5786</v>
      </c>
      <c r="B4314" s="293" t="s">
        <v>5632</v>
      </c>
      <c r="C4314" s="293" t="s">
        <v>5787</v>
      </c>
      <c r="D4314" s="293" t="s">
        <v>5878</v>
      </c>
      <c r="E4314" s="293" t="s">
        <v>5940</v>
      </c>
      <c r="F4314" s="293" t="s">
        <v>5894</v>
      </c>
      <c r="G4314" s="293" t="s">
        <v>5580</v>
      </c>
      <c r="H4314" s="294">
        <v>40663</v>
      </c>
      <c r="I4314" s="295">
        <v>-12205.34</v>
      </c>
    </row>
    <row r="4315" spans="1:9" x14ac:dyDescent="0.2">
      <c r="A4315" s="293" t="s">
        <v>5786</v>
      </c>
      <c r="B4315" s="293" t="s">
        <v>5632</v>
      </c>
      <c r="C4315" s="293" t="s">
        <v>5787</v>
      </c>
      <c r="D4315" s="293" t="s">
        <v>5878</v>
      </c>
      <c r="E4315" s="293" t="s">
        <v>5941</v>
      </c>
      <c r="F4315" s="293" t="s">
        <v>5894</v>
      </c>
      <c r="G4315" s="293" t="s">
        <v>5580</v>
      </c>
      <c r="H4315" s="294">
        <v>40663</v>
      </c>
      <c r="I4315" s="295">
        <v>12205.34</v>
      </c>
    </row>
    <row r="4316" spans="1:9" x14ac:dyDescent="0.2">
      <c r="A4316" s="293" t="s">
        <v>5788</v>
      </c>
      <c r="B4316" s="293" t="s">
        <v>5632</v>
      </c>
      <c r="C4316" s="293" t="s">
        <v>5789</v>
      </c>
      <c r="D4316" s="293" t="s">
        <v>5878</v>
      </c>
      <c r="E4316" s="293" t="s">
        <v>5940</v>
      </c>
      <c r="F4316" s="293" t="s">
        <v>5894</v>
      </c>
      <c r="G4316" s="293" t="s">
        <v>5580</v>
      </c>
      <c r="H4316" s="294">
        <v>40694</v>
      </c>
      <c r="I4316" s="295">
        <v>-49271</v>
      </c>
    </row>
    <row r="4317" spans="1:9" x14ac:dyDescent="0.2">
      <c r="A4317" s="293" t="s">
        <v>5788</v>
      </c>
      <c r="B4317" s="293" t="s">
        <v>5632</v>
      </c>
      <c r="C4317" s="293" t="s">
        <v>5789</v>
      </c>
      <c r="D4317" s="293" t="s">
        <v>5878</v>
      </c>
      <c r="E4317" s="293" t="s">
        <v>5941</v>
      </c>
      <c r="F4317" s="293" t="s">
        <v>5894</v>
      </c>
      <c r="G4317" s="293" t="s">
        <v>5580</v>
      </c>
      <c r="H4317" s="294">
        <v>40694</v>
      </c>
      <c r="I4317" s="295">
        <v>49271</v>
      </c>
    </row>
    <row r="4318" spans="1:9" x14ac:dyDescent="0.2">
      <c r="A4318" s="293" t="s">
        <v>5790</v>
      </c>
      <c r="B4318" s="293" t="s">
        <v>5632</v>
      </c>
      <c r="C4318" s="293" t="s">
        <v>5791</v>
      </c>
      <c r="D4318" s="293" t="s">
        <v>5878</v>
      </c>
      <c r="E4318" s="293" t="s">
        <v>5940</v>
      </c>
      <c r="F4318" s="293" t="s">
        <v>5894</v>
      </c>
      <c r="G4318" s="293" t="s">
        <v>5580</v>
      </c>
      <c r="H4318" s="294">
        <v>40724</v>
      </c>
      <c r="I4318" s="295">
        <v>-50470.77</v>
      </c>
    </row>
    <row r="4319" spans="1:9" x14ac:dyDescent="0.2">
      <c r="A4319" s="293" t="s">
        <v>5790</v>
      </c>
      <c r="B4319" s="293" t="s">
        <v>5632</v>
      </c>
      <c r="C4319" s="293" t="s">
        <v>5791</v>
      </c>
      <c r="D4319" s="293" t="s">
        <v>5878</v>
      </c>
      <c r="E4319" s="293" t="s">
        <v>5941</v>
      </c>
      <c r="F4319" s="293" t="s">
        <v>5894</v>
      </c>
      <c r="G4319" s="293" t="s">
        <v>5580</v>
      </c>
      <c r="H4319" s="294">
        <v>40724</v>
      </c>
      <c r="I4319" s="295">
        <v>50470.77</v>
      </c>
    </row>
    <row r="4320" spans="1:9" x14ac:dyDescent="0.2">
      <c r="A4320" s="293" t="s">
        <v>5792</v>
      </c>
      <c r="B4320" s="293" t="s">
        <v>5632</v>
      </c>
      <c r="C4320" s="293" t="s">
        <v>5793</v>
      </c>
      <c r="D4320" s="293" t="s">
        <v>5878</v>
      </c>
      <c r="E4320" s="293" t="s">
        <v>5940</v>
      </c>
      <c r="F4320" s="293" t="s">
        <v>5894</v>
      </c>
      <c r="G4320" s="293" t="s">
        <v>5580</v>
      </c>
      <c r="H4320" s="294">
        <v>40755</v>
      </c>
      <c r="I4320" s="295">
        <v>-53278.16</v>
      </c>
    </row>
    <row r="4321" spans="1:9" x14ac:dyDescent="0.2">
      <c r="A4321" s="293" t="s">
        <v>5792</v>
      </c>
      <c r="B4321" s="293" t="s">
        <v>5632</v>
      </c>
      <c r="C4321" s="293" t="s">
        <v>5793</v>
      </c>
      <c r="D4321" s="293" t="s">
        <v>5878</v>
      </c>
      <c r="E4321" s="293" t="s">
        <v>5941</v>
      </c>
      <c r="F4321" s="293" t="s">
        <v>5894</v>
      </c>
      <c r="G4321" s="293" t="s">
        <v>5580</v>
      </c>
      <c r="H4321" s="294">
        <v>40755</v>
      </c>
      <c r="I4321" s="295">
        <v>53278.16</v>
      </c>
    </row>
    <row r="4322" spans="1:9" x14ac:dyDescent="0.2">
      <c r="A4322" s="293" t="s">
        <v>5794</v>
      </c>
      <c r="B4322" s="293" t="s">
        <v>5632</v>
      </c>
      <c r="C4322" s="293" t="s">
        <v>5795</v>
      </c>
      <c r="D4322" s="293" t="s">
        <v>5878</v>
      </c>
      <c r="E4322" s="293" t="s">
        <v>5940</v>
      </c>
      <c r="F4322" s="293" t="s">
        <v>5894</v>
      </c>
      <c r="G4322" s="293" t="s">
        <v>5580</v>
      </c>
      <c r="H4322" s="294">
        <v>40786</v>
      </c>
      <c r="I4322" s="295">
        <v>-137501.29999999999</v>
      </c>
    </row>
    <row r="4323" spans="1:9" x14ac:dyDescent="0.2">
      <c r="A4323" s="293" t="s">
        <v>5794</v>
      </c>
      <c r="B4323" s="293" t="s">
        <v>5632</v>
      </c>
      <c r="C4323" s="293" t="s">
        <v>5795</v>
      </c>
      <c r="D4323" s="293" t="s">
        <v>5878</v>
      </c>
      <c r="E4323" s="293" t="s">
        <v>5941</v>
      </c>
      <c r="F4323" s="293" t="s">
        <v>5894</v>
      </c>
      <c r="G4323" s="293" t="s">
        <v>5580</v>
      </c>
      <c r="H4323" s="294">
        <v>40786</v>
      </c>
      <c r="I4323" s="295">
        <v>137501.29999999999</v>
      </c>
    </row>
    <row r="4324" spans="1:9" x14ac:dyDescent="0.2">
      <c r="A4324" s="293" t="s">
        <v>5796</v>
      </c>
      <c r="B4324" s="293" t="s">
        <v>5632</v>
      </c>
      <c r="C4324" s="293" t="s">
        <v>5797</v>
      </c>
      <c r="D4324" s="293" t="s">
        <v>5878</v>
      </c>
      <c r="E4324" s="293" t="s">
        <v>5940</v>
      </c>
      <c r="F4324" s="293" t="s">
        <v>5894</v>
      </c>
      <c r="G4324" s="293" t="s">
        <v>5580</v>
      </c>
      <c r="H4324" s="294">
        <v>40816</v>
      </c>
      <c r="I4324" s="295">
        <v>-218492.76</v>
      </c>
    </row>
    <row r="4325" spans="1:9" x14ac:dyDescent="0.2">
      <c r="A4325" s="293" t="s">
        <v>5796</v>
      </c>
      <c r="B4325" s="293" t="s">
        <v>5632</v>
      </c>
      <c r="C4325" s="293" t="s">
        <v>5797</v>
      </c>
      <c r="D4325" s="293" t="s">
        <v>5878</v>
      </c>
      <c r="E4325" s="293" t="s">
        <v>5941</v>
      </c>
      <c r="F4325" s="293" t="s">
        <v>5894</v>
      </c>
      <c r="G4325" s="293" t="s">
        <v>5580</v>
      </c>
      <c r="H4325" s="294">
        <v>40816</v>
      </c>
      <c r="I4325" s="295">
        <v>218492.76</v>
      </c>
    </row>
    <row r="4326" spans="1:9" x14ac:dyDescent="0.2">
      <c r="A4326" s="293" t="s">
        <v>5798</v>
      </c>
      <c r="B4326" s="293" t="s">
        <v>5632</v>
      </c>
      <c r="C4326" s="293" t="s">
        <v>5799</v>
      </c>
      <c r="D4326" s="293" t="s">
        <v>5878</v>
      </c>
      <c r="E4326" s="293" t="s">
        <v>5940</v>
      </c>
      <c r="F4326" s="293" t="s">
        <v>5894</v>
      </c>
      <c r="G4326" s="293" t="s">
        <v>5580</v>
      </c>
      <c r="H4326" s="294">
        <v>40847</v>
      </c>
      <c r="I4326" s="295">
        <v>-218492.76</v>
      </c>
    </row>
    <row r="4327" spans="1:9" x14ac:dyDescent="0.2">
      <c r="A4327" s="293" t="s">
        <v>5798</v>
      </c>
      <c r="B4327" s="293" t="s">
        <v>5632</v>
      </c>
      <c r="C4327" s="293" t="s">
        <v>5799</v>
      </c>
      <c r="D4327" s="293" t="s">
        <v>5878</v>
      </c>
      <c r="E4327" s="293" t="s">
        <v>5941</v>
      </c>
      <c r="F4327" s="293" t="s">
        <v>5894</v>
      </c>
      <c r="G4327" s="293" t="s">
        <v>5580</v>
      </c>
      <c r="H4327" s="294">
        <v>40847</v>
      </c>
      <c r="I4327" s="295">
        <v>218492.76</v>
      </c>
    </row>
    <row r="4328" spans="1:9" x14ac:dyDescent="0.2">
      <c r="A4328" s="293" t="s">
        <v>5800</v>
      </c>
      <c r="B4328" s="293" t="s">
        <v>5632</v>
      </c>
      <c r="C4328" s="293" t="s">
        <v>5801</v>
      </c>
      <c r="D4328" s="293" t="s">
        <v>5878</v>
      </c>
      <c r="E4328" s="293" t="s">
        <v>5940</v>
      </c>
      <c r="F4328" s="293" t="s">
        <v>5894</v>
      </c>
      <c r="G4328" s="293" t="s">
        <v>5580</v>
      </c>
      <c r="H4328" s="294">
        <v>40877</v>
      </c>
      <c r="I4328" s="295">
        <v>-218492.76</v>
      </c>
    </row>
    <row r="4329" spans="1:9" x14ac:dyDescent="0.2">
      <c r="A4329" s="293" t="s">
        <v>5800</v>
      </c>
      <c r="B4329" s="293" t="s">
        <v>5632</v>
      </c>
      <c r="C4329" s="293" t="s">
        <v>5801</v>
      </c>
      <c r="D4329" s="293" t="s">
        <v>5878</v>
      </c>
      <c r="E4329" s="293" t="s">
        <v>5941</v>
      </c>
      <c r="F4329" s="293" t="s">
        <v>5894</v>
      </c>
      <c r="G4329" s="293" t="s">
        <v>5580</v>
      </c>
      <c r="H4329" s="294">
        <v>40877</v>
      </c>
      <c r="I4329" s="295">
        <v>218492.76</v>
      </c>
    </row>
    <row r="4330" spans="1:9" x14ac:dyDescent="0.2">
      <c r="A4330" s="293" t="s">
        <v>5802</v>
      </c>
      <c r="B4330" s="293" t="s">
        <v>5632</v>
      </c>
      <c r="C4330" s="293" t="s">
        <v>5803</v>
      </c>
      <c r="D4330" s="293" t="s">
        <v>5878</v>
      </c>
      <c r="E4330" s="293" t="s">
        <v>5940</v>
      </c>
      <c r="F4330" s="293" t="s">
        <v>5894</v>
      </c>
      <c r="G4330" s="293" t="s">
        <v>5580</v>
      </c>
      <c r="H4330" s="294">
        <v>40908</v>
      </c>
      <c r="I4330" s="295">
        <v>-218492.76</v>
      </c>
    </row>
    <row r="4331" spans="1:9" x14ac:dyDescent="0.2">
      <c r="A4331" s="293" t="s">
        <v>5802</v>
      </c>
      <c r="B4331" s="293" t="s">
        <v>5632</v>
      </c>
      <c r="C4331" s="293" t="s">
        <v>5803</v>
      </c>
      <c r="D4331" s="293" t="s">
        <v>5878</v>
      </c>
      <c r="E4331" s="293" t="s">
        <v>5941</v>
      </c>
      <c r="F4331" s="293" t="s">
        <v>5894</v>
      </c>
      <c r="G4331" s="293" t="s">
        <v>5580</v>
      </c>
      <c r="H4331" s="294">
        <v>40908</v>
      </c>
      <c r="I4331" s="295">
        <v>218492.76</v>
      </c>
    </row>
    <row r="4332" spans="1:9" x14ac:dyDescent="0.2">
      <c r="A4332" s="293" t="s">
        <v>5631</v>
      </c>
      <c r="B4332" s="293" t="s">
        <v>5632</v>
      </c>
      <c r="C4332" s="293" t="s">
        <v>5633</v>
      </c>
      <c r="D4332" s="293" t="s">
        <v>5878</v>
      </c>
      <c r="E4332" s="293" t="s">
        <v>5940</v>
      </c>
      <c r="F4332" s="293" t="s">
        <v>5894</v>
      </c>
      <c r="G4332" s="293" t="s">
        <v>5580</v>
      </c>
      <c r="H4332" s="294">
        <v>40939</v>
      </c>
      <c r="I4332" s="295">
        <v>-218492.76</v>
      </c>
    </row>
    <row r="4333" spans="1:9" x14ac:dyDescent="0.2">
      <c r="A4333" s="293" t="s">
        <v>5631</v>
      </c>
      <c r="B4333" s="293" t="s">
        <v>5632</v>
      </c>
      <c r="C4333" s="293" t="s">
        <v>5633</v>
      </c>
      <c r="D4333" s="293" t="s">
        <v>5878</v>
      </c>
      <c r="E4333" s="293" t="s">
        <v>5941</v>
      </c>
      <c r="F4333" s="293" t="s">
        <v>5894</v>
      </c>
      <c r="G4333" s="293" t="s">
        <v>5580</v>
      </c>
      <c r="H4333" s="294">
        <v>40939</v>
      </c>
      <c r="I4333" s="295">
        <v>218492.76</v>
      </c>
    </row>
    <row r="4334" spans="1:9" x14ac:dyDescent="0.2">
      <c r="A4334" s="293" t="s">
        <v>5651</v>
      </c>
      <c r="B4334" s="293" t="s">
        <v>5632</v>
      </c>
      <c r="C4334" s="293" t="s">
        <v>5652</v>
      </c>
      <c r="D4334" s="293" t="s">
        <v>5878</v>
      </c>
      <c r="E4334" s="293" t="s">
        <v>5940</v>
      </c>
      <c r="F4334" s="293" t="s">
        <v>5894</v>
      </c>
      <c r="G4334" s="293" t="s">
        <v>5580</v>
      </c>
      <c r="H4334" s="294">
        <v>40968</v>
      </c>
      <c r="I4334" s="295">
        <v>-218492.76</v>
      </c>
    </row>
    <row r="4335" spans="1:9" x14ac:dyDescent="0.2">
      <c r="A4335" s="293" t="s">
        <v>5651</v>
      </c>
      <c r="B4335" s="293" t="s">
        <v>5632</v>
      </c>
      <c r="C4335" s="293" t="s">
        <v>5652</v>
      </c>
      <c r="D4335" s="293" t="s">
        <v>5878</v>
      </c>
      <c r="E4335" s="293" t="s">
        <v>5941</v>
      </c>
      <c r="F4335" s="293" t="s">
        <v>5894</v>
      </c>
      <c r="G4335" s="293" t="s">
        <v>5580</v>
      </c>
      <c r="H4335" s="294">
        <v>40968</v>
      </c>
      <c r="I4335" s="295">
        <v>218492.76</v>
      </c>
    </row>
    <row r="4336" spans="1:9" x14ac:dyDescent="0.2">
      <c r="A4336" s="293" t="s">
        <v>5804</v>
      </c>
      <c r="B4336" s="293" t="s">
        <v>5632</v>
      </c>
      <c r="C4336" s="293" t="s">
        <v>5656</v>
      </c>
      <c r="D4336" s="293" t="s">
        <v>5878</v>
      </c>
      <c r="E4336" s="293" t="s">
        <v>5940</v>
      </c>
      <c r="F4336" s="293" t="s">
        <v>5894</v>
      </c>
      <c r="G4336" s="293" t="s">
        <v>5580</v>
      </c>
      <c r="H4336" s="294">
        <v>40999</v>
      </c>
      <c r="I4336" s="295">
        <v>-218492.76</v>
      </c>
    </row>
    <row r="4337" spans="1:9" x14ac:dyDescent="0.2">
      <c r="A4337" s="293" t="s">
        <v>5804</v>
      </c>
      <c r="B4337" s="293" t="s">
        <v>5632</v>
      </c>
      <c r="C4337" s="293" t="s">
        <v>5656</v>
      </c>
      <c r="D4337" s="293" t="s">
        <v>5878</v>
      </c>
      <c r="E4337" s="293" t="s">
        <v>5941</v>
      </c>
      <c r="F4337" s="293" t="s">
        <v>5894</v>
      </c>
      <c r="G4337" s="293" t="s">
        <v>5580</v>
      </c>
      <c r="H4337" s="294">
        <v>40999</v>
      </c>
      <c r="I4337" s="295">
        <v>218492.76</v>
      </c>
    </row>
    <row r="4338" spans="1:9" x14ac:dyDescent="0.2">
      <c r="A4338" s="293" t="s">
        <v>5805</v>
      </c>
      <c r="B4338" s="293" t="s">
        <v>5632</v>
      </c>
      <c r="C4338" s="293" t="s">
        <v>5659</v>
      </c>
      <c r="D4338" s="293" t="s">
        <v>5878</v>
      </c>
      <c r="E4338" s="293" t="s">
        <v>5940</v>
      </c>
      <c r="F4338" s="293" t="s">
        <v>5894</v>
      </c>
      <c r="G4338" s="293" t="s">
        <v>5580</v>
      </c>
      <c r="H4338" s="294">
        <v>41029</v>
      </c>
      <c r="I4338" s="295">
        <v>-218504.52</v>
      </c>
    </row>
    <row r="4339" spans="1:9" x14ac:dyDescent="0.2">
      <c r="A4339" s="293" t="s">
        <v>5805</v>
      </c>
      <c r="B4339" s="293" t="s">
        <v>5632</v>
      </c>
      <c r="C4339" s="293" t="s">
        <v>5659</v>
      </c>
      <c r="D4339" s="293" t="s">
        <v>5878</v>
      </c>
      <c r="E4339" s="293" t="s">
        <v>5941</v>
      </c>
      <c r="F4339" s="293" t="s">
        <v>5894</v>
      </c>
      <c r="G4339" s="293" t="s">
        <v>5580</v>
      </c>
      <c r="H4339" s="294">
        <v>41029</v>
      </c>
      <c r="I4339" s="295">
        <v>218504.52</v>
      </c>
    </row>
    <row r="4340" spans="1:9" x14ac:dyDescent="0.2">
      <c r="A4340" s="293" t="s">
        <v>5661</v>
      </c>
      <c r="B4340" s="293" t="s">
        <v>5632</v>
      </c>
      <c r="C4340" s="293" t="s">
        <v>5662</v>
      </c>
      <c r="D4340" s="293" t="s">
        <v>5878</v>
      </c>
      <c r="E4340" s="293" t="s">
        <v>5940</v>
      </c>
      <c r="F4340" s="293" t="s">
        <v>5894</v>
      </c>
      <c r="G4340" s="293" t="s">
        <v>5580</v>
      </c>
      <c r="H4340" s="294">
        <v>41060</v>
      </c>
      <c r="I4340" s="295">
        <v>-179589.08</v>
      </c>
    </row>
    <row r="4341" spans="1:9" x14ac:dyDescent="0.2">
      <c r="A4341" s="293" t="s">
        <v>5661</v>
      </c>
      <c r="B4341" s="293" t="s">
        <v>5632</v>
      </c>
      <c r="C4341" s="293" t="s">
        <v>5662</v>
      </c>
      <c r="D4341" s="293" t="s">
        <v>5878</v>
      </c>
      <c r="E4341" s="293" t="s">
        <v>5941</v>
      </c>
      <c r="F4341" s="293" t="s">
        <v>5894</v>
      </c>
      <c r="G4341" s="293" t="s">
        <v>5580</v>
      </c>
      <c r="H4341" s="294">
        <v>41060</v>
      </c>
      <c r="I4341" s="295">
        <v>179589.08</v>
      </c>
    </row>
    <row r="4342" spans="1:9" x14ac:dyDescent="0.2">
      <c r="A4342" s="293" t="s">
        <v>5808</v>
      </c>
      <c r="B4342" s="293" t="s">
        <v>5632</v>
      </c>
      <c r="C4342" s="293" t="s">
        <v>5670</v>
      </c>
      <c r="D4342" s="293" t="s">
        <v>5878</v>
      </c>
      <c r="E4342" s="293" t="s">
        <v>5940</v>
      </c>
      <c r="F4342" s="293" t="s">
        <v>5894</v>
      </c>
      <c r="G4342" s="293" t="s">
        <v>5580</v>
      </c>
      <c r="H4342" s="294">
        <v>41090</v>
      </c>
      <c r="I4342" s="295">
        <v>-178389.31</v>
      </c>
    </row>
    <row r="4343" spans="1:9" x14ac:dyDescent="0.2">
      <c r="A4343" s="293" t="s">
        <v>5808</v>
      </c>
      <c r="B4343" s="293" t="s">
        <v>5632</v>
      </c>
      <c r="C4343" s="293" t="s">
        <v>5670</v>
      </c>
      <c r="D4343" s="293" t="s">
        <v>5878</v>
      </c>
      <c r="E4343" s="293" t="s">
        <v>5941</v>
      </c>
      <c r="F4343" s="293" t="s">
        <v>5894</v>
      </c>
      <c r="G4343" s="293" t="s">
        <v>5580</v>
      </c>
      <c r="H4343" s="294">
        <v>41090</v>
      </c>
      <c r="I4343" s="295">
        <v>178389.31</v>
      </c>
    </row>
    <row r="4344" spans="1:9" x14ac:dyDescent="0.2">
      <c r="A4344" s="293" t="s">
        <v>5809</v>
      </c>
      <c r="B4344" s="293" t="s">
        <v>5632</v>
      </c>
      <c r="C4344" s="293" t="s">
        <v>5670</v>
      </c>
      <c r="D4344" s="293" t="s">
        <v>5878</v>
      </c>
      <c r="E4344" s="293" t="s">
        <v>5940</v>
      </c>
      <c r="F4344" s="293" t="s">
        <v>5894</v>
      </c>
      <c r="G4344" s="293" t="s">
        <v>5580</v>
      </c>
      <c r="H4344" s="294">
        <v>41090</v>
      </c>
      <c r="I4344" s="295">
        <v>178389.31</v>
      </c>
    </row>
    <row r="4345" spans="1:9" x14ac:dyDescent="0.2">
      <c r="A4345" s="293" t="s">
        <v>5809</v>
      </c>
      <c r="B4345" s="293" t="s">
        <v>5632</v>
      </c>
      <c r="C4345" s="293" t="s">
        <v>5670</v>
      </c>
      <c r="D4345" s="293" t="s">
        <v>5878</v>
      </c>
      <c r="E4345" s="293" t="s">
        <v>5941</v>
      </c>
      <c r="F4345" s="293" t="s">
        <v>5894</v>
      </c>
      <c r="G4345" s="293" t="s">
        <v>5580</v>
      </c>
      <c r="H4345" s="294">
        <v>41090</v>
      </c>
      <c r="I4345" s="295">
        <v>-178389.31</v>
      </c>
    </row>
    <row r="4346" spans="1:9" x14ac:dyDescent="0.2">
      <c r="A4346" s="293" t="s">
        <v>5810</v>
      </c>
      <c r="B4346" s="293" t="s">
        <v>5632</v>
      </c>
      <c r="C4346" s="293" t="s">
        <v>5670</v>
      </c>
      <c r="D4346" s="293" t="s">
        <v>5878</v>
      </c>
      <c r="E4346" s="293" t="s">
        <v>5940</v>
      </c>
      <c r="F4346" s="293" t="s">
        <v>5894</v>
      </c>
      <c r="G4346" s="293" t="s">
        <v>5580</v>
      </c>
      <c r="H4346" s="294">
        <v>41090</v>
      </c>
      <c r="I4346" s="295">
        <v>-178389.31</v>
      </c>
    </row>
    <row r="4347" spans="1:9" x14ac:dyDescent="0.2">
      <c r="A4347" s="293" t="s">
        <v>5810</v>
      </c>
      <c r="B4347" s="293" t="s">
        <v>5632</v>
      </c>
      <c r="C4347" s="293" t="s">
        <v>5670</v>
      </c>
      <c r="D4347" s="293" t="s">
        <v>5878</v>
      </c>
      <c r="E4347" s="293" t="s">
        <v>5941</v>
      </c>
      <c r="F4347" s="293" t="s">
        <v>5894</v>
      </c>
      <c r="G4347" s="293" t="s">
        <v>5580</v>
      </c>
      <c r="H4347" s="294">
        <v>41090</v>
      </c>
      <c r="I4347" s="295">
        <v>178389.31</v>
      </c>
    </row>
    <row r="4348" spans="1:9" x14ac:dyDescent="0.2">
      <c r="A4348" s="293" t="s">
        <v>5772</v>
      </c>
      <c r="B4348" s="293" t="s">
        <v>5632</v>
      </c>
      <c r="C4348" s="293" t="s">
        <v>5773</v>
      </c>
      <c r="D4348" s="293" t="s">
        <v>5878</v>
      </c>
      <c r="E4348" s="293" t="s">
        <v>5896</v>
      </c>
      <c r="F4348" s="293" t="s">
        <v>5897</v>
      </c>
      <c r="G4348" s="293" t="s">
        <v>5580</v>
      </c>
      <c r="H4348" s="294">
        <v>40543</v>
      </c>
      <c r="I4348" s="295">
        <v>13419.62</v>
      </c>
    </row>
    <row r="4349" spans="1:9" x14ac:dyDescent="0.2">
      <c r="A4349" s="293" t="s">
        <v>5777</v>
      </c>
      <c r="B4349" s="293" t="s">
        <v>5632</v>
      </c>
      <c r="C4349" s="293" t="s">
        <v>5773</v>
      </c>
      <c r="D4349" s="293" t="s">
        <v>5878</v>
      </c>
      <c r="E4349" s="293" t="s">
        <v>5896</v>
      </c>
      <c r="F4349" s="293" t="s">
        <v>5897</v>
      </c>
      <c r="G4349" s="293" t="s">
        <v>5580</v>
      </c>
      <c r="H4349" s="294">
        <v>40543</v>
      </c>
      <c r="I4349" s="295">
        <v>13419.62</v>
      </c>
    </row>
    <row r="4350" spans="1:9" x14ac:dyDescent="0.2">
      <c r="A4350" s="293" t="s">
        <v>5778</v>
      </c>
      <c r="B4350" s="293" t="s">
        <v>5632</v>
      </c>
      <c r="C4350" s="293" t="s">
        <v>5773</v>
      </c>
      <c r="D4350" s="293" t="s">
        <v>5878</v>
      </c>
      <c r="E4350" s="293" t="s">
        <v>5896</v>
      </c>
      <c r="F4350" s="293" t="s">
        <v>5897</v>
      </c>
      <c r="G4350" s="293" t="s">
        <v>5580</v>
      </c>
      <c r="H4350" s="294">
        <v>40543</v>
      </c>
      <c r="I4350" s="295">
        <v>-13419.62</v>
      </c>
    </row>
    <row r="4351" spans="1:9" x14ac:dyDescent="0.2">
      <c r="A4351" s="293" t="s">
        <v>5779</v>
      </c>
      <c r="B4351" s="293" t="s">
        <v>5632</v>
      </c>
      <c r="C4351" s="293" t="s">
        <v>5780</v>
      </c>
      <c r="D4351" s="293" t="s">
        <v>5878</v>
      </c>
      <c r="E4351" s="293" t="s">
        <v>5942</v>
      </c>
      <c r="F4351" s="293" t="s">
        <v>5897</v>
      </c>
      <c r="G4351" s="293" t="s">
        <v>5580</v>
      </c>
      <c r="H4351" s="294">
        <v>40574</v>
      </c>
      <c r="I4351" s="295">
        <v>-1918.09</v>
      </c>
    </row>
    <row r="4352" spans="1:9" x14ac:dyDescent="0.2">
      <c r="A4352" s="293" t="s">
        <v>5782</v>
      </c>
      <c r="B4352" s="293" t="s">
        <v>5632</v>
      </c>
      <c r="C4352" s="293" t="s">
        <v>5783</v>
      </c>
      <c r="D4352" s="293" t="s">
        <v>5878</v>
      </c>
      <c r="E4352" s="293" t="s">
        <v>5942</v>
      </c>
      <c r="F4352" s="293" t="s">
        <v>5897</v>
      </c>
      <c r="G4352" s="293" t="s">
        <v>5580</v>
      </c>
      <c r="H4352" s="294">
        <v>40602</v>
      </c>
      <c r="I4352" s="295">
        <v>-1918.09</v>
      </c>
    </row>
    <row r="4353" spans="1:9" x14ac:dyDescent="0.2">
      <c r="A4353" s="293" t="s">
        <v>5784</v>
      </c>
      <c r="B4353" s="293" t="s">
        <v>5632</v>
      </c>
      <c r="C4353" s="293" t="s">
        <v>5785</v>
      </c>
      <c r="D4353" s="293" t="s">
        <v>5878</v>
      </c>
      <c r="E4353" s="293" t="s">
        <v>5942</v>
      </c>
      <c r="F4353" s="293" t="s">
        <v>5897</v>
      </c>
      <c r="G4353" s="293" t="s">
        <v>5580</v>
      </c>
      <c r="H4353" s="294">
        <v>40633</v>
      </c>
      <c r="I4353" s="295">
        <v>-1918.09</v>
      </c>
    </row>
    <row r="4354" spans="1:9" x14ac:dyDescent="0.2">
      <c r="A4354" s="293" t="s">
        <v>5786</v>
      </c>
      <c r="B4354" s="293" t="s">
        <v>5632</v>
      </c>
      <c r="C4354" s="293" t="s">
        <v>5787</v>
      </c>
      <c r="D4354" s="293" t="s">
        <v>5878</v>
      </c>
      <c r="E4354" s="293" t="s">
        <v>5942</v>
      </c>
      <c r="F4354" s="293" t="s">
        <v>5897</v>
      </c>
      <c r="G4354" s="293" t="s">
        <v>5580</v>
      </c>
      <c r="H4354" s="294">
        <v>40663</v>
      </c>
      <c r="I4354" s="295">
        <v>-1918.09</v>
      </c>
    </row>
    <row r="4355" spans="1:9" x14ac:dyDescent="0.2">
      <c r="A4355" s="293" t="s">
        <v>5788</v>
      </c>
      <c r="B4355" s="293" t="s">
        <v>5632</v>
      </c>
      <c r="C4355" s="293" t="s">
        <v>5789</v>
      </c>
      <c r="D4355" s="293" t="s">
        <v>5878</v>
      </c>
      <c r="E4355" s="293" t="s">
        <v>5942</v>
      </c>
      <c r="F4355" s="293" t="s">
        <v>5897</v>
      </c>
      <c r="G4355" s="293" t="s">
        <v>5580</v>
      </c>
      <c r="H4355" s="294">
        <v>40694</v>
      </c>
      <c r="I4355" s="295">
        <v>-1918.09</v>
      </c>
    </row>
    <row r="4356" spans="1:9" x14ac:dyDescent="0.2">
      <c r="A4356" s="293" t="s">
        <v>5790</v>
      </c>
      <c r="B4356" s="293" t="s">
        <v>5632</v>
      </c>
      <c r="C4356" s="293" t="s">
        <v>5791</v>
      </c>
      <c r="D4356" s="293" t="s">
        <v>5878</v>
      </c>
      <c r="E4356" s="293" t="s">
        <v>5942</v>
      </c>
      <c r="F4356" s="293" t="s">
        <v>5897</v>
      </c>
      <c r="G4356" s="293" t="s">
        <v>5580</v>
      </c>
      <c r="H4356" s="294">
        <v>40724</v>
      </c>
      <c r="I4356" s="295">
        <v>-1918.09</v>
      </c>
    </row>
    <row r="4357" spans="1:9" x14ac:dyDescent="0.2">
      <c r="A4357" s="293" t="s">
        <v>5792</v>
      </c>
      <c r="B4357" s="293" t="s">
        <v>5632</v>
      </c>
      <c r="C4357" s="293" t="s">
        <v>5793</v>
      </c>
      <c r="D4357" s="293" t="s">
        <v>5878</v>
      </c>
      <c r="E4357" s="293" t="s">
        <v>5942</v>
      </c>
      <c r="F4357" s="293" t="s">
        <v>5897</v>
      </c>
      <c r="G4357" s="293" t="s">
        <v>5580</v>
      </c>
      <c r="H4357" s="294">
        <v>40755</v>
      </c>
      <c r="I4357" s="295">
        <v>-1911.08</v>
      </c>
    </row>
    <row r="4358" spans="1:9" x14ac:dyDescent="0.2">
      <c r="A4358" s="293" t="s">
        <v>5772</v>
      </c>
      <c r="B4358" s="293" t="s">
        <v>5632</v>
      </c>
      <c r="C4358" s="293" t="s">
        <v>5773</v>
      </c>
      <c r="D4358" s="293" t="s">
        <v>5878</v>
      </c>
      <c r="E4358" s="293" t="s">
        <v>5898</v>
      </c>
      <c r="F4358" s="293" t="s">
        <v>5899</v>
      </c>
      <c r="G4358" s="293" t="s">
        <v>5580</v>
      </c>
      <c r="H4358" s="294">
        <v>40543</v>
      </c>
      <c r="I4358" s="295">
        <v>74483.27</v>
      </c>
    </row>
    <row r="4359" spans="1:9" x14ac:dyDescent="0.2">
      <c r="A4359" s="293" t="s">
        <v>5772</v>
      </c>
      <c r="B4359" s="293" t="s">
        <v>5632</v>
      </c>
      <c r="C4359" s="293" t="s">
        <v>5773</v>
      </c>
      <c r="D4359" s="293" t="s">
        <v>5878</v>
      </c>
      <c r="E4359" s="293" t="s">
        <v>5900</v>
      </c>
      <c r="F4359" s="293" t="s">
        <v>5899</v>
      </c>
      <c r="G4359" s="293" t="s">
        <v>5580</v>
      </c>
      <c r="H4359" s="294">
        <v>40543</v>
      </c>
      <c r="I4359" s="295">
        <v>106842.04</v>
      </c>
    </row>
    <row r="4360" spans="1:9" x14ac:dyDescent="0.2">
      <c r="A4360" s="293" t="s">
        <v>5777</v>
      </c>
      <c r="B4360" s="293" t="s">
        <v>5632</v>
      </c>
      <c r="C4360" s="293" t="s">
        <v>5773</v>
      </c>
      <c r="D4360" s="293" t="s">
        <v>5878</v>
      </c>
      <c r="E4360" s="293" t="s">
        <v>5898</v>
      </c>
      <c r="F4360" s="293" t="s">
        <v>5899</v>
      </c>
      <c r="G4360" s="293" t="s">
        <v>5580</v>
      </c>
      <c r="H4360" s="294">
        <v>40543</v>
      </c>
      <c r="I4360" s="295">
        <v>74483.27</v>
      </c>
    </row>
    <row r="4361" spans="1:9" x14ac:dyDescent="0.2">
      <c r="A4361" s="293" t="s">
        <v>5777</v>
      </c>
      <c r="B4361" s="293" t="s">
        <v>5632</v>
      </c>
      <c r="C4361" s="293" t="s">
        <v>5773</v>
      </c>
      <c r="D4361" s="293" t="s">
        <v>5878</v>
      </c>
      <c r="E4361" s="293" t="s">
        <v>5900</v>
      </c>
      <c r="F4361" s="293" t="s">
        <v>5899</v>
      </c>
      <c r="G4361" s="293" t="s">
        <v>5580</v>
      </c>
      <c r="H4361" s="294">
        <v>40543</v>
      </c>
      <c r="I4361" s="295">
        <v>106842.04</v>
      </c>
    </row>
    <row r="4362" spans="1:9" x14ac:dyDescent="0.2">
      <c r="A4362" s="293" t="s">
        <v>5778</v>
      </c>
      <c r="B4362" s="293" t="s">
        <v>5632</v>
      </c>
      <c r="C4362" s="293" t="s">
        <v>5773</v>
      </c>
      <c r="D4362" s="293" t="s">
        <v>5878</v>
      </c>
      <c r="E4362" s="293" t="s">
        <v>5898</v>
      </c>
      <c r="F4362" s="293" t="s">
        <v>5899</v>
      </c>
      <c r="G4362" s="293" t="s">
        <v>5580</v>
      </c>
      <c r="H4362" s="294">
        <v>40543</v>
      </c>
      <c r="I4362" s="295">
        <v>-74483.27</v>
      </c>
    </row>
    <row r="4363" spans="1:9" x14ac:dyDescent="0.2">
      <c r="A4363" s="293" t="s">
        <v>5778</v>
      </c>
      <c r="B4363" s="293" t="s">
        <v>5632</v>
      </c>
      <c r="C4363" s="293" t="s">
        <v>5773</v>
      </c>
      <c r="D4363" s="293" t="s">
        <v>5878</v>
      </c>
      <c r="E4363" s="293" t="s">
        <v>5900</v>
      </c>
      <c r="F4363" s="293" t="s">
        <v>5899</v>
      </c>
      <c r="G4363" s="293" t="s">
        <v>5580</v>
      </c>
      <c r="H4363" s="294">
        <v>40543</v>
      </c>
      <c r="I4363" s="295">
        <v>-106842.04</v>
      </c>
    </row>
    <row r="4364" spans="1:9" x14ac:dyDescent="0.2">
      <c r="A4364" s="293" t="s">
        <v>5779</v>
      </c>
      <c r="B4364" s="293" t="s">
        <v>5632</v>
      </c>
      <c r="C4364" s="293" t="s">
        <v>5780</v>
      </c>
      <c r="D4364" s="293" t="s">
        <v>5878</v>
      </c>
      <c r="E4364" s="293" t="s">
        <v>5943</v>
      </c>
      <c r="F4364" s="293" t="s">
        <v>5899</v>
      </c>
      <c r="G4364" s="293" t="s">
        <v>5580</v>
      </c>
      <c r="H4364" s="294">
        <v>40574</v>
      </c>
      <c r="I4364" s="295">
        <v>-4819.34</v>
      </c>
    </row>
    <row r="4365" spans="1:9" x14ac:dyDescent="0.2">
      <c r="A4365" s="293" t="s">
        <v>5779</v>
      </c>
      <c r="B4365" s="293" t="s">
        <v>5632</v>
      </c>
      <c r="C4365" s="293" t="s">
        <v>5780</v>
      </c>
      <c r="D4365" s="293" t="s">
        <v>5878</v>
      </c>
      <c r="E4365" s="293" t="s">
        <v>5944</v>
      </c>
      <c r="F4365" s="293" t="s">
        <v>5899</v>
      </c>
      <c r="G4365" s="293" t="s">
        <v>5580</v>
      </c>
      <c r="H4365" s="294">
        <v>40574</v>
      </c>
      <c r="I4365" s="295">
        <v>-6912.2</v>
      </c>
    </row>
    <row r="4366" spans="1:9" x14ac:dyDescent="0.2">
      <c r="A4366" s="293" t="s">
        <v>5782</v>
      </c>
      <c r="B4366" s="293" t="s">
        <v>5632</v>
      </c>
      <c r="C4366" s="293" t="s">
        <v>5783</v>
      </c>
      <c r="D4366" s="293" t="s">
        <v>5878</v>
      </c>
      <c r="E4366" s="293" t="s">
        <v>5943</v>
      </c>
      <c r="F4366" s="293" t="s">
        <v>5899</v>
      </c>
      <c r="G4366" s="293" t="s">
        <v>5580</v>
      </c>
      <c r="H4366" s="294">
        <v>40602</v>
      </c>
      <c r="I4366" s="295">
        <v>-4819.34</v>
      </c>
    </row>
    <row r="4367" spans="1:9" x14ac:dyDescent="0.2">
      <c r="A4367" s="293" t="s">
        <v>5782</v>
      </c>
      <c r="B4367" s="293" t="s">
        <v>5632</v>
      </c>
      <c r="C4367" s="293" t="s">
        <v>5783</v>
      </c>
      <c r="D4367" s="293" t="s">
        <v>5878</v>
      </c>
      <c r="E4367" s="293" t="s">
        <v>5944</v>
      </c>
      <c r="F4367" s="293" t="s">
        <v>5899</v>
      </c>
      <c r="G4367" s="293" t="s">
        <v>5580</v>
      </c>
      <c r="H4367" s="294">
        <v>40602</v>
      </c>
      <c r="I4367" s="295">
        <v>-6912.2</v>
      </c>
    </row>
    <row r="4368" spans="1:9" x14ac:dyDescent="0.2">
      <c r="A4368" s="293" t="s">
        <v>5784</v>
      </c>
      <c r="B4368" s="293" t="s">
        <v>5632</v>
      </c>
      <c r="C4368" s="293" t="s">
        <v>5785</v>
      </c>
      <c r="D4368" s="293" t="s">
        <v>5878</v>
      </c>
      <c r="E4368" s="293" t="s">
        <v>5943</v>
      </c>
      <c r="F4368" s="293" t="s">
        <v>5899</v>
      </c>
      <c r="G4368" s="293" t="s">
        <v>5580</v>
      </c>
      <c r="H4368" s="294">
        <v>40633</v>
      </c>
      <c r="I4368" s="295">
        <v>-4819.34</v>
      </c>
    </row>
    <row r="4369" spans="1:9" x14ac:dyDescent="0.2">
      <c r="A4369" s="293" t="s">
        <v>5784</v>
      </c>
      <c r="B4369" s="293" t="s">
        <v>5632</v>
      </c>
      <c r="C4369" s="293" t="s">
        <v>5785</v>
      </c>
      <c r="D4369" s="293" t="s">
        <v>5878</v>
      </c>
      <c r="E4369" s="293" t="s">
        <v>5944</v>
      </c>
      <c r="F4369" s="293" t="s">
        <v>5899</v>
      </c>
      <c r="G4369" s="293" t="s">
        <v>5580</v>
      </c>
      <c r="H4369" s="294">
        <v>40633</v>
      </c>
      <c r="I4369" s="295">
        <v>-6912.2</v>
      </c>
    </row>
    <row r="4370" spans="1:9" x14ac:dyDescent="0.2">
      <c r="A4370" s="293" t="s">
        <v>5786</v>
      </c>
      <c r="B4370" s="293" t="s">
        <v>5632</v>
      </c>
      <c r="C4370" s="293" t="s">
        <v>5787</v>
      </c>
      <c r="D4370" s="293" t="s">
        <v>5878</v>
      </c>
      <c r="E4370" s="293" t="s">
        <v>5943</v>
      </c>
      <c r="F4370" s="293" t="s">
        <v>5899</v>
      </c>
      <c r="G4370" s="293" t="s">
        <v>5580</v>
      </c>
      <c r="H4370" s="294">
        <v>40663</v>
      </c>
      <c r="I4370" s="295">
        <v>-4819.34</v>
      </c>
    </row>
    <row r="4371" spans="1:9" x14ac:dyDescent="0.2">
      <c r="A4371" s="293" t="s">
        <v>5786</v>
      </c>
      <c r="B4371" s="293" t="s">
        <v>5632</v>
      </c>
      <c r="C4371" s="293" t="s">
        <v>5787</v>
      </c>
      <c r="D4371" s="293" t="s">
        <v>5878</v>
      </c>
      <c r="E4371" s="293" t="s">
        <v>5944</v>
      </c>
      <c r="F4371" s="293" t="s">
        <v>5899</v>
      </c>
      <c r="G4371" s="293" t="s">
        <v>5580</v>
      </c>
      <c r="H4371" s="294">
        <v>40663</v>
      </c>
      <c r="I4371" s="295">
        <v>-6912.2</v>
      </c>
    </row>
    <row r="4372" spans="1:9" x14ac:dyDescent="0.2">
      <c r="A4372" s="293" t="s">
        <v>5788</v>
      </c>
      <c r="B4372" s="293" t="s">
        <v>5632</v>
      </c>
      <c r="C4372" s="293" t="s">
        <v>5789</v>
      </c>
      <c r="D4372" s="293" t="s">
        <v>5878</v>
      </c>
      <c r="E4372" s="293" t="s">
        <v>5943</v>
      </c>
      <c r="F4372" s="293" t="s">
        <v>5899</v>
      </c>
      <c r="G4372" s="293" t="s">
        <v>5580</v>
      </c>
      <c r="H4372" s="294">
        <v>40694</v>
      </c>
      <c r="I4372" s="295">
        <v>-4600.47</v>
      </c>
    </row>
    <row r="4373" spans="1:9" x14ac:dyDescent="0.2">
      <c r="A4373" s="293" t="s">
        <v>5788</v>
      </c>
      <c r="B4373" s="293" t="s">
        <v>5632</v>
      </c>
      <c r="C4373" s="293" t="s">
        <v>5789</v>
      </c>
      <c r="D4373" s="293" t="s">
        <v>5878</v>
      </c>
      <c r="E4373" s="293" t="s">
        <v>5944</v>
      </c>
      <c r="F4373" s="293" t="s">
        <v>5899</v>
      </c>
      <c r="G4373" s="293" t="s">
        <v>5580</v>
      </c>
      <c r="H4373" s="294">
        <v>40694</v>
      </c>
      <c r="I4373" s="295">
        <v>-6598.4</v>
      </c>
    </row>
    <row r="4374" spans="1:9" x14ac:dyDescent="0.2">
      <c r="A4374" s="293" t="s">
        <v>5790</v>
      </c>
      <c r="B4374" s="293" t="s">
        <v>5632</v>
      </c>
      <c r="C4374" s="293" t="s">
        <v>5791</v>
      </c>
      <c r="D4374" s="293" t="s">
        <v>5878</v>
      </c>
      <c r="E4374" s="293" t="s">
        <v>5943</v>
      </c>
      <c r="F4374" s="293" t="s">
        <v>5899</v>
      </c>
      <c r="G4374" s="293" t="s">
        <v>5580</v>
      </c>
      <c r="H4374" s="294">
        <v>40724</v>
      </c>
      <c r="I4374" s="295">
        <v>-4600.47</v>
      </c>
    </row>
    <row r="4375" spans="1:9" x14ac:dyDescent="0.2">
      <c r="A4375" s="293" t="s">
        <v>5790</v>
      </c>
      <c r="B4375" s="293" t="s">
        <v>5632</v>
      </c>
      <c r="C4375" s="293" t="s">
        <v>5791</v>
      </c>
      <c r="D4375" s="293" t="s">
        <v>5878</v>
      </c>
      <c r="E4375" s="293" t="s">
        <v>5944</v>
      </c>
      <c r="F4375" s="293" t="s">
        <v>5899</v>
      </c>
      <c r="G4375" s="293" t="s">
        <v>5580</v>
      </c>
      <c r="H4375" s="294">
        <v>40724</v>
      </c>
      <c r="I4375" s="295">
        <v>-6598.4</v>
      </c>
    </row>
    <row r="4376" spans="1:9" x14ac:dyDescent="0.2">
      <c r="A4376" s="293" t="s">
        <v>5792</v>
      </c>
      <c r="B4376" s="293" t="s">
        <v>5632</v>
      </c>
      <c r="C4376" s="293" t="s">
        <v>5793</v>
      </c>
      <c r="D4376" s="293" t="s">
        <v>5878</v>
      </c>
      <c r="E4376" s="293" t="s">
        <v>5943</v>
      </c>
      <c r="F4376" s="293" t="s">
        <v>5899</v>
      </c>
      <c r="G4376" s="293" t="s">
        <v>5580</v>
      </c>
      <c r="H4376" s="294">
        <v>40755</v>
      </c>
      <c r="I4376" s="295">
        <v>-4600.47</v>
      </c>
    </row>
    <row r="4377" spans="1:9" x14ac:dyDescent="0.2">
      <c r="A4377" s="293" t="s">
        <v>5792</v>
      </c>
      <c r="B4377" s="293" t="s">
        <v>5632</v>
      </c>
      <c r="C4377" s="293" t="s">
        <v>5793</v>
      </c>
      <c r="D4377" s="293" t="s">
        <v>5878</v>
      </c>
      <c r="E4377" s="293" t="s">
        <v>5944</v>
      </c>
      <c r="F4377" s="293" t="s">
        <v>5899</v>
      </c>
      <c r="G4377" s="293" t="s">
        <v>5580</v>
      </c>
      <c r="H4377" s="294">
        <v>40755</v>
      </c>
      <c r="I4377" s="295">
        <v>-6598.4</v>
      </c>
    </row>
    <row r="4378" spans="1:9" x14ac:dyDescent="0.2">
      <c r="A4378" s="293" t="s">
        <v>5794</v>
      </c>
      <c r="B4378" s="293" t="s">
        <v>5632</v>
      </c>
      <c r="C4378" s="293" t="s">
        <v>5795</v>
      </c>
      <c r="D4378" s="293" t="s">
        <v>5878</v>
      </c>
      <c r="E4378" s="293" t="s">
        <v>5943</v>
      </c>
      <c r="F4378" s="293" t="s">
        <v>5899</v>
      </c>
      <c r="G4378" s="293" t="s">
        <v>5580</v>
      </c>
      <c r="H4378" s="294">
        <v>40786</v>
      </c>
      <c r="I4378" s="295">
        <v>-4600.47</v>
      </c>
    </row>
    <row r="4379" spans="1:9" x14ac:dyDescent="0.2">
      <c r="A4379" s="293" t="s">
        <v>5794</v>
      </c>
      <c r="B4379" s="293" t="s">
        <v>5632</v>
      </c>
      <c r="C4379" s="293" t="s">
        <v>5795</v>
      </c>
      <c r="D4379" s="293" t="s">
        <v>5878</v>
      </c>
      <c r="E4379" s="293" t="s">
        <v>5944</v>
      </c>
      <c r="F4379" s="293" t="s">
        <v>5899</v>
      </c>
      <c r="G4379" s="293" t="s">
        <v>5580</v>
      </c>
      <c r="H4379" s="294">
        <v>40786</v>
      </c>
      <c r="I4379" s="295">
        <v>-6598.4</v>
      </c>
    </row>
    <row r="4380" spans="1:9" x14ac:dyDescent="0.2">
      <c r="A4380" s="293" t="s">
        <v>5796</v>
      </c>
      <c r="B4380" s="293" t="s">
        <v>5632</v>
      </c>
      <c r="C4380" s="293" t="s">
        <v>5797</v>
      </c>
      <c r="D4380" s="293" t="s">
        <v>5878</v>
      </c>
      <c r="E4380" s="293" t="s">
        <v>5943</v>
      </c>
      <c r="F4380" s="293" t="s">
        <v>5899</v>
      </c>
      <c r="G4380" s="293" t="s">
        <v>5580</v>
      </c>
      <c r="H4380" s="294">
        <v>40816</v>
      </c>
      <c r="I4380" s="295">
        <v>-4600.47</v>
      </c>
    </row>
    <row r="4381" spans="1:9" x14ac:dyDescent="0.2">
      <c r="A4381" s="293" t="s">
        <v>5796</v>
      </c>
      <c r="B4381" s="293" t="s">
        <v>5632</v>
      </c>
      <c r="C4381" s="293" t="s">
        <v>5797</v>
      </c>
      <c r="D4381" s="293" t="s">
        <v>5878</v>
      </c>
      <c r="E4381" s="293" t="s">
        <v>5944</v>
      </c>
      <c r="F4381" s="293" t="s">
        <v>5899</v>
      </c>
      <c r="G4381" s="293" t="s">
        <v>5580</v>
      </c>
      <c r="H4381" s="294">
        <v>40816</v>
      </c>
      <c r="I4381" s="295">
        <v>-6598.4</v>
      </c>
    </row>
    <row r="4382" spans="1:9" x14ac:dyDescent="0.2">
      <c r="A4382" s="293" t="s">
        <v>5798</v>
      </c>
      <c r="B4382" s="293" t="s">
        <v>5632</v>
      </c>
      <c r="C4382" s="293" t="s">
        <v>5799</v>
      </c>
      <c r="D4382" s="293" t="s">
        <v>5878</v>
      </c>
      <c r="E4382" s="293" t="s">
        <v>5943</v>
      </c>
      <c r="F4382" s="293" t="s">
        <v>5899</v>
      </c>
      <c r="G4382" s="293" t="s">
        <v>5580</v>
      </c>
      <c r="H4382" s="294">
        <v>40847</v>
      </c>
      <c r="I4382" s="295">
        <v>-4600.47</v>
      </c>
    </row>
    <row r="4383" spans="1:9" x14ac:dyDescent="0.2">
      <c r="A4383" s="293" t="s">
        <v>5798</v>
      </c>
      <c r="B4383" s="293" t="s">
        <v>5632</v>
      </c>
      <c r="C4383" s="293" t="s">
        <v>5799</v>
      </c>
      <c r="D4383" s="293" t="s">
        <v>5878</v>
      </c>
      <c r="E4383" s="293" t="s">
        <v>5944</v>
      </c>
      <c r="F4383" s="293" t="s">
        <v>5899</v>
      </c>
      <c r="G4383" s="293" t="s">
        <v>5580</v>
      </c>
      <c r="H4383" s="294">
        <v>40847</v>
      </c>
      <c r="I4383" s="295">
        <v>-6598.4</v>
      </c>
    </row>
    <row r="4384" spans="1:9" x14ac:dyDescent="0.2">
      <c r="A4384" s="293" t="s">
        <v>5800</v>
      </c>
      <c r="B4384" s="293" t="s">
        <v>5632</v>
      </c>
      <c r="C4384" s="293" t="s">
        <v>5801</v>
      </c>
      <c r="D4384" s="293" t="s">
        <v>5878</v>
      </c>
      <c r="E4384" s="293" t="s">
        <v>5943</v>
      </c>
      <c r="F4384" s="293" t="s">
        <v>5899</v>
      </c>
      <c r="G4384" s="293" t="s">
        <v>5580</v>
      </c>
      <c r="H4384" s="294">
        <v>40877</v>
      </c>
      <c r="I4384" s="295">
        <v>-4600.47</v>
      </c>
    </row>
    <row r="4385" spans="1:9" x14ac:dyDescent="0.2">
      <c r="A4385" s="293" t="s">
        <v>5800</v>
      </c>
      <c r="B4385" s="293" t="s">
        <v>5632</v>
      </c>
      <c r="C4385" s="293" t="s">
        <v>5801</v>
      </c>
      <c r="D4385" s="293" t="s">
        <v>5878</v>
      </c>
      <c r="E4385" s="293" t="s">
        <v>5944</v>
      </c>
      <c r="F4385" s="293" t="s">
        <v>5899</v>
      </c>
      <c r="G4385" s="293" t="s">
        <v>5580</v>
      </c>
      <c r="H4385" s="294">
        <v>40877</v>
      </c>
      <c r="I4385" s="295">
        <v>-6598.4</v>
      </c>
    </row>
    <row r="4386" spans="1:9" x14ac:dyDescent="0.2">
      <c r="A4386" s="293" t="s">
        <v>5802</v>
      </c>
      <c r="B4386" s="293" t="s">
        <v>5632</v>
      </c>
      <c r="C4386" s="293" t="s">
        <v>5803</v>
      </c>
      <c r="D4386" s="293" t="s">
        <v>5878</v>
      </c>
      <c r="E4386" s="293" t="s">
        <v>5943</v>
      </c>
      <c r="F4386" s="293" t="s">
        <v>5899</v>
      </c>
      <c r="G4386" s="293" t="s">
        <v>5580</v>
      </c>
      <c r="H4386" s="294">
        <v>40908</v>
      </c>
      <c r="I4386" s="295">
        <v>-4600.47</v>
      </c>
    </row>
    <row r="4387" spans="1:9" x14ac:dyDescent="0.2">
      <c r="A4387" s="293" t="s">
        <v>5802</v>
      </c>
      <c r="B4387" s="293" t="s">
        <v>5632</v>
      </c>
      <c r="C4387" s="293" t="s">
        <v>5803</v>
      </c>
      <c r="D4387" s="293" t="s">
        <v>5878</v>
      </c>
      <c r="E4387" s="293" t="s">
        <v>5944</v>
      </c>
      <c r="F4387" s="293" t="s">
        <v>5899</v>
      </c>
      <c r="G4387" s="293" t="s">
        <v>5580</v>
      </c>
      <c r="H4387" s="294">
        <v>40908</v>
      </c>
      <c r="I4387" s="295">
        <v>-6598.4</v>
      </c>
    </row>
    <row r="4388" spans="1:9" x14ac:dyDescent="0.2">
      <c r="A4388" s="293" t="s">
        <v>5631</v>
      </c>
      <c r="B4388" s="293" t="s">
        <v>5632</v>
      </c>
      <c r="C4388" s="293" t="s">
        <v>5633</v>
      </c>
      <c r="D4388" s="293" t="s">
        <v>5878</v>
      </c>
      <c r="E4388" s="293" t="s">
        <v>5943</v>
      </c>
      <c r="F4388" s="293" t="s">
        <v>5899</v>
      </c>
      <c r="G4388" s="293" t="s">
        <v>5580</v>
      </c>
      <c r="H4388" s="294">
        <v>40939</v>
      </c>
      <c r="I4388" s="295">
        <v>-4600.47</v>
      </c>
    </row>
    <row r="4389" spans="1:9" x14ac:dyDescent="0.2">
      <c r="A4389" s="293" t="s">
        <v>5631</v>
      </c>
      <c r="B4389" s="293" t="s">
        <v>5632</v>
      </c>
      <c r="C4389" s="293" t="s">
        <v>5633</v>
      </c>
      <c r="D4389" s="293" t="s">
        <v>5878</v>
      </c>
      <c r="E4389" s="293" t="s">
        <v>5944</v>
      </c>
      <c r="F4389" s="293" t="s">
        <v>5899</v>
      </c>
      <c r="G4389" s="293" t="s">
        <v>5580</v>
      </c>
      <c r="H4389" s="294">
        <v>40939</v>
      </c>
      <c r="I4389" s="295">
        <v>-6598.4</v>
      </c>
    </row>
    <row r="4390" spans="1:9" x14ac:dyDescent="0.2">
      <c r="A4390" s="293" t="s">
        <v>5651</v>
      </c>
      <c r="B4390" s="293" t="s">
        <v>5632</v>
      </c>
      <c r="C4390" s="293" t="s">
        <v>5652</v>
      </c>
      <c r="D4390" s="293" t="s">
        <v>5878</v>
      </c>
      <c r="E4390" s="293" t="s">
        <v>5943</v>
      </c>
      <c r="F4390" s="293" t="s">
        <v>5899</v>
      </c>
      <c r="G4390" s="293" t="s">
        <v>5580</v>
      </c>
      <c r="H4390" s="294">
        <v>40968</v>
      </c>
      <c r="I4390" s="295">
        <v>-4600.47</v>
      </c>
    </row>
    <row r="4391" spans="1:9" x14ac:dyDescent="0.2">
      <c r="A4391" s="293" t="s">
        <v>5651</v>
      </c>
      <c r="B4391" s="293" t="s">
        <v>5632</v>
      </c>
      <c r="C4391" s="293" t="s">
        <v>5652</v>
      </c>
      <c r="D4391" s="293" t="s">
        <v>5878</v>
      </c>
      <c r="E4391" s="293" t="s">
        <v>5944</v>
      </c>
      <c r="F4391" s="293" t="s">
        <v>5899</v>
      </c>
      <c r="G4391" s="293" t="s">
        <v>5580</v>
      </c>
      <c r="H4391" s="294">
        <v>40968</v>
      </c>
      <c r="I4391" s="295">
        <v>-6598.4</v>
      </c>
    </row>
    <row r="4392" spans="1:9" x14ac:dyDescent="0.2">
      <c r="A4392" s="293" t="s">
        <v>5804</v>
      </c>
      <c r="B4392" s="293" t="s">
        <v>5632</v>
      </c>
      <c r="C4392" s="293" t="s">
        <v>5656</v>
      </c>
      <c r="D4392" s="293" t="s">
        <v>5878</v>
      </c>
      <c r="E4392" s="293" t="s">
        <v>5943</v>
      </c>
      <c r="F4392" s="293" t="s">
        <v>5899</v>
      </c>
      <c r="G4392" s="293" t="s">
        <v>5580</v>
      </c>
      <c r="H4392" s="294">
        <v>40999</v>
      </c>
      <c r="I4392" s="295">
        <v>-4600.47</v>
      </c>
    </row>
    <row r="4393" spans="1:9" x14ac:dyDescent="0.2">
      <c r="A4393" s="293" t="s">
        <v>5804</v>
      </c>
      <c r="B4393" s="293" t="s">
        <v>5632</v>
      </c>
      <c r="C4393" s="293" t="s">
        <v>5656</v>
      </c>
      <c r="D4393" s="293" t="s">
        <v>5878</v>
      </c>
      <c r="E4393" s="293" t="s">
        <v>5944</v>
      </c>
      <c r="F4393" s="293" t="s">
        <v>5899</v>
      </c>
      <c r="G4393" s="293" t="s">
        <v>5580</v>
      </c>
      <c r="H4393" s="294">
        <v>40999</v>
      </c>
      <c r="I4393" s="295">
        <v>-6598.4</v>
      </c>
    </row>
    <row r="4394" spans="1:9" x14ac:dyDescent="0.2">
      <c r="A4394" s="293" t="s">
        <v>5805</v>
      </c>
      <c r="B4394" s="293" t="s">
        <v>5632</v>
      </c>
      <c r="C4394" s="293" t="s">
        <v>5659</v>
      </c>
      <c r="D4394" s="293" t="s">
        <v>5878</v>
      </c>
      <c r="E4394" s="293" t="s">
        <v>5943</v>
      </c>
      <c r="F4394" s="293" t="s">
        <v>5899</v>
      </c>
      <c r="G4394" s="293" t="s">
        <v>5580</v>
      </c>
      <c r="H4394" s="294">
        <v>41029</v>
      </c>
      <c r="I4394" s="295">
        <v>-4600.74</v>
      </c>
    </row>
    <row r="4395" spans="1:9" x14ac:dyDescent="0.2">
      <c r="A4395" s="293" t="s">
        <v>5805</v>
      </c>
      <c r="B4395" s="293" t="s">
        <v>5632</v>
      </c>
      <c r="C4395" s="293" t="s">
        <v>5659</v>
      </c>
      <c r="D4395" s="293" t="s">
        <v>5878</v>
      </c>
      <c r="E4395" s="293" t="s">
        <v>5944</v>
      </c>
      <c r="F4395" s="293" t="s">
        <v>5899</v>
      </c>
      <c r="G4395" s="293" t="s">
        <v>5580</v>
      </c>
      <c r="H4395" s="294">
        <v>41029</v>
      </c>
      <c r="I4395" s="295">
        <v>-6610.84</v>
      </c>
    </row>
    <row r="4396" spans="1:9" x14ac:dyDescent="0.2">
      <c r="A4396" s="293" t="s">
        <v>5772</v>
      </c>
      <c r="B4396" s="293" t="s">
        <v>5632</v>
      </c>
      <c r="C4396" s="293" t="s">
        <v>5773</v>
      </c>
      <c r="D4396" s="293" t="s">
        <v>5878</v>
      </c>
      <c r="E4396" s="293" t="s">
        <v>5901</v>
      </c>
      <c r="F4396" s="293" t="s">
        <v>5902</v>
      </c>
      <c r="G4396" s="293" t="s">
        <v>5580</v>
      </c>
      <c r="H4396" s="294">
        <v>40543</v>
      </c>
      <c r="I4396" s="295">
        <v>59418.559999999998</v>
      </c>
    </row>
    <row r="4397" spans="1:9" x14ac:dyDescent="0.2">
      <c r="A4397" s="293" t="s">
        <v>5772</v>
      </c>
      <c r="B4397" s="293" t="s">
        <v>5632</v>
      </c>
      <c r="C4397" s="293" t="s">
        <v>5773</v>
      </c>
      <c r="D4397" s="293" t="s">
        <v>5878</v>
      </c>
      <c r="E4397" s="293" t="s">
        <v>5903</v>
      </c>
      <c r="F4397" s="293" t="s">
        <v>5902</v>
      </c>
      <c r="G4397" s="293" t="s">
        <v>5580</v>
      </c>
      <c r="H4397" s="294">
        <v>40543</v>
      </c>
      <c r="I4397" s="295">
        <v>414885.33</v>
      </c>
    </row>
    <row r="4398" spans="1:9" x14ac:dyDescent="0.2">
      <c r="A4398" s="293" t="s">
        <v>5777</v>
      </c>
      <c r="B4398" s="293" t="s">
        <v>5632</v>
      </c>
      <c r="C4398" s="293" t="s">
        <v>5773</v>
      </c>
      <c r="D4398" s="293" t="s">
        <v>5878</v>
      </c>
      <c r="E4398" s="293" t="s">
        <v>5901</v>
      </c>
      <c r="F4398" s="293" t="s">
        <v>5902</v>
      </c>
      <c r="G4398" s="293" t="s">
        <v>5580</v>
      </c>
      <c r="H4398" s="294">
        <v>40543</v>
      </c>
      <c r="I4398" s="295">
        <v>59418.559999999998</v>
      </c>
    </row>
    <row r="4399" spans="1:9" x14ac:dyDescent="0.2">
      <c r="A4399" s="293" t="s">
        <v>5777</v>
      </c>
      <c r="B4399" s="293" t="s">
        <v>5632</v>
      </c>
      <c r="C4399" s="293" t="s">
        <v>5773</v>
      </c>
      <c r="D4399" s="293" t="s">
        <v>5878</v>
      </c>
      <c r="E4399" s="293" t="s">
        <v>5903</v>
      </c>
      <c r="F4399" s="293" t="s">
        <v>5902</v>
      </c>
      <c r="G4399" s="293" t="s">
        <v>5580</v>
      </c>
      <c r="H4399" s="294">
        <v>40543</v>
      </c>
      <c r="I4399" s="295">
        <v>414885.33</v>
      </c>
    </row>
    <row r="4400" spans="1:9" x14ac:dyDescent="0.2">
      <c r="A4400" s="293" t="s">
        <v>5778</v>
      </c>
      <c r="B4400" s="293" t="s">
        <v>5632</v>
      </c>
      <c r="C4400" s="293" t="s">
        <v>5773</v>
      </c>
      <c r="D4400" s="293" t="s">
        <v>5878</v>
      </c>
      <c r="E4400" s="293" t="s">
        <v>5901</v>
      </c>
      <c r="F4400" s="293" t="s">
        <v>5902</v>
      </c>
      <c r="G4400" s="293" t="s">
        <v>5580</v>
      </c>
      <c r="H4400" s="294">
        <v>40543</v>
      </c>
      <c r="I4400" s="295">
        <v>-59418.559999999998</v>
      </c>
    </row>
    <row r="4401" spans="1:9" x14ac:dyDescent="0.2">
      <c r="A4401" s="293" t="s">
        <v>5778</v>
      </c>
      <c r="B4401" s="293" t="s">
        <v>5632</v>
      </c>
      <c r="C4401" s="293" t="s">
        <v>5773</v>
      </c>
      <c r="D4401" s="293" t="s">
        <v>5878</v>
      </c>
      <c r="E4401" s="293" t="s">
        <v>5903</v>
      </c>
      <c r="F4401" s="293" t="s">
        <v>5902</v>
      </c>
      <c r="G4401" s="293" t="s">
        <v>5580</v>
      </c>
      <c r="H4401" s="294">
        <v>40543</v>
      </c>
      <c r="I4401" s="295">
        <v>-414885.33</v>
      </c>
    </row>
    <row r="4402" spans="1:9" x14ac:dyDescent="0.2">
      <c r="A4402" s="293" t="s">
        <v>5779</v>
      </c>
      <c r="B4402" s="293" t="s">
        <v>5632</v>
      </c>
      <c r="C4402" s="293" t="s">
        <v>5780</v>
      </c>
      <c r="D4402" s="293" t="s">
        <v>5878</v>
      </c>
      <c r="E4402" s="293" t="s">
        <v>5945</v>
      </c>
      <c r="F4402" s="293" t="s">
        <v>5902</v>
      </c>
      <c r="G4402" s="293" t="s">
        <v>5580</v>
      </c>
      <c r="H4402" s="294">
        <v>40574</v>
      </c>
      <c r="I4402" s="295">
        <v>-467.85</v>
      </c>
    </row>
    <row r="4403" spans="1:9" x14ac:dyDescent="0.2">
      <c r="A4403" s="293" t="s">
        <v>5779</v>
      </c>
      <c r="B4403" s="293" t="s">
        <v>5632</v>
      </c>
      <c r="C4403" s="293" t="s">
        <v>5780</v>
      </c>
      <c r="D4403" s="293" t="s">
        <v>5878</v>
      </c>
      <c r="E4403" s="293" t="s">
        <v>5946</v>
      </c>
      <c r="F4403" s="293" t="s">
        <v>5902</v>
      </c>
      <c r="G4403" s="293" t="s">
        <v>5580</v>
      </c>
      <c r="H4403" s="294">
        <v>40574</v>
      </c>
      <c r="I4403" s="295">
        <v>-3266.81</v>
      </c>
    </row>
    <row r="4404" spans="1:9" x14ac:dyDescent="0.2">
      <c r="A4404" s="293" t="s">
        <v>5782</v>
      </c>
      <c r="B4404" s="293" t="s">
        <v>5632</v>
      </c>
      <c r="C4404" s="293" t="s">
        <v>5783</v>
      </c>
      <c r="D4404" s="293" t="s">
        <v>5878</v>
      </c>
      <c r="E4404" s="293" t="s">
        <v>5945</v>
      </c>
      <c r="F4404" s="293" t="s">
        <v>5902</v>
      </c>
      <c r="G4404" s="293" t="s">
        <v>5580</v>
      </c>
      <c r="H4404" s="294">
        <v>40602</v>
      </c>
      <c r="I4404" s="295">
        <v>-467.85</v>
      </c>
    </row>
    <row r="4405" spans="1:9" x14ac:dyDescent="0.2">
      <c r="A4405" s="293" t="s">
        <v>5782</v>
      </c>
      <c r="B4405" s="293" t="s">
        <v>5632</v>
      </c>
      <c r="C4405" s="293" t="s">
        <v>5783</v>
      </c>
      <c r="D4405" s="293" t="s">
        <v>5878</v>
      </c>
      <c r="E4405" s="293" t="s">
        <v>5946</v>
      </c>
      <c r="F4405" s="293" t="s">
        <v>5902</v>
      </c>
      <c r="G4405" s="293" t="s">
        <v>5580</v>
      </c>
      <c r="H4405" s="294">
        <v>40602</v>
      </c>
      <c r="I4405" s="295">
        <v>-3266.81</v>
      </c>
    </row>
    <row r="4406" spans="1:9" x14ac:dyDescent="0.2">
      <c r="A4406" s="293" t="s">
        <v>5784</v>
      </c>
      <c r="B4406" s="293" t="s">
        <v>5632</v>
      </c>
      <c r="C4406" s="293" t="s">
        <v>5785</v>
      </c>
      <c r="D4406" s="293" t="s">
        <v>5878</v>
      </c>
      <c r="E4406" s="293" t="s">
        <v>5945</v>
      </c>
      <c r="F4406" s="293" t="s">
        <v>5902</v>
      </c>
      <c r="G4406" s="293" t="s">
        <v>5580</v>
      </c>
      <c r="H4406" s="294">
        <v>40633</v>
      </c>
      <c r="I4406" s="295">
        <v>-467.85</v>
      </c>
    </row>
    <row r="4407" spans="1:9" x14ac:dyDescent="0.2">
      <c r="A4407" s="293" t="s">
        <v>5784</v>
      </c>
      <c r="B4407" s="293" t="s">
        <v>5632</v>
      </c>
      <c r="C4407" s="293" t="s">
        <v>5785</v>
      </c>
      <c r="D4407" s="293" t="s">
        <v>5878</v>
      </c>
      <c r="E4407" s="293" t="s">
        <v>5946</v>
      </c>
      <c r="F4407" s="293" t="s">
        <v>5902</v>
      </c>
      <c r="G4407" s="293" t="s">
        <v>5580</v>
      </c>
      <c r="H4407" s="294">
        <v>40633</v>
      </c>
      <c r="I4407" s="295">
        <v>-3266.81</v>
      </c>
    </row>
    <row r="4408" spans="1:9" x14ac:dyDescent="0.2">
      <c r="A4408" s="293" t="s">
        <v>5786</v>
      </c>
      <c r="B4408" s="293" t="s">
        <v>5632</v>
      </c>
      <c r="C4408" s="293" t="s">
        <v>5787</v>
      </c>
      <c r="D4408" s="293" t="s">
        <v>5878</v>
      </c>
      <c r="E4408" s="293" t="s">
        <v>5945</v>
      </c>
      <c r="F4408" s="293" t="s">
        <v>5902</v>
      </c>
      <c r="G4408" s="293" t="s">
        <v>5580</v>
      </c>
      <c r="H4408" s="294">
        <v>40663</v>
      </c>
      <c r="I4408" s="295">
        <v>-467.85</v>
      </c>
    </row>
    <row r="4409" spans="1:9" x14ac:dyDescent="0.2">
      <c r="A4409" s="293" t="s">
        <v>5786</v>
      </c>
      <c r="B4409" s="293" t="s">
        <v>5632</v>
      </c>
      <c r="C4409" s="293" t="s">
        <v>5787</v>
      </c>
      <c r="D4409" s="293" t="s">
        <v>5878</v>
      </c>
      <c r="E4409" s="293" t="s">
        <v>5946</v>
      </c>
      <c r="F4409" s="293" t="s">
        <v>5902</v>
      </c>
      <c r="G4409" s="293" t="s">
        <v>5580</v>
      </c>
      <c r="H4409" s="294">
        <v>40663</v>
      </c>
      <c r="I4409" s="295">
        <v>-3266.81</v>
      </c>
    </row>
    <row r="4410" spans="1:9" x14ac:dyDescent="0.2">
      <c r="A4410" s="293" t="s">
        <v>5788</v>
      </c>
      <c r="B4410" s="293" t="s">
        <v>5632</v>
      </c>
      <c r="C4410" s="293" t="s">
        <v>5789</v>
      </c>
      <c r="D4410" s="293" t="s">
        <v>5878</v>
      </c>
      <c r="E4410" s="293" t="s">
        <v>5945</v>
      </c>
      <c r="F4410" s="293" t="s">
        <v>5902</v>
      </c>
      <c r="G4410" s="293" t="s">
        <v>5580</v>
      </c>
      <c r="H4410" s="294">
        <v>40694</v>
      </c>
      <c r="I4410" s="295">
        <v>-467.85</v>
      </c>
    </row>
    <row r="4411" spans="1:9" x14ac:dyDescent="0.2">
      <c r="A4411" s="293" t="s">
        <v>5788</v>
      </c>
      <c r="B4411" s="293" t="s">
        <v>5632</v>
      </c>
      <c r="C4411" s="293" t="s">
        <v>5789</v>
      </c>
      <c r="D4411" s="293" t="s">
        <v>5878</v>
      </c>
      <c r="E4411" s="293" t="s">
        <v>5946</v>
      </c>
      <c r="F4411" s="293" t="s">
        <v>5902</v>
      </c>
      <c r="G4411" s="293" t="s">
        <v>5580</v>
      </c>
      <c r="H4411" s="294">
        <v>40694</v>
      </c>
      <c r="I4411" s="295">
        <v>-3266.81</v>
      </c>
    </row>
    <row r="4412" spans="1:9" x14ac:dyDescent="0.2">
      <c r="A4412" s="293" t="s">
        <v>5790</v>
      </c>
      <c r="B4412" s="293" t="s">
        <v>5632</v>
      </c>
      <c r="C4412" s="293" t="s">
        <v>5791</v>
      </c>
      <c r="D4412" s="293" t="s">
        <v>5878</v>
      </c>
      <c r="E4412" s="293" t="s">
        <v>5945</v>
      </c>
      <c r="F4412" s="293" t="s">
        <v>5902</v>
      </c>
      <c r="G4412" s="293" t="s">
        <v>5580</v>
      </c>
      <c r="H4412" s="294">
        <v>40724</v>
      </c>
      <c r="I4412" s="295">
        <v>-467.85</v>
      </c>
    </row>
    <row r="4413" spans="1:9" x14ac:dyDescent="0.2">
      <c r="A4413" s="293" t="s">
        <v>5790</v>
      </c>
      <c r="B4413" s="293" t="s">
        <v>5632</v>
      </c>
      <c r="C4413" s="293" t="s">
        <v>5791</v>
      </c>
      <c r="D4413" s="293" t="s">
        <v>5878</v>
      </c>
      <c r="E4413" s="293" t="s">
        <v>5946</v>
      </c>
      <c r="F4413" s="293" t="s">
        <v>5902</v>
      </c>
      <c r="G4413" s="293" t="s">
        <v>5580</v>
      </c>
      <c r="H4413" s="294">
        <v>40724</v>
      </c>
      <c r="I4413" s="295">
        <v>-3266.81</v>
      </c>
    </row>
    <row r="4414" spans="1:9" x14ac:dyDescent="0.2">
      <c r="A4414" s="293" t="s">
        <v>5792</v>
      </c>
      <c r="B4414" s="293" t="s">
        <v>5632</v>
      </c>
      <c r="C4414" s="293" t="s">
        <v>5793</v>
      </c>
      <c r="D4414" s="293" t="s">
        <v>5878</v>
      </c>
      <c r="E4414" s="293" t="s">
        <v>5945</v>
      </c>
      <c r="F4414" s="293" t="s">
        <v>5902</v>
      </c>
      <c r="G4414" s="293" t="s">
        <v>5580</v>
      </c>
      <c r="H4414" s="294">
        <v>40755</v>
      </c>
      <c r="I4414" s="295">
        <v>-467.85</v>
      </c>
    </row>
    <row r="4415" spans="1:9" x14ac:dyDescent="0.2">
      <c r="A4415" s="293" t="s">
        <v>5792</v>
      </c>
      <c r="B4415" s="293" t="s">
        <v>5632</v>
      </c>
      <c r="C4415" s="293" t="s">
        <v>5793</v>
      </c>
      <c r="D4415" s="293" t="s">
        <v>5878</v>
      </c>
      <c r="E4415" s="293" t="s">
        <v>5946</v>
      </c>
      <c r="F4415" s="293" t="s">
        <v>5902</v>
      </c>
      <c r="G4415" s="293" t="s">
        <v>5580</v>
      </c>
      <c r="H4415" s="294">
        <v>40755</v>
      </c>
      <c r="I4415" s="295">
        <v>-3266.81</v>
      </c>
    </row>
    <row r="4416" spans="1:9" x14ac:dyDescent="0.2">
      <c r="A4416" s="293" t="s">
        <v>5794</v>
      </c>
      <c r="B4416" s="293" t="s">
        <v>5632</v>
      </c>
      <c r="C4416" s="293" t="s">
        <v>5795</v>
      </c>
      <c r="D4416" s="293" t="s">
        <v>5878</v>
      </c>
      <c r="E4416" s="293" t="s">
        <v>5945</v>
      </c>
      <c r="F4416" s="293" t="s">
        <v>5902</v>
      </c>
      <c r="G4416" s="293" t="s">
        <v>5580</v>
      </c>
      <c r="H4416" s="294">
        <v>40786</v>
      </c>
      <c r="I4416" s="295">
        <v>-467.85</v>
      </c>
    </row>
    <row r="4417" spans="1:9" x14ac:dyDescent="0.2">
      <c r="A4417" s="293" t="s">
        <v>5794</v>
      </c>
      <c r="B4417" s="293" t="s">
        <v>5632</v>
      </c>
      <c r="C4417" s="293" t="s">
        <v>5795</v>
      </c>
      <c r="D4417" s="293" t="s">
        <v>5878</v>
      </c>
      <c r="E4417" s="293" t="s">
        <v>5946</v>
      </c>
      <c r="F4417" s="293" t="s">
        <v>5902</v>
      </c>
      <c r="G4417" s="293" t="s">
        <v>5580</v>
      </c>
      <c r="H4417" s="294">
        <v>40786</v>
      </c>
      <c r="I4417" s="295">
        <v>-3266.81</v>
      </c>
    </row>
    <row r="4418" spans="1:9" x14ac:dyDescent="0.2">
      <c r="A4418" s="293" t="s">
        <v>5796</v>
      </c>
      <c r="B4418" s="293" t="s">
        <v>5632</v>
      </c>
      <c r="C4418" s="293" t="s">
        <v>5797</v>
      </c>
      <c r="D4418" s="293" t="s">
        <v>5878</v>
      </c>
      <c r="E4418" s="293" t="s">
        <v>5945</v>
      </c>
      <c r="F4418" s="293" t="s">
        <v>5902</v>
      </c>
      <c r="G4418" s="293" t="s">
        <v>5580</v>
      </c>
      <c r="H4418" s="294">
        <v>40816</v>
      </c>
      <c r="I4418" s="295">
        <v>-467.85</v>
      </c>
    </row>
    <row r="4419" spans="1:9" x14ac:dyDescent="0.2">
      <c r="A4419" s="293" t="s">
        <v>5796</v>
      </c>
      <c r="B4419" s="293" t="s">
        <v>5632</v>
      </c>
      <c r="C4419" s="293" t="s">
        <v>5797</v>
      </c>
      <c r="D4419" s="293" t="s">
        <v>5878</v>
      </c>
      <c r="E4419" s="293" t="s">
        <v>5946</v>
      </c>
      <c r="F4419" s="293" t="s">
        <v>5902</v>
      </c>
      <c r="G4419" s="293" t="s">
        <v>5580</v>
      </c>
      <c r="H4419" s="294">
        <v>40816</v>
      </c>
      <c r="I4419" s="295">
        <v>-3266.81</v>
      </c>
    </row>
    <row r="4420" spans="1:9" x14ac:dyDescent="0.2">
      <c r="A4420" s="293" t="s">
        <v>5798</v>
      </c>
      <c r="B4420" s="293" t="s">
        <v>5632</v>
      </c>
      <c r="C4420" s="293" t="s">
        <v>5799</v>
      </c>
      <c r="D4420" s="293" t="s">
        <v>5878</v>
      </c>
      <c r="E4420" s="293" t="s">
        <v>5945</v>
      </c>
      <c r="F4420" s="293" t="s">
        <v>5902</v>
      </c>
      <c r="G4420" s="293" t="s">
        <v>5580</v>
      </c>
      <c r="H4420" s="294">
        <v>40847</v>
      </c>
      <c r="I4420" s="295">
        <v>-467.85</v>
      </c>
    </row>
    <row r="4421" spans="1:9" x14ac:dyDescent="0.2">
      <c r="A4421" s="293" t="s">
        <v>5798</v>
      </c>
      <c r="B4421" s="293" t="s">
        <v>5632</v>
      </c>
      <c r="C4421" s="293" t="s">
        <v>5799</v>
      </c>
      <c r="D4421" s="293" t="s">
        <v>5878</v>
      </c>
      <c r="E4421" s="293" t="s">
        <v>5946</v>
      </c>
      <c r="F4421" s="293" t="s">
        <v>5902</v>
      </c>
      <c r="G4421" s="293" t="s">
        <v>5580</v>
      </c>
      <c r="H4421" s="294">
        <v>40847</v>
      </c>
      <c r="I4421" s="295">
        <v>-3266.81</v>
      </c>
    </row>
    <row r="4422" spans="1:9" x14ac:dyDescent="0.2">
      <c r="A4422" s="293" t="s">
        <v>5800</v>
      </c>
      <c r="B4422" s="293" t="s">
        <v>5632</v>
      </c>
      <c r="C4422" s="293" t="s">
        <v>5801</v>
      </c>
      <c r="D4422" s="293" t="s">
        <v>5878</v>
      </c>
      <c r="E4422" s="293" t="s">
        <v>5945</v>
      </c>
      <c r="F4422" s="293" t="s">
        <v>5902</v>
      </c>
      <c r="G4422" s="293" t="s">
        <v>5580</v>
      </c>
      <c r="H4422" s="294">
        <v>40877</v>
      </c>
      <c r="I4422" s="295">
        <v>-467.85</v>
      </c>
    </row>
    <row r="4423" spans="1:9" x14ac:dyDescent="0.2">
      <c r="A4423" s="293" t="s">
        <v>5800</v>
      </c>
      <c r="B4423" s="293" t="s">
        <v>5632</v>
      </c>
      <c r="C4423" s="293" t="s">
        <v>5801</v>
      </c>
      <c r="D4423" s="293" t="s">
        <v>5878</v>
      </c>
      <c r="E4423" s="293" t="s">
        <v>5946</v>
      </c>
      <c r="F4423" s="293" t="s">
        <v>5902</v>
      </c>
      <c r="G4423" s="293" t="s">
        <v>5580</v>
      </c>
      <c r="H4423" s="294">
        <v>40877</v>
      </c>
      <c r="I4423" s="295">
        <v>-3266.81</v>
      </c>
    </row>
    <row r="4424" spans="1:9" x14ac:dyDescent="0.2">
      <c r="A4424" s="293" t="s">
        <v>5802</v>
      </c>
      <c r="B4424" s="293" t="s">
        <v>5632</v>
      </c>
      <c r="C4424" s="293" t="s">
        <v>5803</v>
      </c>
      <c r="D4424" s="293" t="s">
        <v>5878</v>
      </c>
      <c r="E4424" s="293" t="s">
        <v>5945</v>
      </c>
      <c r="F4424" s="293" t="s">
        <v>5902</v>
      </c>
      <c r="G4424" s="293" t="s">
        <v>5580</v>
      </c>
      <c r="H4424" s="294">
        <v>40908</v>
      </c>
      <c r="I4424" s="295">
        <v>-467.85</v>
      </c>
    </row>
    <row r="4425" spans="1:9" x14ac:dyDescent="0.2">
      <c r="A4425" s="293" t="s">
        <v>5802</v>
      </c>
      <c r="B4425" s="293" t="s">
        <v>5632</v>
      </c>
      <c r="C4425" s="293" t="s">
        <v>5803</v>
      </c>
      <c r="D4425" s="293" t="s">
        <v>5878</v>
      </c>
      <c r="E4425" s="293" t="s">
        <v>5946</v>
      </c>
      <c r="F4425" s="293" t="s">
        <v>5902</v>
      </c>
      <c r="G4425" s="293" t="s">
        <v>5580</v>
      </c>
      <c r="H4425" s="294">
        <v>40908</v>
      </c>
      <c r="I4425" s="295">
        <v>-3266.81</v>
      </c>
    </row>
    <row r="4426" spans="1:9" x14ac:dyDescent="0.2">
      <c r="A4426" s="293" t="s">
        <v>5631</v>
      </c>
      <c r="B4426" s="293" t="s">
        <v>5632</v>
      </c>
      <c r="C4426" s="293" t="s">
        <v>5633</v>
      </c>
      <c r="D4426" s="293" t="s">
        <v>5878</v>
      </c>
      <c r="E4426" s="293" t="s">
        <v>5945</v>
      </c>
      <c r="F4426" s="293" t="s">
        <v>5902</v>
      </c>
      <c r="G4426" s="293" t="s">
        <v>5580</v>
      </c>
      <c r="H4426" s="294">
        <v>40939</v>
      </c>
      <c r="I4426" s="295">
        <v>-467.85</v>
      </c>
    </row>
    <row r="4427" spans="1:9" x14ac:dyDescent="0.2">
      <c r="A4427" s="293" t="s">
        <v>5631</v>
      </c>
      <c r="B4427" s="293" t="s">
        <v>5632</v>
      </c>
      <c r="C4427" s="293" t="s">
        <v>5633</v>
      </c>
      <c r="D4427" s="293" t="s">
        <v>5878</v>
      </c>
      <c r="E4427" s="293" t="s">
        <v>5946</v>
      </c>
      <c r="F4427" s="293" t="s">
        <v>5902</v>
      </c>
      <c r="G4427" s="293" t="s">
        <v>5580</v>
      </c>
      <c r="H4427" s="294">
        <v>40939</v>
      </c>
      <c r="I4427" s="295">
        <v>-3266.81</v>
      </c>
    </row>
    <row r="4428" spans="1:9" x14ac:dyDescent="0.2">
      <c r="A4428" s="293" t="s">
        <v>5651</v>
      </c>
      <c r="B4428" s="293" t="s">
        <v>5632</v>
      </c>
      <c r="C4428" s="293" t="s">
        <v>5652</v>
      </c>
      <c r="D4428" s="293" t="s">
        <v>5878</v>
      </c>
      <c r="E4428" s="293" t="s">
        <v>5945</v>
      </c>
      <c r="F4428" s="293" t="s">
        <v>5902</v>
      </c>
      <c r="G4428" s="293" t="s">
        <v>5580</v>
      </c>
      <c r="H4428" s="294">
        <v>40968</v>
      </c>
      <c r="I4428" s="295">
        <v>-467.85</v>
      </c>
    </row>
    <row r="4429" spans="1:9" x14ac:dyDescent="0.2">
      <c r="A4429" s="293" t="s">
        <v>5651</v>
      </c>
      <c r="B4429" s="293" t="s">
        <v>5632</v>
      </c>
      <c r="C4429" s="293" t="s">
        <v>5652</v>
      </c>
      <c r="D4429" s="293" t="s">
        <v>5878</v>
      </c>
      <c r="E4429" s="293" t="s">
        <v>5946</v>
      </c>
      <c r="F4429" s="293" t="s">
        <v>5902</v>
      </c>
      <c r="G4429" s="293" t="s">
        <v>5580</v>
      </c>
      <c r="H4429" s="294">
        <v>40968</v>
      </c>
      <c r="I4429" s="295">
        <v>-3266.81</v>
      </c>
    </row>
    <row r="4430" spans="1:9" x14ac:dyDescent="0.2">
      <c r="A4430" s="293" t="s">
        <v>5804</v>
      </c>
      <c r="B4430" s="293" t="s">
        <v>5632</v>
      </c>
      <c r="C4430" s="293" t="s">
        <v>5656</v>
      </c>
      <c r="D4430" s="293" t="s">
        <v>5878</v>
      </c>
      <c r="E4430" s="293" t="s">
        <v>5945</v>
      </c>
      <c r="F4430" s="293" t="s">
        <v>5902</v>
      </c>
      <c r="G4430" s="293" t="s">
        <v>5580</v>
      </c>
      <c r="H4430" s="294">
        <v>40999</v>
      </c>
      <c r="I4430" s="295">
        <v>-467.85</v>
      </c>
    </row>
    <row r="4431" spans="1:9" x14ac:dyDescent="0.2">
      <c r="A4431" s="293" t="s">
        <v>5804</v>
      </c>
      <c r="B4431" s="293" t="s">
        <v>5632</v>
      </c>
      <c r="C4431" s="293" t="s">
        <v>5656</v>
      </c>
      <c r="D4431" s="293" t="s">
        <v>5878</v>
      </c>
      <c r="E4431" s="293" t="s">
        <v>5946</v>
      </c>
      <c r="F4431" s="293" t="s">
        <v>5902</v>
      </c>
      <c r="G4431" s="293" t="s">
        <v>5580</v>
      </c>
      <c r="H4431" s="294">
        <v>40999</v>
      </c>
      <c r="I4431" s="295">
        <v>-3266.81</v>
      </c>
    </row>
    <row r="4432" spans="1:9" x14ac:dyDescent="0.2">
      <c r="A4432" s="293" t="s">
        <v>5805</v>
      </c>
      <c r="B4432" s="293" t="s">
        <v>5632</v>
      </c>
      <c r="C4432" s="293" t="s">
        <v>5659</v>
      </c>
      <c r="D4432" s="293" t="s">
        <v>5878</v>
      </c>
      <c r="E4432" s="293" t="s">
        <v>5945</v>
      </c>
      <c r="F4432" s="293" t="s">
        <v>5902</v>
      </c>
      <c r="G4432" s="293" t="s">
        <v>5580</v>
      </c>
      <c r="H4432" s="294">
        <v>41029</v>
      </c>
      <c r="I4432" s="295">
        <v>-467.85</v>
      </c>
    </row>
    <row r="4433" spans="1:9" x14ac:dyDescent="0.2">
      <c r="A4433" s="293" t="s">
        <v>5805</v>
      </c>
      <c r="B4433" s="293" t="s">
        <v>5632</v>
      </c>
      <c r="C4433" s="293" t="s">
        <v>5659</v>
      </c>
      <c r="D4433" s="293" t="s">
        <v>5878</v>
      </c>
      <c r="E4433" s="293" t="s">
        <v>5946</v>
      </c>
      <c r="F4433" s="293" t="s">
        <v>5902</v>
      </c>
      <c r="G4433" s="293" t="s">
        <v>5580</v>
      </c>
      <c r="H4433" s="294">
        <v>41029</v>
      </c>
      <c r="I4433" s="295">
        <v>-3266.81</v>
      </c>
    </row>
    <row r="4434" spans="1:9" x14ac:dyDescent="0.2">
      <c r="A4434" s="293" t="s">
        <v>5661</v>
      </c>
      <c r="B4434" s="293" t="s">
        <v>5632</v>
      </c>
      <c r="C4434" s="293" t="s">
        <v>5662</v>
      </c>
      <c r="D4434" s="293" t="s">
        <v>5878</v>
      </c>
      <c r="E4434" s="293" t="s">
        <v>5945</v>
      </c>
      <c r="F4434" s="293" t="s">
        <v>5902</v>
      </c>
      <c r="G4434" s="293" t="s">
        <v>5580</v>
      </c>
      <c r="H4434" s="294">
        <v>41060</v>
      </c>
      <c r="I4434" s="295">
        <v>-467.85</v>
      </c>
    </row>
    <row r="4435" spans="1:9" x14ac:dyDescent="0.2">
      <c r="A4435" s="293" t="s">
        <v>5661</v>
      </c>
      <c r="B4435" s="293" t="s">
        <v>5632</v>
      </c>
      <c r="C4435" s="293" t="s">
        <v>5662</v>
      </c>
      <c r="D4435" s="293" t="s">
        <v>5878</v>
      </c>
      <c r="E4435" s="293" t="s">
        <v>5946</v>
      </c>
      <c r="F4435" s="293" t="s">
        <v>5902</v>
      </c>
      <c r="G4435" s="293" t="s">
        <v>5580</v>
      </c>
      <c r="H4435" s="294">
        <v>41060</v>
      </c>
      <c r="I4435" s="295">
        <v>-3266.81</v>
      </c>
    </row>
    <row r="4436" spans="1:9" x14ac:dyDescent="0.2">
      <c r="A4436" s="293" t="s">
        <v>5808</v>
      </c>
      <c r="B4436" s="293" t="s">
        <v>5632</v>
      </c>
      <c r="C4436" s="293" t="s">
        <v>5670</v>
      </c>
      <c r="D4436" s="293" t="s">
        <v>5878</v>
      </c>
      <c r="E4436" s="293" t="s">
        <v>5945</v>
      </c>
      <c r="F4436" s="293" t="s">
        <v>5902</v>
      </c>
      <c r="G4436" s="293" t="s">
        <v>5580</v>
      </c>
      <c r="H4436" s="294">
        <v>41090</v>
      </c>
      <c r="I4436" s="295">
        <v>-467.85</v>
      </c>
    </row>
    <row r="4437" spans="1:9" x14ac:dyDescent="0.2">
      <c r="A4437" s="293" t="s">
        <v>5808</v>
      </c>
      <c r="B4437" s="293" t="s">
        <v>5632</v>
      </c>
      <c r="C4437" s="293" t="s">
        <v>5670</v>
      </c>
      <c r="D4437" s="293" t="s">
        <v>5878</v>
      </c>
      <c r="E4437" s="293" t="s">
        <v>5946</v>
      </c>
      <c r="F4437" s="293" t="s">
        <v>5902</v>
      </c>
      <c r="G4437" s="293" t="s">
        <v>5580</v>
      </c>
      <c r="H4437" s="294">
        <v>41090</v>
      </c>
      <c r="I4437" s="295">
        <v>-3266.81</v>
      </c>
    </row>
    <row r="4438" spans="1:9" x14ac:dyDescent="0.2">
      <c r="A4438" s="293" t="s">
        <v>5809</v>
      </c>
      <c r="B4438" s="293" t="s">
        <v>5632</v>
      </c>
      <c r="C4438" s="293" t="s">
        <v>5670</v>
      </c>
      <c r="D4438" s="293" t="s">
        <v>5878</v>
      </c>
      <c r="E4438" s="293" t="s">
        <v>5945</v>
      </c>
      <c r="F4438" s="293" t="s">
        <v>5902</v>
      </c>
      <c r="G4438" s="293" t="s">
        <v>5580</v>
      </c>
      <c r="H4438" s="294">
        <v>41090</v>
      </c>
      <c r="I4438" s="295">
        <v>467.85</v>
      </c>
    </row>
    <row r="4439" spans="1:9" x14ac:dyDescent="0.2">
      <c r="A4439" s="293" t="s">
        <v>5809</v>
      </c>
      <c r="B4439" s="293" t="s">
        <v>5632</v>
      </c>
      <c r="C4439" s="293" t="s">
        <v>5670</v>
      </c>
      <c r="D4439" s="293" t="s">
        <v>5878</v>
      </c>
      <c r="E4439" s="293" t="s">
        <v>5946</v>
      </c>
      <c r="F4439" s="293" t="s">
        <v>5902</v>
      </c>
      <c r="G4439" s="293" t="s">
        <v>5580</v>
      </c>
      <c r="H4439" s="294">
        <v>41090</v>
      </c>
      <c r="I4439" s="295">
        <v>3266.81</v>
      </c>
    </row>
    <row r="4440" spans="1:9" x14ac:dyDescent="0.2">
      <c r="A4440" s="293" t="s">
        <v>5810</v>
      </c>
      <c r="B4440" s="293" t="s">
        <v>5632</v>
      </c>
      <c r="C4440" s="293" t="s">
        <v>5670</v>
      </c>
      <c r="D4440" s="293" t="s">
        <v>5878</v>
      </c>
      <c r="E4440" s="293" t="s">
        <v>5945</v>
      </c>
      <c r="F4440" s="293" t="s">
        <v>5902</v>
      </c>
      <c r="G4440" s="293" t="s">
        <v>5580</v>
      </c>
      <c r="H4440" s="294">
        <v>41090</v>
      </c>
      <c r="I4440" s="295">
        <v>-467.85</v>
      </c>
    </row>
    <row r="4441" spans="1:9" x14ac:dyDescent="0.2">
      <c r="A4441" s="293" t="s">
        <v>5810</v>
      </c>
      <c r="B4441" s="293" t="s">
        <v>5632</v>
      </c>
      <c r="C4441" s="293" t="s">
        <v>5670</v>
      </c>
      <c r="D4441" s="293" t="s">
        <v>5878</v>
      </c>
      <c r="E4441" s="293" t="s">
        <v>5946</v>
      </c>
      <c r="F4441" s="293" t="s">
        <v>5902</v>
      </c>
      <c r="G4441" s="293" t="s">
        <v>5580</v>
      </c>
      <c r="H4441" s="294">
        <v>41090</v>
      </c>
      <c r="I4441" s="295">
        <v>-3266.81</v>
      </c>
    </row>
    <row r="4442" spans="1:9" x14ac:dyDescent="0.2">
      <c r="A4442" s="293" t="s">
        <v>5772</v>
      </c>
      <c r="B4442" s="293" t="s">
        <v>5632</v>
      </c>
      <c r="C4442" s="293" t="s">
        <v>5773</v>
      </c>
      <c r="D4442" s="293" t="s">
        <v>5878</v>
      </c>
      <c r="E4442" s="293" t="s">
        <v>5904</v>
      </c>
      <c r="F4442" s="293" t="s">
        <v>5905</v>
      </c>
      <c r="G4442" s="293" t="s">
        <v>5580</v>
      </c>
      <c r="H4442" s="294">
        <v>40543</v>
      </c>
      <c r="I4442" s="295">
        <v>2133721.1800000002</v>
      </c>
    </row>
    <row r="4443" spans="1:9" x14ac:dyDescent="0.2">
      <c r="A4443" s="293" t="s">
        <v>5772</v>
      </c>
      <c r="B4443" s="293" t="s">
        <v>5632</v>
      </c>
      <c r="C4443" s="293" t="s">
        <v>5773</v>
      </c>
      <c r="D4443" s="293" t="s">
        <v>5878</v>
      </c>
      <c r="E4443" s="293" t="s">
        <v>5906</v>
      </c>
      <c r="F4443" s="293" t="s">
        <v>5905</v>
      </c>
      <c r="G4443" s="293" t="s">
        <v>5579</v>
      </c>
      <c r="H4443" s="294">
        <v>40543</v>
      </c>
      <c r="I4443" s="295">
        <v>534768.78</v>
      </c>
    </row>
    <row r="4444" spans="1:9" x14ac:dyDescent="0.2">
      <c r="A4444" s="293" t="s">
        <v>5777</v>
      </c>
      <c r="B4444" s="293" t="s">
        <v>5632</v>
      </c>
      <c r="C4444" s="293" t="s">
        <v>5773</v>
      </c>
      <c r="D4444" s="293" t="s">
        <v>5878</v>
      </c>
      <c r="E4444" s="293" t="s">
        <v>5904</v>
      </c>
      <c r="F4444" s="293" t="s">
        <v>5905</v>
      </c>
      <c r="G4444" s="293" t="s">
        <v>5580</v>
      </c>
      <c r="H4444" s="294">
        <v>40543</v>
      </c>
      <c r="I4444" s="295">
        <v>2133721.1800000002</v>
      </c>
    </row>
    <row r="4445" spans="1:9" x14ac:dyDescent="0.2">
      <c r="A4445" s="293" t="s">
        <v>5777</v>
      </c>
      <c r="B4445" s="293" t="s">
        <v>5632</v>
      </c>
      <c r="C4445" s="293" t="s">
        <v>5773</v>
      </c>
      <c r="D4445" s="293" t="s">
        <v>5878</v>
      </c>
      <c r="E4445" s="293" t="s">
        <v>5906</v>
      </c>
      <c r="F4445" s="293" t="s">
        <v>5905</v>
      </c>
      <c r="G4445" s="293" t="s">
        <v>5579</v>
      </c>
      <c r="H4445" s="294">
        <v>40543</v>
      </c>
      <c r="I4445" s="295">
        <v>534768.78</v>
      </c>
    </row>
    <row r="4446" spans="1:9" x14ac:dyDescent="0.2">
      <c r="A4446" s="293" t="s">
        <v>5778</v>
      </c>
      <c r="B4446" s="293" t="s">
        <v>5632</v>
      </c>
      <c r="C4446" s="293" t="s">
        <v>5773</v>
      </c>
      <c r="D4446" s="293" t="s">
        <v>5878</v>
      </c>
      <c r="E4446" s="293" t="s">
        <v>5904</v>
      </c>
      <c r="F4446" s="293" t="s">
        <v>5905</v>
      </c>
      <c r="G4446" s="293" t="s">
        <v>5580</v>
      </c>
      <c r="H4446" s="294">
        <v>40543</v>
      </c>
      <c r="I4446" s="295">
        <v>-2133721.1800000002</v>
      </c>
    </row>
    <row r="4447" spans="1:9" x14ac:dyDescent="0.2">
      <c r="A4447" s="293" t="s">
        <v>5778</v>
      </c>
      <c r="B4447" s="293" t="s">
        <v>5632</v>
      </c>
      <c r="C4447" s="293" t="s">
        <v>5773</v>
      </c>
      <c r="D4447" s="293" t="s">
        <v>5878</v>
      </c>
      <c r="E4447" s="293" t="s">
        <v>5906</v>
      </c>
      <c r="F4447" s="293" t="s">
        <v>5905</v>
      </c>
      <c r="G4447" s="293" t="s">
        <v>5579</v>
      </c>
      <c r="H4447" s="294">
        <v>40543</v>
      </c>
      <c r="I4447" s="295">
        <v>-534768.78</v>
      </c>
    </row>
    <row r="4448" spans="1:9" x14ac:dyDescent="0.2">
      <c r="A4448" s="293" t="s">
        <v>5779</v>
      </c>
      <c r="B4448" s="293" t="s">
        <v>5632</v>
      </c>
      <c r="C4448" s="293" t="s">
        <v>5780</v>
      </c>
      <c r="D4448" s="293" t="s">
        <v>5878</v>
      </c>
      <c r="E4448" s="293" t="s">
        <v>5947</v>
      </c>
      <c r="F4448" s="293" t="s">
        <v>5905</v>
      </c>
      <c r="G4448" s="293" t="s">
        <v>5580</v>
      </c>
      <c r="H4448" s="294">
        <v>40574</v>
      </c>
      <c r="I4448" s="295">
        <v>-15689.13</v>
      </c>
    </row>
    <row r="4449" spans="1:9" x14ac:dyDescent="0.2">
      <c r="A4449" s="293" t="s">
        <v>5779</v>
      </c>
      <c r="B4449" s="293" t="s">
        <v>5632</v>
      </c>
      <c r="C4449" s="293" t="s">
        <v>5780</v>
      </c>
      <c r="D4449" s="293" t="s">
        <v>5878</v>
      </c>
      <c r="E4449" s="293" t="s">
        <v>5948</v>
      </c>
      <c r="F4449" s="293" t="s">
        <v>5905</v>
      </c>
      <c r="G4449" s="293" t="s">
        <v>5579</v>
      </c>
      <c r="H4449" s="294">
        <v>40574</v>
      </c>
      <c r="I4449" s="295">
        <v>-3932.13</v>
      </c>
    </row>
    <row r="4450" spans="1:9" x14ac:dyDescent="0.2">
      <c r="A4450" s="293" t="s">
        <v>5782</v>
      </c>
      <c r="B4450" s="293" t="s">
        <v>5632</v>
      </c>
      <c r="C4450" s="293" t="s">
        <v>5783</v>
      </c>
      <c r="D4450" s="293" t="s">
        <v>5878</v>
      </c>
      <c r="E4450" s="293" t="s">
        <v>5947</v>
      </c>
      <c r="F4450" s="293" t="s">
        <v>5905</v>
      </c>
      <c r="G4450" s="293" t="s">
        <v>5580</v>
      </c>
      <c r="H4450" s="294">
        <v>40602</v>
      </c>
      <c r="I4450" s="295">
        <v>-15689.13</v>
      </c>
    </row>
    <row r="4451" spans="1:9" x14ac:dyDescent="0.2">
      <c r="A4451" s="293" t="s">
        <v>5782</v>
      </c>
      <c r="B4451" s="293" t="s">
        <v>5632</v>
      </c>
      <c r="C4451" s="293" t="s">
        <v>5783</v>
      </c>
      <c r="D4451" s="293" t="s">
        <v>5878</v>
      </c>
      <c r="E4451" s="293" t="s">
        <v>5948</v>
      </c>
      <c r="F4451" s="293" t="s">
        <v>5905</v>
      </c>
      <c r="G4451" s="293" t="s">
        <v>5579</v>
      </c>
      <c r="H4451" s="294">
        <v>40602</v>
      </c>
      <c r="I4451" s="295">
        <v>-3932.13</v>
      </c>
    </row>
    <row r="4452" spans="1:9" x14ac:dyDescent="0.2">
      <c r="A4452" s="293" t="s">
        <v>5784</v>
      </c>
      <c r="B4452" s="293" t="s">
        <v>5632</v>
      </c>
      <c r="C4452" s="293" t="s">
        <v>5785</v>
      </c>
      <c r="D4452" s="293" t="s">
        <v>5878</v>
      </c>
      <c r="E4452" s="293" t="s">
        <v>5947</v>
      </c>
      <c r="F4452" s="293" t="s">
        <v>5905</v>
      </c>
      <c r="G4452" s="293" t="s">
        <v>5580</v>
      </c>
      <c r="H4452" s="294">
        <v>40633</v>
      </c>
      <c r="I4452" s="295">
        <v>-15689.13</v>
      </c>
    </row>
    <row r="4453" spans="1:9" x14ac:dyDescent="0.2">
      <c r="A4453" s="293" t="s">
        <v>5784</v>
      </c>
      <c r="B4453" s="293" t="s">
        <v>5632</v>
      </c>
      <c r="C4453" s="293" t="s">
        <v>5785</v>
      </c>
      <c r="D4453" s="293" t="s">
        <v>5878</v>
      </c>
      <c r="E4453" s="293" t="s">
        <v>5948</v>
      </c>
      <c r="F4453" s="293" t="s">
        <v>5905</v>
      </c>
      <c r="G4453" s="293" t="s">
        <v>5579</v>
      </c>
      <c r="H4453" s="294">
        <v>40633</v>
      </c>
      <c r="I4453" s="295">
        <v>-3932.13</v>
      </c>
    </row>
    <row r="4454" spans="1:9" x14ac:dyDescent="0.2">
      <c r="A4454" s="293" t="s">
        <v>5786</v>
      </c>
      <c r="B4454" s="293" t="s">
        <v>5632</v>
      </c>
      <c r="C4454" s="293" t="s">
        <v>5787</v>
      </c>
      <c r="D4454" s="293" t="s">
        <v>5878</v>
      </c>
      <c r="E4454" s="293" t="s">
        <v>5947</v>
      </c>
      <c r="F4454" s="293" t="s">
        <v>5905</v>
      </c>
      <c r="G4454" s="293" t="s">
        <v>5580</v>
      </c>
      <c r="H4454" s="294">
        <v>40663</v>
      </c>
      <c r="I4454" s="295">
        <v>-15689.13</v>
      </c>
    </row>
    <row r="4455" spans="1:9" x14ac:dyDescent="0.2">
      <c r="A4455" s="293" t="s">
        <v>5786</v>
      </c>
      <c r="B4455" s="293" t="s">
        <v>5632</v>
      </c>
      <c r="C4455" s="293" t="s">
        <v>5787</v>
      </c>
      <c r="D4455" s="293" t="s">
        <v>5878</v>
      </c>
      <c r="E4455" s="293" t="s">
        <v>5948</v>
      </c>
      <c r="F4455" s="293" t="s">
        <v>5905</v>
      </c>
      <c r="G4455" s="293" t="s">
        <v>5579</v>
      </c>
      <c r="H4455" s="294">
        <v>40663</v>
      </c>
      <c r="I4455" s="295">
        <v>-3932.13</v>
      </c>
    </row>
    <row r="4456" spans="1:9" x14ac:dyDescent="0.2">
      <c r="A4456" s="293" t="s">
        <v>5788</v>
      </c>
      <c r="B4456" s="293" t="s">
        <v>5632</v>
      </c>
      <c r="C4456" s="293" t="s">
        <v>5789</v>
      </c>
      <c r="D4456" s="293" t="s">
        <v>5878</v>
      </c>
      <c r="E4456" s="293" t="s">
        <v>5947</v>
      </c>
      <c r="F4456" s="293" t="s">
        <v>5905</v>
      </c>
      <c r="G4456" s="293" t="s">
        <v>5580</v>
      </c>
      <c r="H4456" s="294">
        <v>40694</v>
      </c>
      <c r="I4456" s="295">
        <v>-15689.13</v>
      </c>
    </row>
    <row r="4457" spans="1:9" x14ac:dyDescent="0.2">
      <c r="A4457" s="293" t="s">
        <v>5788</v>
      </c>
      <c r="B4457" s="293" t="s">
        <v>5632</v>
      </c>
      <c r="C4457" s="293" t="s">
        <v>5789</v>
      </c>
      <c r="D4457" s="293" t="s">
        <v>5878</v>
      </c>
      <c r="E4457" s="293" t="s">
        <v>5948</v>
      </c>
      <c r="F4457" s="293" t="s">
        <v>5905</v>
      </c>
      <c r="G4457" s="293" t="s">
        <v>5579</v>
      </c>
      <c r="H4457" s="294">
        <v>40694</v>
      </c>
      <c r="I4457" s="295">
        <v>-3932.13</v>
      </c>
    </row>
    <row r="4458" spans="1:9" x14ac:dyDescent="0.2">
      <c r="A4458" s="293" t="s">
        <v>5790</v>
      </c>
      <c r="B4458" s="293" t="s">
        <v>5632</v>
      </c>
      <c r="C4458" s="293" t="s">
        <v>5791</v>
      </c>
      <c r="D4458" s="293" t="s">
        <v>5878</v>
      </c>
      <c r="E4458" s="293" t="s">
        <v>5947</v>
      </c>
      <c r="F4458" s="293" t="s">
        <v>5905</v>
      </c>
      <c r="G4458" s="293" t="s">
        <v>5580</v>
      </c>
      <c r="H4458" s="294">
        <v>40724</v>
      </c>
      <c r="I4458" s="295">
        <v>-15689.13</v>
      </c>
    </row>
    <row r="4459" spans="1:9" x14ac:dyDescent="0.2">
      <c r="A4459" s="293" t="s">
        <v>5790</v>
      </c>
      <c r="B4459" s="293" t="s">
        <v>5632</v>
      </c>
      <c r="C4459" s="293" t="s">
        <v>5791</v>
      </c>
      <c r="D4459" s="293" t="s">
        <v>5878</v>
      </c>
      <c r="E4459" s="293" t="s">
        <v>5948</v>
      </c>
      <c r="F4459" s="293" t="s">
        <v>5905</v>
      </c>
      <c r="G4459" s="293" t="s">
        <v>5579</v>
      </c>
      <c r="H4459" s="294">
        <v>40724</v>
      </c>
      <c r="I4459" s="295">
        <v>-3932.13</v>
      </c>
    </row>
    <row r="4460" spans="1:9" x14ac:dyDescent="0.2">
      <c r="A4460" s="293" t="s">
        <v>5792</v>
      </c>
      <c r="B4460" s="293" t="s">
        <v>5632</v>
      </c>
      <c r="C4460" s="293" t="s">
        <v>5793</v>
      </c>
      <c r="D4460" s="293" t="s">
        <v>5878</v>
      </c>
      <c r="E4460" s="293" t="s">
        <v>5947</v>
      </c>
      <c r="F4460" s="293" t="s">
        <v>5905</v>
      </c>
      <c r="G4460" s="293" t="s">
        <v>5580</v>
      </c>
      <c r="H4460" s="294">
        <v>40755</v>
      </c>
      <c r="I4460" s="295">
        <v>-15689.13</v>
      </c>
    </row>
    <row r="4461" spans="1:9" x14ac:dyDescent="0.2">
      <c r="A4461" s="293" t="s">
        <v>5792</v>
      </c>
      <c r="B4461" s="293" t="s">
        <v>5632</v>
      </c>
      <c r="C4461" s="293" t="s">
        <v>5793</v>
      </c>
      <c r="D4461" s="293" t="s">
        <v>5878</v>
      </c>
      <c r="E4461" s="293" t="s">
        <v>5948</v>
      </c>
      <c r="F4461" s="293" t="s">
        <v>5905</v>
      </c>
      <c r="G4461" s="293" t="s">
        <v>5579</v>
      </c>
      <c r="H4461" s="294">
        <v>40755</v>
      </c>
      <c r="I4461" s="295">
        <v>-3932.13</v>
      </c>
    </row>
    <row r="4462" spans="1:9" x14ac:dyDescent="0.2">
      <c r="A4462" s="293" t="s">
        <v>5794</v>
      </c>
      <c r="B4462" s="293" t="s">
        <v>5632</v>
      </c>
      <c r="C4462" s="293" t="s">
        <v>5795</v>
      </c>
      <c r="D4462" s="293" t="s">
        <v>5878</v>
      </c>
      <c r="E4462" s="293" t="s">
        <v>5947</v>
      </c>
      <c r="F4462" s="293" t="s">
        <v>5905</v>
      </c>
      <c r="G4462" s="293" t="s">
        <v>5580</v>
      </c>
      <c r="H4462" s="294">
        <v>40786</v>
      </c>
      <c r="I4462" s="295">
        <v>-15689.13</v>
      </c>
    </row>
    <row r="4463" spans="1:9" x14ac:dyDescent="0.2">
      <c r="A4463" s="293" t="s">
        <v>5794</v>
      </c>
      <c r="B4463" s="293" t="s">
        <v>5632</v>
      </c>
      <c r="C4463" s="293" t="s">
        <v>5795</v>
      </c>
      <c r="D4463" s="293" t="s">
        <v>5878</v>
      </c>
      <c r="E4463" s="293" t="s">
        <v>5948</v>
      </c>
      <c r="F4463" s="293" t="s">
        <v>5905</v>
      </c>
      <c r="G4463" s="293" t="s">
        <v>5579</v>
      </c>
      <c r="H4463" s="294">
        <v>40786</v>
      </c>
      <c r="I4463" s="295">
        <v>-3932.13</v>
      </c>
    </row>
    <row r="4464" spans="1:9" x14ac:dyDescent="0.2">
      <c r="A4464" s="293" t="s">
        <v>5796</v>
      </c>
      <c r="B4464" s="293" t="s">
        <v>5632</v>
      </c>
      <c r="C4464" s="293" t="s">
        <v>5797</v>
      </c>
      <c r="D4464" s="293" t="s">
        <v>5878</v>
      </c>
      <c r="E4464" s="293" t="s">
        <v>5947</v>
      </c>
      <c r="F4464" s="293" t="s">
        <v>5905</v>
      </c>
      <c r="G4464" s="293" t="s">
        <v>5580</v>
      </c>
      <c r="H4464" s="294">
        <v>40816</v>
      </c>
      <c r="I4464" s="295">
        <v>-15689.13</v>
      </c>
    </row>
    <row r="4465" spans="1:9" x14ac:dyDescent="0.2">
      <c r="A4465" s="293" t="s">
        <v>5796</v>
      </c>
      <c r="B4465" s="293" t="s">
        <v>5632</v>
      </c>
      <c r="C4465" s="293" t="s">
        <v>5797</v>
      </c>
      <c r="D4465" s="293" t="s">
        <v>5878</v>
      </c>
      <c r="E4465" s="293" t="s">
        <v>5948</v>
      </c>
      <c r="F4465" s="293" t="s">
        <v>5905</v>
      </c>
      <c r="G4465" s="293" t="s">
        <v>5579</v>
      </c>
      <c r="H4465" s="294">
        <v>40816</v>
      </c>
      <c r="I4465" s="295">
        <v>-3932.13</v>
      </c>
    </row>
    <row r="4466" spans="1:9" x14ac:dyDescent="0.2">
      <c r="A4466" s="293" t="s">
        <v>5798</v>
      </c>
      <c r="B4466" s="293" t="s">
        <v>5632</v>
      </c>
      <c r="C4466" s="293" t="s">
        <v>5799</v>
      </c>
      <c r="D4466" s="293" t="s">
        <v>5878</v>
      </c>
      <c r="E4466" s="293" t="s">
        <v>5947</v>
      </c>
      <c r="F4466" s="293" t="s">
        <v>5905</v>
      </c>
      <c r="G4466" s="293" t="s">
        <v>5580</v>
      </c>
      <c r="H4466" s="294">
        <v>40847</v>
      </c>
      <c r="I4466" s="295">
        <v>-15689.13</v>
      </c>
    </row>
    <row r="4467" spans="1:9" x14ac:dyDescent="0.2">
      <c r="A4467" s="293" t="s">
        <v>5798</v>
      </c>
      <c r="B4467" s="293" t="s">
        <v>5632</v>
      </c>
      <c r="C4467" s="293" t="s">
        <v>5799</v>
      </c>
      <c r="D4467" s="293" t="s">
        <v>5878</v>
      </c>
      <c r="E4467" s="293" t="s">
        <v>5948</v>
      </c>
      <c r="F4467" s="293" t="s">
        <v>5905</v>
      </c>
      <c r="G4467" s="293" t="s">
        <v>5579</v>
      </c>
      <c r="H4467" s="294">
        <v>40847</v>
      </c>
      <c r="I4467" s="295">
        <v>-3932.13</v>
      </c>
    </row>
    <row r="4468" spans="1:9" x14ac:dyDescent="0.2">
      <c r="A4468" s="293" t="s">
        <v>5800</v>
      </c>
      <c r="B4468" s="293" t="s">
        <v>5632</v>
      </c>
      <c r="C4468" s="293" t="s">
        <v>5801</v>
      </c>
      <c r="D4468" s="293" t="s">
        <v>5878</v>
      </c>
      <c r="E4468" s="293" t="s">
        <v>5947</v>
      </c>
      <c r="F4468" s="293" t="s">
        <v>5905</v>
      </c>
      <c r="G4468" s="293" t="s">
        <v>5580</v>
      </c>
      <c r="H4468" s="294">
        <v>40877</v>
      </c>
      <c r="I4468" s="295">
        <v>-15689.13</v>
      </c>
    </row>
    <row r="4469" spans="1:9" x14ac:dyDescent="0.2">
      <c r="A4469" s="293" t="s">
        <v>5800</v>
      </c>
      <c r="B4469" s="293" t="s">
        <v>5632</v>
      </c>
      <c r="C4469" s="293" t="s">
        <v>5801</v>
      </c>
      <c r="D4469" s="293" t="s">
        <v>5878</v>
      </c>
      <c r="E4469" s="293" t="s">
        <v>5948</v>
      </c>
      <c r="F4469" s="293" t="s">
        <v>5905</v>
      </c>
      <c r="G4469" s="293" t="s">
        <v>5579</v>
      </c>
      <c r="H4469" s="294">
        <v>40877</v>
      </c>
      <c r="I4469" s="295">
        <v>-3932.13</v>
      </c>
    </row>
    <row r="4470" spans="1:9" x14ac:dyDescent="0.2">
      <c r="A4470" s="293" t="s">
        <v>5802</v>
      </c>
      <c r="B4470" s="293" t="s">
        <v>5632</v>
      </c>
      <c r="C4470" s="293" t="s">
        <v>5803</v>
      </c>
      <c r="D4470" s="293" t="s">
        <v>5878</v>
      </c>
      <c r="E4470" s="293" t="s">
        <v>5947</v>
      </c>
      <c r="F4470" s="293" t="s">
        <v>5905</v>
      </c>
      <c r="G4470" s="293" t="s">
        <v>5580</v>
      </c>
      <c r="H4470" s="294">
        <v>40908</v>
      </c>
      <c r="I4470" s="295">
        <v>-15689.13</v>
      </c>
    </row>
    <row r="4471" spans="1:9" x14ac:dyDescent="0.2">
      <c r="A4471" s="293" t="s">
        <v>5802</v>
      </c>
      <c r="B4471" s="293" t="s">
        <v>5632</v>
      </c>
      <c r="C4471" s="293" t="s">
        <v>5803</v>
      </c>
      <c r="D4471" s="293" t="s">
        <v>5878</v>
      </c>
      <c r="E4471" s="293" t="s">
        <v>5948</v>
      </c>
      <c r="F4471" s="293" t="s">
        <v>5905</v>
      </c>
      <c r="G4471" s="293" t="s">
        <v>5579</v>
      </c>
      <c r="H4471" s="294">
        <v>40908</v>
      </c>
      <c r="I4471" s="295">
        <v>-3932.13</v>
      </c>
    </row>
    <row r="4472" spans="1:9" x14ac:dyDescent="0.2">
      <c r="A4472" s="293" t="s">
        <v>5631</v>
      </c>
      <c r="B4472" s="293" t="s">
        <v>5632</v>
      </c>
      <c r="C4472" s="293" t="s">
        <v>5633</v>
      </c>
      <c r="D4472" s="293" t="s">
        <v>5878</v>
      </c>
      <c r="E4472" s="293" t="s">
        <v>5947</v>
      </c>
      <c r="F4472" s="293" t="s">
        <v>5905</v>
      </c>
      <c r="G4472" s="293" t="s">
        <v>5580</v>
      </c>
      <c r="H4472" s="294">
        <v>40939</v>
      </c>
      <c r="I4472" s="295">
        <v>-15689.13</v>
      </c>
    </row>
    <row r="4473" spans="1:9" x14ac:dyDescent="0.2">
      <c r="A4473" s="293" t="s">
        <v>5631</v>
      </c>
      <c r="B4473" s="293" t="s">
        <v>5632</v>
      </c>
      <c r="C4473" s="293" t="s">
        <v>5633</v>
      </c>
      <c r="D4473" s="293" t="s">
        <v>5878</v>
      </c>
      <c r="E4473" s="293" t="s">
        <v>5948</v>
      </c>
      <c r="F4473" s="293" t="s">
        <v>5905</v>
      </c>
      <c r="G4473" s="293" t="s">
        <v>5579</v>
      </c>
      <c r="H4473" s="294">
        <v>40939</v>
      </c>
      <c r="I4473" s="295">
        <v>-3932.13</v>
      </c>
    </row>
    <row r="4474" spans="1:9" x14ac:dyDescent="0.2">
      <c r="A4474" s="293" t="s">
        <v>5651</v>
      </c>
      <c r="B4474" s="293" t="s">
        <v>5632</v>
      </c>
      <c r="C4474" s="293" t="s">
        <v>5652</v>
      </c>
      <c r="D4474" s="293" t="s">
        <v>5878</v>
      </c>
      <c r="E4474" s="293" t="s">
        <v>5947</v>
      </c>
      <c r="F4474" s="293" t="s">
        <v>5905</v>
      </c>
      <c r="G4474" s="293" t="s">
        <v>5580</v>
      </c>
      <c r="H4474" s="294">
        <v>40968</v>
      </c>
      <c r="I4474" s="295">
        <v>-15689.13</v>
      </c>
    </row>
    <row r="4475" spans="1:9" x14ac:dyDescent="0.2">
      <c r="A4475" s="293" t="s">
        <v>5651</v>
      </c>
      <c r="B4475" s="293" t="s">
        <v>5632</v>
      </c>
      <c r="C4475" s="293" t="s">
        <v>5652</v>
      </c>
      <c r="D4475" s="293" t="s">
        <v>5878</v>
      </c>
      <c r="E4475" s="293" t="s">
        <v>5948</v>
      </c>
      <c r="F4475" s="293" t="s">
        <v>5905</v>
      </c>
      <c r="G4475" s="293" t="s">
        <v>5579</v>
      </c>
      <c r="H4475" s="294">
        <v>40968</v>
      </c>
      <c r="I4475" s="295">
        <v>-3932.13</v>
      </c>
    </row>
    <row r="4476" spans="1:9" x14ac:dyDescent="0.2">
      <c r="A4476" s="293" t="s">
        <v>5804</v>
      </c>
      <c r="B4476" s="293" t="s">
        <v>5632</v>
      </c>
      <c r="C4476" s="293" t="s">
        <v>5656</v>
      </c>
      <c r="D4476" s="293" t="s">
        <v>5878</v>
      </c>
      <c r="E4476" s="293" t="s">
        <v>5947</v>
      </c>
      <c r="F4476" s="293" t="s">
        <v>5905</v>
      </c>
      <c r="G4476" s="293" t="s">
        <v>5580</v>
      </c>
      <c r="H4476" s="294">
        <v>40999</v>
      </c>
      <c r="I4476" s="295">
        <v>-15689.13</v>
      </c>
    </row>
    <row r="4477" spans="1:9" x14ac:dyDescent="0.2">
      <c r="A4477" s="293" t="s">
        <v>5804</v>
      </c>
      <c r="B4477" s="293" t="s">
        <v>5632</v>
      </c>
      <c r="C4477" s="293" t="s">
        <v>5656</v>
      </c>
      <c r="D4477" s="293" t="s">
        <v>5878</v>
      </c>
      <c r="E4477" s="293" t="s">
        <v>5948</v>
      </c>
      <c r="F4477" s="293" t="s">
        <v>5905</v>
      </c>
      <c r="G4477" s="293" t="s">
        <v>5579</v>
      </c>
      <c r="H4477" s="294">
        <v>40999</v>
      </c>
      <c r="I4477" s="295">
        <v>-3932.13</v>
      </c>
    </row>
    <row r="4478" spans="1:9" x14ac:dyDescent="0.2">
      <c r="A4478" s="293" t="s">
        <v>5805</v>
      </c>
      <c r="B4478" s="293" t="s">
        <v>5632</v>
      </c>
      <c r="C4478" s="293" t="s">
        <v>5659</v>
      </c>
      <c r="D4478" s="293" t="s">
        <v>5878</v>
      </c>
      <c r="E4478" s="293" t="s">
        <v>5947</v>
      </c>
      <c r="F4478" s="293" t="s">
        <v>5905</v>
      </c>
      <c r="G4478" s="293" t="s">
        <v>5580</v>
      </c>
      <c r="H4478" s="294">
        <v>41029</v>
      </c>
      <c r="I4478" s="295">
        <v>-15689.13</v>
      </c>
    </row>
    <row r="4479" spans="1:9" x14ac:dyDescent="0.2">
      <c r="A4479" s="293" t="s">
        <v>5805</v>
      </c>
      <c r="B4479" s="293" t="s">
        <v>5632</v>
      </c>
      <c r="C4479" s="293" t="s">
        <v>5659</v>
      </c>
      <c r="D4479" s="293" t="s">
        <v>5878</v>
      </c>
      <c r="E4479" s="293" t="s">
        <v>5948</v>
      </c>
      <c r="F4479" s="293" t="s">
        <v>5905</v>
      </c>
      <c r="G4479" s="293" t="s">
        <v>5579</v>
      </c>
      <c r="H4479" s="294">
        <v>41029</v>
      </c>
      <c r="I4479" s="295">
        <v>-3932.13</v>
      </c>
    </row>
    <row r="4480" spans="1:9" x14ac:dyDescent="0.2">
      <c r="A4480" s="293" t="s">
        <v>5661</v>
      </c>
      <c r="B4480" s="293" t="s">
        <v>5632</v>
      </c>
      <c r="C4480" s="293" t="s">
        <v>5662</v>
      </c>
      <c r="D4480" s="293" t="s">
        <v>5878</v>
      </c>
      <c r="E4480" s="293" t="s">
        <v>5947</v>
      </c>
      <c r="F4480" s="293" t="s">
        <v>5905</v>
      </c>
      <c r="G4480" s="293" t="s">
        <v>5580</v>
      </c>
      <c r="H4480" s="294">
        <v>41060</v>
      </c>
      <c r="I4480" s="295">
        <v>-15689.13</v>
      </c>
    </row>
    <row r="4481" spans="1:9" x14ac:dyDescent="0.2">
      <c r="A4481" s="293" t="s">
        <v>5661</v>
      </c>
      <c r="B4481" s="293" t="s">
        <v>5632</v>
      </c>
      <c r="C4481" s="293" t="s">
        <v>5662</v>
      </c>
      <c r="D4481" s="293" t="s">
        <v>5878</v>
      </c>
      <c r="E4481" s="293" t="s">
        <v>5948</v>
      </c>
      <c r="F4481" s="293" t="s">
        <v>5905</v>
      </c>
      <c r="G4481" s="293" t="s">
        <v>5579</v>
      </c>
      <c r="H4481" s="294">
        <v>41060</v>
      </c>
      <c r="I4481" s="295">
        <v>-3932.13</v>
      </c>
    </row>
    <row r="4482" spans="1:9" x14ac:dyDescent="0.2">
      <c r="A4482" s="293" t="s">
        <v>5808</v>
      </c>
      <c r="B4482" s="293" t="s">
        <v>5632</v>
      </c>
      <c r="C4482" s="293" t="s">
        <v>5670</v>
      </c>
      <c r="D4482" s="293" t="s">
        <v>5878</v>
      </c>
      <c r="E4482" s="293" t="s">
        <v>5947</v>
      </c>
      <c r="F4482" s="293" t="s">
        <v>5905</v>
      </c>
      <c r="G4482" s="293" t="s">
        <v>5580</v>
      </c>
      <c r="H4482" s="294">
        <v>41090</v>
      </c>
      <c r="I4482" s="295">
        <v>-15689.13</v>
      </c>
    </row>
    <row r="4483" spans="1:9" x14ac:dyDescent="0.2">
      <c r="A4483" s="293" t="s">
        <v>5808</v>
      </c>
      <c r="B4483" s="293" t="s">
        <v>5632</v>
      </c>
      <c r="C4483" s="293" t="s">
        <v>5670</v>
      </c>
      <c r="D4483" s="293" t="s">
        <v>5878</v>
      </c>
      <c r="E4483" s="293" t="s">
        <v>5948</v>
      </c>
      <c r="F4483" s="293" t="s">
        <v>5905</v>
      </c>
      <c r="G4483" s="293" t="s">
        <v>5579</v>
      </c>
      <c r="H4483" s="294">
        <v>41090</v>
      </c>
      <c r="I4483" s="295">
        <v>-3932.13</v>
      </c>
    </row>
    <row r="4484" spans="1:9" x14ac:dyDescent="0.2">
      <c r="A4484" s="293" t="s">
        <v>5809</v>
      </c>
      <c r="B4484" s="293" t="s">
        <v>5632</v>
      </c>
      <c r="C4484" s="293" t="s">
        <v>5670</v>
      </c>
      <c r="D4484" s="293" t="s">
        <v>5878</v>
      </c>
      <c r="E4484" s="293" t="s">
        <v>5947</v>
      </c>
      <c r="F4484" s="293" t="s">
        <v>5905</v>
      </c>
      <c r="G4484" s="293" t="s">
        <v>5580</v>
      </c>
      <c r="H4484" s="294">
        <v>41090</v>
      </c>
      <c r="I4484" s="295">
        <v>15689.13</v>
      </c>
    </row>
    <row r="4485" spans="1:9" x14ac:dyDescent="0.2">
      <c r="A4485" s="293" t="s">
        <v>5809</v>
      </c>
      <c r="B4485" s="293" t="s">
        <v>5632</v>
      </c>
      <c r="C4485" s="293" t="s">
        <v>5670</v>
      </c>
      <c r="D4485" s="293" t="s">
        <v>5878</v>
      </c>
      <c r="E4485" s="293" t="s">
        <v>5948</v>
      </c>
      <c r="F4485" s="293" t="s">
        <v>5905</v>
      </c>
      <c r="G4485" s="293" t="s">
        <v>5579</v>
      </c>
      <c r="H4485" s="294">
        <v>41090</v>
      </c>
      <c r="I4485" s="295">
        <v>3932.13</v>
      </c>
    </row>
    <row r="4486" spans="1:9" x14ac:dyDescent="0.2">
      <c r="A4486" s="293" t="s">
        <v>5810</v>
      </c>
      <c r="B4486" s="293" t="s">
        <v>5632</v>
      </c>
      <c r="C4486" s="293" t="s">
        <v>5670</v>
      </c>
      <c r="D4486" s="293" t="s">
        <v>5878</v>
      </c>
      <c r="E4486" s="293" t="s">
        <v>5947</v>
      </c>
      <c r="F4486" s="293" t="s">
        <v>5905</v>
      </c>
      <c r="G4486" s="293" t="s">
        <v>5580</v>
      </c>
      <c r="H4486" s="294">
        <v>41090</v>
      </c>
      <c r="I4486" s="295">
        <v>-15689.13</v>
      </c>
    </row>
    <row r="4487" spans="1:9" x14ac:dyDescent="0.2">
      <c r="A4487" s="293" t="s">
        <v>5810</v>
      </c>
      <c r="B4487" s="293" t="s">
        <v>5632</v>
      </c>
      <c r="C4487" s="293" t="s">
        <v>5670</v>
      </c>
      <c r="D4487" s="293" t="s">
        <v>5878</v>
      </c>
      <c r="E4487" s="293" t="s">
        <v>5948</v>
      </c>
      <c r="F4487" s="293" t="s">
        <v>5905</v>
      </c>
      <c r="G4487" s="293" t="s">
        <v>5579</v>
      </c>
      <c r="H4487" s="294">
        <v>41090</v>
      </c>
      <c r="I4487" s="295">
        <v>-3932.13</v>
      </c>
    </row>
    <row r="4488" spans="1:9" x14ac:dyDescent="0.2">
      <c r="A4488" s="293" t="s">
        <v>5772</v>
      </c>
      <c r="B4488" s="293" t="s">
        <v>5632</v>
      </c>
      <c r="C4488" s="293" t="s">
        <v>5773</v>
      </c>
      <c r="D4488" s="293" t="s">
        <v>5878</v>
      </c>
      <c r="E4488" s="293" t="s">
        <v>5907</v>
      </c>
      <c r="F4488" s="293" t="s">
        <v>5908</v>
      </c>
      <c r="G4488" s="293" t="s">
        <v>5580</v>
      </c>
      <c r="H4488" s="294">
        <v>40543</v>
      </c>
      <c r="I4488" s="295">
        <v>385543.49</v>
      </c>
    </row>
    <row r="4489" spans="1:9" x14ac:dyDescent="0.2">
      <c r="A4489" s="293" t="s">
        <v>5777</v>
      </c>
      <c r="B4489" s="293" t="s">
        <v>5632</v>
      </c>
      <c r="C4489" s="293" t="s">
        <v>5773</v>
      </c>
      <c r="D4489" s="293" t="s">
        <v>5878</v>
      </c>
      <c r="E4489" s="293" t="s">
        <v>5907</v>
      </c>
      <c r="F4489" s="293" t="s">
        <v>5908</v>
      </c>
      <c r="G4489" s="293" t="s">
        <v>5580</v>
      </c>
      <c r="H4489" s="294">
        <v>40543</v>
      </c>
      <c r="I4489" s="295">
        <v>385543.49</v>
      </c>
    </row>
    <row r="4490" spans="1:9" x14ac:dyDescent="0.2">
      <c r="A4490" s="293" t="s">
        <v>5778</v>
      </c>
      <c r="B4490" s="293" t="s">
        <v>5632</v>
      </c>
      <c r="C4490" s="293" t="s">
        <v>5773</v>
      </c>
      <c r="D4490" s="293" t="s">
        <v>5878</v>
      </c>
      <c r="E4490" s="293" t="s">
        <v>5907</v>
      </c>
      <c r="F4490" s="293" t="s">
        <v>5908</v>
      </c>
      <c r="G4490" s="293" t="s">
        <v>5580</v>
      </c>
      <c r="H4490" s="294">
        <v>40543</v>
      </c>
      <c r="I4490" s="295">
        <v>-385543.49</v>
      </c>
    </row>
    <row r="4491" spans="1:9" x14ac:dyDescent="0.2">
      <c r="A4491" s="293" t="s">
        <v>5779</v>
      </c>
      <c r="B4491" s="293" t="s">
        <v>5632</v>
      </c>
      <c r="C4491" s="293" t="s">
        <v>5780</v>
      </c>
      <c r="D4491" s="293" t="s">
        <v>5878</v>
      </c>
      <c r="E4491" s="293" t="s">
        <v>5949</v>
      </c>
      <c r="F4491" s="293" t="s">
        <v>5908</v>
      </c>
      <c r="G4491" s="293" t="s">
        <v>5580</v>
      </c>
      <c r="H4491" s="294">
        <v>40574</v>
      </c>
      <c r="I4491" s="295">
        <v>-3056.11</v>
      </c>
    </row>
    <row r="4492" spans="1:9" x14ac:dyDescent="0.2">
      <c r="A4492" s="293" t="s">
        <v>5782</v>
      </c>
      <c r="B4492" s="293" t="s">
        <v>5632</v>
      </c>
      <c r="C4492" s="293" t="s">
        <v>5783</v>
      </c>
      <c r="D4492" s="293" t="s">
        <v>5878</v>
      </c>
      <c r="E4492" s="293" t="s">
        <v>5949</v>
      </c>
      <c r="F4492" s="293" t="s">
        <v>5908</v>
      </c>
      <c r="G4492" s="293" t="s">
        <v>5580</v>
      </c>
      <c r="H4492" s="294">
        <v>40602</v>
      </c>
      <c r="I4492" s="295">
        <v>-3056.11</v>
      </c>
    </row>
    <row r="4493" spans="1:9" x14ac:dyDescent="0.2">
      <c r="A4493" s="293" t="s">
        <v>5784</v>
      </c>
      <c r="B4493" s="293" t="s">
        <v>5632</v>
      </c>
      <c r="C4493" s="293" t="s">
        <v>5785</v>
      </c>
      <c r="D4493" s="293" t="s">
        <v>5878</v>
      </c>
      <c r="E4493" s="293" t="s">
        <v>5949</v>
      </c>
      <c r="F4493" s="293" t="s">
        <v>5908</v>
      </c>
      <c r="G4493" s="293" t="s">
        <v>5580</v>
      </c>
      <c r="H4493" s="294">
        <v>40633</v>
      </c>
      <c r="I4493" s="295">
        <v>-3056.11</v>
      </c>
    </row>
    <row r="4494" spans="1:9" x14ac:dyDescent="0.2">
      <c r="A4494" s="293" t="s">
        <v>5786</v>
      </c>
      <c r="B4494" s="293" t="s">
        <v>5632</v>
      </c>
      <c r="C4494" s="293" t="s">
        <v>5787</v>
      </c>
      <c r="D4494" s="293" t="s">
        <v>5878</v>
      </c>
      <c r="E4494" s="293" t="s">
        <v>5949</v>
      </c>
      <c r="F4494" s="293" t="s">
        <v>5908</v>
      </c>
      <c r="G4494" s="293" t="s">
        <v>5580</v>
      </c>
      <c r="H4494" s="294">
        <v>40663</v>
      </c>
      <c r="I4494" s="295">
        <v>-3056.11</v>
      </c>
    </row>
    <row r="4495" spans="1:9" x14ac:dyDescent="0.2">
      <c r="A4495" s="293" t="s">
        <v>5788</v>
      </c>
      <c r="B4495" s="293" t="s">
        <v>5632</v>
      </c>
      <c r="C4495" s="293" t="s">
        <v>5789</v>
      </c>
      <c r="D4495" s="293" t="s">
        <v>5878</v>
      </c>
      <c r="E4495" s="293" t="s">
        <v>5949</v>
      </c>
      <c r="F4495" s="293" t="s">
        <v>5908</v>
      </c>
      <c r="G4495" s="293" t="s">
        <v>5580</v>
      </c>
      <c r="H4495" s="294">
        <v>40694</v>
      </c>
      <c r="I4495" s="295">
        <v>-3056.11</v>
      </c>
    </row>
    <row r="4496" spans="1:9" x14ac:dyDescent="0.2">
      <c r="A4496" s="293" t="s">
        <v>5790</v>
      </c>
      <c r="B4496" s="293" t="s">
        <v>5632</v>
      </c>
      <c r="C4496" s="293" t="s">
        <v>5791</v>
      </c>
      <c r="D4496" s="293" t="s">
        <v>5878</v>
      </c>
      <c r="E4496" s="293" t="s">
        <v>5949</v>
      </c>
      <c r="F4496" s="293" t="s">
        <v>5908</v>
      </c>
      <c r="G4496" s="293" t="s">
        <v>5580</v>
      </c>
      <c r="H4496" s="294">
        <v>40724</v>
      </c>
      <c r="I4496" s="295">
        <v>-3056.11</v>
      </c>
    </row>
    <row r="4497" spans="1:9" x14ac:dyDescent="0.2">
      <c r="A4497" s="293" t="s">
        <v>5792</v>
      </c>
      <c r="B4497" s="293" t="s">
        <v>5632</v>
      </c>
      <c r="C4497" s="293" t="s">
        <v>5793</v>
      </c>
      <c r="D4497" s="293" t="s">
        <v>5878</v>
      </c>
      <c r="E4497" s="293" t="s">
        <v>5949</v>
      </c>
      <c r="F4497" s="293" t="s">
        <v>5908</v>
      </c>
      <c r="G4497" s="293" t="s">
        <v>5580</v>
      </c>
      <c r="H4497" s="294">
        <v>40755</v>
      </c>
      <c r="I4497" s="295">
        <v>-3056.11</v>
      </c>
    </row>
    <row r="4498" spans="1:9" x14ac:dyDescent="0.2">
      <c r="A4498" s="293" t="s">
        <v>5794</v>
      </c>
      <c r="B4498" s="293" t="s">
        <v>5632</v>
      </c>
      <c r="C4498" s="293" t="s">
        <v>5795</v>
      </c>
      <c r="D4498" s="293" t="s">
        <v>5878</v>
      </c>
      <c r="E4498" s="293" t="s">
        <v>5949</v>
      </c>
      <c r="F4498" s="293" t="s">
        <v>5908</v>
      </c>
      <c r="G4498" s="293" t="s">
        <v>5580</v>
      </c>
      <c r="H4498" s="294">
        <v>40786</v>
      </c>
      <c r="I4498" s="295">
        <v>-3056.11</v>
      </c>
    </row>
    <row r="4499" spans="1:9" x14ac:dyDescent="0.2">
      <c r="A4499" s="293" t="s">
        <v>5796</v>
      </c>
      <c r="B4499" s="293" t="s">
        <v>5632</v>
      </c>
      <c r="C4499" s="293" t="s">
        <v>5797</v>
      </c>
      <c r="D4499" s="293" t="s">
        <v>5878</v>
      </c>
      <c r="E4499" s="293" t="s">
        <v>5949</v>
      </c>
      <c r="F4499" s="293" t="s">
        <v>5908</v>
      </c>
      <c r="G4499" s="293" t="s">
        <v>5580</v>
      </c>
      <c r="H4499" s="294">
        <v>40816</v>
      </c>
      <c r="I4499" s="295">
        <v>-3056.11</v>
      </c>
    </row>
    <row r="4500" spans="1:9" x14ac:dyDescent="0.2">
      <c r="A4500" s="293" t="s">
        <v>5798</v>
      </c>
      <c r="B4500" s="293" t="s">
        <v>5632</v>
      </c>
      <c r="C4500" s="293" t="s">
        <v>5799</v>
      </c>
      <c r="D4500" s="293" t="s">
        <v>5878</v>
      </c>
      <c r="E4500" s="293" t="s">
        <v>5949</v>
      </c>
      <c r="F4500" s="293" t="s">
        <v>5908</v>
      </c>
      <c r="G4500" s="293" t="s">
        <v>5580</v>
      </c>
      <c r="H4500" s="294">
        <v>40847</v>
      </c>
      <c r="I4500" s="295">
        <v>-3056.11</v>
      </c>
    </row>
    <row r="4501" spans="1:9" x14ac:dyDescent="0.2">
      <c r="A4501" s="293" t="s">
        <v>5800</v>
      </c>
      <c r="B4501" s="293" t="s">
        <v>5632</v>
      </c>
      <c r="C4501" s="293" t="s">
        <v>5801</v>
      </c>
      <c r="D4501" s="293" t="s">
        <v>5878</v>
      </c>
      <c r="E4501" s="293" t="s">
        <v>5949</v>
      </c>
      <c r="F4501" s="293" t="s">
        <v>5908</v>
      </c>
      <c r="G4501" s="293" t="s">
        <v>5580</v>
      </c>
      <c r="H4501" s="294">
        <v>40877</v>
      </c>
      <c r="I4501" s="295">
        <v>-3056.11</v>
      </c>
    </row>
    <row r="4502" spans="1:9" x14ac:dyDescent="0.2">
      <c r="A4502" s="293" t="s">
        <v>5802</v>
      </c>
      <c r="B4502" s="293" t="s">
        <v>5632</v>
      </c>
      <c r="C4502" s="293" t="s">
        <v>5803</v>
      </c>
      <c r="D4502" s="293" t="s">
        <v>5878</v>
      </c>
      <c r="E4502" s="293" t="s">
        <v>5949</v>
      </c>
      <c r="F4502" s="293" t="s">
        <v>5908</v>
      </c>
      <c r="G4502" s="293" t="s">
        <v>5580</v>
      </c>
      <c r="H4502" s="294">
        <v>40908</v>
      </c>
      <c r="I4502" s="295">
        <v>-3056.11</v>
      </c>
    </row>
    <row r="4503" spans="1:9" x14ac:dyDescent="0.2">
      <c r="A4503" s="293" t="s">
        <v>5631</v>
      </c>
      <c r="B4503" s="293" t="s">
        <v>5632</v>
      </c>
      <c r="C4503" s="293" t="s">
        <v>5633</v>
      </c>
      <c r="D4503" s="293" t="s">
        <v>5878</v>
      </c>
      <c r="E4503" s="293" t="s">
        <v>5949</v>
      </c>
      <c r="F4503" s="293" t="s">
        <v>5908</v>
      </c>
      <c r="G4503" s="293" t="s">
        <v>5580</v>
      </c>
      <c r="H4503" s="294">
        <v>40939</v>
      </c>
      <c r="I4503" s="295">
        <v>-3056.11</v>
      </c>
    </row>
    <row r="4504" spans="1:9" x14ac:dyDescent="0.2">
      <c r="A4504" s="293" t="s">
        <v>5651</v>
      </c>
      <c r="B4504" s="293" t="s">
        <v>5632</v>
      </c>
      <c r="C4504" s="293" t="s">
        <v>5652</v>
      </c>
      <c r="D4504" s="293" t="s">
        <v>5878</v>
      </c>
      <c r="E4504" s="293" t="s">
        <v>5949</v>
      </c>
      <c r="F4504" s="293" t="s">
        <v>5908</v>
      </c>
      <c r="G4504" s="293" t="s">
        <v>5580</v>
      </c>
      <c r="H4504" s="294">
        <v>40968</v>
      </c>
      <c r="I4504" s="295">
        <v>-3056.11</v>
      </c>
    </row>
    <row r="4505" spans="1:9" x14ac:dyDescent="0.2">
      <c r="A4505" s="293" t="s">
        <v>5804</v>
      </c>
      <c r="B4505" s="293" t="s">
        <v>5632</v>
      </c>
      <c r="C4505" s="293" t="s">
        <v>5656</v>
      </c>
      <c r="D4505" s="293" t="s">
        <v>5878</v>
      </c>
      <c r="E4505" s="293" t="s">
        <v>5949</v>
      </c>
      <c r="F4505" s="293" t="s">
        <v>5908</v>
      </c>
      <c r="G4505" s="293" t="s">
        <v>5580</v>
      </c>
      <c r="H4505" s="294">
        <v>40999</v>
      </c>
      <c r="I4505" s="295">
        <v>-3056.11</v>
      </c>
    </row>
    <row r="4506" spans="1:9" x14ac:dyDescent="0.2">
      <c r="A4506" s="293" t="s">
        <v>5805</v>
      </c>
      <c r="B4506" s="293" t="s">
        <v>5632</v>
      </c>
      <c r="C4506" s="293" t="s">
        <v>5659</v>
      </c>
      <c r="D4506" s="293" t="s">
        <v>5878</v>
      </c>
      <c r="E4506" s="293" t="s">
        <v>5949</v>
      </c>
      <c r="F4506" s="293" t="s">
        <v>5908</v>
      </c>
      <c r="G4506" s="293" t="s">
        <v>5580</v>
      </c>
      <c r="H4506" s="294">
        <v>41029</v>
      </c>
      <c r="I4506" s="295">
        <v>-3056.11</v>
      </c>
    </row>
    <row r="4507" spans="1:9" x14ac:dyDescent="0.2">
      <c r="A4507" s="293" t="s">
        <v>5661</v>
      </c>
      <c r="B4507" s="293" t="s">
        <v>5632</v>
      </c>
      <c r="C4507" s="293" t="s">
        <v>5662</v>
      </c>
      <c r="D4507" s="293" t="s">
        <v>5878</v>
      </c>
      <c r="E4507" s="293" t="s">
        <v>5949</v>
      </c>
      <c r="F4507" s="293" t="s">
        <v>5908</v>
      </c>
      <c r="G4507" s="293" t="s">
        <v>5580</v>
      </c>
      <c r="H4507" s="294">
        <v>41060</v>
      </c>
      <c r="I4507" s="295">
        <v>-3056.11</v>
      </c>
    </row>
    <row r="4508" spans="1:9" x14ac:dyDescent="0.2">
      <c r="A4508" s="293" t="s">
        <v>5808</v>
      </c>
      <c r="B4508" s="293" t="s">
        <v>5632</v>
      </c>
      <c r="C4508" s="293" t="s">
        <v>5670</v>
      </c>
      <c r="D4508" s="293" t="s">
        <v>5878</v>
      </c>
      <c r="E4508" s="293" t="s">
        <v>5949</v>
      </c>
      <c r="F4508" s="293" t="s">
        <v>5908</v>
      </c>
      <c r="G4508" s="293" t="s">
        <v>5580</v>
      </c>
      <c r="H4508" s="294">
        <v>41090</v>
      </c>
      <c r="I4508" s="295">
        <v>-3056.11</v>
      </c>
    </row>
    <row r="4509" spans="1:9" x14ac:dyDescent="0.2">
      <c r="A4509" s="293" t="s">
        <v>5809</v>
      </c>
      <c r="B4509" s="293" t="s">
        <v>5632</v>
      </c>
      <c r="C4509" s="293" t="s">
        <v>5670</v>
      </c>
      <c r="D4509" s="293" t="s">
        <v>5878</v>
      </c>
      <c r="E4509" s="293" t="s">
        <v>5949</v>
      </c>
      <c r="F4509" s="293" t="s">
        <v>5908</v>
      </c>
      <c r="G4509" s="293" t="s">
        <v>5580</v>
      </c>
      <c r="H4509" s="294">
        <v>41090</v>
      </c>
      <c r="I4509" s="295">
        <v>3056.11</v>
      </c>
    </row>
    <row r="4510" spans="1:9" x14ac:dyDescent="0.2">
      <c r="A4510" s="293" t="s">
        <v>5810</v>
      </c>
      <c r="B4510" s="293" t="s">
        <v>5632</v>
      </c>
      <c r="C4510" s="293" t="s">
        <v>5670</v>
      </c>
      <c r="D4510" s="293" t="s">
        <v>5878</v>
      </c>
      <c r="E4510" s="293" t="s">
        <v>5949</v>
      </c>
      <c r="F4510" s="293" t="s">
        <v>5908</v>
      </c>
      <c r="G4510" s="293" t="s">
        <v>5580</v>
      </c>
      <c r="H4510" s="294">
        <v>41090</v>
      </c>
      <c r="I4510" s="295">
        <v>-3056.11</v>
      </c>
    </row>
    <row r="4511" spans="1:9" x14ac:dyDescent="0.2">
      <c r="A4511" s="293" t="s">
        <v>5772</v>
      </c>
      <c r="B4511" s="293" t="s">
        <v>5632</v>
      </c>
      <c r="C4511" s="293" t="s">
        <v>5773</v>
      </c>
      <c r="D4511" s="293" t="s">
        <v>5878</v>
      </c>
      <c r="E4511" s="293" t="s">
        <v>5909</v>
      </c>
      <c r="F4511" s="293" t="s">
        <v>5910</v>
      </c>
      <c r="G4511" s="293" t="s">
        <v>5580</v>
      </c>
      <c r="H4511" s="294">
        <v>40543</v>
      </c>
      <c r="I4511" s="295">
        <v>24445.4</v>
      </c>
    </row>
    <row r="4512" spans="1:9" x14ac:dyDescent="0.2">
      <c r="A4512" s="293" t="s">
        <v>5777</v>
      </c>
      <c r="B4512" s="293" t="s">
        <v>5632</v>
      </c>
      <c r="C4512" s="293" t="s">
        <v>5773</v>
      </c>
      <c r="D4512" s="293" t="s">
        <v>5878</v>
      </c>
      <c r="E4512" s="293" t="s">
        <v>5909</v>
      </c>
      <c r="F4512" s="293" t="s">
        <v>5910</v>
      </c>
      <c r="G4512" s="293" t="s">
        <v>5580</v>
      </c>
      <c r="H4512" s="294">
        <v>40543</v>
      </c>
      <c r="I4512" s="295">
        <v>24445.4</v>
      </c>
    </row>
    <row r="4513" spans="1:9" x14ac:dyDescent="0.2">
      <c r="A4513" s="293" t="s">
        <v>5778</v>
      </c>
      <c r="B4513" s="293" t="s">
        <v>5632</v>
      </c>
      <c r="C4513" s="293" t="s">
        <v>5773</v>
      </c>
      <c r="D4513" s="293" t="s">
        <v>5878</v>
      </c>
      <c r="E4513" s="293" t="s">
        <v>5909</v>
      </c>
      <c r="F4513" s="293" t="s">
        <v>5910</v>
      </c>
      <c r="G4513" s="293" t="s">
        <v>5580</v>
      </c>
      <c r="H4513" s="294">
        <v>40543</v>
      </c>
      <c r="I4513" s="295">
        <v>-24445.4</v>
      </c>
    </row>
    <row r="4514" spans="1:9" x14ac:dyDescent="0.2">
      <c r="A4514" s="293" t="s">
        <v>5779</v>
      </c>
      <c r="B4514" s="293" t="s">
        <v>5632</v>
      </c>
      <c r="C4514" s="293" t="s">
        <v>5780</v>
      </c>
      <c r="D4514" s="293" t="s">
        <v>5878</v>
      </c>
      <c r="E4514" s="293" t="s">
        <v>5950</v>
      </c>
      <c r="F4514" s="293" t="s">
        <v>5910</v>
      </c>
      <c r="G4514" s="293" t="s">
        <v>5580</v>
      </c>
      <c r="H4514" s="294">
        <v>40574</v>
      </c>
      <c r="I4514" s="295">
        <v>-3780.16</v>
      </c>
    </row>
    <row r="4515" spans="1:9" x14ac:dyDescent="0.2">
      <c r="A4515" s="293" t="s">
        <v>5782</v>
      </c>
      <c r="B4515" s="293" t="s">
        <v>5632</v>
      </c>
      <c r="C4515" s="293" t="s">
        <v>5783</v>
      </c>
      <c r="D4515" s="293" t="s">
        <v>5878</v>
      </c>
      <c r="E4515" s="293" t="s">
        <v>5950</v>
      </c>
      <c r="F4515" s="293" t="s">
        <v>5910</v>
      </c>
      <c r="G4515" s="293" t="s">
        <v>5580</v>
      </c>
      <c r="H4515" s="294">
        <v>40602</v>
      </c>
      <c r="I4515" s="295">
        <v>-3780.16</v>
      </c>
    </row>
    <row r="4516" spans="1:9" x14ac:dyDescent="0.2">
      <c r="A4516" s="293" t="s">
        <v>5784</v>
      </c>
      <c r="B4516" s="293" t="s">
        <v>5632</v>
      </c>
      <c r="C4516" s="293" t="s">
        <v>5785</v>
      </c>
      <c r="D4516" s="293" t="s">
        <v>5878</v>
      </c>
      <c r="E4516" s="293" t="s">
        <v>5950</v>
      </c>
      <c r="F4516" s="293" t="s">
        <v>5910</v>
      </c>
      <c r="G4516" s="293" t="s">
        <v>5580</v>
      </c>
      <c r="H4516" s="294">
        <v>40633</v>
      </c>
      <c r="I4516" s="295">
        <v>-3780.16</v>
      </c>
    </row>
    <row r="4517" spans="1:9" x14ac:dyDescent="0.2">
      <c r="A4517" s="293" t="s">
        <v>5786</v>
      </c>
      <c r="B4517" s="293" t="s">
        <v>5632</v>
      </c>
      <c r="C4517" s="293" t="s">
        <v>5787</v>
      </c>
      <c r="D4517" s="293" t="s">
        <v>5878</v>
      </c>
      <c r="E4517" s="293" t="s">
        <v>5950</v>
      </c>
      <c r="F4517" s="293" t="s">
        <v>5910</v>
      </c>
      <c r="G4517" s="293" t="s">
        <v>5580</v>
      </c>
      <c r="H4517" s="294">
        <v>40663</v>
      </c>
      <c r="I4517" s="295">
        <v>-3780.16</v>
      </c>
    </row>
    <row r="4518" spans="1:9" x14ac:dyDescent="0.2">
      <c r="A4518" s="293" t="s">
        <v>5788</v>
      </c>
      <c r="B4518" s="293" t="s">
        <v>5632</v>
      </c>
      <c r="C4518" s="293" t="s">
        <v>5789</v>
      </c>
      <c r="D4518" s="293" t="s">
        <v>5878</v>
      </c>
      <c r="E4518" s="293" t="s">
        <v>5950</v>
      </c>
      <c r="F4518" s="293" t="s">
        <v>5910</v>
      </c>
      <c r="G4518" s="293" t="s">
        <v>5580</v>
      </c>
      <c r="H4518" s="294">
        <v>40694</v>
      </c>
      <c r="I4518" s="295">
        <v>-3780.16</v>
      </c>
    </row>
    <row r="4519" spans="1:9" x14ac:dyDescent="0.2">
      <c r="A4519" s="293" t="s">
        <v>5790</v>
      </c>
      <c r="B4519" s="293" t="s">
        <v>5632</v>
      </c>
      <c r="C4519" s="293" t="s">
        <v>5791</v>
      </c>
      <c r="D4519" s="293" t="s">
        <v>5878</v>
      </c>
      <c r="E4519" s="293" t="s">
        <v>5950</v>
      </c>
      <c r="F4519" s="293" t="s">
        <v>5910</v>
      </c>
      <c r="G4519" s="293" t="s">
        <v>5580</v>
      </c>
      <c r="H4519" s="294">
        <v>40724</v>
      </c>
      <c r="I4519" s="295">
        <v>-3780.16</v>
      </c>
    </row>
    <row r="4520" spans="1:9" x14ac:dyDescent="0.2">
      <c r="A4520" s="293" t="s">
        <v>5792</v>
      </c>
      <c r="B4520" s="293" t="s">
        <v>5632</v>
      </c>
      <c r="C4520" s="293" t="s">
        <v>5793</v>
      </c>
      <c r="D4520" s="293" t="s">
        <v>5878</v>
      </c>
      <c r="E4520" s="293" t="s">
        <v>5950</v>
      </c>
      <c r="F4520" s="293" t="s">
        <v>5910</v>
      </c>
      <c r="G4520" s="293" t="s">
        <v>5580</v>
      </c>
      <c r="H4520" s="294">
        <v>40755</v>
      </c>
      <c r="I4520" s="295">
        <v>-1764.44</v>
      </c>
    </row>
  </sheetData>
  <pageMargins left="0.7" right="0.7" top="0.75" bottom="0.75" header="0.3" footer="0.3"/>
  <customProperties>
    <customPr name="_pios_id" r:id="rId2"/>
    <customPr name="EpmWorksheetKeyString_GUID" r:id="rId3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"/>
  <dimension ref="A1:D2631"/>
  <sheetViews>
    <sheetView topLeftCell="A626" workbookViewId="0">
      <selection activeCell="A650" sqref="A650:D650"/>
    </sheetView>
  </sheetViews>
  <sheetFormatPr defaultRowHeight="12.75" x14ac:dyDescent="0.2"/>
  <cols>
    <col min="1" max="1" width="6" bestFit="1" customWidth="1"/>
    <col min="2" max="2" width="38.5703125" bestFit="1" customWidth="1"/>
    <col min="3" max="3" width="19.42578125" style="22" bestFit="1" customWidth="1"/>
    <col min="4" max="4" width="17.28515625" style="22" bestFit="1" customWidth="1"/>
  </cols>
  <sheetData>
    <row r="1" spans="1:4" x14ac:dyDescent="0.2">
      <c r="B1" s="21" t="s">
        <v>3887</v>
      </c>
    </row>
    <row r="2" spans="1:4" x14ac:dyDescent="0.2">
      <c r="A2" s="23" t="s">
        <v>3888</v>
      </c>
      <c r="B2" s="23" t="s">
        <v>3889</v>
      </c>
      <c r="C2" s="22">
        <v>102020177.51000001</v>
      </c>
      <c r="D2" s="22">
        <v>4965512886.1300001</v>
      </c>
    </row>
    <row r="3" spans="1:4" x14ac:dyDescent="0.2">
      <c r="A3" s="23" t="s">
        <v>3890</v>
      </c>
      <c r="B3" s="23" t="s">
        <v>883</v>
      </c>
      <c r="C3" s="22">
        <v>-57966.79</v>
      </c>
      <c r="D3" s="22">
        <v>7133796.2699999996</v>
      </c>
    </row>
    <row r="4" spans="1:4" x14ac:dyDescent="0.2">
      <c r="A4" s="23" t="s">
        <v>884</v>
      </c>
      <c r="B4" t="s">
        <v>4481</v>
      </c>
      <c r="C4" s="22">
        <v>101962210.72</v>
      </c>
      <c r="D4" s="22">
        <v>4972646682.3999996</v>
      </c>
    </row>
    <row r="5" spans="1:4" x14ac:dyDescent="0.2">
      <c r="A5" s="23" t="s">
        <v>4482</v>
      </c>
      <c r="B5" s="23" t="s">
        <v>3950</v>
      </c>
      <c r="C5" s="22">
        <v>0</v>
      </c>
      <c r="D5" s="22">
        <v>0</v>
      </c>
    </row>
    <row r="6" spans="1:4" x14ac:dyDescent="0.2">
      <c r="A6" s="23" t="s">
        <v>3951</v>
      </c>
      <c r="B6" t="s">
        <v>4481</v>
      </c>
      <c r="C6" s="22">
        <v>0</v>
      </c>
      <c r="D6" s="22">
        <v>0</v>
      </c>
    </row>
    <row r="7" spans="1:4" x14ac:dyDescent="0.2">
      <c r="A7" s="23" t="s">
        <v>3952</v>
      </c>
      <c r="B7" s="23" t="s">
        <v>3953</v>
      </c>
      <c r="C7" s="22">
        <v>0</v>
      </c>
      <c r="D7" s="22">
        <v>726109.22</v>
      </c>
    </row>
    <row r="8" spans="1:4" x14ac:dyDescent="0.2">
      <c r="A8" s="23" t="s">
        <v>3954</v>
      </c>
      <c r="B8" s="23" t="s">
        <v>3955</v>
      </c>
      <c r="C8" s="22">
        <v>0</v>
      </c>
      <c r="D8" s="22">
        <v>592868.01</v>
      </c>
    </row>
    <row r="9" spans="1:4" x14ac:dyDescent="0.2">
      <c r="A9" s="23" t="s">
        <v>3956</v>
      </c>
      <c r="B9" s="23" t="s">
        <v>3957</v>
      </c>
      <c r="C9" s="22">
        <v>0</v>
      </c>
      <c r="D9" s="22">
        <v>23752289.050000001</v>
      </c>
    </row>
    <row r="10" spans="1:4" x14ac:dyDescent="0.2">
      <c r="A10" s="23" t="s">
        <v>3958</v>
      </c>
      <c r="B10" s="23" t="s">
        <v>3959</v>
      </c>
      <c r="C10" s="22">
        <v>0</v>
      </c>
      <c r="D10" s="22">
        <v>968745.09</v>
      </c>
    </row>
    <row r="11" spans="1:4" x14ac:dyDescent="0.2">
      <c r="A11" s="23" t="s">
        <v>3960</v>
      </c>
      <c r="B11" s="23" t="s">
        <v>5309</v>
      </c>
      <c r="C11" s="22">
        <v>0</v>
      </c>
      <c r="D11" s="22">
        <v>368966.6</v>
      </c>
    </row>
    <row r="12" spans="1:4" x14ac:dyDescent="0.2">
      <c r="A12" s="23" t="s">
        <v>5310</v>
      </c>
      <c r="B12" s="23" t="s">
        <v>5311</v>
      </c>
      <c r="C12" s="22">
        <v>551.70000000000005</v>
      </c>
      <c r="D12" s="22">
        <v>2301557</v>
      </c>
    </row>
    <row r="13" spans="1:4" x14ac:dyDescent="0.2">
      <c r="A13" s="23" t="s">
        <v>5312</v>
      </c>
      <c r="B13" s="23" t="s">
        <v>5313</v>
      </c>
      <c r="C13" s="22">
        <v>0</v>
      </c>
      <c r="D13" s="22">
        <v>1203101.06</v>
      </c>
    </row>
    <row r="14" spans="1:4" x14ac:dyDescent="0.2">
      <c r="A14" s="23" t="s">
        <v>5314</v>
      </c>
      <c r="B14" s="23" t="s">
        <v>5315</v>
      </c>
      <c r="C14" s="22">
        <v>0</v>
      </c>
      <c r="D14" s="22">
        <v>735.48</v>
      </c>
    </row>
    <row r="15" spans="1:4" x14ac:dyDescent="0.2">
      <c r="A15" s="23" t="s">
        <v>5316</v>
      </c>
      <c r="B15" s="23" t="s">
        <v>5317</v>
      </c>
      <c r="C15" s="22">
        <v>580.58000000000004</v>
      </c>
      <c r="D15" s="22">
        <v>546940.43000000005</v>
      </c>
    </row>
    <row r="16" spans="1:4" x14ac:dyDescent="0.2">
      <c r="A16" s="23" t="s">
        <v>5318</v>
      </c>
      <c r="B16" s="23" t="s">
        <v>5319</v>
      </c>
      <c r="C16" s="22">
        <v>0</v>
      </c>
      <c r="D16" s="22">
        <v>9.25</v>
      </c>
    </row>
    <row r="17" spans="1:4" x14ac:dyDescent="0.2">
      <c r="A17" s="23" t="s">
        <v>5320</v>
      </c>
      <c r="B17" s="23" t="s">
        <v>5321</v>
      </c>
      <c r="C17" s="22">
        <v>0</v>
      </c>
      <c r="D17" s="22">
        <v>778124.83</v>
      </c>
    </row>
    <row r="18" spans="1:4" x14ac:dyDescent="0.2">
      <c r="A18" s="23" t="s">
        <v>5322</v>
      </c>
      <c r="B18" s="23" t="s">
        <v>5323</v>
      </c>
      <c r="C18" s="22">
        <v>0</v>
      </c>
      <c r="D18" s="22">
        <v>786337.7</v>
      </c>
    </row>
    <row r="19" spans="1:4" x14ac:dyDescent="0.2">
      <c r="A19" s="23" t="s">
        <v>5324</v>
      </c>
      <c r="B19" s="23" t="s">
        <v>5325</v>
      </c>
      <c r="C19" s="22">
        <v>0</v>
      </c>
      <c r="D19" s="22">
        <v>7415.2</v>
      </c>
    </row>
    <row r="20" spans="1:4" x14ac:dyDescent="0.2">
      <c r="A20" s="23" t="s">
        <v>5326</v>
      </c>
      <c r="B20" s="23" t="s">
        <v>5327</v>
      </c>
      <c r="C20" s="22">
        <v>0</v>
      </c>
      <c r="D20" s="22">
        <v>216.8</v>
      </c>
    </row>
    <row r="21" spans="1:4" x14ac:dyDescent="0.2">
      <c r="A21" s="23" t="s">
        <v>5328</v>
      </c>
      <c r="B21" s="23" t="s">
        <v>5329</v>
      </c>
      <c r="C21" s="22">
        <v>0</v>
      </c>
      <c r="D21" s="22">
        <v>72851.929999999993</v>
      </c>
    </row>
    <row r="22" spans="1:4" x14ac:dyDescent="0.2">
      <c r="A22" s="23" t="s">
        <v>5330</v>
      </c>
      <c r="B22" s="23" t="s">
        <v>5331</v>
      </c>
      <c r="C22" s="22">
        <v>0</v>
      </c>
      <c r="D22" s="22">
        <v>68042.929999999993</v>
      </c>
    </row>
    <row r="23" spans="1:4" x14ac:dyDescent="0.2">
      <c r="A23" s="23" t="s">
        <v>5332</v>
      </c>
      <c r="B23" s="23" t="s">
        <v>5333</v>
      </c>
      <c r="C23" s="22">
        <v>0</v>
      </c>
      <c r="D23" s="22">
        <v>1159.02</v>
      </c>
    </row>
    <row r="24" spans="1:4" x14ac:dyDescent="0.2">
      <c r="A24" s="23" t="s">
        <v>5334</v>
      </c>
      <c r="B24" s="23" t="s">
        <v>5335</v>
      </c>
      <c r="C24" s="22">
        <v>0</v>
      </c>
      <c r="D24" s="22">
        <v>567690.29</v>
      </c>
    </row>
    <row r="25" spans="1:4" x14ac:dyDescent="0.2">
      <c r="A25" s="23" t="s">
        <v>5336</v>
      </c>
      <c r="B25" s="23" t="s">
        <v>5337</v>
      </c>
      <c r="C25" s="22">
        <v>6356.97</v>
      </c>
      <c r="D25" s="22">
        <v>634360.91</v>
      </c>
    </row>
    <row r="26" spans="1:4" x14ac:dyDescent="0.2">
      <c r="A26" s="23" t="s">
        <v>5338</v>
      </c>
      <c r="B26" s="23" t="s">
        <v>5339</v>
      </c>
      <c r="C26" s="22">
        <v>1369358.43</v>
      </c>
      <c r="D26" s="22">
        <v>1379081.5</v>
      </c>
    </row>
    <row r="27" spans="1:4" x14ac:dyDescent="0.2">
      <c r="A27" s="23" t="s">
        <v>5340</v>
      </c>
      <c r="B27" s="23" t="s">
        <v>5341</v>
      </c>
      <c r="C27" s="22">
        <v>0</v>
      </c>
      <c r="D27" s="22">
        <v>1200.81</v>
      </c>
    </row>
    <row r="28" spans="1:4" x14ac:dyDescent="0.2">
      <c r="A28" s="23" t="s">
        <v>5342</v>
      </c>
      <c r="B28" s="23" t="s">
        <v>5313</v>
      </c>
      <c r="C28" s="22">
        <v>900</v>
      </c>
      <c r="D28" s="22">
        <v>494101.61</v>
      </c>
    </row>
    <row r="29" spans="1:4" x14ac:dyDescent="0.2">
      <c r="A29" s="23" t="s">
        <v>5343</v>
      </c>
      <c r="B29" s="23" t="s">
        <v>5344</v>
      </c>
      <c r="C29" s="22">
        <v>0</v>
      </c>
      <c r="D29" s="22">
        <v>69143.91</v>
      </c>
    </row>
    <row r="30" spans="1:4" x14ac:dyDescent="0.2">
      <c r="A30" s="23" t="s">
        <v>5345</v>
      </c>
      <c r="B30" s="23" t="s">
        <v>5346</v>
      </c>
      <c r="C30" s="22">
        <v>0</v>
      </c>
      <c r="D30" s="22">
        <v>52400</v>
      </c>
    </row>
    <row r="31" spans="1:4" x14ac:dyDescent="0.2">
      <c r="A31" s="23" t="s">
        <v>5347</v>
      </c>
      <c r="B31" s="23" t="s">
        <v>5348</v>
      </c>
      <c r="C31" s="22">
        <v>0</v>
      </c>
      <c r="D31" s="22">
        <v>1438076.32</v>
      </c>
    </row>
    <row r="32" spans="1:4" x14ac:dyDescent="0.2">
      <c r="A32" s="23" t="s">
        <v>5349</v>
      </c>
      <c r="B32" s="23" t="s">
        <v>5350</v>
      </c>
      <c r="C32" s="22">
        <v>0</v>
      </c>
      <c r="D32" s="22">
        <v>618703.87</v>
      </c>
    </row>
    <row r="33" spans="1:4" x14ac:dyDescent="0.2">
      <c r="A33" s="23" t="s">
        <v>5351</v>
      </c>
      <c r="B33" s="23" t="s">
        <v>5352</v>
      </c>
      <c r="C33" s="22">
        <v>0</v>
      </c>
      <c r="D33" s="22">
        <v>1244134.23</v>
      </c>
    </row>
    <row r="34" spans="1:4" x14ac:dyDescent="0.2">
      <c r="A34" s="23" t="s">
        <v>5353</v>
      </c>
      <c r="B34" s="23" t="s">
        <v>5354</v>
      </c>
      <c r="C34" s="22">
        <v>0</v>
      </c>
      <c r="D34" s="22">
        <v>66278.45</v>
      </c>
    </row>
    <row r="35" spans="1:4" x14ac:dyDescent="0.2">
      <c r="A35" s="23" t="s">
        <v>5355</v>
      </c>
      <c r="B35" s="23" t="s">
        <v>5356</v>
      </c>
      <c r="C35" s="22">
        <v>0</v>
      </c>
      <c r="D35" s="22">
        <v>368096.92</v>
      </c>
    </row>
    <row r="36" spans="1:4" x14ac:dyDescent="0.2">
      <c r="A36" s="23" t="s">
        <v>5357</v>
      </c>
      <c r="B36" s="23" t="s">
        <v>5358</v>
      </c>
      <c r="C36" s="22">
        <v>0</v>
      </c>
      <c r="D36" s="22">
        <v>71470.559999999998</v>
      </c>
    </row>
    <row r="37" spans="1:4" x14ac:dyDescent="0.2">
      <c r="A37" s="23" t="s">
        <v>5359</v>
      </c>
      <c r="B37" s="23" t="s">
        <v>5360</v>
      </c>
      <c r="C37" s="22">
        <v>1479.17</v>
      </c>
      <c r="D37" s="22">
        <v>2504.56</v>
      </c>
    </row>
    <row r="38" spans="1:4" x14ac:dyDescent="0.2">
      <c r="A38" s="23" t="s">
        <v>5361</v>
      </c>
      <c r="B38" s="23" t="s">
        <v>5362</v>
      </c>
      <c r="C38" s="22">
        <v>0</v>
      </c>
      <c r="D38" s="22">
        <v>505.22</v>
      </c>
    </row>
    <row r="39" spans="1:4" x14ac:dyDescent="0.2">
      <c r="A39" s="23" t="s">
        <v>5363</v>
      </c>
      <c r="B39" s="23" t="s">
        <v>5364</v>
      </c>
      <c r="C39" s="22">
        <v>1428.21</v>
      </c>
      <c r="D39" s="22">
        <v>24935</v>
      </c>
    </row>
    <row r="40" spans="1:4" x14ac:dyDescent="0.2">
      <c r="A40" s="23" t="s">
        <v>5365</v>
      </c>
      <c r="B40" s="23" t="s">
        <v>5366</v>
      </c>
      <c r="C40" s="22">
        <v>30.56</v>
      </c>
      <c r="D40" s="22">
        <v>688082.1</v>
      </c>
    </row>
    <row r="41" spans="1:4" x14ac:dyDescent="0.2">
      <c r="A41" s="23" t="s">
        <v>5367</v>
      </c>
      <c r="B41" s="23" t="s">
        <v>5368</v>
      </c>
      <c r="C41" s="22">
        <v>0</v>
      </c>
      <c r="D41" s="22">
        <v>13154.91</v>
      </c>
    </row>
    <row r="42" spans="1:4" x14ac:dyDescent="0.2">
      <c r="A42" s="23" t="s">
        <v>5369</v>
      </c>
      <c r="B42" s="23" t="s">
        <v>5370</v>
      </c>
      <c r="C42" s="22">
        <v>0</v>
      </c>
      <c r="D42" s="22">
        <v>83185.070000000007</v>
      </c>
    </row>
    <row r="43" spans="1:4" x14ac:dyDescent="0.2">
      <c r="A43" s="23" t="s">
        <v>5371</v>
      </c>
      <c r="B43" s="23" t="s">
        <v>5372</v>
      </c>
      <c r="C43" s="22">
        <v>0</v>
      </c>
      <c r="D43" s="22">
        <v>33337.440000000002</v>
      </c>
    </row>
    <row r="44" spans="1:4" x14ac:dyDescent="0.2">
      <c r="A44" s="23" t="s">
        <v>5373</v>
      </c>
      <c r="B44" s="23" t="s">
        <v>5374</v>
      </c>
      <c r="C44" s="22">
        <v>0</v>
      </c>
      <c r="D44" s="22">
        <v>106084.49</v>
      </c>
    </row>
    <row r="45" spans="1:4" x14ac:dyDescent="0.2">
      <c r="A45" s="23" t="s">
        <v>5375</v>
      </c>
      <c r="B45" s="23" t="s">
        <v>5376</v>
      </c>
      <c r="C45" s="22">
        <v>0</v>
      </c>
      <c r="D45" s="22">
        <v>0</v>
      </c>
    </row>
    <row r="46" spans="1:4" x14ac:dyDescent="0.2">
      <c r="A46" s="23" t="s">
        <v>5377</v>
      </c>
      <c r="B46" s="23" t="s">
        <v>5378</v>
      </c>
      <c r="C46" s="22">
        <v>0</v>
      </c>
      <c r="D46" s="22">
        <v>39724.47</v>
      </c>
    </row>
    <row r="47" spans="1:4" x14ac:dyDescent="0.2">
      <c r="A47" s="23" t="s">
        <v>5379</v>
      </c>
      <c r="B47" s="23" t="s">
        <v>5380</v>
      </c>
      <c r="C47" s="22">
        <v>7.28</v>
      </c>
      <c r="D47" s="22">
        <v>5668.98</v>
      </c>
    </row>
    <row r="48" spans="1:4" x14ac:dyDescent="0.2">
      <c r="A48" s="23" t="s">
        <v>5381</v>
      </c>
      <c r="B48" s="23" t="s">
        <v>5382</v>
      </c>
      <c r="C48" s="22">
        <v>5767.97</v>
      </c>
      <c r="D48" s="22">
        <v>51930.46</v>
      </c>
    </row>
    <row r="49" spans="1:4" x14ac:dyDescent="0.2">
      <c r="A49" s="23" t="s">
        <v>5383</v>
      </c>
      <c r="B49" t="s">
        <v>4481</v>
      </c>
      <c r="C49" s="22">
        <v>1386460.87</v>
      </c>
      <c r="D49" s="22">
        <v>40229321.68</v>
      </c>
    </row>
    <row r="50" spans="1:4" x14ac:dyDescent="0.2">
      <c r="A50" s="23" t="s">
        <v>5384</v>
      </c>
      <c r="B50" s="23" t="s">
        <v>5385</v>
      </c>
      <c r="C50" s="22">
        <v>-58073638.75</v>
      </c>
      <c r="D50" s="22">
        <v>285027599.16000003</v>
      </c>
    </row>
    <row r="51" spans="1:4" x14ac:dyDescent="0.2">
      <c r="A51" s="23" t="s">
        <v>5386</v>
      </c>
      <c r="B51" t="s">
        <v>4481</v>
      </c>
      <c r="C51" s="22">
        <v>-58073638.75</v>
      </c>
      <c r="D51" s="22">
        <v>285027599.16000003</v>
      </c>
    </row>
    <row r="52" spans="1:4" x14ac:dyDescent="0.2">
      <c r="A52" s="23" t="s">
        <v>5387</v>
      </c>
      <c r="B52" s="23" t="s">
        <v>5388</v>
      </c>
      <c r="C52" s="22">
        <v>912198.14</v>
      </c>
      <c r="D52" s="22">
        <v>306384744.55000001</v>
      </c>
    </row>
    <row r="53" spans="1:4" x14ac:dyDescent="0.2">
      <c r="A53" s="23" t="s">
        <v>5389</v>
      </c>
      <c r="B53" t="s">
        <v>4481</v>
      </c>
      <c r="C53" s="22">
        <v>912198.14</v>
      </c>
      <c r="D53" s="22">
        <v>306384744.55000001</v>
      </c>
    </row>
    <row r="54" spans="1:4" x14ac:dyDescent="0.2">
      <c r="A54" s="23" t="s">
        <v>5390</v>
      </c>
      <c r="B54" s="23" t="s">
        <v>5391</v>
      </c>
      <c r="C54" s="22">
        <v>147012506.78999999</v>
      </c>
      <c r="D54" s="22">
        <v>-1869060821.4300001</v>
      </c>
    </row>
    <row r="55" spans="1:4" x14ac:dyDescent="0.2">
      <c r="A55" s="23" t="s">
        <v>5392</v>
      </c>
      <c r="B55" s="23" t="s">
        <v>5393</v>
      </c>
      <c r="C55" s="22">
        <v>-151512992.13999999</v>
      </c>
      <c r="D55" s="22">
        <v>-3</v>
      </c>
    </row>
    <row r="56" spans="1:4" x14ac:dyDescent="0.2">
      <c r="A56" s="23" t="s">
        <v>5394</v>
      </c>
      <c r="B56" s="23" t="s">
        <v>5395</v>
      </c>
      <c r="C56" s="22">
        <v>-222100.47</v>
      </c>
      <c r="D56" s="22">
        <v>-93736774.459999993</v>
      </c>
    </row>
    <row r="57" spans="1:4" x14ac:dyDescent="0.2">
      <c r="A57" s="23" t="s">
        <v>5396</v>
      </c>
      <c r="B57" s="23" t="s">
        <v>5397</v>
      </c>
      <c r="C57" s="22">
        <v>35284.03</v>
      </c>
      <c r="D57" s="22">
        <v>-2963858.1</v>
      </c>
    </row>
    <row r="58" spans="1:4" x14ac:dyDescent="0.2">
      <c r="A58" s="23" t="s">
        <v>5398</v>
      </c>
      <c r="B58" s="23" t="s">
        <v>5399</v>
      </c>
      <c r="C58" s="22">
        <v>-413.72</v>
      </c>
      <c r="D58" s="22">
        <v>-546819.55000000005</v>
      </c>
    </row>
    <row r="59" spans="1:4" x14ac:dyDescent="0.2">
      <c r="A59" s="23" t="s">
        <v>5400</v>
      </c>
      <c r="B59" s="23" t="s">
        <v>3639</v>
      </c>
      <c r="C59" s="22">
        <v>-109675.01</v>
      </c>
      <c r="D59" s="22">
        <v>16212709.52</v>
      </c>
    </row>
    <row r="60" spans="1:4" x14ac:dyDescent="0.2">
      <c r="A60" s="23" t="s">
        <v>3640</v>
      </c>
      <c r="B60" s="23" t="s">
        <v>3641</v>
      </c>
      <c r="C60" s="22">
        <v>109675.01</v>
      </c>
      <c r="D60" s="22">
        <v>-16212709.52</v>
      </c>
    </row>
    <row r="61" spans="1:4" x14ac:dyDescent="0.2">
      <c r="A61" s="23" t="s">
        <v>3642</v>
      </c>
      <c r="B61" s="23" t="s">
        <v>3643</v>
      </c>
      <c r="C61" s="22">
        <v>-2083825.22</v>
      </c>
      <c r="D61" s="22">
        <v>433157701.82999998</v>
      </c>
    </row>
    <row r="62" spans="1:4" x14ac:dyDescent="0.2">
      <c r="A62" s="23" t="s">
        <v>3644</v>
      </c>
      <c r="B62" s="23" t="s">
        <v>3645</v>
      </c>
      <c r="C62" s="22">
        <v>2083825.22</v>
      </c>
      <c r="D62" s="22">
        <v>-433157701.82999998</v>
      </c>
    </row>
    <row r="63" spans="1:4" x14ac:dyDescent="0.2">
      <c r="A63" s="23" t="s">
        <v>3646</v>
      </c>
      <c r="B63" s="23" t="s">
        <v>3647</v>
      </c>
      <c r="C63" s="22">
        <v>68742.3</v>
      </c>
      <c r="D63" s="22">
        <v>525288.84</v>
      </c>
    </row>
    <row r="64" spans="1:4" x14ac:dyDescent="0.2">
      <c r="A64" s="23" t="s">
        <v>3648</v>
      </c>
      <c r="B64" s="23" t="s">
        <v>3649</v>
      </c>
      <c r="C64" s="22">
        <v>120088.12</v>
      </c>
      <c r="D64" s="22">
        <v>-26380.03</v>
      </c>
    </row>
    <row r="65" spans="1:4" x14ac:dyDescent="0.2">
      <c r="A65" s="23" t="s">
        <v>3650</v>
      </c>
      <c r="B65" s="23" t="s">
        <v>3651</v>
      </c>
      <c r="C65" s="22">
        <v>21255.360000000001</v>
      </c>
      <c r="D65" s="22">
        <v>-153132.82999999999</v>
      </c>
    </row>
    <row r="66" spans="1:4" x14ac:dyDescent="0.2">
      <c r="A66" s="23" t="s">
        <v>3652</v>
      </c>
      <c r="B66" s="23" t="s">
        <v>3653</v>
      </c>
      <c r="C66" s="22">
        <v>32974.17</v>
      </c>
      <c r="D66" s="22">
        <v>284368.88</v>
      </c>
    </row>
    <row r="67" spans="1:4" x14ac:dyDescent="0.2">
      <c r="A67" s="23" t="s">
        <v>3654</v>
      </c>
      <c r="B67" s="23" t="s">
        <v>3655</v>
      </c>
      <c r="C67" s="22">
        <v>-42886.46</v>
      </c>
      <c r="D67" s="22">
        <v>324088.56</v>
      </c>
    </row>
    <row r="68" spans="1:4" x14ac:dyDescent="0.2">
      <c r="A68" s="23" t="s">
        <v>3656</v>
      </c>
      <c r="B68" s="23" t="s">
        <v>3657</v>
      </c>
      <c r="C68" s="22">
        <v>145546.21</v>
      </c>
      <c r="D68" s="22">
        <v>169255.71</v>
      </c>
    </row>
    <row r="69" spans="1:4" x14ac:dyDescent="0.2">
      <c r="A69" s="23" t="s">
        <v>3658</v>
      </c>
      <c r="B69" s="23" t="s">
        <v>3659</v>
      </c>
      <c r="C69" s="22">
        <v>128071.62</v>
      </c>
      <c r="D69" s="22">
        <v>410987.19</v>
      </c>
    </row>
    <row r="70" spans="1:4" x14ac:dyDescent="0.2">
      <c r="A70" s="23" t="s">
        <v>3660</v>
      </c>
      <c r="B70" t="s">
        <v>4481</v>
      </c>
      <c r="C70" s="22">
        <v>-4213924.1900000004</v>
      </c>
      <c r="D70" s="22">
        <v>-1964773800.22</v>
      </c>
    </row>
    <row r="71" spans="1:4" x14ac:dyDescent="0.2">
      <c r="A71" s="23" t="s">
        <v>3661</v>
      </c>
      <c r="B71" s="23" t="s">
        <v>3662</v>
      </c>
      <c r="C71" s="22">
        <v>199701.62</v>
      </c>
      <c r="D71" s="22">
        <v>-8468821.4100000001</v>
      </c>
    </row>
    <row r="72" spans="1:4" x14ac:dyDescent="0.2">
      <c r="A72" s="23" t="s">
        <v>3663</v>
      </c>
      <c r="B72" t="s">
        <v>4481</v>
      </c>
      <c r="C72" s="22">
        <v>199701.62</v>
      </c>
      <c r="D72" s="22">
        <v>-8468821.4100000001</v>
      </c>
    </row>
    <row r="73" spans="1:4" x14ac:dyDescent="0.2">
      <c r="A73" s="23" t="s">
        <v>3664</v>
      </c>
      <c r="B73" s="23" t="s">
        <v>3665</v>
      </c>
      <c r="C73" s="22">
        <v>-17444.71</v>
      </c>
      <c r="D73" s="22">
        <v>3506385.76</v>
      </c>
    </row>
    <row r="74" spans="1:4" x14ac:dyDescent="0.2">
      <c r="A74" s="23" t="s">
        <v>3666</v>
      </c>
      <c r="B74" s="23" t="s">
        <v>3667</v>
      </c>
      <c r="C74" s="22">
        <v>-2871.56</v>
      </c>
      <c r="D74" s="22">
        <v>778193.45</v>
      </c>
    </row>
    <row r="75" spans="1:4" x14ac:dyDescent="0.2">
      <c r="A75" s="23" t="s">
        <v>3668</v>
      </c>
      <c r="B75" t="s">
        <v>4481</v>
      </c>
      <c r="C75" s="22">
        <v>-20316.27</v>
      </c>
      <c r="D75" s="22">
        <v>4284579.21</v>
      </c>
    </row>
    <row r="76" spans="1:4" x14ac:dyDescent="0.2">
      <c r="A76" s="23" t="s">
        <v>3669</v>
      </c>
      <c r="B76" s="23" t="s">
        <v>3670</v>
      </c>
      <c r="C76" s="22">
        <v>0</v>
      </c>
      <c r="D76" s="22">
        <v>9188.01</v>
      </c>
    </row>
    <row r="77" spans="1:4" x14ac:dyDescent="0.2">
      <c r="A77" s="23" t="s">
        <v>3671</v>
      </c>
      <c r="B77" s="23" t="s">
        <v>3672</v>
      </c>
      <c r="C77" s="22">
        <v>0</v>
      </c>
      <c r="D77" s="22">
        <v>11686.93</v>
      </c>
    </row>
    <row r="78" spans="1:4" x14ac:dyDescent="0.2">
      <c r="A78" s="23" t="s">
        <v>3673</v>
      </c>
      <c r="B78" s="23" t="s">
        <v>3674</v>
      </c>
      <c r="C78" s="22">
        <v>0</v>
      </c>
      <c r="D78" s="22">
        <v>2483.4699999999998</v>
      </c>
    </row>
    <row r="79" spans="1:4" x14ac:dyDescent="0.2">
      <c r="A79" s="23" t="s">
        <v>3675</v>
      </c>
      <c r="B79" s="23" t="s">
        <v>3676</v>
      </c>
      <c r="C79" s="22">
        <v>3406.13</v>
      </c>
      <c r="D79" s="22">
        <v>5619523.25</v>
      </c>
    </row>
    <row r="80" spans="1:4" x14ac:dyDescent="0.2">
      <c r="A80" s="23" t="s">
        <v>3677</v>
      </c>
      <c r="B80" s="23" t="s">
        <v>3678</v>
      </c>
      <c r="C80" s="22">
        <v>-3997.57</v>
      </c>
      <c r="D80" s="22">
        <v>515924.36</v>
      </c>
    </row>
    <row r="81" spans="1:4" x14ac:dyDescent="0.2">
      <c r="A81" s="23" t="s">
        <v>3679</v>
      </c>
      <c r="B81" s="23" t="s">
        <v>3680</v>
      </c>
      <c r="C81" s="22">
        <v>0</v>
      </c>
      <c r="D81" s="22">
        <v>164280.19</v>
      </c>
    </row>
    <row r="82" spans="1:4" x14ac:dyDescent="0.2">
      <c r="A82" s="23" t="s">
        <v>3681</v>
      </c>
      <c r="B82" s="23" t="s">
        <v>3682</v>
      </c>
      <c r="C82" s="22">
        <v>0</v>
      </c>
      <c r="D82" s="22">
        <v>102099.05</v>
      </c>
    </row>
    <row r="83" spans="1:4" x14ac:dyDescent="0.2">
      <c r="A83" s="23" t="s">
        <v>3683</v>
      </c>
      <c r="B83" s="23" t="s">
        <v>3684</v>
      </c>
      <c r="C83" s="22">
        <v>0</v>
      </c>
      <c r="D83" s="22">
        <v>73932.800000000003</v>
      </c>
    </row>
    <row r="84" spans="1:4" x14ac:dyDescent="0.2">
      <c r="A84" s="23" t="s">
        <v>3685</v>
      </c>
      <c r="B84" s="23" t="s">
        <v>3686</v>
      </c>
      <c r="C84" s="22">
        <v>0</v>
      </c>
      <c r="D84" s="22">
        <v>94896.85</v>
      </c>
    </row>
    <row r="85" spans="1:4" x14ac:dyDescent="0.2">
      <c r="A85" s="23" t="s">
        <v>3687</v>
      </c>
      <c r="B85" s="23" t="s">
        <v>3688</v>
      </c>
      <c r="C85" s="22">
        <v>0</v>
      </c>
      <c r="D85" s="22">
        <v>0</v>
      </c>
    </row>
    <row r="86" spans="1:4" x14ac:dyDescent="0.2">
      <c r="A86" s="23" t="s">
        <v>3689</v>
      </c>
      <c r="B86" s="23" t="s">
        <v>3690</v>
      </c>
      <c r="C86" s="22">
        <v>0</v>
      </c>
      <c r="D86" s="22">
        <v>1084.5999999999999</v>
      </c>
    </row>
    <row r="87" spans="1:4" x14ac:dyDescent="0.2">
      <c r="A87" s="23" t="s">
        <v>3691</v>
      </c>
      <c r="B87" s="23" t="s">
        <v>3692</v>
      </c>
      <c r="C87" s="22">
        <v>0</v>
      </c>
      <c r="D87" s="22">
        <v>6002.31</v>
      </c>
    </row>
    <row r="88" spans="1:4" x14ac:dyDescent="0.2">
      <c r="A88" s="23" t="s">
        <v>3693</v>
      </c>
      <c r="B88" s="23" t="s">
        <v>3694</v>
      </c>
      <c r="C88" s="22">
        <v>0</v>
      </c>
      <c r="D88" s="22">
        <v>2890.67</v>
      </c>
    </row>
    <row r="89" spans="1:4" x14ac:dyDescent="0.2">
      <c r="A89" s="23" t="s">
        <v>3695</v>
      </c>
      <c r="B89" s="23" t="s">
        <v>3696</v>
      </c>
      <c r="C89" s="22">
        <v>0</v>
      </c>
      <c r="D89" s="22">
        <v>785302.91</v>
      </c>
    </row>
    <row r="90" spans="1:4" x14ac:dyDescent="0.2">
      <c r="A90" s="23" t="s">
        <v>3697</v>
      </c>
      <c r="B90" s="23" t="s">
        <v>3698</v>
      </c>
      <c r="C90" s="22">
        <v>0</v>
      </c>
      <c r="D90" s="22">
        <v>282.95999999999998</v>
      </c>
    </row>
    <row r="91" spans="1:4" x14ac:dyDescent="0.2">
      <c r="A91" s="23" t="s">
        <v>3699</v>
      </c>
      <c r="B91" s="23" t="s">
        <v>3700</v>
      </c>
      <c r="C91" s="22">
        <v>0</v>
      </c>
      <c r="D91" s="22">
        <v>1127.03</v>
      </c>
    </row>
    <row r="92" spans="1:4" x14ac:dyDescent="0.2">
      <c r="A92" s="23" t="s">
        <v>3701</v>
      </c>
      <c r="B92" s="23" t="s">
        <v>3702</v>
      </c>
      <c r="C92" s="22">
        <v>0</v>
      </c>
      <c r="D92" s="22">
        <v>1008.74</v>
      </c>
    </row>
    <row r="93" spans="1:4" x14ac:dyDescent="0.2">
      <c r="A93" s="23" t="s">
        <v>3703</v>
      </c>
      <c r="B93" s="23" t="s">
        <v>3704</v>
      </c>
      <c r="C93" s="22">
        <v>0</v>
      </c>
      <c r="D93" s="22">
        <v>638.48</v>
      </c>
    </row>
    <row r="94" spans="1:4" x14ac:dyDescent="0.2">
      <c r="A94" s="23" t="s">
        <v>3705</v>
      </c>
      <c r="B94" t="s">
        <v>4481</v>
      </c>
      <c r="C94" s="22">
        <v>-591.44000000000005</v>
      </c>
      <c r="D94" s="22">
        <v>7392352.6100000003</v>
      </c>
    </row>
    <row r="95" spans="1:4" x14ac:dyDescent="0.2">
      <c r="A95" s="23" t="s">
        <v>3706</v>
      </c>
      <c r="B95" s="23" t="s">
        <v>801</v>
      </c>
      <c r="C95" s="22">
        <v>-33642.14</v>
      </c>
      <c r="D95" s="22">
        <v>-3399464.11</v>
      </c>
    </row>
    <row r="96" spans="1:4" x14ac:dyDescent="0.2">
      <c r="A96" s="23" t="s">
        <v>802</v>
      </c>
      <c r="B96" s="23" t="s">
        <v>3678</v>
      </c>
      <c r="C96" s="22">
        <v>-3344.8</v>
      </c>
      <c r="D96" s="22">
        <v>-294366.38</v>
      </c>
    </row>
    <row r="97" spans="1:4" x14ac:dyDescent="0.2">
      <c r="A97" s="23" t="s">
        <v>1140</v>
      </c>
      <c r="B97" s="23" t="s">
        <v>1141</v>
      </c>
      <c r="C97" s="22">
        <v>-1215.46</v>
      </c>
      <c r="D97" s="22">
        <v>-14585.52</v>
      </c>
    </row>
    <row r="98" spans="1:4" x14ac:dyDescent="0.2">
      <c r="A98" s="23" t="s">
        <v>1142</v>
      </c>
      <c r="B98" s="23" t="s">
        <v>1143</v>
      </c>
      <c r="C98" s="22">
        <v>-1232.21</v>
      </c>
      <c r="D98" s="22">
        <v>-69003.78</v>
      </c>
    </row>
    <row r="99" spans="1:4" x14ac:dyDescent="0.2">
      <c r="A99" s="23" t="s">
        <v>1144</v>
      </c>
      <c r="B99" s="23" t="s">
        <v>1145</v>
      </c>
      <c r="C99" s="22">
        <v>-1507.99</v>
      </c>
      <c r="D99" s="22">
        <v>-18095.88</v>
      </c>
    </row>
    <row r="100" spans="1:4" x14ac:dyDescent="0.2">
      <c r="A100" s="23" t="s">
        <v>1146</v>
      </c>
      <c r="B100" s="23" t="s">
        <v>1147</v>
      </c>
      <c r="C100" s="22">
        <v>0</v>
      </c>
      <c r="D100" s="22">
        <v>0</v>
      </c>
    </row>
    <row r="101" spans="1:4" x14ac:dyDescent="0.2">
      <c r="A101" s="23" t="s">
        <v>1148</v>
      </c>
      <c r="B101" t="s">
        <v>4481</v>
      </c>
      <c r="C101" s="22">
        <v>-40942.6</v>
      </c>
      <c r="D101" s="22">
        <v>-3795515.67</v>
      </c>
    </row>
    <row r="102" spans="1:4" x14ac:dyDescent="0.2">
      <c r="A102" s="23" t="s">
        <v>1149</v>
      </c>
      <c r="B102" s="23" t="s">
        <v>1150</v>
      </c>
      <c r="C102" s="22">
        <v>0</v>
      </c>
      <c r="D102" s="22">
        <v>0</v>
      </c>
    </row>
    <row r="103" spans="1:4" x14ac:dyDescent="0.2">
      <c r="A103" s="23" t="s">
        <v>1151</v>
      </c>
      <c r="B103" s="23" t="s">
        <v>1152</v>
      </c>
      <c r="C103" s="22">
        <v>0</v>
      </c>
      <c r="D103" s="22">
        <v>273668.08</v>
      </c>
    </row>
    <row r="104" spans="1:4" x14ac:dyDescent="0.2">
      <c r="A104" s="23" t="s">
        <v>1153</v>
      </c>
      <c r="B104" t="s">
        <v>4481</v>
      </c>
      <c r="C104" s="22">
        <v>0</v>
      </c>
      <c r="D104" s="22">
        <v>273668.08</v>
      </c>
    </row>
    <row r="105" spans="1:4" x14ac:dyDescent="0.2">
      <c r="A105" s="23" t="s">
        <v>1154</v>
      </c>
      <c r="B105" s="23" t="s">
        <v>1155</v>
      </c>
      <c r="C105" s="22">
        <v>0</v>
      </c>
      <c r="D105" s="22">
        <v>0</v>
      </c>
    </row>
    <row r="106" spans="1:4" x14ac:dyDescent="0.2">
      <c r="A106" s="23" t="s">
        <v>657</v>
      </c>
      <c r="B106" t="s">
        <v>4481</v>
      </c>
      <c r="C106" s="22">
        <v>0</v>
      </c>
      <c r="D106" s="22">
        <v>0</v>
      </c>
    </row>
    <row r="107" spans="1:4" x14ac:dyDescent="0.2">
      <c r="A107" s="23" t="s">
        <v>658</v>
      </c>
      <c r="B107" s="23" t="s">
        <v>659</v>
      </c>
      <c r="C107" s="22">
        <v>0</v>
      </c>
      <c r="D107" s="22">
        <v>0</v>
      </c>
    </row>
    <row r="108" spans="1:4" x14ac:dyDescent="0.2">
      <c r="A108" s="23" t="s">
        <v>660</v>
      </c>
      <c r="B108" t="s">
        <v>4481</v>
      </c>
      <c r="C108" s="22">
        <v>0</v>
      </c>
      <c r="D108" s="22">
        <v>0</v>
      </c>
    </row>
    <row r="109" spans="1:4" x14ac:dyDescent="0.2">
      <c r="A109" s="23" t="s">
        <v>661</v>
      </c>
      <c r="B109" s="23" t="s">
        <v>662</v>
      </c>
      <c r="C109" s="22">
        <v>0</v>
      </c>
      <c r="D109" s="22">
        <v>0</v>
      </c>
    </row>
    <row r="110" spans="1:4" x14ac:dyDescent="0.2">
      <c r="A110" s="23" t="s">
        <v>663</v>
      </c>
      <c r="B110" t="s">
        <v>4481</v>
      </c>
      <c r="C110" s="22">
        <v>0</v>
      </c>
      <c r="D110" s="22">
        <v>0</v>
      </c>
    </row>
    <row r="111" spans="1:4" x14ac:dyDescent="0.2">
      <c r="A111" s="23" t="s">
        <v>664</v>
      </c>
      <c r="B111" s="23" t="s">
        <v>665</v>
      </c>
      <c r="C111" s="22">
        <v>0</v>
      </c>
      <c r="D111" s="22">
        <v>0</v>
      </c>
    </row>
    <row r="112" spans="1:4" x14ac:dyDescent="0.2">
      <c r="A112" s="23" t="s">
        <v>3207</v>
      </c>
      <c r="B112" s="23" t="s">
        <v>4227</v>
      </c>
      <c r="C112" s="22">
        <v>727001.59999999998</v>
      </c>
      <c r="D112" s="22">
        <v>727001.59</v>
      </c>
    </row>
    <row r="113" spans="1:4" x14ac:dyDescent="0.2">
      <c r="A113" s="23" t="s">
        <v>4228</v>
      </c>
      <c r="B113" s="23" t="s">
        <v>4229</v>
      </c>
      <c r="C113" s="22">
        <v>0</v>
      </c>
      <c r="D113" s="22">
        <v>0</v>
      </c>
    </row>
    <row r="114" spans="1:4" x14ac:dyDescent="0.2">
      <c r="A114" s="23" t="s">
        <v>4230</v>
      </c>
      <c r="B114" s="23" t="s">
        <v>4231</v>
      </c>
      <c r="C114" s="22">
        <v>0</v>
      </c>
      <c r="D114" s="22">
        <v>0</v>
      </c>
    </row>
    <row r="115" spans="1:4" x14ac:dyDescent="0.2">
      <c r="A115" s="23" t="s">
        <v>4232</v>
      </c>
      <c r="B115" s="23" t="s">
        <v>4233</v>
      </c>
      <c r="C115" s="22">
        <v>0</v>
      </c>
      <c r="D115" s="22">
        <v>0</v>
      </c>
    </row>
    <row r="116" spans="1:4" x14ac:dyDescent="0.2">
      <c r="A116" s="23" t="s">
        <v>4234</v>
      </c>
      <c r="B116" s="23" t="s">
        <v>4235</v>
      </c>
      <c r="C116" s="22">
        <v>-908.5</v>
      </c>
      <c r="D116" s="22">
        <v>-908.5</v>
      </c>
    </row>
    <row r="117" spans="1:4" x14ac:dyDescent="0.2">
      <c r="A117" s="23" t="s">
        <v>4236</v>
      </c>
      <c r="B117" s="23" t="s">
        <v>4237</v>
      </c>
      <c r="C117" s="22">
        <v>19595.88</v>
      </c>
      <c r="D117" s="22">
        <v>-47080.11</v>
      </c>
    </row>
    <row r="118" spans="1:4" x14ac:dyDescent="0.2">
      <c r="A118" s="23" t="s">
        <v>4238</v>
      </c>
      <c r="B118" s="23" t="s">
        <v>4239</v>
      </c>
      <c r="C118" s="22">
        <v>0</v>
      </c>
      <c r="D118" s="22">
        <v>0</v>
      </c>
    </row>
    <row r="119" spans="1:4" x14ac:dyDescent="0.2">
      <c r="A119" s="23" t="s">
        <v>4240</v>
      </c>
      <c r="B119" s="23" t="s">
        <v>4241</v>
      </c>
      <c r="C119" s="22">
        <v>0</v>
      </c>
      <c r="D119" s="22">
        <v>0</v>
      </c>
    </row>
    <row r="120" spans="1:4" x14ac:dyDescent="0.2">
      <c r="A120" s="23" t="s">
        <v>4242</v>
      </c>
      <c r="B120" s="23" t="s">
        <v>4243</v>
      </c>
      <c r="C120" s="22">
        <v>0</v>
      </c>
      <c r="D120" s="22">
        <v>0</v>
      </c>
    </row>
    <row r="121" spans="1:4" x14ac:dyDescent="0.2">
      <c r="A121" s="23" t="s">
        <v>4244</v>
      </c>
      <c r="B121" s="23" t="s">
        <v>4245</v>
      </c>
      <c r="C121" s="22">
        <v>-36015512.829999998</v>
      </c>
      <c r="D121" s="22">
        <v>1744855.5</v>
      </c>
    </row>
    <row r="122" spans="1:4" x14ac:dyDescent="0.2">
      <c r="A122" s="23" t="s">
        <v>4246</v>
      </c>
      <c r="B122" s="23" t="s">
        <v>4247</v>
      </c>
      <c r="C122" s="22">
        <v>696772.67</v>
      </c>
      <c r="D122" s="22">
        <v>5064336.76</v>
      </c>
    </row>
    <row r="123" spans="1:4" x14ac:dyDescent="0.2">
      <c r="A123" s="23" t="s">
        <v>4248</v>
      </c>
      <c r="B123" s="23" t="s">
        <v>4249</v>
      </c>
      <c r="C123" s="22">
        <v>1831123.1</v>
      </c>
      <c r="D123" s="22">
        <v>2545380.61</v>
      </c>
    </row>
    <row r="124" spans="1:4" x14ac:dyDescent="0.2">
      <c r="A124" s="23" t="s">
        <v>4250</v>
      </c>
      <c r="B124" s="23" t="s">
        <v>4239</v>
      </c>
      <c r="C124" s="22">
        <v>73764.289999999994</v>
      </c>
      <c r="D124" s="22">
        <v>-1468629.74</v>
      </c>
    </row>
    <row r="125" spans="1:4" x14ac:dyDescent="0.2">
      <c r="A125" s="23" t="s">
        <v>5456</v>
      </c>
      <c r="B125" s="23" t="s">
        <v>5457</v>
      </c>
      <c r="C125" s="22">
        <v>31406083.27</v>
      </c>
      <c r="D125" s="22">
        <v>-16723117.859999999</v>
      </c>
    </row>
    <row r="126" spans="1:4" x14ac:dyDescent="0.2">
      <c r="A126" s="23" t="s">
        <v>5458</v>
      </c>
      <c r="B126" s="23" t="s">
        <v>5457</v>
      </c>
      <c r="C126" s="22">
        <v>0</v>
      </c>
      <c r="D126" s="22">
        <v>0</v>
      </c>
    </row>
    <row r="127" spans="1:4" x14ac:dyDescent="0.2">
      <c r="A127" s="23" t="s">
        <v>5459</v>
      </c>
      <c r="B127" s="23" t="s">
        <v>5460</v>
      </c>
      <c r="C127" s="22">
        <v>0</v>
      </c>
      <c r="D127" s="22">
        <v>0</v>
      </c>
    </row>
    <row r="128" spans="1:4" x14ac:dyDescent="0.2">
      <c r="A128" s="23" t="s">
        <v>5461</v>
      </c>
      <c r="B128" s="23" t="s">
        <v>5462</v>
      </c>
      <c r="C128" s="22">
        <v>-15551</v>
      </c>
      <c r="D128" s="22">
        <v>-328883.19</v>
      </c>
    </row>
    <row r="129" spans="1:4" x14ac:dyDescent="0.2">
      <c r="A129" s="23" t="s">
        <v>5463</v>
      </c>
      <c r="B129" s="23" t="s">
        <v>5464</v>
      </c>
      <c r="C129" s="22">
        <v>1422098.14</v>
      </c>
      <c r="D129" s="22">
        <v>7883888.5700000003</v>
      </c>
    </row>
    <row r="130" spans="1:4" x14ac:dyDescent="0.2">
      <c r="A130" s="23" t="s">
        <v>5465</v>
      </c>
      <c r="B130" t="s">
        <v>4481</v>
      </c>
      <c r="C130" s="22">
        <v>144466.62</v>
      </c>
      <c r="D130" s="22">
        <v>-603156.37</v>
      </c>
    </row>
    <row r="131" spans="1:4" x14ac:dyDescent="0.2">
      <c r="A131" s="23" t="s">
        <v>5466</v>
      </c>
      <c r="B131" s="23" t="s">
        <v>5467</v>
      </c>
      <c r="C131" s="22">
        <v>0</v>
      </c>
      <c r="D131" s="22">
        <v>1532.52</v>
      </c>
    </row>
    <row r="132" spans="1:4" x14ac:dyDescent="0.2">
      <c r="A132" s="23" t="s">
        <v>5468</v>
      </c>
      <c r="B132" s="23" t="s">
        <v>5469</v>
      </c>
      <c r="C132" s="22">
        <v>0</v>
      </c>
      <c r="D132" s="22">
        <v>1850</v>
      </c>
    </row>
    <row r="133" spans="1:4" x14ac:dyDescent="0.2">
      <c r="A133" s="23" t="s">
        <v>5470</v>
      </c>
      <c r="B133" s="23" t="s">
        <v>5471</v>
      </c>
      <c r="C133" s="22">
        <v>0</v>
      </c>
      <c r="D133" s="22">
        <v>77912.5</v>
      </c>
    </row>
    <row r="134" spans="1:4" x14ac:dyDescent="0.2">
      <c r="A134" s="23" t="s">
        <v>5472</v>
      </c>
      <c r="B134" s="23" t="s">
        <v>5473</v>
      </c>
      <c r="C134" s="22">
        <v>0</v>
      </c>
      <c r="D134" s="22">
        <v>3400</v>
      </c>
    </row>
    <row r="135" spans="1:4" x14ac:dyDescent="0.2">
      <c r="A135" s="23" t="s">
        <v>5474</v>
      </c>
      <c r="B135" s="23" t="s">
        <v>5475</v>
      </c>
      <c r="C135" s="22">
        <v>0</v>
      </c>
      <c r="D135" s="22">
        <v>1000</v>
      </c>
    </row>
    <row r="136" spans="1:4" x14ac:dyDescent="0.2">
      <c r="A136" s="23" t="s">
        <v>5476</v>
      </c>
      <c r="B136" s="23" t="s">
        <v>5477</v>
      </c>
      <c r="C136" s="22">
        <v>0</v>
      </c>
      <c r="D136" s="22">
        <v>0</v>
      </c>
    </row>
    <row r="137" spans="1:4" x14ac:dyDescent="0.2">
      <c r="A137" s="23" t="s">
        <v>5478</v>
      </c>
      <c r="B137" s="23" t="s">
        <v>5479</v>
      </c>
      <c r="C137" s="22">
        <v>0</v>
      </c>
      <c r="D137" s="22">
        <v>0</v>
      </c>
    </row>
    <row r="138" spans="1:4" x14ac:dyDescent="0.2">
      <c r="A138" s="23" t="s">
        <v>5480</v>
      </c>
      <c r="B138" t="s">
        <v>4481</v>
      </c>
      <c r="C138" s="22">
        <v>0</v>
      </c>
      <c r="D138" s="22">
        <v>85695.02</v>
      </c>
    </row>
    <row r="139" spans="1:4" x14ac:dyDescent="0.2">
      <c r="A139" s="23" t="s">
        <v>5481</v>
      </c>
      <c r="B139" s="23" t="s">
        <v>5482</v>
      </c>
      <c r="C139" s="22">
        <v>300</v>
      </c>
      <c r="D139" s="22">
        <v>78646.210000000006</v>
      </c>
    </row>
    <row r="140" spans="1:4" x14ac:dyDescent="0.2">
      <c r="A140" s="23" t="s">
        <v>5483</v>
      </c>
      <c r="B140" s="23" t="s">
        <v>5484</v>
      </c>
      <c r="C140" s="22">
        <v>0</v>
      </c>
      <c r="D140" s="22">
        <v>5000</v>
      </c>
    </row>
    <row r="141" spans="1:4" x14ac:dyDescent="0.2">
      <c r="A141" s="23" t="s">
        <v>5485</v>
      </c>
      <c r="B141" s="23" t="s">
        <v>5486</v>
      </c>
      <c r="C141" s="22">
        <v>0</v>
      </c>
      <c r="D141" s="22">
        <v>815.2</v>
      </c>
    </row>
    <row r="142" spans="1:4" x14ac:dyDescent="0.2">
      <c r="A142" s="23" t="s">
        <v>5487</v>
      </c>
      <c r="B142" t="s">
        <v>4481</v>
      </c>
      <c r="C142" s="22">
        <v>300</v>
      </c>
      <c r="D142" s="22">
        <v>84461.41</v>
      </c>
    </row>
    <row r="143" spans="1:4" x14ac:dyDescent="0.2">
      <c r="A143" s="23" t="s">
        <v>5488</v>
      </c>
      <c r="B143" s="23" t="s">
        <v>5489</v>
      </c>
      <c r="C143" s="22">
        <v>-144466.62</v>
      </c>
      <c r="D143" s="22">
        <v>603156.37</v>
      </c>
    </row>
    <row r="144" spans="1:4" x14ac:dyDescent="0.2">
      <c r="A144" s="23" t="s">
        <v>5490</v>
      </c>
      <c r="B144" s="23" t="s">
        <v>5491</v>
      </c>
      <c r="C144" s="22">
        <v>1256723.8500000001</v>
      </c>
      <c r="D144" s="22">
        <v>7127459.9900000002</v>
      </c>
    </row>
    <row r="145" spans="1:4" x14ac:dyDescent="0.2">
      <c r="A145" s="23" t="s">
        <v>5492</v>
      </c>
      <c r="B145" t="s">
        <v>4481</v>
      </c>
      <c r="C145" s="22">
        <v>1112257.23</v>
      </c>
      <c r="D145" s="22">
        <v>7730616.3600000003</v>
      </c>
    </row>
    <row r="146" spans="1:4" x14ac:dyDescent="0.2">
      <c r="A146" s="23" t="s">
        <v>5493</v>
      </c>
      <c r="B146" s="23" t="s">
        <v>5494</v>
      </c>
      <c r="C146" s="22">
        <v>0</v>
      </c>
      <c r="D146" s="22">
        <v>0</v>
      </c>
    </row>
    <row r="147" spans="1:4" x14ac:dyDescent="0.2">
      <c r="A147" s="23" t="s">
        <v>5495</v>
      </c>
      <c r="B147" t="s">
        <v>4481</v>
      </c>
      <c r="C147" s="22">
        <v>0</v>
      </c>
      <c r="D147" s="22">
        <v>0</v>
      </c>
    </row>
    <row r="148" spans="1:4" x14ac:dyDescent="0.2">
      <c r="A148" s="23" t="s">
        <v>5496</v>
      </c>
      <c r="B148" s="23" t="s">
        <v>5497</v>
      </c>
      <c r="C148" s="22">
        <v>-2254700.9700000002</v>
      </c>
      <c r="D148" s="22">
        <v>1084721.78</v>
      </c>
    </row>
    <row r="149" spans="1:4" x14ac:dyDescent="0.2">
      <c r="A149" s="23" t="s">
        <v>5498</v>
      </c>
      <c r="B149" s="23" t="s">
        <v>5499</v>
      </c>
      <c r="C149" s="22">
        <v>-1267942.9099999999</v>
      </c>
      <c r="D149" s="22">
        <v>136751000.13999999</v>
      </c>
    </row>
    <row r="150" spans="1:4" x14ac:dyDescent="0.2">
      <c r="A150" s="23" t="s">
        <v>5500</v>
      </c>
      <c r="B150" s="23" t="s">
        <v>5501</v>
      </c>
      <c r="C150" s="22">
        <v>4197.34</v>
      </c>
      <c r="D150" s="22">
        <v>260253.33</v>
      </c>
    </row>
    <row r="151" spans="1:4" x14ac:dyDescent="0.2">
      <c r="A151" s="23" t="s">
        <v>5502</v>
      </c>
      <c r="B151" t="s">
        <v>4481</v>
      </c>
      <c r="C151" s="22">
        <v>-3518446.54</v>
      </c>
      <c r="D151" s="22">
        <v>138095975.25</v>
      </c>
    </row>
    <row r="152" spans="1:4" x14ac:dyDescent="0.2">
      <c r="A152" s="23" t="s">
        <v>5503</v>
      </c>
      <c r="B152" s="23" t="s">
        <v>5504</v>
      </c>
      <c r="C152" s="22">
        <v>-1700880.29</v>
      </c>
      <c r="D152" s="22">
        <v>2409748.54</v>
      </c>
    </row>
    <row r="153" spans="1:4" x14ac:dyDescent="0.2">
      <c r="A153" s="23" t="s">
        <v>5505</v>
      </c>
      <c r="B153" s="23" t="s">
        <v>5506</v>
      </c>
      <c r="C153" s="22">
        <v>700577</v>
      </c>
      <c r="D153" s="22">
        <v>700577</v>
      </c>
    </row>
    <row r="154" spans="1:4" x14ac:dyDescent="0.2">
      <c r="A154" s="23" t="s">
        <v>5507</v>
      </c>
      <c r="B154" s="23" t="s">
        <v>5508</v>
      </c>
      <c r="C154" s="22">
        <v>0</v>
      </c>
      <c r="D154" s="22">
        <v>0</v>
      </c>
    </row>
    <row r="155" spans="1:4" x14ac:dyDescent="0.2">
      <c r="A155" s="23" t="s">
        <v>5509</v>
      </c>
      <c r="B155" s="23" t="s">
        <v>5510</v>
      </c>
      <c r="C155" s="22">
        <v>-82318.97</v>
      </c>
      <c r="D155" s="22">
        <v>0</v>
      </c>
    </row>
    <row r="156" spans="1:4" x14ac:dyDescent="0.2">
      <c r="A156" s="23" t="s">
        <v>5511</v>
      </c>
      <c r="B156" s="23" t="s">
        <v>5512</v>
      </c>
      <c r="C156" s="22">
        <v>-11346.68</v>
      </c>
      <c r="D156" s="22">
        <v>9569.0300000000007</v>
      </c>
    </row>
    <row r="157" spans="1:4" x14ac:dyDescent="0.2">
      <c r="A157" s="23" t="s">
        <v>5513</v>
      </c>
      <c r="B157" s="23" t="s">
        <v>5514</v>
      </c>
      <c r="C157" s="22">
        <v>0</v>
      </c>
      <c r="D157" s="22">
        <v>0</v>
      </c>
    </row>
    <row r="158" spans="1:4" x14ac:dyDescent="0.2">
      <c r="A158" s="23" t="s">
        <v>5515</v>
      </c>
      <c r="B158" s="23" t="s">
        <v>5516</v>
      </c>
      <c r="C158" s="22">
        <v>-3500</v>
      </c>
      <c r="D158" s="22">
        <v>0</v>
      </c>
    </row>
    <row r="159" spans="1:4" x14ac:dyDescent="0.2">
      <c r="A159" s="23" t="s">
        <v>5517</v>
      </c>
      <c r="B159" s="23" t="s">
        <v>5518</v>
      </c>
      <c r="C159" s="22">
        <v>-235503.32</v>
      </c>
      <c r="D159" s="22">
        <v>2090929.28</v>
      </c>
    </row>
    <row r="160" spans="1:4" x14ac:dyDescent="0.2">
      <c r="A160" s="23" t="s">
        <v>5519</v>
      </c>
      <c r="B160" s="23" t="s">
        <v>5520</v>
      </c>
      <c r="C160" s="22">
        <v>-30665</v>
      </c>
      <c r="D160" s="22">
        <v>32845</v>
      </c>
    </row>
    <row r="161" spans="1:4" x14ac:dyDescent="0.2">
      <c r="A161" s="23" t="s">
        <v>5521</v>
      </c>
      <c r="B161" s="23" t="s">
        <v>5522</v>
      </c>
      <c r="C161" s="22">
        <v>-91759.82</v>
      </c>
      <c r="D161" s="22">
        <v>7189.78</v>
      </c>
    </row>
    <row r="162" spans="1:4" x14ac:dyDescent="0.2">
      <c r="A162" s="23" t="s">
        <v>5523</v>
      </c>
      <c r="B162" s="23" t="s">
        <v>5524</v>
      </c>
      <c r="C162" s="22">
        <v>0</v>
      </c>
      <c r="D162" s="22">
        <v>0</v>
      </c>
    </row>
    <row r="163" spans="1:4" x14ac:dyDescent="0.2">
      <c r="A163" s="23" t="s">
        <v>5525</v>
      </c>
      <c r="B163" s="23" t="s">
        <v>5526</v>
      </c>
      <c r="C163" s="22">
        <v>0</v>
      </c>
      <c r="D163" s="22">
        <v>0</v>
      </c>
    </row>
    <row r="164" spans="1:4" x14ac:dyDescent="0.2">
      <c r="A164" s="23" t="s">
        <v>5527</v>
      </c>
      <c r="B164" s="23" t="s">
        <v>5528</v>
      </c>
      <c r="C164" s="22">
        <v>0</v>
      </c>
      <c r="D164" s="22">
        <v>0</v>
      </c>
    </row>
    <row r="165" spans="1:4" x14ac:dyDescent="0.2">
      <c r="A165" s="23" t="s">
        <v>5529</v>
      </c>
      <c r="B165" s="23" t="s">
        <v>5530</v>
      </c>
      <c r="C165" s="22">
        <v>-53435</v>
      </c>
      <c r="D165" s="22">
        <v>10088.209999999999</v>
      </c>
    </row>
    <row r="166" spans="1:4" x14ac:dyDescent="0.2">
      <c r="A166" s="23" t="s">
        <v>5531</v>
      </c>
      <c r="B166" s="23" t="s">
        <v>5532</v>
      </c>
      <c r="C166" s="22">
        <v>0</v>
      </c>
      <c r="D166" s="22">
        <v>0</v>
      </c>
    </row>
    <row r="167" spans="1:4" x14ac:dyDescent="0.2">
      <c r="A167" s="23" t="s">
        <v>5533</v>
      </c>
      <c r="B167" s="23" t="s">
        <v>5534</v>
      </c>
      <c r="C167" s="22">
        <v>0</v>
      </c>
      <c r="D167" s="22">
        <v>0</v>
      </c>
    </row>
    <row r="168" spans="1:4" x14ac:dyDescent="0.2">
      <c r="A168" s="23" t="s">
        <v>5535</v>
      </c>
      <c r="B168" s="23" t="s">
        <v>5536</v>
      </c>
      <c r="C168" s="22">
        <v>27200</v>
      </c>
      <c r="D168" s="22">
        <v>27200</v>
      </c>
    </row>
    <row r="169" spans="1:4" x14ac:dyDescent="0.2">
      <c r="A169" s="23" t="s">
        <v>5537</v>
      </c>
      <c r="B169" s="23" t="s">
        <v>5538</v>
      </c>
      <c r="C169" s="22">
        <v>-80385.100000000006</v>
      </c>
      <c r="D169" s="22">
        <v>501558</v>
      </c>
    </row>
    <row r="170" spans="1:4" x14ac:dyDescent="0.2">
      <c r="A170" s="23" t="s">
        <v>5539</v>
      </c>
      <c r="B170" s="23" t="s">
        <v>5540</v>
      </c>
      <c r="C170" s="22">
        <v>0</v>
      </c>
      <c r="D170" s="22">
        <v>0</v>
      </c>
    </row>
    <row r="171" spans="1:4" x14ac:dyDescent="0.2">
      <c r="A171" s="23" t="s">
        <v>5541</v>
      </c>
      <c r="B171" s="23" t="s">
        <v>4331</v>
      </c>
      <c r="C171" s="22">
        <v>0</v>
      </c>
      <c r="D171" s="22">
        <v>0</v>
      </c>
    </row>
    <row r="172" spans="1:4" x14ac:dyDescent="0.2">
      <c r="A172" s="23" t="s">
        <v>4332</v>
      </c>
      <c r="B172" s="23" t="s">
        <v>4333</v>
      </c>
      <c r="C172" s="22">
        <v>-108857.5</v>
      </c>
      <c r="D172" s="22">
        <v>370875.75</v>
      </c>
    </row>
    <row r="173" spans="1:4" x14ac:dyDescent="0.2">
      <c r="A173" s="23" t="s">
        <v>4334</v>
      </c>
      <c r="B173" s="23" t="s">
        <v>4335</v>
      </c>
      <c r="C173" s="22">
        <v>177.64</v>
      </c>
      <c r="D173" s="22">
        <v>177.64</v>
      </c>
    </row>
    <row r="174" spans="1:4" x14ac:dyDescent="0.2">
      <c r="A174" s="23" t="s">
        <v>4336</v>
      </c>
      <c r="B174" s="23" t="s">
        <v>4337</v>
      </c>
      <c r="C174" s="22">
        <v>-598786.24</v>
      </c>
      <c r="D174" s="22">
        <v>79188.289999999994</v>
      </c>
    </row>
    <row r="175" spans="1:4" x14ac:dyDescent="0.2">
      <c r="A175" s="23" t="s">
        <v>4338</v>
      </c>
      <c r="B175" s="23" t="s">
        <v>4339</v>
      </c>
      <c r="C175" s="22">
        <v>0</v>
      </c>
      <c r="D175" s="22">
        <v>0</v>
      </c>
    </row>
    <row r="176" spans="1:4" x14ac:dyDescent="0.2">
      <c r="A176" s="23" t="s">
        <v>4340</v>
      </c>
      <c r="B176" s="23" t="s">
        <v>4341</v>
      </c>
      <c r="C176" s="22">
        <v>0</v>
      </c>
      <c r="D176" s="22">
        <v>0</v>
      </c>
    </row>
    <row r="177" spans="1:4" x14ac:dyDescent="0.2">
      <c r="A177" s="23" t="s">
        <v>4342</v>
      </c>
      <c r="B177" s="23" t="s">
        <v>4343</v>
      </c>
      <c r="C177" s="22">
        <v>0</v>
      </c>
      <c r="D177" s="22">
        <v>0</v>
      </c>
    </row>
    <row r="178" spans="1:4" x14ac:dyDescent="0.2">
      <c r="A178" s="23" t="s">
        <v>4344</v>
      </c>
      <c r="B178" s="23" t="s">
        <v>4345</v>
      </c>
      <c r="C178" s="22">
        <v>-205872.3</v>
      </c>
      <c r="D178" s="22">
        <v>1232465.43</v>
      </c>
    </row>
    <row r="179" spans="1:4" x14ac:dyDescent="0.2">
      <c r="A179" s="23" t="s">
        <v>4346</v>
      </c>
      <c r="B179" s="23" t="s">
        <v>4347</v>
      </c>
      <c r="C179" s="22">
        <v>15414.9</v>
      </c>
      <c r="D179" s="22">
        <v>378703.71</v>
      </c>
    </row>
    <row r="180" spans="1:4" x14ac:dyDescent="0.2">
      <c r="A180" s="23" t="s">
        <v>4348</v>
      </c>
      <c r="B180" s="23" t="s">
        <v>4920</v>
      </c>
      <c r="C180" s="22">
        <v>0</v>
      </c>
      <c r="D180" s="22">
        <v>0</v>
      </c>
    </row>
    <row r="181" spans="1:4" x14ac:dyDescent="0.2">
      <c r="A181" s="23" t="s">
        <v>4921</v>
      </c>
      <c r="B181" s="23" t="s">
        <v>4922</v>
      </c>
      <c r="C181" s="22">
        <v>29130.92</v>
      </c>
      <c r="D181" s="22">
        <v>265377.8</v>
      </c>
    </row>
    <row r="182" spans="1:4" x14ac:dyDescent="0.2">
      <c r="A182" s="23" t="s">
        <v>4923</v>
      </c>
      <c r="B182" s="23" t="s">
        <v>4924</v>
      </c>
      <c r="C182" s="22">
        <v>0</v>
      </c>
      <c r="D182" s="22">
        <v>0</v>
      </c>
    </row>
    <row r="183" spans="1:4" x14ac:dyDescent="0.2">
      <c r="A183" s="23" t="s">
        <v>4925</v>
      </c>
      <c r="B183" s="23" t="s">
        <v>4926</v>
      </c>
      <c r="C183" s="22">
        <v>0</v>
      </c>
      <c r="D183" s="22">
        <v>0</v>
      </c>
    </row>
    <row r="184" spans="1:4" x14ac:dyDescent="0.2">
      <c r="A184" s="23" t="s">
        <v>4927</v>
      </c>
      <c r="B184" s="23" t="s">
        <v>4928</v>
      </c>
      <c r="C184" s="22">
        <v>0</v>
      </c>
      <c r="D184" s="22">
        <v>0</v>
      </c>
    </row>
    <row r="185" spans="1:4" x14ac:dyDescent="0.2">
      <c r="A185" s="23" t="s">
        <v>4929</v>
      </c>
      <c r="B185" s="23" t="s">
        <v>4930</v>
      </c>
      <c r="C185" s="22">
        <v>-625349.4</v>
      </c>
      <c r="D185" s="22">
        <v>701572.5</v>
      </c>
    </row>
    <row r="186" spans="1:4" x14ac:dyDescent="0.2">
      <c r="A186" s="23" t="s">
        <v>4931</v>
      </c>
      <c r="B186" s="23" t="s">
        <v>4932</v>
      </c>
      <c r="C186" s="22">
        <v>0</v>
      </c>
      <c r="D186" s="22">
        <v>0</v>
      </c>
    </row>
    <row r="187" spans="1:4" x14ac:dyDescent="0.2">
      <c r="A187" s="23" t="s">
        <v>4933</v>
      </c>
      <c r="B187" s="23" t="s">
        <v>4934</v>
      </c>
      <c r="C187" s="22">
        <v>800</v>
      </c>
      <c r="D187" s="22">
        <v>800</v>
      </c>
    </row>
    <row r="188" spans="1:4" x14ac:dyDescent="0.2">
      <c r="A188" s="23" t="s">
        <v>4935</v>
      </c>
      <c r="B188" s="23" t="s">
        <v>4936</v>
      </c>
      <c r="C188" s="22">
        <v>0</v>
      </c>
      <c r="D188" s="22">
        <v>0</v>
      </c>
    </row>
    <row r="189" spans="1:4" x14ac:dyDescent="0.2">
      <c r="A189" s="23" t="s">
        <v>4937</v>
      </c>
      <c r="B189" s="23" t="s">
        <v>4938</v>
      </c>
      <c r="C189" s="22">
        <v>0</v>
      </c>
      <c r="D189" s="22">
        <v>0</v>
      </c>
    </row>
    <row r="190" spans="1:4" x14ac:dyDescent="0.2">
      <c r="A190" s="23" t="s">
        <v>4939</v>
      </c>
      <c r="B190" s="23" t="s">
        <v>4940</v>
      </c>
      <c r="C190" s="22">
        <v>0</v>
      </c>
      <c r="D190" s="22">
        <v>0</v>
      </c>
    </row>
    <row r="191" spans="1:4" x14ac:dyDescent="0.2">
      <c r="A191" s="23" t="s">
        <v>4941</v>
      </c>
      <c r="B191" s="23" t="s">
        <v>4942</v>
      </c>
      <c r="C191" s="22">
        <v>0</v>
      </c>
      <c r="D191" s="22">
        <v>0</v>
      </c>
    </row>
    <row r="192" spans="1:4" x14ac:dyDescent="0.2">
      <c r="A192" s="23" t="s">
        <v>4943</v>
      </c>
      <c r="B192" s="23" t="s">
        <v>4944</v>
      </c>
      <c r="C192" s="22">
        <v>1135.48</v>
      </c>
      <c r="D192" s="22">
        <v>4571.09</v>
      </c>
    </row>
    <row r="193" spans="1:4" x14ac:dyDescent="0.2">
      <c r="A193" s="23" t="s">
        <v>4945</v>
      </c>
      <c r="B193" s="23" t="s">
        <v>4946</v>
      </c>
      <c r="C193" s="22">
        <v>0</v>
      </c>
      <c r="D193" s="22">
        <v>0</v>
      </c>
    </row>
    <row r="194" spans="1:4" x14ac:dyDescent="0.2">
      <c r="A194" s="23" t="s">
        <v>4947</v>
      </c>
      <c r="B194" s="23" t="s">
        <v>4948</v>
      </c>
      <c r="C194" s="22">
        <v>0</v>
      </c>
      <c r="D194" s="22">
        <v>0</v>
      </c>
    </row>
    <row r="195" spans="1:4" x14ac:dyDescent="0.2">
      <c r="A195" s="23" t="s">
        <v>4949</v>
      </c>
      <c r="B195" s="23" t="s">
        <v>4950</v>
      </c>
      <c r="C195" s="22">
        <v>0</v>
      </c>
      <c r="D195" s="22">
        <v>0</v>
      </c>
    </row>
    <row r="196" spans="1:4" x14ac:dyDescent="0.2">
      <c r="A196" s="23" t="s">
        <v>4951</v>
      </c>
      <c r="B196" s="23" t="s">
        <v>4952</v>
      </c>
      <c r="C196" s="22">
        <v>0</v>
      </c>
      <c r="D196" s="22">
        <v>0</v>
      </c>
    </row>
    <row r="197" spans="1:4" x14ac:dyDescent="0.2">
      <c r="A197" s="23" t="s">
        <v>4953</v>
      </c>
      <c r="B197" s="23" t="s">
        <v>4954</v>
      </c>
      <c r="C197" s="22">
        <v>0</v>
      </c>
      <c r="D197" s="22">
        <v>0</v>
      </c>
    </row>
    <row r="198" spans="1:4" x14ac:dyDescent="0.2">
      <c r="A198" s="23" t="s">
        <v>4955</v>
      </c>
      <c r="B198" s="23" t="s">
        <v>4956</v>
      </c>
      <c r="C198" s="22">
        <v>0</v>
      </c>
      <c r="D198" s="22">
        <v>70.06</v>
      </c>
    </row>
    <row r="199" spans="1:4" x14ac:dyDescent="0.2">
      <c r="A199" s="23" t="s">
        <v>4957</v>
      </c>
      <c r="B199" s="23" t="s">
        <v>4958</v>
      </c>
      <c r="C199" s="22">
        <v>0</v>
      </c>
      <c r="D199" s="22">
        <v>0</v>
      </c>
    </row>
    <row r="200" spans="1:4" x14ac:dyDescent="0.2">
      <c r="A200" s="23" t="s">
        <v>4959</v>
      </c>
      <c r="B200" s="23" t="s">
        <v>4960</v>
      </c>
      <c r="C200" s="22">
        <v>-2607350.2400000002</v>
      </c>
      <c r="D200" s="22">
        <v>1304569.77</v>
      </c>
    </row>
    <row r="201" spans="1:4" x14ac:dyDescent="0.2">
      <c r="A201" s="23" t="s">
        <v>4961</v>
      </c>
      <c r="B201" s="23" t="s">
        <v>4962</v>
      </c>
      <c r="C201" s="22">
        <v>0</v>
      </c>
      <c r="D201" s="22">
        <v>0</v>
      </c>
    </row>
    <row r="202" spans="1:4" x14ac:dyDescent="0.2">
      <c r="A202" s="23" t="s">
        <v>4963</v>
      </c>
      <c r="B202" s="23" t="s">
        <v>4964</v>
      </c>
      <c r="C202" s="22">
        <v>0</v>
      </c>
      <c r="D202" s="22">
        <v>0</v>
      </c>
    </row>
    <row r="203" spans="1:4" x14ac:dyDescent="0.2">
      <c r="A203" s="23" t="s">
        <v>4965</v>
      </c>
      <c r="B203" s="23" t="s">
        <v>4966</v>
      </c>
      <c r="C203" s="22">
        <v>0</v>
      </c>
      <c r="D203" s="22">
        <v>0</v>
      </c>
    </row>
    <row r="204" spans="1:4" x14ac:dyDescent="0.2">
      <c r="A204" s="23" t="s">
        <v>4967</v>
      </c>
      <c r="B204" s="23" t="s">
        <v>4968</v>
      </c>
      <c r="C204" s="22">
        <v>9800</v>
      </c>
      <c r="D204" s="22">
        <v>9800</v>
      </c>
    </row>
    <row r="205" spans="1:4" x14ac:dyDescent="0.2">
      <c r="A205" s="23" t="s">
        <v>4969</v>
      </c>
      <c r="B205" s="23" t="s">
        <v>4970</v>
      </c>
      <c r="C205" s="22">
        <v>0</v>
      </c>
      <c r="D205" s="22">
        <v>0</v>
      </c>
    </row>
    <row r="206" spans="1:4" x14ac:dyDescent="0.2">
      <c r="A206" s="23" t="s">
        <v>4971</v>
      </c>
      <c r="B206" s="23" t="s">
        <v>4972</v>
      </c>
      <c r="C206" s="22">
        <v>0</v>
      </c>
      <c r="D206" s="22">
        <v>0</v>
      </c>
    </row>
    <row r="207" spans="1:4" x14ac:dyDescent="0.2">
      <c r="A207" s="23" t="s">
        <v>4973</v>
      </c>
      <c r="B207" s="23" t="s">
        <v>4974</v>
      </c>
      <c r="C207" s="22">
        <v>0</v>
      </c>
      <c r="D207" s="22">
        <v>0</v>
      </c>
    </row>
    <row r="208" spans="1:4" x14ac:dyDescent="0.2">
      <c r="A208" s="23" t="s">
        <v>4975</v>
      </c>
      <c r="B208" s="23" t="s">
        <v>4976</v>
      </c>
      <c r="C208" s="22">
        <v>0</v>
      </c>
      <c r="D208" s="22">
        <v>0</v>
      </c>
    </row>
    <row r="209" spans="1:4" x14ac:dyDescent="0.2">
      <c r="A209" s="23" t="s">
        <v>4977</v>
      </c>
      <c r="B209" s="23" t="s">
        <v>4978</v>
      </c>
      <c r="C209" s="22">
        <v>77550</v>
      </c>
      <c r="D209" s="22">
        <v>77550</v>
      </c>
    </row>
    <row r="210" spans="1:4" x14ac:dyDescent="0.2">
      <c r="A210" s="23" t="s">
        <v>4979</v>
      </c>
      <c r="B210" t="s">
        <v>4481</v>
      </c>
      <c r="C210" s="22">
        <v>-5574223.9199999999</v>
      </c>
      <c r="D210" s="22">
        <v>10215426.880000001</v>
      </c>
    </row>
    <row r="211" spans="1:4" x14ac:dyDescent="0.2">
      <c r="A211" s="23" t="s">
        <v>4980</v>
      </c>
      <c r="B211" s="23" t="s">
        <v>4981</v>
      </c>
      <c r="C211" s="22">
        <v>296020.78000000003</v>
      </c>
      <c r="D211" s="22">
        <v>-403121.5</v>
      </c>
    </row>
    <row r="212" spans="1:4" x14ac:dyDescent="0.2">
      <c r="A212" s="23" t="s">
        <v>4982</v>
      </c>
      <c r="B212" s="23" t="s">
        <v>4983</v>
      </c>
      <c r="C212" s="22">
        <v>0</v>
      </c>
      <c r="D212" s="22">
        <v>-145355.32</v>
      </c>
    </row>
    <row r="213" spans="1:4" x14ac:dyDescent="0.2">
      <c r="A213" s="23" t="s">
        <v>4984</v>
      </c>
      <c r="B213" t="s">
        <v>4481</v>
      </c>
      <c r="C213" s="22">
        <v>296020.78000000003</v>
      </c>
      <c r="D213" s="22">
        <v>-548476.81999999995</v>
      </c>
    </row>
    <row r="214" spans="1:4" x14ac:dyDescent="0.2">
      <c r="A214" s="23" t="s">
        <v>4985</v>
      </c>
      <c r="B214" s="23" t="s">
        <v>4986</v>
      </c>
      <c r="C214" s="22">
        <v>0.49</v>
      </c>
      <c r="D214" s="22">
        <v>667.83</v>
      </c>
    </row>
    <row r="215" spans="1:4" x14ac:dyDescent="0.2">
      <c r="A215" s="23" t="s">
        <v>4987</v>
      </c>
      <c r="B215" s="23" t="s">
        <v>4988</v>
      </c>
      <c r="C215" s="22">
        <v>14.81</v>
      </c>
      <c r="D215" s="22">
        <v>1236.8499999999999</v>
      </c>
    </row>
    <row r="216" spans="1:4" x14ac:dyDescent="0.2">
      <c r="A216" s="23" t="s">
        <v>4989</v>
      </c>
      <c r="B216" s="23" t="s">
        <v>4990</v>
      </c>
      <c r="C216" s="22">
        <v>14.81</v>
      </c>
      <c r="D216" s="22">
        <v>1145.9100000000001</v>
      </c>
    </row>
    <row r="217" spans="1:4" x14ac:dyDescent="0.2">
      <c r="A217" s="23" t="s">
        <v>4991</v>
      </c>
      <c r="B217" s="23" t="s">
        <v>4992</v>
      </c>
      <c r="C217" s="22">
        <v>21373.02</v>
      </c>
      <c r="D217" s="22">
        <v>121105.59</v>
      </c>
    </row>
    <row r="218" spans="1:4" x14ac:dyDescent="0.2">
      <c r="A218" s="23" t="s">
        <v>4993</v>
      </c>
      <c r="B218" s="23" t="s">
        <v>4994</v>
      </c>
      <c r="C218" s="22">
        <v>0</v>
      </c>
      <c r="D218" s="22">
        <v>0</v>
      </c>
    </row>
    <row r="219" spans="1:4" x14ac:dyDescent="0.2">
      <c r="A219" s="23" t="s">
        <v>4995</v>
      </c>
      <c r="B219" s="23" t="s">
        <v>4996</v>
      </c>
      <c r="C219" s="22">
        <v>0</v>
      </c>
      <c r="D219" s="22">
        <v>0</v>
      </c>
    </row>
    <row r="220" spans="1:4" x14ac:dyDescent="0.2">
      <c r="A220" s="23" t="s">
        <v>4997</v>
      </c>
      <c r="B220" s="23" t="s">
        <v>4998</v>
      </c>
      <c r="C220" s="22">
        <v>65721.070000000007</v>
      </c>
      <c r="D220" s="22">
        <v>410300.07</v>
      </c>
    </row>
    <row r="221" spans="1:4" x14ac:dyDescent="0.2">
      <c r="A221" s="23" t="s">
        <v>4999</v>
      </c>
      <c r="B221" s="23" t="s">
        <v>5000</v>
      </c>
      <c r="C221" s="22">
        <v>1283.3</v>
      </c>
      <c r="D221" s="22">
        <v>112739.38</v>
      </c>
    </row>
    <row r="222" spans="1:4" x14ac:dyDescent="0.2">
      <c r="A222" s="23" t="s">
        <v>5001</v>
      </c>
      <c r="B222" s="23" t="s">
        <v>5002</v>
      </c>
      <c r="C222" s="22">
        <v>1603.98</v>
      </c>
      <c r="D222" s="22">
        <v>65568.86</v>
      </c>
    </row>
    <row r="223" spans="1:4" x14ac:dyDescent="0.2">
      <c r="A223" s="23" t="s">
        <v>5003</v>
      </c>
      <c r="B223" s="23" t="s">
        <v>5004</v>
      </c>
      <c r="C223" s="22">
        <v>0</v>
      </c>
      <c r="D223" s="22">
        <v>0</v>
      </c>
    </row>
    <row r="224" spans="1:4" x14ac:dyDescent="0.2">
      <c r="A224" s="23" t="s">
        <v>5005</v>
      </c>
      <c r="B224" s="23" t="s">
        <v>5006</v>
      </c>
      <c r="C224" s="22">
        <v>136.47</v>
      </c>
      <c r="D224" s="22">
        <v>101725.94</v>
      </c>
    </row>
    <row r="225" spans="1:4" x14ac:dyDescent="0.2">
      <c r="A225" s="23" t="s">
        <v>5007</v>
      </c>
      <c r="B225" s="23" t="s">
        <v>5008</v>
      </c>
      <c r="C225" s="22">
        <v>0</v>
      </c>
      <c r="D225" s="22">
        <v>0</v>
      </c>
    </row>
    <row r="226" spans="1:4" x14ac:dyDescent="0.2">
      <c r="A226" s="23" t="s">
        <v>5009</v>
      </c>
      <c r="B226" s="23" t="s">
        <v>5010</v>
      </c>
      <c r="C226" s="22">
        <v>0</v>
      </c>
      <c r="D226" s="22">
        <v>0</v>
      </c>
    </row>
    <row r="227" spans="1:4" x14ac:dyDescent="0.2">
      <c r="A227" s="23" t="s">
        <v>5011</v>
      </c>
      <c r="B227" s="23" t="s">
        <v>5012</v>
      </c>
      <c r="C227" s="22">
        <v>0</v>
      </c>
      <c r="D227" s="22">
        <v>0</v>
      </c>
    </row>
    <row r="228" spans="1:4" x14ac:dyDescent="0.2">
      <c r="A228" s="23" t="s">
        <v>5013</v>
      </c>
      <c r="B228" s="23" t="s">
        <v>5014</v>
      </c>
      <c r="C228" s="22">
        <v>0</v>
      </c>
      <c r="D228" s="22">
        <v>0</v>
      </c>
    </row>
    <row r="229" spans="1:4" x14ac:dyDescent="0.2">
      <c r="A229" s="23" t="s">
        <v>5015</v>
      </c>
      <c r="B229" s="23" t="s">
        <v>5016</v>
      </c>
      <c r="C229" s="22">
        <v>0</v>
      </c>
      <c r="D229" s="22">
        <v>0</v>
      </c>
    </row>
    <row r="230" spans="1:4" x14ac:dyDescent="0.2">
      <c r="A230" s="23" t="s">
        <v>5017</v>
      </c>
      <c r="B230" s="23" t="s">
        <v>5018</v>
      </c>
      <c r="C230" s="22">
        <v>0</v>
      </c>
      <c r="D230" s="22">
        <v>0</v>
      </c>
    </row>
    <row r="231" spans="1:4" x14ac:dyDescent="0.2">
      <c r="A231" s="23" t="s">
        <v>5019</v>
      </c>
      <c r="B231" s="23" t="s">
        <v>1939</v>
      </c>
      <c r="C231" s="22">
        <v>0</v>
      </c>
      <c r="D231" s="22">
        <v>0</v>
      </c>
    </row>
    <row r="232" spans="1:4" x14ac:dyDescent="0.2">
      <c r="A232" s="23" t="s">
        <v>1940</v>
      </c>
      <c r="B232" s="23" t="s">
        <v>1941</v>
      </c>
      <c r="C232" s="22">
        <v>0</v>
      </c>
      <c r="D232" s="22">
        <v>0</v>
      </c>
    </row>
    <row r="233" spans="1:4" x14ac:dyDescent="0.2">
      <c r="A233" s="23" t="s">
        <v>1942</v>
      </c>
      <c r="B233" s="23" t="s">
        <v>1943</v>
      </c>
      <c r="C233" s="22">
        <v>0</v>
      </c>
      <c r="D233" s="22">
        <v>0</v>
      </c>
    </row>
    <row r="234" spans="1:4" x14ac:dyDescent="0.2">
      <c r="A234" s="23" t="s">
        <v>1944</v>
      </c>
      <c r="B234" s="23" t="s">
        <v>1945</v>
      </c>
      <c r="C234" s="22">
        <v>6200.44</v>
      </c>
      <c r="D234" s="22">
        <v>34893.21</v>
      </c>
    </row>
    <row r="235" spans="1:4" x14ac:dyDescent="0.2">
      <c r="A235" s="23" t="s">
        <v>1946</v>
      </c>
      <c r="B235" s="23" t="s">
        <v>1947</v>
      </c>
      <c r="C235" s="22">
        <v>0</v>
      </c>
      <c r="D235" s="22">
        <v>0</v>
      </c>
    </row>
    <row r="236" spans="1:4" x14ac:dyDescent="0.2">
      <c r="A236" s="23" t="s">
        <v>1948</v>
      </c>
      <c r="B236" s="23" t="s">
        <v>1949</v>
      </c>
      <c r="C236" s="22">
        <v>0</v>
      </c>
      <c r="D236" s="22">
        <v>0</v>
      </c>
    </row>
    <row r="237" spans="1:4" x14ac:dyDescent="0.2">
      <c r="A237" s="23" t="s">
        <v>1950</v>
      </c>
      <c r="B237" s="23" t="s">
        <v>1951</v>
      </c>
      <c r="C237" s="22">
        <v>0</v>
      </c>
      <c r="D237" s="22">
        <v>0</v>
      </c>
    </row>
    <row r="238" spans="1:4" x14ac:dyDescent="0.2">
      <c r="A238" s="23" t="s">
        <v>1952</v>
      </c>
      <c r="B238" s="23" t="s">
        <v>1953</v>
      </c>
      <c r="C238" s="22">
        <v>0</v>
      </c>
      <c r="D238" s="22">
        <v>0</v>
      </c>
    </row>
    <row r="239" spans="1:4" x14ac:dyDescent="0.2">
      <c r="A239" s="23" t="s">
        <v>1954</v>
      </c>
      <c r="B239" s="23" t="s">
        <v>1955</v>
      </c>
      <c r="C239" s="22">
        <v>0</v>
      </c>
      <c r="D239" s="22">
        <v>0</v>
      </c>
    </row>
    <row r="240" spans="1:4" x14ac:dyDescent="0.2">
      <c r="A240" s="23" t="s">
        <v>1956</v>
      </c>
      <c r="B240" s="23" t="s">
        <v>1957</v>
      </c>
      <c r="C240" s="22">
        <v>0</v>
      </c>
      <c r="D240" s="22">
        <v>35.6</v>
      </c>
    </row>
    <row r="241" spans="1:4" x14ac:dyDescent="0.2">
      <c r="A241" s="23" t="s">
        <v>1958</v>
      </c>
      <c r="B241" s="23" t="s">
        <v>1959</v>
      </c>
      <c r="C241" s="22">
        <v>-3791255.78</v>
      </c>
      <c r="D241" s="22">
        <v>6732529.1600000001</v>
      </c>
    </row>
    <row r="242" spans="1:4" x14ac:dyDescent="0.2">
      <c r="A242" s="23" t="s">
        <v>1960</v>
      </c>
      <c r="B242" s="23" t="s">
        <v>1961</v>
      </c>
      <c r="C242" s="22">
        <v>-764027.75</v>
      </c>
      <c r="D242" s="22">
        <v>566762.25</v>
      </c>
    </row>
    <row r="243" spans="1:4" x14ac:dyDescent="0.2">
      <c r="A243" s="23" t="s">
        <v>1962</v>
      </c>
      <c r="B243" s="23" t="s">
        <v>1963</v>
      </c>
      <c r="C243" s="22">
        <v>31210.17</v>
      </c>
      <c r="D243" s="22">
        <v>87806.27</v>
      </c>
    </row>
    <row r="244" spans="1:4" x14ac:dyDescent="0.2">
      <c r="A244" s="23" t="s">
        <v>1964</v>
      </c>
      <c r="B244" s="23" t="s">
        <v>1965</v>
      </c>
      <c r="C244" s="22">
        <v>0</v>
      </c>
      <c r="D244" s="22">
        <v>0</v>
      </c>
    </row>
    <row r="245" spans="1:4" x14ac:dyDescent="0.2">
      <c r="A245" s="23" t="s">
        <v>1966</v>
      </c>
      <c r="B245" s="23" t="s">
        <v>1965</v>
      </c>
      <c r="C245" s="22">
        <v>0</v>
      </c>
      <c r="D245" s="22">
        <v>0</v>
      </c>
    </row>
    <row r="246" spans="1:4" x14ac:dyDescent="0.2">
      <c r="A246" s="23" t="s">
        <v>1967</v>
      </c>
      <c r="B246" s="23" t="s">
        <v>1968</v>
      </c>
      <c r="C246" s="22">
        <v>0</v>
      </c>
      <c r="D246" s="22">
        <v>89.08</v>
      </c>
    </row>
    <row r="247" spans="1:4" x14ac:dyDescent="0.2">
      <c r="A247" s="23" t="s">
        <v>1969</v>
      </c>
      <c r="B247" s="23" t="s">
        <v>1970</v>
      </c>
      <c r="C247" s="22">
        <v>-1370.45</v>
      </c>
      <c r="D247" s="22">
        <v>40715</v>
      </c>
    </row>
    <row r="248" spans="1:4" x14ac:dyDescent="0.2">
      <c r="A248" s="23" t="s">
        <v>1971</v>
      </c>
      <c r="B248" s="23" t="s">
        <v>1972</v>
      </c>
      <c r="C248" s="22">
        <v>-8697.5400000000009</v>
      </c>
      <c r="D248" s="22">
        <v>136744.97</v>
      </c>
    </row>
    <row r="249" spans="1:4" x14ac:dyDescent="0.2">
      <c r="A249" s="23" t="s">
        <v>1973</v>
      </c>
      <c r="B249" s="23" t="s">
        <v>1974</v>
      </c>
      <c r="C249" s="22">
        <v>0</v>
      </c>
      <c r="D249" s="22">
        <v>0</v>
      </c>
    </row>
    <row r="250" spans="1:4" x14ac:dyDescent="0.2">
      <c r="A250" s="23" t="s">
        <v>1975</v>
      </c>
      <c r="B250" s="23" t="s">
        <v>1976</v>
      </c>
      <c r="C250" s="22">
        <v>-78469.929999999993</v>
      </c>
      <c r="D250" s="22">
        <v>48047.61</v>
      </c>
    </row>
    <row r="251" spans="1:4" x14ac:dyDescent="0.2">
      <c r="A251" s="23" t="s">
        <v>1977</v>
      </c>
      <c r="B251" s="23" t="s">
        <v>1978</v>
      </c>
      <c r="C251" s="22">
        <v>0</v>
      </c>
      <c r="D251" s="22">
        <v>0</v>
      </c>
    </row>
    <row r="252" spans="1:4" x14ac:dyDescent="0.2">
      <c r="A252" s="23" t="s">
        <v>1979</v>
      </c>
      <c r="B252" s="23" t="s">
        <v>1980</v>
      </c>
      <c r="C252" s="22">
        <v>0</v>
      </c>
      <c r="D252" s="22">
        <v>0</v>
      </c>
    </row>
    <row r="253" spans="1:4" x14ac:dyDescent="0.2">
      <c r="A253" s="23" t="s">
        <v>1981</v>
      </c>
      <c r="B253" s="23" t="s">
        <v>1982</v>
      </c>
      <c r="C253" s="22">
        <v>0</v>
      </c>
      <c r="D253" s="22">
        <v>0</v>
      </c>
    </row>
    <row r="254" spans="1:4" x14ac:dyDescent="0.2">
      <c r="A254" s="23" t="s">
        <v>1983</v>
      </c>
      <c r="B254" s="23" t="s">
        <v>1810</v>
      </c>
      <c r="C254" s="22">
        <v>0</v>
      </c>
      <c r="D254" s="22">
        <v>0</v>
      </c>
    </row>
    <row r="255" spans="1:4" x14ac:dyDescent="0.2">
      <c r="A255" s="23" t="s">
        <v>1811</v>
      </c>
      <c r="B255" s="23" t="s">
        <v>1812</v>
      </c>
      <c r="C255" s="22">
        <v>0</v>
      </c>
      <c r="D255" s="22">
        <v>0</v>
      </c>
    </row>
    <row r="256" spans="1:4" x14ac:dyDescent="0.2">
      <c r="A256" s="23" t="s">
        <v>1813</v>
      </c>
      <c r="B256" s="23" t="s">
        <v>1814</v>
      </c>
      <c r="C256" s="22">
        <v>0</v>
      </c>
      <c r="D256" s="22">
        <v>0</v>
      </c>
    </row>
    <row r="257" spans="1:4" x14ac:dyDescent="0.2">
      <c r="A257" s="23" t="s">
        <v>1815</v>
      </c>
      <c r="B257" t="s">
        <v>4481</v>
      </c>
      <c r="C257" s="22">
        <v>-4516262.8899999997</v>
      </c>
      <c r="D257" s="22">
        <v>8462113.5800000001</v>
      </c>
    </row>
    <row r="258" spans="1:4" x14ac:dyDescent="0.2">
      <c r="A258" s="23" t="s">
        <v>1816</v>
      </c>
      <c r="B258" s="23" t="s">
        <v>1817</v>
      </c>
      <c r="C258" s="22">
        <v>-4530952.57</v>
      </c>
      <c r="D258" s="22">
        <v>55077197.200000003</v>
      </c>
    </row>
    <row r="259" spans="1:4" x14ac:dyDescent="0.2">
      <c r="A259" s="23" t="s">
        <v>1818</v>
      </c>
      <c r="B259" s="23" t="s">
        <v>1819</v>
      </c>
      <c r="C259" s="22">
        <v>0</v>
      </c>
      <c r="D259" s="22">
        <v>688051.99</v>
      </c>
    </row>
    <row r="260" spans="1:4" x14ac:dyDescent="0.2">
      <c r="A260" s="23" t="s">
        <v>1820</v>
      </c>
      <c r="B260" s="23" t="s">
        <v>1821</v>
      </c>
      <c r="C260" s="22">
        <v>-560393.44999999995</v>
      </c>
      <c r="D260" s="22">
        <v>8113787.71</v>
      </c>
    </row>
    <row r="261" spans="1:4" x14ac:dyDescent="0.2">
      <c r="A261" s="23" t="s">
        <v>1822</v>
      </c>
      <c r="B261" s="23" t="s">
        <v>1823</v>
      </c>
      <c r="C261" s="22">
        <v>0</v>
      </c>
      <c r="D261" s="22">
        <v>0</v>
      </c>
    </row>
    <row r="262" spans="1:4" x14ac:dyDescent="0.2">
      <c r="A262" s="23" t="s">
        <v>1824</v>
      </c>
      <c r="B262" s="23" t="s">
        <v>1825</v>
      </c>
      <c r="C262" s="22">
        <v>0</v>
      </c>
      <c r="D262" s="22">
        <v>0</v>
      </c>
    </row>
    <row r="263" spans="1:4" x14ac:dyDescent="0.2">
      <c r="A263" s="23" t="s">
        <v>1826</v>
      </c>
      <c r="B263" s="23" t="s">
        <v>1827</v>
      </c>
      <c r="C263" s="22">
        <v>1541644.69</v>
      </c>
      <c r="D263" s="22">
        <v>1892186.98</v>
      </c>
    </row>
    <row r="264" spans="1:4" x14ac:dyDescent="0.2">
      <c r="A264" s="23" t="s">
        <v>1828</v>
      </c>
      <c r="B264" s="23" t="s">
        <v>1829</v>
      </c>
      <c r="C264" s="22">
        <v>-8589.1200000000008</v>
      </c>
      <c r="D264" s="22">
        <v>32010.49</v>
      </c>
    </row>
    <row r="265" spans="1:4" x14ac:dyDescent="0.2">
      <c r="A265" s="23" t="s">
        <v>1830</v>
      </c>
      <c r="B265" s="23" t="s">
        <v>1831</v>
      </c>
      <c r="C265" s="22">
        <v>0</v>
      </c>
      <c r="D265" s="22">
        <v>0</v>
      </c>
    </row>
    <row r="266" spans="1:4" x14ac:dyDescent="0.2">
      <c r="A266" s="23" t="s">
        <v>1832</v>
      </c>
      <c r="B266" t="s">
        <v>4481</v>
      </c>
      <c r="C266" s="22">
        <v>-3558290.45</v>
      </c>
      <c r="D266" s="22">
        <v>65803234.369999997</v>
      </c>
    </row>
    <row r="267" spans="1:4" x14ac:dyDescent="0.2">
      <c r="A267" s="23" t="s">
        <v>1833</v>
      </c>
      <c r="B267" s="23" t="s">
        <v>1834</v>
      </c>
      <c r="C267" s="22">
        <v>0</v>
      </c>
      <c r="D267" s="22">
        <v>0</v>
      </c>
    </row>
    <row r="268" spans="1:4" x14ac:dyDescent="0.2">
      <c r="A268" s="23" t="s">
        <v>1835</v>
      </c>
      <c r="B268" s="23" t="s">
        <v>1836</v>
      </c>
      <c r="C268" s="22">
        <v>0</v>
      </c>
      <c r="D268" s="22">
        <v>0</v>
      </c>
    </row>
    <row r="269" spans="1:4" x14ac:dyDescent="0.2">
      <c r="A269" s="23" t="s">
        <v>1837</v>
      </c>
      <c r="B269" s="23" t="s">
        <v>1838</v>
      </c>
      <c r="C269" s="22">
        <v>0</v>
      </c>
      <c r="D269" s="22">
        <v>0</v>
      </c>
    </row>
    <row r="270" spans="1:4" x14ac:dyDescent="0.2">
      <c r="A270" s="23" t="s">
        <v>1839</v>
      </c>
      <c r="B270" s="23" t="s">
        <v>1840</v>
      </c>
      <c r="C270" s="22">
        <v>0</v>
      </c>
      <c r="D270" s="22">
        <v>0</v>
      </c>
    </row>
    <row r="271" spans="1:4" x14ac:dyDescent="0.2">
      <c r="A271" s="23" t="s">
        <v>1841</v>
      </c>
      <c r="B271" s="23" t="s">
        <v>1842</v>
      </c>
      <c r="C271" s="22">
        <v>186.39</v>
      </c>
      <c r="D271" s="22">
        <v>186.39</v>
      </c>
    </row>
    <row r="272" spans="1:4" x14ac:dyDescent="0.2">
      <c r="A272" s="23" t="s">
        <v>1843</v>
      </c>
      <c r="B272" s="23" t="s">
        <v>1844</v>
      </c>
      <c r="C272" s="22">
        <v>0</v>
      </c>
      <c r="D272" s="22">
        <v>0</v>
      </c>
    </row>
    <row r="273" spans="1:4" x14ac:dyDescent="0.2">
      <c r="A273" s="23" t="s">
        <v>1845</v>
      </c>
      <c r="B273" s="23" t="s">
        <v>1846</v>
      </c>
      <c r="C273" s="22">
        <v>0</v>
      </c>
      <c r="D273" s="22">
        <v>91.14</v>
      </c>
    </row>
    <row r="274" spans="1:4" x14ac:dyDescent="0.2">
      <c r="A274" s="23" t="s">
        <v>1847</v>
      </c>
      <c r="B274" s="23" t="s">
        <v>1848</v>
      </c>
      <c r="C274" s="22">
        <v>0</v>
      </c>
      <c r="D274" s="22">
        <v>0</v>
      </c>
    </row>
    <row r="275" spans="1:4" x14ac:dyDescent="0.2">
      <c r="A275" s="23" t="s">
        <v>1849</v>
      </c>
      <c r="B275" s="23" t="s">
        <v>885</v>
      </c>
      <c r="C275" s="22">
        <v>0</v>
      </c>
      <c r="D275" s="22">
        <v>0</v>
      </c>
    </row>
    <row r="276" spans="1:4" x14ac:dyDescent="0.2">
      <c r="A276" s="23" t="s">
        <v>886</v>
      </c>
      <c r="B276" s="23" t="s">
        <v>887</v>
      </c>
      <c r="C276" s="22">
        <v>570</v>
      </c>
      <c r="D276" s="22">
        <v>570</v>
      </c>
    </row>
    <row r="277" spans="1:4" x14ac:dyDescent="0.2">
      <c r="A277" s="23" t="s">
        <v>888</v>
      </c>
      <c r="B277" t="s">
        <v>4481</v>
      </c>
      <c r="C277" s="22">
        <v>756.39</v>
      </c>
      <c r="D277" s="22">
        <v>847.53</v>
      </c>
    </row>
    <row r="278" spans="1:4" x14ac:dyDescent="0.2">
      <c r="A278" s="23" t="s">
        <v>889</v>
      </c>
      <c r="B278" s="23" t="s">
        <v>890</v>
      </c>
      <c r="C278" s="22">
        <v>0</v>
      </c>
      <c r="D278" s="22">
        <v>0</v>
      </c>
    </row>
    <row r="279" spans="1:4" x14ac:dyDescent="0.2">
      <c r="A279" s="23" t="s">
        <v>891</v>
      </c>
      <c r="B279" s="23" t="s">
        <v>892</v>
      </c>
      <c r="C279" s="22">
        <v>0</v>
      </c>
      <c r="D279" s="22">
        <v>0</v>
      </c>
    </row>
    <row r="280" spans="1:4" x14ac:dyDescent="0.2">
      <c r="A280" s="23" t="s">
        <v>893</v>
      </c>
      <c r="B280" s="23" t="s">
        <v>894</v>
      </c>
      <c r="C280" s="22">
        <v>0</v>
      </c>
      <c r="D280" s="22">
        <v>0</v>
      </c>
    </row>
    <row r="281" spans="1:4" x14ac:dyDescent="0.2">
      <c r="A281" s="23" t="s">
        <v>895</v>
      </c>
      <c r="B281" s="23" t="s">
        <v>896</v>
      </c>
      <c r="C281" s="22">
        <v>0</v>
      </c>
      <c r="D281" s="22">
        <v>0</v>
      </c>
    </row>
    <row r="282" spans="1:4" x14ac:dyDescent="0.2">
      <c r="A282" s="23" t="s">
        <v>897</v>
      </c>
      <c r="B282" s="23" t="s">
        <v>898</v>
      </c>
      <c r="C282" s="22">
        <v>0</v>
      </c>
      <c r="D282" s="22">
        <v>0</v>
      </c>
    </row>
    <row r="283" spans="1:4" x14ac:dyDescent="0.2">
      <c r="A283" s="23" t="s">
        <v>899</v>
      </c>
      <c r="B283" s="23" t="s">
        <v>900</v>
      </c>
      <c r="C283" s="22">
        <v>0</v>
      </c>
      <c r="D283" s="22">
        <v>0</v>
      </c>
    </row>
    <row r="284" spans="1:4" x14ac:dyDescent="0.2">
      <c r="A284" s="23" t="s">
        <v>901</v>
      </c>
      <c r="B284" s="23" t="s">
        <v>902</v>
      </c>
      <c r="C284" s="22">
        <v>0</v>
      </c>
      <c r="D284" s="22">
        <v>0</v>
      </c>
    </row>
    <row r="285" spans="1:4" x14ac:dyDescent="0.2">
      <c r="A285" s="23" t="s">
        <v>903</v>
      </c>
      <c r="B285" s="23" t="s">
        <v>904</v>
      </c>
      <c r="C285" s="22">
        <v>0</v>
      </c>
      <c r="D285" s="22">
        <v>0</v>
      </c>
    </row>
    <row r="286" spans="1:4" x14ac:dyDescent="0.2">
      <c r="A286" s="23" t="s">
        <v>905</v>
      </c>
      <c r="B286" t="s">
        <v>4481</v>
      </c>
      <c r="C286" s="22">
        <v>0</v>
      </c>
      <c r="D286" s="22">
        <v>0</v>
      </c>
    </row>
    <row r="287" spans="1:4" x14ac:dyDescent="0.2">
      <c r="A287" s="23" t="s">
        <v>906</v>
      </c>
      <c r="B287" s="23" t="s">
        <v>907</v>
      </c>
      <c r="C287" s="22">
        <v>1453133.15</v>
      </c>
      <c r="D287" s="22">
        <v>53149134.310000002</v>
      </c>
    </row>
    <row r="288" spans="1:4" x14ac:dyDescent="0.2">
      <c r="A288" s="23" t="s">
        <v>908</v>
      </c>
      <c r="B288" s="23" t="s">
        <v>909</v>
      </c>
      <c r="C288" s="22">
        <v>381957.23</v>
      </c>
      <c r="D288" s="22">
        <v>3500012.75</v>
      </c>
    </row>
    <row r="289" spans="1:4" x14ac:dyDescent="0.2">
      <c r="A289" s="23" t="s">
        <v>910</v>
      </c>
      <c r="B289" s="23" t="s">
        <v>911</v>
      </c>
      <c r="C289" s="22">
        <v>0</v>
      </c>
      <c r="D289" s="22">
        <v>0</v>
      </c>
    </row>
    <row r="290" spans="1:4" x14ac:dyDescent="0.2">
      <c r="A290" s="23" t="s">
        <v>912</v>
      </c>
      <c r="B290" s="23" t="s">
        <v>913</v>
      </c>
      <c r="C290" s="22">
        <v>-2942.78</v>
      </c>
      <c r="D290" s="22">
        <v>0</v>
      </c>
    </row>
    <row r="291" spans="1:4" x14ac:dyDescent="0.2">
      <c r="A291" s="23" t="s">
        <v>914</v>
      </c>
      <c r="B291" s="23" t="s">
        <v>915</v>
      </c>
      <c r="C291" s="22">
        <v>0</v>
      </c>
      <c r="D291" s="22">
        <v>0</v>
      </c>
    </row>
    <row r="292" spans="1:4" x14ac:dyDescent="0.2">
      <c r="A292" s="23" t="s">
        <v>916</v>
      </c>
      <c r="B292" s="23" t="s">
        <v>917</v>
      </c>
      <c r="C292" s="22">
        <v>0</v>
      </c>
      <c r="D292" s="22">
        <v>0</v>
      </c>
    </row>
    <row r="293" spans="1:4" x14ac:dyDescent="0.2">
      <c r="A293" s="23" t="s">
        <v>918</v>
      </c>
      <c r="B293" t="s">
        <v>4481</v>
      </c>
      <c r="C293" s="22">
        <v>1832147.6</v>
      </c>
      <c r="D293" s="22">
        <v>56649147.060000002</v>
      </c>
    </row>
    <row r="294" spans="1:4" x14ac:dyDescent="0.2">
      <c r="A294" s="23" t="s">
        <v>919</v>
      </c>
      <c r="B294" s="23" t="s">
        <v>920</v>
      </c>
      <c r="C294" s="22">
        <v>0</v>
      </c>
      <c r="D294" s="22">
        <v>0</v>
      </c>
    </row>
    <row r="295" spans="1:4" x14ac:dyDescent="0.2">
      <c r="A295" s="23" t="s">
        <v>921</v>
      </c>
      <c r="B295" t="s">
        <v>4481</v>
      </c>
      <c r="C295" s="22">
        <v>0</v>
      </c>
      <c r="D295" s="22">
        <v>0</v>
      </c>
    </row>
    <row r="296" spans="1:4" x14ac:dyDescent="0.2">
      <c r="A296" s="23" t="s">
        <v>922</v>
      </c>
      <c r="B296" s="23" t="s">
        <v>923</v>
      </c>
      <c r="C296" s="22">
        <v>0</v>
      </c>
      <c r="D296" s="22">
        <v>0</v>
      </c>
    </row>
    <row r="297" spans="1:4" x14ac:dyDescent="0.2">
      <c r="A297" s="23" t="s">
        <v>924</v>
      </c>
      <c r="B297" s="23" t="s">
        <v>925</v>
      </c>
      <c r="C297" s="22">
        <v>0</v>
      </c>
      <c r="D297" s="22">
        <v>0</v>
      </c>
    </row>
    <row r="298" spans="1:4" x14ac:dyDescent="0.2">
      <c r="A298" s="23" t="s">
        <v>926</v>
      </c>
      <c r="B298" s="23" t="s">
        <v>927</v>
      </c>
      <c r="C298" s="22">
        <v>0</v>
      </c>
      <c r="D298" s="22">
        <v>0</v>
      </c>
    </row>
    <row r="299" spans="1:4" x14ac:dyDescent="0.2">
      <c r="A299" s="23" t="s">
        <v>928</v>
      </c>
      <c r="B299" s="23" t="s">
        <v>929</v>
      </c>
      <c r="C299" s="22">
        <v>0</v>
      </c>
      <c r="D299" s="22">
        <v>0</v>
      </c>
    </row>
    <row r="300" spans="1:4" x14ac:dyDescent="0.2">
      <c r="A300" s="23" t="s">
        <v>930</v>
      </c>
      <c r="B300" s="23" t="s">
        <v>931</v>
      </c>
      <c r="C300" s="22">
        <v>0</v>
      </c>
      <c r="D300" s="22">
        <v>0</v>
      </c>
    </row>
    <row r="301" spans="1:4" x14ac:dyDescent="0.2">
      <c r="A301" s="23" t="s">
        <v>932</v>
      </c>
      <c r="B301" s="23" t="s">
        <v>933</v>
      </c>
      <c r="C301" s="22">
        <v>0</v>
      </c>
      <c r="D301" s="22">
        <v>0</v>
      </c>
    </row>
    <row r="302" spans="1:4" x14ac:dyDescent="0.2">
      <c r="A302" s="23" t="s">
        <v>934</v>
      </c>
      <c r="B302" s="23" t="s">
        <v>935</v>
      </c>
      <c r="C302" s="22">
        <v>0</v>
      </c>
      <c r="D302" s="22">
        <v>0</v>
      </c>
    </row>
    <row r="303" spans="1:4" x14ac:dyDescent="0.2">
      <c r="A303" s="23" t="s">
        <v>936</v>
      </c>
      <c r="B303" s="23" t="s">
        <v>937</v>
      </c>
      <c r="C303" s="22">
        <v>0</v>
      </c>
      <c r="D303" s="22">
        <v>0</v>
      </c>
    </row>
    <row r="304" spans="1:4" x14ac:dyDescent="0.2">
      <c r="A304" s="23" t="s">
        <v>938</v>
      </c>
      <c r="B304" s="23" t="s">
        <v>939</v>
      </c>
      <c r="C304" s="22">
        <v>0</v>
      </c>
      <c r="D304" s="22">
        <v>0</v>
      </c>
    </row>
    <row r="305" spans="1:4" x14ac:dyDescent="0.2">
      <c r="A305" s="23" t="s">
        <v>940</v>
      </c>
      <c r="B305" s="23" t="s">
        <v>941</v>
      </c>
      <c r="C305" s="22">
        <v>0</v>
      </c>
      <c r="D305" s="22">
        <v>0</v>
      </c>
    </row>
    <row r="306" spans="1:4" x14ac:dyDescent="0.2">
      <c r="A306" s="23" t="s">
        <v>942</v>
      </c>
      <c r="B306" s="23" t="s">
        <v>943</v>
      </c>
      <c r="C306" s="22">
        <v>0</v>
      </c>
      <c r="D306" s="22">
        <v>0</v>
      </c>
    </row>
    <row r="307" spans="1:4" x14ac:dyDescent="0.2">
      <c r="A307" s="23" t="s">
        <v>944</v>
      </c>
      <c r="B307" s="23" t="s">
        <v>945</v>
      </c>
      <c r="C307" s="22">
        <v>-1454552.48</v>
      </c>
      <c r="D307" s="22">
        <v>0</v>
      </c>
    </row>
    <row r="308" spans="1:4" x14ac:dyDescent="0.2">
      <c r="A308" s="23" t="s">
        <v>946</v>
      </c>
      <c r="B308" s="23" t="s">
        <v>947</v>
      </c>
      <c r="C308" s="22">
        <v>-765.05</v>
      </c>
      <c r="D308" s="22">
        <v>0</v>
      </c>
    </row>
    <row r="309" spans="1:4" x14ac:dyDescent="0.2">
      <c r="A309" s="23" t="s">
        <v>948</v>
      </c>
      <c r="B309" s="23" t="s">
        <v>949</v>
      </c>
      <c r="C309" s="22">
        <v>-31741.33</v>
      </c>
      <c r="D309" s="22">
        <v>0</v>
      </c>
    </row>
    <row r="310" spans="1:4" x14ac:dyDescent="0.2">
      <c r="A310" s="23" t="s">
        <v>950</v>
      </c>
      <c r="B310" s="23" t="s">
        <v>951</v>
      </c>
      <c r="C310" s="22">
        <v>37073.129999999997</v>
      </c>
      <c r="D310" s="22">
        <v>0</v>
      </c>
    </row>
    <row r="311" spans="1:4" x14ac:dyDescent="0.2">
      <c r="A311" s="23" t="s">
        <v>952</v>
      </c>
      <c r="B311" s="23" t="s">
        <v>953</v>
      </c>
      <c r="C311" s="22">
        <v>-278828.65000000002</v>
      </c>
      <c r="D311" s="22">
        <v>0</v>
      </c>
    </row>
    <row r="312" spans="1:4" x14ac:dyDescent="0.2">
      <c r="A312" s="23" t="s">
        <v>954</v>
      </c>
      <c r="B312" s="23" t="s">
        <v>955</v>
      </c>
      <c r="C312" s="22">
        <v>-3101.61</v>
      </c>
      <c r="D312" s="22">
        <v>0</v>
      </c>
    </row>
    <row r="313" spans="1:4" x14ac:dyDescent="0.2">
      <c r="A313" s="23" t="s">
        <v>956</v>
      </c>
      <c r="B313" s="23" t="s">
        <v>957</v>
      </c>
      <c r="C313" s="22">
        <v>-22954.17</v>
      </c>
      <c r="D313" s="22">
        <v>0</v>
      </c>
    </row>
    <row r="314" spans="1:4" x14ac:dyDescent="0.2">
      <c r="A314" s="23" t="s">
        <v>958</v>
      </c>
      <c r="B314" s="23" t="s">
        <v>959</v>
      </c>
      <c r="C314" s="22">
        <v>-185302.23</v>
      </c>
      <c r="D314" s="22">
        <v>0</v>
      </c>
    </row>
    <row r="315" spans="1:4" x14ac:dyDescent="0.2">
      <c r="A315" s="23" t="s">
        <v>960</v>
      </c>
      <c r="B315" s="23" t="s">
        <v>961</v>
      </c>
      <c r="C315" s="22">
        <v>531836.84</v>
      </c>
      <c r="D315" s="22">
        <v>0</v>
      </c>
    </row>
    <row r="316" spans="1:4" x14ac:dyDescent="0.2">
      <c r="A316" s="23" t="s">
        <v>962</v>
      </c>
      <c r="B316" s="23" t="s">
        <v>963</v>
      </c>
      <c r="C316" s="22">
        <v>995229.78</v>
      </c>
      <c r="D316" s="22">
        <v>0</v>
      </c>
    </row>
    <row r="317" spans="1:4" x14ac:dyDescent="0.2">
      <c r="A317" s="23" t="s">
        <v>964</v>
      </c>
      <c r="B317" s="23" t="s">
        <v>965</v>
      </c>
      <c r="C317" s="22">
        <v>-9575.76</v>
      </c>
      <c r="D317" s="22">
        <v>0</v>
      </c>
    </row>
    <row r="318" spans="1:4" x14ac:dyDescent="0.2">
      <c r="A318" s="23" t="s">
        <v>966</v>
      </c>
      <c r="B318" s="23" t="s">
        <v>967</v>
      </c>
      <c r="C318" s="22">
        <v>12250.05</v>
      </c>
      <c r="D318" s="22">
        <v>0</v>
      </c>
    </row>
    <row r="319" spans="1:4" x14ac:dyDescent="0.2">
      <c r="A319" s="23" t="s">
        <v>968</v>
      </c>
      <c r="B319" s="23" t="s">
        <v>969</v>
      </c>
      <c r="C319" s="22">
        <v>-136749.25</v>
      </c>
      <c r="D319" s="22">
        <v>0</v>
      </c>
    </row>
    <row r="320" spans="1:4" x14ac:dyDescent="0.2">
      <c r="A320" s="23" t="s">
        <v>970</v>
      </c>
      <c r="B320" s="23" t="s">
        <v>971</v>
      </c>
      <c r="C320" s="22">
        <v>924001</v>
      </c>
      <c r="D320" s="22">
        <v>0</v>
      </c>
    </row>
    <row r="321" spans="1:4" x14ac:dyDescent="0.2">
      <c r="A321" s="23" t="s">
        <v>972</v>
      </c>
      <c r="B321" s="23" t="s">
        <v>973</v>
      </c>
      <c r="C321" s="22">
        <v>2956.7</v>
      </c>
      <c r="D321" s="22">
        <v>0</v>
      </c>
    </row>
    <row r="322" spans="1:4" x14ac:dyDescent="0.2">
      <c r="A322" s="23" t="s">
        <v>974</v>
      </c>
      <c r="B322" s="23" t="s">
        <v>975</v>
      </c>
      <c r="C322" s="22">
        <v>-324568.82</v>
      </c>
      <c r="D322" s="22">
        <v>0</v>
      </c>
    </row>
    <row r="323" spans="1:4" x14ac:dyDescent="0.2">
      <c r="A323" s="23" t="s">
        <v>976</v>
      </c>
      <c r="B323" s="23" t="s">
        <v>977</v>
      </c>
      <c r="C323" s="22">
        <v>-33534.620000000003</v>
      </c>
      <c r="D323" s="22">
        <v>0</v>
      </c>
    </row>
    <row r="324" spans="1:4" x14ac:dyDescent="0.2">
      <c r="A324" s="23" t="s">
        <v>978</v>
      </c>
      <c r="B324" s="23" t="s">
        <v>979</v>
      </c>
      <c r="C324" s="22">
        <v>2436.33</v>
      </c>
      <c r="D324" s="22">
        <v>0</v>
      </c>
    </row>
    <row r="325" spans="1:4" x14ac:dyDescent="0.2">
      <c r="A325" s="23" t="s">
        <v>980</v>
      </c>
      <c r="B325" s="23" t="s">
        <v>981</v>
      </c>
      <c r="C325" s="22">
        <v>-6296.28</v>
      </c>
      <c r="D325" s="22">
        <v>0</v>
      </c>
    </row>
    <row r="326" spans="1:4" x14ac:dyDescent="0.2">
      <c r="A326" s="23" t="s">
        <v>982</v>
      </c>
      <c r="B326" s="23" t="s">
        <v>983</v>
      </c>
      <c r="C326" s="22">
        <v>-174641.64</v>
      </c>
      <c r="D326" s="22">
        <v>0</v>
      </c>
    </row>
    <row r="327" spans="1:4" x14ac:dyDescent="0.2">
      <c r="A327" s="23" t="s">
        <v>984</v>
      </c>
      <c r="B327" s="23" t="s">
        <v>985</v>
      </c>
      <c r="C327" s="22">
        <v>0</v>
      </c>
      <c r="D327" s="22">
        <v>0</v>
      </c>
    </row>
    <row r="328" spans="1:4" x14ac:dyDescent="0.2">
      <c r="A328" s="23" t="s">
        <v>986</v>
      </c>
      <c r="B328" s="23" t="s">
        <v>987</v>
      </c>
      <c r="C328" s="22">
        <v>0</v>
      </c>
      <c r="D328" s="22">
        <v>0</v>
      </c>
    </row>
    <row r="329" spans="1:4" x14ac:dyDescent="0.2">
      <c r="A329" s="23" t="s">
        <v>988</v>
      </c>
      <c r="B329" s="23" t="s">
        <v>989</v>
      </c>
      <c r="C329" s="22">
        <v>94125.8</v>
      </c>
      <c r="D329" s="22">
        <v>0</v>
      </c>
    </row>
    <row r="330" spans="1:4" x14ac:dyDescent="0.2">
      <c r="A330" s="23" t="s">
        <v>990</v>
      </c>
      <c r="B330" s="23" t="s">
        <v>991</v>
      </c>
      <c r="C330" s="22">
        <v>43023.66</v>
      </c>
      <c r="D330" s="22">
        <v>0</v>
      </c>
    </row>
    <row r="331" spans="1:4" x14ac:dyDescent="0.2">
      <c r="A331" s="23" t="s">
        <v>992</v>
      </c>
      <c r="B331" s="23" t="s">
        <v>993</v>
      </c>
      <c r="C331" s="22">
        <v>18348.87</v>
      </c>
      <c r="D331" s="22">
        <v>0</v>
      </c>
    </row>
    <row r="332" spans="1:4" x14ac:dyDescent="0.2">
      <c r="A332" s="23" t="s">
        <v>994</v>
      </c>
      <c r="B332" s="23" t="s">
        <v>995</v>
      </c>
      <c r="C332" s="22">
        <v>0</v>
      </c>
      <c r="D332" s="22">
        <v>0</v>
      </c>
    </row>
    <row r="333" spans="1:4" x14ac:dyDescent="0.2">
      <c r="A333" s="23" t="s">
        <v>996</v>
      </c>
      <c r="B333" s="23" t="s">
        <v>997</v>
      </c>
      <c r="C333" s="22">
        <v>1329.73</v>
      </c>
      <c r="D333" s="22">
        <v>0</v>
      </c>
    </row>
    <row r="334" spans="1:4" x14ac:dyDescent="0.2">
      <c r="A334" s="23" t="s">
        <v>998</v>
      </c>
      <c r="B334" s="23" t="s">
        <v>999</v>
      </c>
      <c r="C334" s="22">
        <v>0</v>
      </c>
      <c r="D334" s="22">
        <v>0</v>
      </c>
    </row>
    <row r="335" spans="1:4" x14ac:dyDescent="0.2">
      <c r="A335" s="23" t="s">
        <v>1000</v>
      </c>
      <c r="B335" s="23" t="s">
        <v>1001</v>
      </c>
      <c r="C335" s="22">
        <v>0</v>
      </c>
      <c r="D335" s="22">
        <v>0</v>
      </c>
    </row>
    <row r="336" spans="1:4" x14ac:dyDescent="0.2">
      <c r="A336" s="23" t="s">
        <v>1002</v>
      </c>
      <c r="B336" s="23" t="s">
        <v>1003</v>
      </c>
      <c r="C336" s="22">
        <v>0</v>
      </c>
      <c r="D336" s="22">
        <v>0</v>
      </c>
    </row>
    <row r="337" spans="1:4" x14ac:dyDescent="0.2">
      <c r="A337" s="23" t="s">
        <v>1004</v>
      </c>
      <c r="B337" s="23" t="s">
        <v>1005</v>
      </c>
      <c r="C337" s="22">
        <v>0</v>
      </c>
      <c r="D337" s="22">
        <v>0</v>
      </c>
    </row>
    <row r="338" spans="1:4" x14ac:dyDescent="0.2">
      <c r="A338" s="23" t="s">
        <v>1006</v>
      </c>
      <c r="B338" s="23" t="s">
        <v>1007</v>
      </c>
      <c r="C338" s="22">
        <v>0</v>
      </c>
      <c r="D338" s="22">
        <v>0</v>
      </c>
    </row>
    <row r="339" spans="1:4" x14ac:dyDescent="0.2">
      <c r="A339" s="23" t="s">
        <v>1008</v>
      </c>
      <c r="B339" s="23" t="s">
        <v>1009</v>
      </c>
      <c r="C339" s="22">
        <v>0</v>
      </c>
      <c r="D339" s="22">
        <v>0</v>
      </c>
    </row>
    <row r="340" spans="1:4" x14ac:dyDescent="0.2">
      <c r="A340" s="23" t="s">
        <v>1010</v>
      </c>
      <c r="B340" s="23" t="s">
        <v>1011</v>
      </c>
      <c r="C340" s="22">
        <v>0</v>
      </c>
      <c r="D340" s="22">
        <v>0</v>
      </c>
    </row>
    <row r="341" spans="1:4" x14ac:dyDescent="0.2">
      <c r="A341" s="23" t="s">
        <v>1012</v>
      </c>
      <c r="B341" s="23" t="s">
        <v>1013</v>
      </c>
      <c r="C341" s="22">
        <v>0</v>
      </c>
      <c r="D341" s="22">
        <v>0</v>
      </c>
    </row>
    <row r="342" spans="1:4" x14ac:dyDescent="0.2">
      <c r="A342" s="23" t="s">
        <v>1014</v>
      </c>
      <c r="B342" s="23" t="s">
        <v>1015</v>
      </c>
      <c r="C342" s="22">
        <v>0</v>
      </c>
      <c r="D342" s="22">
        <v>0</v>
      </c>
    </row>
    <row r="343" spans="1:4" x14ac:dyDescent="0.2">
      <c r="A343" s="23" t="s">
        <v>1016</v>
      </c>
      <c r="B343" s="23" t="s">
        <v>1017</v>
      </c>
      <c r="C343" s="22">
        <v>0</v>
      </c>
      <c r="D343" s="22">
        <v>0</v>
      </c>
    </row>
    <row r="344" spans="1:4" x14ac:dyDescent="0.2">
      <c r="A344" s="23" t="s">
        <v>1018</v>
      </c>
      <c r="B344" s="23" t="s">
        <v>1019</v>
      </c>
      <c r="C344" s="22">
        <v>0</v>
      </c>
      <c r="D344" s="22">
        <v>0</v>
      </c>
    </row>
    <row r="345" spans="1:4" x14ac:dyDescent="0.2">
      <c r="A345" s="23" t="s">
        <v>1020</v>
      </c>
      <c r="B345" s="23" t="s">
        <v>1021</v>
      </c>
      <c r="C345" s="22">
        <v>0</v>
      </c>
      <c r="D345" s="22">
        <v>0</v>
      </c>
    </row>
    <row r="346" spans="1:4" x14ac:dyDescent="0.2">
      <c r="A346" s="23" t="s">
        <v>1022</v>
      </c>
      <c r="B346" s="23" t="s">
        <v>1023</v>
      </c>
      <c r="C346" s="22">
        <v>0</v>
      </c>
      <c r="D346" s="22">
        <v>0</v>
      </c>
    </row>
    <row r="347" spans="1:4" x14ac:dyDescent="0.2">
      <c r="A347" s="23" t="s">
        <v>1024</v>
      </c>
      <c r="B347" s="23" t="s">
        <v>1025</v>
      </c>
      <c r="C347" s="22">
        <v>0</v>
      </c>
      <c r="D347" s="22">
        <v>0</v>
      </c>
    </row>
    <row r="348" spans="1:4" x14ac:dyDescent="0.2">
      <c r="A348" s="23" t="s">
        <v>1026</v>
      </c>
      <c r="B348" s="23" t="s">
        <v>1027</v>
      </c>
      <c r="C348" s="22">
        <v>0</v>
      </c>
      <c r="D348" s="22">
        <v>0</v>
      </c>
    </row>
    <row r="349" spans="1:4" x14ac:dyDescent="0.2">
      <c r="A349" s="23" t="s">
        <v>1028</v>
      </c>
      <c r="B349" s="23" t="s">
        <v>1029</v>
      </c>
      <c r="C349" s="22">
        <v>0</v>
      </c>
      <c r="D349" s="22">
        <v>0</v>
      </c>
    </row>
    <row r="350" spans="1:4" x14ac:dyDescent="0.2">
      <c r="A350" s="23" t="s">
        <v>1030</v>
      </c>
      <c r="B350" s="23" t="s">
        <v>1031</v>
      </c>
      <c r="C350" s="22">
        <v>0</v>
      </c>
      <c r="D350" s="22">
        <v>0</v>
      </c>
    </row>
    <row r="351" spans="1:4" x14ac:dyDescent="0.2">
      <c r="A351" s="23" t="s">
        <v>1032</v>
      </c>
      <c r="B351" s="23" t="s">
        <v>1033</v>
      </c>
      <c r="C351" s="22">
        <v>0</v>
      </c>
      <c r="D351" s="22">
        <v>0</v>
      </c>
    </row>
    <row r="352" spans="1:4" x14ac:dyDescent="0.2">
      <c r="A352" s="23" t="s">
        <v>1034</v>
      </c>
      <c r="B352" s="23" t="s">
        <v>1035</v>
      </c>
      <c r="C352" s="22">
        <v>0</v>
      </c>
      <c r="D352" s="22">
        <v>0</v>
      </c>
    </row>
    <row r="353" spans="1:4" x14ac:dyDescent="0.2">
      <c r="A353" s="23" t="s">
        <v>1036</v>
      </c>
      <c r="B353" s="23" t="s">
        <v>1037</v>
      </c>
      <c r="C353" s="22">
        <v>0</v>
      </c>
      <c r="D353" s="22">
        <v>0</v>
      </c>
    </row>
    <row r="354" spans="1:4" x14ac:dyDescent="0.2">
      <c r="A354" s="23" t="s">
        <v>1038</v>
      </c>
      <c r="B354" s="23" t="s">
        <v>1039</v>
      </c>
      <c r="C354" s="22">
        <v>0</v>
      </c>
      <c r="D354" s="22">
        <v>0</v>
      </c>
    </row>
    <row r="355" spans="1:4" x14ac:dyDescent="0.2">
      <c r="A355" s="23" t="s">
        <v>1040</v>
      </c>
      <c r="B355" t="s">
        <v>4481</v>
      </c>
      <c r="C355" s="22">
        <v>0</v>
      </c>
      <c r="D355" s="22">
        <v>0</v>
      </c>
    </row>
    <row r="356" spans="1:4" x14ac:dyDescent="0.2">
      <c r="A356" s="23" t="s">
        <v>1041</v>
      </c>
      <c r="B356" s="23" t="s">
        <v>1042</v>
      </c>
      <c r="C356" s="22">
        <v>-746225.93</v>
      </c>
      <c r="D356" s="22">
        <v>2238677.8199999998</v>
      </c>
    </row>
    <row r="357" spans="1:4" x14ac:dyDescent="0.2">
      <c r="A357" s="23" t="s">
        <v>1043</v>
      </c>
      <c r="B357" s="23" t="s">
        <v>1044</v>
      </c>
      <c r="C357" s="22">
        <v>-2132.4899999999998</v>
      </c>
      <c r="D357" s="22">
        <v>10662.43</v>
      </c>
    </row>
    <row r="358" spans="1:4" x14ac:dyDescent="0.2">
      <c r="A358" s="23" t="s">
        <v>1045</v>
      </c>
      <c r="B358" s="23" t="s">
        <v>1046</v>
      </c>
      <c r="C358" s="22">
        <v>0</v>
      </c>
      <c r="D358" s="22">
        <v>0</v>
      </c>
    </row>
    <row r="359" spans="1:4" x14ac:dyDescent="0.2">
      <c r="A359" s="23" t="s">
        <v>1047</v>
      </c>
      <c r="B359" s="23" t="s">
        <v>1048</v>
      </c>
      <c r="C359" s="22">
        <v>-591.82000000000005</v>
      </c>
      <c r="D359" s="22">
        <v>0</v>
      </c>
    </row>
    <row r="360" spans="1:4" x14ac:dyDescent="0.2">
      <c r="A360" s="23" t="s">
        <v>1049</v>
      </c>
      <c r="B360" s="23" t="s">
        <v>1050</v>
      </c>
      <c r="C360" s="22">
        <v>-19680.759999999998</v>
      </c>
      <c r="D360" s="22">
        <v>118084.55</v>
      </c>
    </row>
    <row r="361" spans="1:4" x14ac:dyDescent="0.2">
      <c r="A361" s="23" t="s">
        <v>1051</v>
      </c>
      <c r="B361" s="23" t="s">
        <v>1985</v>
      </c>
      <c r="C361" s="22">
        <v>0</v>
      </c>
      <c r="D361" s="22">
        <v>0</v>
      </c>
    </row>
    <row r="362" spans="1:4" x14ac:dyDescent="0.2">
      <c r="A362" s="23" t="s">
        <v>1986</v>
      </c>
      <c r="B362" s="23" t="s">
        <v>1987</v>
      </c>
      <c r="C362" s="22">
        <v>-203740.7</v>
      </c>
      <c r="D362" s="22">
        <v>1222444.1100000001</v>
      </c>
    </row>
    <row r="363" spans="1:4" x14ac:dyDescent="0.2">
      <c r="A363" s="23" t="s">
        <v>1988</v>
      </c>
      <c r="B363" s="23" t="s">
        <v>1989</v>
      </c>
      <c r="C363" s="22">
        <v>-31012.959999999999</v>
      </c>
      <c r="D363" s="22">
        <v>186077.76</v>
      </c>
    </row>
    <row r="364" spans="1:4" x14ac:dyDescent="0.2">
      <c r="A364" s="23" t="s">
        <v>1990</v>
      </c>
      <c r="B364" s="23" t="s">
        <v>1991</v>
      </c>
      <c r="C364" s="22">
        <v>0</v>
      </c>
      <c r="D364" s="22">
        <v>0</v>
      </c>
    </row>
    <row r="365" spans="1:4" x14ac:dyDescent="0.2">
      <c r="A365" s="23" t="s">
        <v>1992</v>
      </c>
      <c r="B365" s="23" t="s">
        <v>1993</v>
      </c>
      <c r="C365" s="22">
        <v>-1356.84</v>
      </c>
      <c r="D365" s="22">
        <v>8140.98</v>
      </c>
    </row>
    <row r="366" spans="1:4" x14ac:dyDescent="0.2">
      <c r="A366" s="23" t="s">
        <v>1994</v>
      </c>
      <c r="B366" s="23" t="s">
        <v>1995</v>
      </c>
      <c r="C366" s="22">
        <v>0</v>
      </c>
      <c r="D366" s="22">
        <v>0</v>
      </c>
    </row>
    <row r="367" spans="1:4" x14ac:dyDescent="0.2">
      <c r="A367" s="23" t="s">
        <v>1996</v>
      </c>
      <c r="B367" s="23" t="s">
        <v>2342</v>
      </c>
      <c r="C367" s="22">
        <v>-265.5</v>
      </c>
      <c r="D367" s="22">
        <v>1062</v>
      </c>
    </row>
    <row r="368" spans="1:4" x14ac:dyDescent="0.2">
      <c r="A368" s="23" t="s">
        <v>2343</v>
      </c>
      <c r="B368" s="23" t="s">
        <v>2344</v>
      </c>
      <c r="C368" s="22">
        <v>0</v>
      </c>
      <c r="D368" s="22">
        <v>0</v>
      </c>
    </row>
    <row r="369" spans="1:4" x14ac:dyDescent="0.2">
      <c r="A369" s="23" t="s">
        <v>2345</v>
      </c>
      <c r="B369" s="23" t="s">
        <v>2346</v>
      </c>
      <c r="C369" s="22">
        <v>0</v>
      </c>
      <c r="D369" s="22">
        <v>0</v>
      </c>
    </row>
    <row r="370" spans="1:4" x14ac:dyDescent="0.2">
      <c r="A370" s="23" t="s">
        <v>2347</v>
      </c>
      <c r="B370" s="23" t="s">
        <v>2348</v>
      </c>
      <c r="C370" s="22">
        <v>-470</v>
      </c>
      <c r="D370" s="22">
        <v>4236</v>
      </c>
    </row>
    <row r="371" spans="1:4" x14ac:dyDescent="0.2">
      <c r="A371" s="23" t="s">
        <v>2349</v>
      </c>
      <c r="B371" s="23" t="s">
        <v>2350</v>
      </c>
      <c r="C371" s="22">
        <v>-36873</v>
      </c>
      <c r="D371" s="22">
        <v>3863303.56</v>
      </c>
    </row>
    <row r="372" spans="1:4" x14ac:dyDescent="0.2">
      <c r="A372" s="23" t="s">
        <v>2351</v>
      </c>
      <c r="B372" s="23" t="s">
        <v>2352</v>
      </c>
      <c r="C372" s="22">
        <v>-1670.01</v>
      </c>
      <c r="D372" s="22">
        <v>30060.1</v>
      </c>
    </row>
    <row r="373" spans="1:4" x14ac:dyDescent="0.2">
      <c r="A373" s="23" t="s">
        <v>2353</v>
      </c>
      <c r="B373" s="23" t="s">
        <v>2354</v>
      </c>
      <c r="C373" s="22">
        <v>0</v>
      </c>
      <c r="D373" s="22">
        <v>0</v>
      </c>
    </row>
    <row r="374" spans="1:4" x14ac:dyDescent="0.2">
      <c r="A374" s="23" t="s">
        <v>2355</v>
      </c>
      <c r="B374" s="23" t="s">
        <v>2356</v>
      </c>
      <c r="C374" s="22">
        <v>-1629.34</v>
      </c>
      <c r="D374" s="22">
        <v>246029.25</v>
      </c>
    </row>
    <row r="375" spans="1:4" x14ac:dyDescent="0.2">
      <c r="A375" s="23" t="s">
        <v>2357</v>
      </c>
      <c r="B375" s="23" t="s">
        <v>2358</v>
      </c>
      <c r="C375" s="22">
        <v>-15106.73</v>
      </c>
      <c r="D375" s="22">
        <v>785550.08</v>
      </c>
    </row>
    <row r="376" spans="1:4" x14ac:dyDescent="0.2">
      <c r="A376" s="23" t="s">
        <v>2359</v>
      </c>
      <c r="B376" s="23" t="s">
        <v>2360</v>
      </c>
      <c r="C376" s="22">
        <v>-658.29</v>
      </c>
      <c r="D376" s="22">
        <v>-0.03</v>
      </c>
    </row>
    <row r="377" spans="1:4" x14ac:dyDescent="0.2">
      <c r="A377" s="23" t="s">
        <v>2361</v>
      </c>
      <c r="B377" s="23" t="s">
        <v>2362</v>
      </c>
      <c r="C377" s="22">
        <v>0</v>
      </c>
      <c r="D377" s="22">
        <v>0</v>
      </c>
    </row>
    <row r="378" spans="1:4" x14ac:dyDescent="0.2">
      <c r="A378" s="23" t="s">
        <v>2363</v>
      </c>
      <c r="B378" s="23" t="s">
        <v>2364</v>
      </c>
      <c r="C378" s="22">
        <v>0</v>
      </c>
      <c r="D378" s="22">
        <v>0</v>
      </c>
    </row>
    <row r="379" spans="1:4" x14ac:dyDescent="0.2">
      <c r="A379" s="23" t="s">
        <v>2365</v>
      </c>
      <c r="B379" s="23" t="s">
        <v>2366</v>
      </c>
      <c r="C379" s="22">
        <v>-466693</v>
      </c>
      <c r="D379" s="22">
        <v>916890</v>
      </c>
    </row>
    <row r="380" spans="1:4" x14ac:dyDescent="0.2">
      <c r="A380" s="23" t="s">
        <v>2367</v>
      </c>
      <c r="B380" s="23" t="s">
        <v>2368</v>
      </c>
      <c r="C380" s="22">
        <v>509649.61</v>
      </c>
      <c r="D380" s="22">
        <v>0</v>
      </c>
    </row>
    <row r="381" spans="1:4" x14ac:dyDescent="0.2">
      <c r="A381" s="23" t="s">
        <v>2369</v>
      </c>
      <c r="B381" s="23" t="s">
        <v>2370</v>
      </c>
      <c r="C381" s="22">
        <v>689491.44</v>
      </c>
      <c r="D381" s="22">
        <v>0</v>
      </c>
    </row>
    <row r="382" spans="1:4" x14ac:dyDescent="0.2">
      <c r="A382" s="23" t="s">
        <v>2371</v>
      </c>
      <c r="B382" s="23" t="s">
        <v>2372</v>
      </c>
      <c r="C382" s="22">
        <v>479486</v>
      </c>
      <c r="D382" s="22">
        <v>0</v>
      </c>
    </row>
    <row r="383" spans="1:4" x14ac:dyDescent="0.2">
      <c r="A383" s="23" t="s">
        <v>2373</v>
      </c>
      <c r="B383" s="23" t="s">
        <v>2374</v>
      </c>
      <c r="C383" s="22">
        <v>314146</v>
      </c>
      <c r="D383" s="22">
        <v>0</v>
      </c>
    </row>
    <row r="384" spans="1:4" x14ac:dyDescent="0.2">
      <c r="A384" s="23" t="s">
        <v>2375</v>
      </c>
      <c r="B384" s="23" t="s">
        <v>2376</v>
      </c>
      <c r="C384" s="22">
        <v>811143</v>
      </c>
      <c r="D384" s="22">
        <v>811143</v>
      </c>
    </row>
    <row r="385" spans="1:4" x14ac:dyDescent="0.2">
      <c r="A385" s="23" t="s">
        <v>2377</v>
      </c>
      <c r="B385" s="23" t="s">
        <v>2378</v>
      </c>
      <c r="C385" s="22">
        <v>0</v>
      </c>
      <c r="D385" s="22">
        <v>0</v>
      </c>
    </row>
    <row r="386" spans="1:4" x14ac:dyDescent="0.2">
      <c r="A386" s="23" t="s">
        <v>2379</v>
      </c>
      <c r="B386" t="s">
        <v>4481</v>
      </c>
      <c r="C386" s="22">
        <v>1275808.68</v>
      </c>
      <c r="D386" s="22">
        <v>10442361.609999999</v>
      </c>
    </row>
    <row r="387" spans="1:4" x14ac:dyDescent="0.2">
      <c r="A387" s="23" t="s">
        <v>2380</v>
      </c>
      <c r="B387" s="23" t="s">
        <v>2381</v>
      </c>
      <c r="C387" s="22">
        <v>-235.72</v>
      </c>
      <c r="D387" s="22">
        <v>6126.17</v>
      </c>
    </row>
    <row r="388" spans="1:4" x14ac:dyDescent="0.2">
      <c r="A388" s="23" t="s">
        <v>2382</v>
      </c>
      <c r="B388" s="23" t="s">
        <v>2383</v>
      </c>
      <c r="C388" s="22">
        <v>0</v>
      </c>
      <c r="D388" s="22">
        <v>0</v>
      </c>
    </row>
    <row r="389" spans="1:4" x14ac:dyDescent="0.2">
      <c r="A389" s="23" t="s">
        <v>2384</v>
      </c>
      <c r="B389" t="s">
        <v>4481</v>
      </c>
      <c r="C389" s="22">
        <v>-235.72</v>
      </c>
      <c r="D389" s="22">
        <v>6126.17</v>
      </c>
    </row>
    <row r="390" spans="1:4" x14ac:dyDescent="0.2">
      <c r="A390" s="23" t="s">
        <v>2385</v>
      </c>
      <c r="B390" s="23" t="s">
        <v>2386</v>
      </c>
      <c r="C390" s="22">
        <v>312879</v>
      </c>
      <c r="D390" s="22">
        <v>32295758</v>
      </c>
    </row>
    <row r="391" spans="1:4" x14ac:dyDescent="0.2">
      <c r="A391" s="23" t="s">
        <v>2387</v>
      </c>
      <c r="B391" s="23" t="s">
        <v>2388</v>
      </c>
      <c r="C391" s="22">
        <v>0</v>
      </c>
      <c r="D391" s="22">
        <v>381000</v>
      </c>
    </row>
    <row r="392" spans="1:4" x14ac:dyDescent="0.2">
      <c r="A392" s="23" t="s">
        <v>2389</v>
      </c>
      <c r="B392" t="s">
        <v>4481</v>
      </c>
      <c r="C392" s="22">
        <v>312879</v>
      </c>
      <c r="D392" s="22">
        <v>32676758</v>
      </c>
    </row>
    <row r="393" spans="1:4" x14ac:dyDescent="0.2">
      <c r="A393" s="23" t="s">
        <v>2390</v>
      </c>
      <c r="B393" s="23" t="s">
        <v>2391</v>
      </c>
      <c r="C393" s="22">
        <v>259180</v>
      </c>
      <c r="D393" s="22">
        <v>259180</v>
      </c>
    </row>
    <row r="394" spans="1:4" x14ac:dyDescent="0.2">
      <c r="A394" s="23" t="s">
        <v>2392</v>
      </c>
      <c r="B394" s="23" t="s">
        <v>2393</v>
      </c>
      <c r="C394" s="22">
        <v>-11917160</v>
      </c>
      <c r="D394" s="22">
        <v>11347630</v>
      </c>
    </row>
    <row r="395" spans="1:4" x14ac:dyDescent="0.2">
      <c r="A395" s="23" t="s">
        <v>2394</v>
      </c>
      <c r="B395" s="23" t="s">
        <v>2395</v>
      </c>
      <c r="C395" s="22">
        <v>0</v>
      </c>
      <c r="D395" s="22">
        <v>0</v>
      </c>
    </row>
    <row r="396" spans="1:4" x14ac:dyDescent="0.2">
      <c r="A396" s="23" t="s">
        <v>2396</v>
      </c>
      <c r="B396" s="23" t="s">
        <v>2397</v>
      </c>
      <c r="C396" s="22">
        <v>1305370</v>
      </c>
      <c r="D396" s="22">
        <v>1441770</v>
      </c>
    </row>
    <row r="397" spans="1:4" x14ac:dyDescent="0.2">
      <c r="A397" s="23" t="s">
        <v>2398</v>
      </c>
      <c r="B397" s="23" t="s">
        <v>2399</v>
      </c>
      <c r="C397" s="22">
        <v>-1069810</v>
      </c>
      <c r="D397" s="22">
        <v>19580</v>
      </c>
    </row>
    <row r="398" spans="1:4" x14ac:dyDescent="0.2">
      <c r="A398" s="23" t="s">
        <v>2400</v>
      </c>
      <c r="B398" s="23" t="s">
        <v>2401</v>
      </c>
      <c r="C398" s="22">
        <v>-494013</v>
      </c>
      <c r="D398" s="22">
        <v>0</v>
      </c>
    </row>
    <row r="399" spans="1:4" x14ac:dyDescent="0.2">
      <c r="A399" s="23" t="s">
        <v>2402</v>
      </c>
      <c r="B399" s="23" t="s">
        <v>2403</v>
      </c>
      <c r="C399" s="22">
        <v>0</v>
      </c>
      <c r="D399" s="22">
        <v>0</v>
      </c>
    </row>
    <row r="400" spans="1:4" x14ac:dyDescent="0.2">
      <c r="A400" s="23" t="s">
        <v>2404</v>
      </c>
      <c r="B400" s="23" t="s">
        <v>2405</v>
      </c>
      <c r="C400" s="22">
        <v>49800</v>
      </c>
      <c r="D400" s="22">
        <v>55200</v>
      </c>
    </row>
    <row r="401" spans="1:4" x14ac:dyDescent="0.2">
      <c r="A401" s="23" t="s">
        <v>2406</v>
      </c>
      <c r="B401" t="s">
        <v>4481</v>
      </c>
      <c r="C401" s="22">
        <v>-11866633</v>
      </c>
      <c r="D401" s="22">
        <v>13123360</v>
      </c>
    </row>
    <row r="402" spans="1:4" x14ac:dyDescent="0.2">
      <c r="A402" s="23" t="s">
        <v>2407</v>
      </c>
      <c r="B402" s="23" t="s">
        <v>2408</v>
      </c>
      <c r="C402" s="22">
        <v>-3901.62</v>
      </c>
      <c r="D402" s="22">
        <v>1763159.26</v>
      </c>
    </row>
    <row r="403" spans="1:4" x14ac:dyDescent="0.2">
      <c r="A403" s="23" t="s">
        <v>2409</v>
      </c>
      <c r="B403" s="23" t="s">
        <v>2410</v>
      </c>
      <c r="C403" s="22">
        <v>0</v>
      </c>
      <c r="D403" s="22">
        <v>0</v>
      </c>
    </row>
    <row r="404" spans="1:4" x14ac:dyDescent="0.2">
      <c r="A404" s="23" t="s">
        <v>2411</v>
      </c>
      <c r="B404" s="23" t="s">
        <v>3098</v>
      </c>
      <c r="C404" s="22">
        <v>0</v>
      </c>
      <c r="D404" s="22">
        <v>0</v>
      </c>
    </row>
    <row r="405" spans="1:4" x14ac:dyDescent="0.2">
      <c r="A405" s="23" t="s">
        <v>3099</v>
      </c>
      <c r="B405" s="23" t="s">
        <v>3100</v>
      </c>
      <c r="C405" s="22">
        <v>-11502.62</v>
      </c>
      <c r="D405" s="22">
        <v>3919280.34</v>
      </c>
    </row>
    <row r="406" spans="1:4" x14ac:dyDescent="0.2">
      <c r="A406" s="23" t="s">
        <v>3101</v>
      </c>
      <c r="B406" s="23" t="s">
        <v>3102</v>
      </c>
      <c r="C406" s="22">
        <v>0</v>
      </c>
      <c r="D406" s="22">
        <v>0</v>
      </c>
    </row>
    <row r="407" spans="1:4" x14ac:dyDescent="0.2">
      <c r="A407" s="23" t="s">
        <v>3103</v>
      </c>
      <c r="B407" s="23" t="s">
        <v>3102</v>
      </c>
      <c r="C407" s="22">
        <v>0</v>
      </c>
      <c r="D407" s="22">
        <v>0</v>
      </c>
    </row>
    <row r="408" spans="1:4" x14ac:dyDescent="0.2">
      <c r="A408" s="23" t="s">
        <v>3104</v>
      </c>
      <c r="B408" s="23" t="s">
        <v>3105</v>
      </c>
      <c r="C408" s="22">
        <v>0</v>
      </c>
      <c r="D408" s="22">
        <v>0</v>
      </c>
    </row>
    <row r="409" spans="1:4" x14ac:dyDescent="0.2">
      <c r="A409" s="23" t="s">
        <v>3106</v>
      </c>
      <c r="B409" s="23" t="s">
        <v>3107</v>
      </c>
      <c r="C409" s="22">
        <v>0</v>
      </c>
      <c r="D409" s="22">
        <v>0</v>
      </c>
    </row>
    <row r="410" spans="1:4" x14ac:dyDescent="0.2">
      <c r="A410" s="23" t="s">
        <v>3108</v>
      </c>
      <c r="B410" s="23" t="s">
        <v>3109</v>
      </c>
      <c r="C410" s="22">
        <v>0</v>
      </c>
      <c r="D410" s="22">
        <v>0</v>
      </c>
    </row>
    <row r="411" spans="1:4" x14ac:dyDescent="0.2">
      <c r="A411" s="23" t="s">
        <v>3110</v>
      </c>
      <c r="B411" s="23" t="s">
        <v>3111</v>
      </c>
      <c r="C411" s="22">
        <v>0</v>
      </c>
      <c r="D411" s="22">
        <v>0</v>
      </c>
    </row>
    <row r="412" spans="1:4" x14ac:dyDescent="0.2">
      <c r="A412" s="23" t="s">
        <v>3112</v>
      </c>
      <c r="B412" s="23" t="s">
        <v>3113</v>
      </c>
      <c r="C412" s="22">
        <v>0</v>
      </c>
      <c r="D412" s="22">
        <v>0</v>
      </c>
    </row>
    <row r="413" spans="1:4" x14ac:dyDescent="0.2">
      <c r="A413" s="23" t="s">
        <v>3114</v>
      </c>
      <c r="B413" s="23" t="s">
        <v>3115</v>
      </c>
      <c r="C413" s="22">
        <v>0</v>
      </c>
      <c r="D413" s="22">
        <v>0</v>
      </c>
    </row>
    <row r="414" spans="1:4" x14ac:dyDescent="0.2">
      <c r="A414" s="23" t="s">
        <v>3116</v>
      </c>
      <c r="B414" s="23" t="s">
        <v>3117</v>
      </c>
      <c r="C414" s="22">
        <v>0</v>
      </c>
      <c r="D414" s="22">
        <v>0</v>
      </c>
    </row>
    <row r="415" spans="1:4" x14ac:dyDescent="0.2">
      <c r="A415" s="23" t="s">
        <v>3118</v>
      </c>
      <c r="B415" s="23" t="s">
        <v>3119</v>
      </c>
      <c r="C415" s="22">
        <v>-3054.31</v>
      </c>
      <c r="D415" s="22">
        <v>1076644.1100000001</v>
      </c>
    </row>
    <row r="416" spans="1:4" x14ac:dyDescent="0.2">
      <c r="A416" s="23" t="s">
        <v>3120</v>
      </c>
      <c r="B416" s="23" t="s">
        <v>3115</v>
      </c>
      <c r="C416" s="22">
        <v>-8058.13</v>
      </c>
      <c r="D416" s="22">
        <v>2602776.6800000002</v>
      </c>
    </row>
    <row r="417" spans="1:4" x14ac:dyDescent="0.2">
      <c r="A417" s="23" t="s">
        <v>3121</v>
      </c>
      <c r="B417" s="23" t="s">
        <v>3122</v>
      </c>
      <c r="C417" s="35">
        <v>-11405.55</v>
      </c>
      <c r="D417" s="35">
        <v>613618.07999999996</v>
      </c>
    </row>
    <row r="418" spans="1:4" x14ac:dyDescent="0.2">
      <c r="A418" s="23" t="s">
        <v>3123</v>
      </c>
      <c r="B418" s="23" t="s">
        <v>3124</v>
      </c>
      <c r="C418" s="22">
        <v>-4422.05</v>
      </c>
      <c r="D418" s="22">
        <v>305121.83</v>
      </c>
    </row>
    <row r="419" spans="1:4" x14ac:dyDescent="0.2">
      <c r="A419" s="23" t="s">
        <v>3125</v>
      </c>
      <c r="B419" s="23" t="s">
        <v>3126</v>
      </c>
      <c r="C419" s="22">
        <v>-3340.78</v>
      </c>
      <c r="D419" s="22">
        <v>631407.39</v>
      </c>
    </row>
    <row r="420" spans="1:4" x14ac:dyDescent="0.2">
      <c r="A420" s="23" t="s">
        <v>3127</v>
      </c>
      <c r="B420" s="23" t="s">
        <v>3128</v>
      </c>
      <c r="C420" s="22">
        <v>-112812.3</v>
      </c>
      <c r="D420" s="22">
        <v>6257316.5899999999</v>
      </c>
    </row>
    <row r="421" spans="1:4" x14ac:dyDescent="0.2">
      <c r="A421" s="23" t="s">
        <v>3129</v>
      </c>
      <c r="B421" s="23" t="s">
        <v>3130</v>
      </c>
      <c r="C421" s="22">
        <v>0</v>
      </c>
      <c r="D421" s="22">
        <v>0</v>
      </c>
    </row>
    <row r="422" spans="1:4" x14ac:dyDescent="0.2">
      <c r="A422" s="23" t="s">
        <v>3131</v>
      </c>
      <c r="B422" s="23" t="s">
        <v>3132</v>
      </c>
      <c r="C422" s="22">
        <v>-12467.89</v>
      </c>
      <c r="D422" s="22">
        <v>1238477.31</v>
      </c>
    </row>
    <row r="423" spans="1:4" x14ac:dyDescent="0.2">
      <c r="A423" s="23" t="s">
        <v>3133</v>
      </c>
      <c r="B423" s="23" t="s">
        <v>3134</v>
      </c>
      <c r="C423" s="22">
        <v>0</v>
      </c>
      <c r="D423" s="22">
        <v>0</v>
      </c>
    </row>
    <row r="424" spans="1:4" x14ac:dyDescent="0.2">
      <c r="A424" s="23" t="s">
        <v>3135</v>
      </c>
      <c r="B424" s="23" t="s">
        <v>3136</v>
      </c>
      <c r="C424" s="22">
        <v>0</v>
      </c>
      <c r="D424" s="22">
        <v>0</v>
      </c>
    </row>
    <row r="425" spans="1:4" x14ac:dyDescent="0.2">
      <c r="A425" s="23" t="s">
        <v>3137</v>
      </c>
      <c r="B425" s="23" t="s">
        <v>3113</v>
      </c>
      <c r="C425" s="22">
        <v>-2786.73</v>
      </c>
      <c r="D425" s="22">
        <v>958162.08</v>
      </c>
    </row>
    <row r="426" spans="1:4" x14ac:dyDescent="0.2">
      <c r="A426" s="23" t="s">
        <v>3138</v>
      </c>
      <c r="B426" s="23" t="s">
        <v>3139</v>
      </c>
      <c r="C426" s="22">
        <v>527.65</v>
      </c>
      <c r="D426" s="22">
        <v>932787.4</v>
      </c>
    </row>
    <row r="427" spans="1:4" x14ac:dyDescent="0.2">
      <c r="A427" s="23" t="s">
        <v>3140</v>
      </c>
      <c r="B427" s="23" t="s">
        <v>3141</v>
      </c>
      <c r="C427" s="22">
        <v>1931.29</v>
      </c>
      <c r="D427" s="22">
        <v>362162.72</v>
      </c>
    </row>
    <row r="428" spans="1:4" x14ac:dyDescent="0.2">
      <c r="A428" s="23" t="s">
        <v>3142</v>
      </c>
      <c r="B428" t="s">
        <v>4481</v>
      </c>
      <c r="C428" s="22">
        <v>-171293.04</v>
      </c>
      <c r="D428" s="22">
        <v>20660913.789999999</v>
      </c>
    </row>
    <row r="429" spans="1:4" x14ac:dyDescent="0.2">
      <c r="A429" s="23" t="s">
        <v>3143</v>
      </c>
      <c r="B429" s="23" t="s">
        <v>3144</v>
      </c>
      <c r="C429" s="22">
        <v>-9493.2800000000007</v>
      </c>
      <c r="D429" s="22">
        <v>185056.41</v>
      </c>
    </row>
    <row r="430" spans="1:4" x14ac:dyDescent="0.2">
      <c r="A430" s="23" t="s">
        <v>3145</v>
      </c>
      <c r="B430" s="23" t="s">
        <v>3146</v>
      </c>
      <c r="C430" s="22">
        <v>63712.52</v>
      </c>
      <c r="D430" s="22">
        <v>4002578.01</v>
      </c>
    </row>
    <row r="431" spans="1:4" x14ac:dyDescent="0.2">
      <c r="A431" s="23" t="s">
        <v>3147</v>
      </c>
      <c r="B431" s="23" t="s">
        <v>3148</v>
      </c>
      <c r="C431" s="22">
        <v>-286880</v>
      </c>
      <c r="D431" s="22">
        <v>62495059.200000003</v>
      </c>
    </row>
    <row r="432" spans="1:4" x14ac:dyDescent="0.2">
      <c r="A432" s="23" t="s">
        <v>3149</v>
      </c>
      <c r="B432" s="23" t="s">
        <v>2395</v>
      </c>
      <c r="C432" s="22">
        <v>0</v>
      </c>
      <c r="D432" s="22">
        <v>0</v>
      </c>
    </row>
    <row r="433" spans="1:4" x14ac:dyDescent="0.2">
      <c r="A433" s="23" t="s">
        <v>3150</v>
      </c>
      <c r="B433" s="23" t="s">
        <v>3151</v>
      </c>
      <c r="C433" s="22">
        <v>0</v>
      </c>
      <c r="D433" s="22">
        <v>0</v>
      </c>
    </row>
    <row r="434" spans="1:4" x14ac:dyDescent="0.2">
      <c r="A434" s="23" t="s">
        <v>3152</v>
      </c>
      <c r="B434" s="23" t="s">
        <v>3153</v>
      </c>
      <c r="C434" s="22">
        <v>-10599065</v>
      </c>
      <c r="D434" s="22">
        <v>5728407.7999999998</v>
      </c>
    </row>
    <row r="435" spans="1:4" x14ac:dyDescent="0.2">
      <c r="A435" s="23" t="s">
        <v>3154</v>
      </c>
      <c r="B435" s="23" t="s">
        <v>3155</v>
      </c>
      <c r="C435" s="22">
        <v>2588756</v>
      </c>
      <c r="D435" s="22">
        <v>27392135</v>
      </c>
    </row>
    <row r="436" spans="1:4" x14ac:dyDescent="0.2">
      <c r="A436" s="23" t="s">
        <v>3156</v>
      </c>
      <c r="B436" s="23" t="s">
        <v>3157</v>
      </c>
      <c r="C436" s="22">
        <v>-77939</v>
      </c>
      <c r="D436" s="22">
        <v>0</v>
      </c>
    </row>
    <row r="437" spans="1:4" x14ac:dyDescent="0.2">
      <c r="A437" s="23" t="s">
        <v>674</v>
      </c>
      <c r="B437" s="23" t="s">
        <v>675</v>
      </c>
      <c r="C437" s="22">
        <v>10659.3</v>
      </c>
      <c r="D437" s="22">
        <v>130969.53</v>
      </c>
    </row>
    <row r="438" spans="1:4" x14ac:dyDescent="0.2">
      <c r="A438" s="23" t="s">
        <v>676</v>
      </c>
      <c r="B438" s="23" t="s">
        <v>677</v>
      </c>
      <c r="C438" s="22">
        <v>0</v>
      </c>
      <c r="D438" s="22">
        <v>0</v>
      </c>
    </row>
    <row r="439" spans="1:4" x14ac:dyDescent="0.2">
      <c r="A439" s="23" t="s">
        <v>678</v>
      </c>
      <c r="B439" s="23" t="s">
        <v>679</v>
      </c>
      <c r="C439" s="22">
        <v>0</v>
      </c>
      <c r="D439" s="22">
        <v>0</v>
      </c>
    </row>
    <row r="440" spans="1:4" x14ac:dyDescent="0.2">
      <c r="A440" s="23" t="s">
        <v>680</v>
      </c>
      <c r="B440" s="23" t="s">
        <v>681</v>
      </c>
      <c r="C440" s="22">
        <v>-38105516</v>
      </c>
      <c r="D440" s="22">
        <v>75304051</v>
      </c>
    </row>
    <row r="441" spans="1:4" x14ac:dyDescent="0.2">
      <c r="A441" s="23" t="s">
        <v>682</v>
      </c>
      <c r="B441" s="23" t="s">
        <v>681</v>
      </c>
      <c r="C441" s="22">
        <v>0</v>
      </c>
      <c r="D441" s="22">
        <v>9878338</v>
      </c>
    </row>
    <row r="442" spans="1:4" x14ac:dyDescent="0.2">
      <c r="A442" s="23" t="s">
        <v>683</v>
      </c>
      <c r="B442" s="23" t="s">
        <v>684</v>
      </c>
      <c r="C442" s="22">
        <v>-19430</v>
      </c>
      <c r="D442" s="22">
        <v>1380978</v>
      </c>
    </row>
    <row r="443" spans="1:4" x14ac:dyDescent="0.2">
      <c r="A443" s="23" t="s">
        <v>685</v>
      </c>
      <c r="B443" s="23" t="s">
        <v>686</v>
      </c>
      <c r="C443" s="22">
        <v>0</v>
      </c>
      <c r="D443" s="22">
        <v>0</v>
      </c>
    </row>
    <row r="444" spans="1:4" x14ac:dyDescent="0.2">
      <c r="A444" s="23" t="s">
        <v>687</v>
      </c>
      <c r="B444" s="23" t="s">
        <v>688</v>
      </c>
      <c r="C444" s="22">
        <v>-6351.74</v>
      </c>
      <c r="D444" s="22">
        <v>232295.36</v>
      </c>
    </row>
    <row r="445" spans="1:4" x14ac:dyDescent="0.2">
      <c r="A445" s="23" t="s">
        <v>689</v>
      </c>
      <c r="B445" s="23" t="s">
        <v>690</v>
      </c>
      <c r="C445" s="22">
        <v>-32973.25</v>
      </c>
      <c r="D445" s="22">
        <v>1556580.41</v>
      </c>
    </row>
    <row r="446" spans="1:4" x14ac:dyDescent="0.2">
      <c r="A446" s="23" t="s">
        <v>691</v>
      </c>
      <c r="B446" s="23" t="s">
        <v>692</v>
      </c>
      <c r="C446" s="22">
        <v>0</v>
      </c>
      <c r="D446" s="22">
        <v>0</v>
      </c>
    </row>
    <row r="447" spans="1:4" x14ac:dyDescent="0.2">
      <c r="A447" s="23" t="s">
        <v>693</v>
      </c>
      <c r="B447" s="23" t="s">
        <v>694</v>
      </c>
      <c r="C447" s="22">
        <v>0</v>
      </c>
      <c r="D447" s="22">
        <v>0</v>
      </c>
    </row>
    <row r="448" spans="1:4" x14ac:dyDescent="0.2">
      <c r="A448" s="23" t="s">
        <v>695</v>
      </c>
      <c r="B448" s="23" t="s">
        <v>696</v>
      </c>
      <c r="C448" s="22">
        <v>-45441.31</v>
      </c>
      <c r="D448" s="22">
        <v>528305.77</v>
      </c>
    </row>
    <row r="449" spans="1:4" x14ac:dyDescent="0.2">
      <c r="A449" s="23" t="s">
        <v>697</v>
      </c>
      <c r="B449" s="23" t="s">
        <v>698</v>
      </c>
      <c r="C449" s="22">
        <v>-141</v>
      </c>
      <c r="D449" s="22">
        <v>2928.3</v>
      </c>
    </row>
    <row r="450" spans="1:4" x14ac:dyDescent="0.2">
      <c r="A450" s="23" t="s">
        <v>699</v>
      </c>
      <c r="B450" s="23" t="s">
        <v>700</v>
      </c>
      <c r="C450" s="22">
        <v>0</v>
      </c>
      <c r="D450" s="22">
        <v>0</v>
      </c>
    </row>
    <row r="451" spans="1:4" x14ac:dyDescent="0.2">
      <c r="A451" s="23" t="s">
        <v>701</v>
      </c>
      <c r="B451" s="23" t="s">
        <v>702</v>
      </c>
      <c r="C451" s="22">
        <v>0</v>
      </c>
      <c r="D451" s="22">
        <v>0</v>
      </c>
    </row>
    <row r="452" spans="1:4" x14ac:dyDescent="0.2">
      <c r="A452" s="23" t="s">
        <v>703</v>
      </c>
      <c r="B452" s="23" t="s">
        <v>704</v>
      </c>
      <c r="C452" s="22">
        <v>0</v>
      </c>
      <c r="D452" s="22">
        <v>0</v>
      </c>
    </row>
    <row r="453" spans="1:4" x14ac:dyDescent="0.2">
      <c r="A453" s="23" t="s">
        <v>705</v>
      </c>
      <c r="B453" s="23" t="s">
        <v>706</v>
      </c>
      <c r="C453" s="22">
        <v>-2572.2399999999998</v>
      </c>
      <c r="D453" s="22">
        <v>3422123.54</v>
      </c>
    </row>
    <row r="454" spans="1:4" x14ac:dyDescent="0.2">
      <c r="A454" s="23" t="s">
        <v>707</v>
      </c>
      <c r="B454" s="23" t="s">
        <v>706</v>
      </c>
      <c r="C454" s="22">
        <v>2572.2399999999998</v>
      </c>
      <c r="D454" s="22">
        <v>-3422123.54</v>
      </c>
    </row>
    <row r="455" spans="1:4" x14ac:dyDescent="0.2">
      <c r="A455" s="23" t="s">
        <v>708</v>
      </c>
      <c r="B455" s="23" t="s">
        <v>709</v>
      </c>
      <c r="C455" s="22">
        <v>-284324.95</v>
      </c>
      <c r="D455" s="22">
        <v>20463653.170000002</v>
      </c>
    </row>
    <row r="456" spans="1:4" x14ac:dyDescent="0.2">
      <c r="A456" s="23" t="s">
        <v>710</v>
      </c>
      <c r="B456" s="23" t="s">
        <v>709</v>
      </c>
      <c r="C456" s="22">
        <v>284324.95</v>
      </c>
      <c r="D456" s="22">
        <v>-20463653.170000002</v>
      </c>
    </row>
    <row r="457" spans="1:4" x14ac:dyDescent="0.2">
      <c r="A457" s="23" t="s">
        <v>711</v>
      </c>
      <c r="B457" s="23" t="s">
        <v>712</v>
      </c>
      <c r="C457" s="22">
        <v>-3780.16</v>
      </c>
      <c r="D457" s="22">
        <v>160530.99</v>
      </c>
    </row>
    <row r="458" spans="1:4" x14ac:dyDescent="0.2">
      <c r="A458" s="23" t="s">
        <v>713</v>
      </c>
      <c r="B458" s="23" t="s">
        <v>714</v>
      </c>
      <c r="C458" s="22">
        <v>-3056.11</v>
      </c>
      <c r="D458" s="22">
        <v>495563.45</v>
      </c>
    </row>
    <row r="459" spans="1:4" x14ac:dyDescent="0.2">
      <c r="A459" s="23" t="s">
        <v>715</v>
      </c>
      <c r="B459" s="23" t="s">
        <v>716</v>
      </c>
      <c r="C459" s="22">
        <v>-17654.330000000002</v>
      </c>
      <c r="D459" s="22">
        <v>3142473.45</v>
      </c>
    </row>
    <row r="460" spans="1:4" x14ac:dyDescent="0.2">
      <c r="A460" s="23" t="s">
        <v>717</v>
      </c>
      <c r="B460" s="23" t="s">
        <v>718</v>
      </c>
      <c r="C460" s="22">
        <v>-15689.13</v>
      </c>
      <c r="D460" s="22">
        <v>2698529.71</v>
      </c>
    </row>
    <row r="461" spans="1:4" x14ac:dyDescent="0.2">
      <c r="A461" s="23" t="s">
        <v>719</v>
      </c>
      <c r="B461" s="23" t="s">
        <v>718</v>
      </c>
      <c r="C461" s="22">
        <v>-3932.13</v>
      </c>
      <c r="D461" s="22">
        <v>676325.46</v>
      </c>
    </row>
    <row r="462" spans="1:4" x14ac:dyDescent="0.2">
      <c r="A462" s="23" t="s">
        <v>720</v>
      </c>
      <c r="B462" s="23" t="s">
        <v>721</v>
      </c>
      <c r="C462" s="22">
        <v>0</v>
      </c>
      <c r="D462" s="22">
        <v>0</v>
      </c>
    </row>
    <row r="463" spans="1:4" x14ac:dyDescent="0.2">
      <c r="A463" s="23" t="s">
        <v>722</v>
      </c>
      <c r="B463" s="23" t="s">
        <v>723</v>
      </c>
      <c r="C463" s="22">
        <v>-467.85</v>
      </c>
      <c r="D463" s="22">
        <v>76261.039999999994</v>
      </c>
    </row>
    <row r="464" spans="1:4" x14ac:dyDescent="0.2">
      <c r="A464" s="23" t="s">
        <v>724</v>
      </c>
      <c r="B464" s="23" t="s">
        <v>723</v>
      </c>
      <c r="C464" s="22">
        <v>-3266.81</v>
      </c>
      <c r="D464" s="22">
        <v>532490.49</v>
      </c>
    </row>
    <row r="465" spans="1:4" x14ac:dyDescent="0.2">
      <c r="A465" s="23" t="s">
        <v>725</v>
      </c>
      <c r="B465" s="23" t="s">
        <v>726</v>
      </c>
      <c r="C465" s="22">
        <v>0</v>
      </c>
      <c r="D465" s="22">
        <v>0</v>
      </c>
    </row>
    <row r="466" spans="1:4" x14ac:dyDescent="0.2">
      <c r="A466" s="23" t="s">
        <v>727</v>
      </c>
      <c r="B466" s="23" t="s">
        <v>728</v>
      </c>
      <c r="C466" s="22">
        <v>-2329</v>
      </c>
      <c r="D466" s="22">
        <v>80838.39</v>
      </c>
    </row>
    <row r="467" spans="1:4" x14ac:dyDescent="0.2">
      <c r="A467" s="23" t="s">
        <v>729</v>
      </c>
      <c r="B467" s="23" t="s">
        <v>730</v>
      </c>
      <c r="C467" s="22">
        <v>-5475.97</v>
      </c>
      <c r="D467" s="22">
        <v>258485.59</v>
      </c>
    </row>
    <row r="468" spans="1:4" x14ac:dyDescent="0.2">
      <c r="A468" s="23" t="s">
        <v>731</v>
      </c>
      <c r="B468" s="23" t="s">
        <v>732</v>
      </c>
      <c r="C468" s="22">
        <v>0</v>
      </c>
      <c r="D468" s="22">
        <v>0</v>
      </c>
    </row>
    <row r="469" spans="1:4" x14ac:dyDescent="0.2">
      <c r="A469" s="23" t="s">
        <v>733</v>
      </c>
      <c r="B469" s="23" t="s">
        <v>734</v>
      </c>
      <c r="C469" s="22">
        <v>-7116.94</v>
      </c>
      <c r="D469" s="22">
        <v>1958048.84</v>
      </c>
    </row>
    <row r="470" spans="1:4" x14ac:dyDescent="0.2">
      <c r="A470" s="23" t="s">
        <v>735</v>
      </c>
      <c r="B470" s="23" t="s">
        <v>736</v>
      </c>
      <c r="C470" s="22">
        <v>-2423.66</v>
      </c>
      <c r="D470" s="22">
        <v>92527.65</v>
      </c>
    </row>
    <row r="471" spans="1:4" x14ac:dyDescent="0.2">
      <c r="A471" s="23" t="s">
        <v>737</v>
      </c>
      <c r="B471" s="23" t="s">
        <v>730</v>
      </c>
      <c r="C471" s="22">
        <v>-7853.94</v>
      </c>
      <c r="D471" s="22">
        <v>370752.08</v>
      </c>
    </row>
    <row r="472" spans="1:4" x14ac:dyDescent="0.2">
      <c r="A472" s="23" t="s">
        <v>738</v>
      </c>
      <c r="B472" s="23" t="s">
        <v>739</v>
      </c>
      <c r="C472" s="22">
        <v>-4721.05</v>
      </c>
      <c r="D472" s="22">
        <v>1524901.42</v>
      </c>
    </row>
    <row r="473" spans="1:4" x14ac:dyDescent="0.2">
      <c r="A473" s="23" t="s">
        <v>740</v>
      </c>
      <c r="B473" s="23" t="s">
        <v>741</v>
      </c>
      <c r="C473" s="22">
        <v>-132123.9</v>
      </c>
      <c r="D473" s="22">
        <v>7328456.6100000003</v>
      </c>
    </row>
    <row r="474" spans="1:4" x14ac:dyDescent="0.2">
      <c r="A474" s="23" t="s">
        <v>742</v>
      </c>
      <c r="B474" s="23" t="s">
        <v>743</v>
      </c>
      <c r="C474" s="22">
        <v>0</v>
      </c>
      <c r="D474" s="22">
        <v>0</v>
      </c>
    </row>
    <row r="475" spans="1:4" x14ac:dyDescent="0.2">
      <c r="A475" s="23" t="s">
        <v>744</v>
      </c>
      <c r="B475" s="23" t="s">
        <v>745</v>
      </c>
      <c r="C475" s="22">
        <v>-18251.22</v>
      </c>
      <c r="D475" s="22">
        <v>1319737.77</v>
      </c>
    </row>
    <row r="476" spans="1:4" x14ac:dyDescent="0.2">
      <c r="A476" s="23" t="s">
        <v>746</v>
      </c>
      <c r="B476" t="s">
        <v>4481</v>
      </c>
      <c r="C476" s="22">
        <v>-46748244.960000001</v>
      </c>
      <c r="D476" s="22">
        <v>209533605.72999999</v>
      </c>
    </row>
    <row r="477" spans="1:4" x14ac:dyDescent="0.2">
      <c r="A477" s="23" t="s">
        <v>747</v>
      </c>
      <c r="B477" s="23" t="s">
        <v>748</v>
      </c>
      <c r="C477" s="22">
        <v>0</v>
      </c>
      <c r="D477" s="22">
        <v>0</v>
      </c>
    </row>
    <row r="478" spans="1:4" x14ac:dyDescent="0.2">
      <c r="A478" s="23" t="s">
        <v>749</v>
      </c>
      <c r="B478" s="23" t="s">
        <v>750</v>
      </c>
      <c r="C478" s="22">
        <v>5411.32</v>
      </c>
      <c r="D478" s="22">
        <v>98383.14</v>
      </c>
    </row>
    <row r="479" spans="1:4" x14ac:dyDescent="0.2">
      <c r="A479" s="23" t="s">
        <v>751</v>
      </c>
      <c r="B479" s="23" t="s">
        <v>752</v>
      </c>
      <c r="C479" s="22">
        <v>0</v>
      </c>
      <c r="D479" s="22">
        <v>0</v>
      </c>
    </row>
    <row r="480" spans="1:4" x14ac:dyDescent="0.2">
      <c r="A480" s="23" t="s">
        <v>753</v>
      </c>
      <c r="B480" s="23" t="s">
        <v>754</v>
      </c>
      <c r="C480" s="22">
        <v>0</v>
      </c>
      <c r="D480" s="22">
        <v>3603.96</v>
      </c>
    </row>
    <row r="481" spans="1:4" x14ac:dyDescent="0.2">
      <c r="A481" s="23" t="s">
        <v>755</v>
      </c>
      <c r="B481" s="23" t="s">
        <v>756</v>
      </c>
      <c r="C481" s="22">
        <v>-527280.12</v>
      </c>
      <c r="D481" s="22">
        <v>7575001.2400000002</v>
      </c>
    </row>
    <row r="482" spans="1:4" x14ac:dyDescent="0.2">
      <c r="A482" s="23" t="s">
        <v>757</v>
      </c>
      <c r="B482" s="23" t="s">
        <v>758</v>
      </c>
      <c r="C482" s="22">
        <v>46.18</v>
      </c>
      <c r="D482" s="22">
        <v>100.07</v>
      </c>
    </row>
    <row r="483" spans="1:4" x14ac:dyDescent="0.2">
      <c r="A483" s="23" t="s">
        <v>759</v>
      </c>
      <c r="B483" s="23" t="s">
        <v>760</v>
      </c>
      <c r="C483" s="22">
        <v>0</v>
      </c>
      <c r="D483" s="22">
        <v>0</v>
      </c>
    </row>
    <row r="484" spans="1:4" x14ac:dyDescent="0.2">
      <c r="A484" s="23" t="s">
        <v>761</v>
      </c>
      <c r="B484" s="23" t="s">
        <v>762</v>
      </c>
      <c r="C484" s="22">
        <v>-98575.44</v>
      </c>
      <c r="D484" s="22">
        <v>0</v>
      </c>
    </row>
    <row r="485" spans="1:4" x14ac:dyDescent="0.2">
      <c r="A485" s="23" t="s">
        <v>763</v>
      </c>
      <c r="B485" s="23" t="s">
        <v>764</v>
      </c>
      <c r="C485" s="22">
        <v>0</v>
      </c>
      <c r="D485" s="22">
        <v>2705.59</v>
      </c>
    </row>
    <row r="486" spans="1:4" x14ac:dyDescent="0.2">
      <c r="A486" s="23" t="s">
        <v>3018</v>
      </c>
      <c r="B486" s="23" t="s">
        <v>3019</v>
      </c>
      <c r="C486" s="22">
        <v>0</v>
      </c>
      <c r="D486" s="22">
        <v>0</v>
      </c>
    </row>
    <row r="487" spans="1:4" x14ac:dyDescent="0.2">
      <c r="A487" s="23" t="s">
        <v>3020</v>
      </c>
      <c r="B487" s="23" t="s">
        <v>3021</v>
      </c>
      <c r="C487" s="22">
        <v>0</v>
      </c>
      <c r="D487" s="22">
        <v>0</v>
      </c>
    </row>
    <row r="488" spans="1:4" x14ac:dyDescent="0.2">
      <c r="A488" s="23" t="s">
        <v>3022</v>
      </c>
      <c r="B488" s="23" t="s">
        <v>3023</v>
      </c>
      <c r="C488" s="22">
        <v>0</v>
      </c>
      <c r="D488" s="22">
        <v>172951.83</v>
      </c>
    </row>
    <row r="489" spans="1:4" x14ac:dyDescent="0.2">
      <c r="A489" s="23" t="s">
        <v>3024</v>
      </c>
      <c r="B489" s="23" t="s">
        <v>4400</v>
      </c>
      <c r="C489" s="22">
        <v>0</v>
      </c>
      <c r="D489" s="22">
        <v>0</v>
      </c>
    </row>
    <row r="490" spans="1:4" x14ac:dyDescent="0.2">
      <c r="A490" s="23" t="s">
        <v>4401</v>
      </c>
      <c r="B490" s="23" t="s">
        <v>4402</v>
      </c>
      <c r="C490" s="22">
        <v>0</v>
      </c>
      <c r="D490" s="22">
        <v>0</v>
      </c>
    </row>
    <row r="491" spans="1:4" x14ac:dyDescent="0.2">
      <c r="A491" s="23" t="s">
        <v>4403</v>
      </c>
      <c r="B491" s="23" t="s">
        <v>4404</v>
      </c>
      <c r="C491" s="22">
        <v>42831.6</v>
      </c>
      <c r="D491" s="22">
        <v>92845.38</v>
      </c>
    </row>
    <row r="492" spans="1:4" x14ac:dyDescent="0.2">
      <c r="A492" s="23" t="s">
        <v>4405</v>
      </c>
      <c r="B492" s="23" t="s">
        <v>4406</v>
      </c>
      <c r="C492" s="22">
        <v>0</v>
      </c>
      <c r="D492" s="22">
        <v>0</v>
      </c>
    </row>
    <row r="493" spans="1:4" x14ac:dyDescent="0.2">
      <c r="A493" s="23" t="s">
        <v>4407</v>
      </c>
      <c r="B493" s="23" t="s">
        <v>4408</v>
      </c>
      <c r="C493" s="22">
        <v>0</v>
      </c>
      <c r="D493" s="22">
        <v>0</v>
      </c>
    </row>
    <row r="494" spans="1:4" x14ac:dyDescent="0.2">
      <c r="A494" s="23" t="s">
        <v>4409</v>
      </c>
      <c r="B494" s="23" t="s">
        <v>4410</v>
      </c>
      <c r="C494" s="22">
        <v>0</v>
      </c>
      <c r="D494" s="22">
        <v>0</v>
      </c>
    </row>
    <row r="495" spans="1:4" x14ac:dyDescent="0.2">
      <c r="A495" s="23" t="s">
        <v>4411</v>
      </c>
      <c r="B495" s="23" t="s">
        <v>4412</v>
      </c>
      <c r="C495" s="22">
        <v>6568.27</v>
      </c>
      <c r="D495" s="22">
        <v>67099.7</v>
      </c>
    </row>
    <row r="496" spans="1:4" x14ac:dyDescent="0.2">
      <c r="A496" s="23" t="s">
        <v>4413</v>
      </c>
      <c r="B496" s="23" t="s">
        <v>4414</v>
      </c>
      <c r="C496" s="22">
        <v>42660.51</v>
      </c>
      <c r="D496" s="22">
        <v>257592.45</v>
      </c>
    </row>
    <row r="497" spans="1:4" x14ac:dyDescent="0.2">
      <c r="A497" s="23" t="s">
        <v>4415</v>
      </c>
      <c r="B497" s="23" t="s">
        <v>4416</v>
      </c>
      <c r="C497" s="22">
        <v>0</v>
      </c>
      <c r="D497" s="22">
        <v>0</v>
      </c>
    </row>
    <row r="498" spans="1:4" x14ac:dyDescent="0.2">
      <c r="A498" s="23" t="s">
        <v>4417</v>
      </c>
      <c r="B498" s="23" t="s">
        <v>4418</v>
      </c>
      <c r="C498" s="22">
        <v>0</v>
      </c>
      <c r="D498" s="22">
        <v>0</v>
      </c>
    </row>
    <row r="499" spans="1:4" x14ac:dyDescent="0.2">
      <c r="A499" s="23" t="s">
        <v>4419</v>
      </c>
      <c r="B499" s="23" t="s">
        <v>4420</v>
      </c>
      <c r="C499" s="22">
        <v>2344.5100000000002</v>
      </c>
      <c r="D499" s="22">
        <v>-12893.05</v>
      </c>
    </row>
    <row r="500" spans="1:4" x14ac:dyDescent="0.2">
      <c r="A500" s="23" t="s">
        <v>4421</v>
      </c>
      <c r="B500" s="23" t="s">
        <v>4422</v>
      </c>
      <c r="C500" s="22">
        <v>0</v>
      </c>
      <c r="D500" s="22">
        <v>348274.45</v>
      </c>
    </row>
    <row r="501" spans="1:4" x14ac:dyDescent="0.2">
      <c r="A501" s="23" t="s">
        <v>4423</v>
      </c>
      <c r="B501" s="23" t="s">
        <v>4424</v>
      </c>
      <c r="C501" s="22">
        <v>0</v>
      </c>
      <c r="D501" s="22">
        <v>80224.009999999995</v>
      </c>
    </row>
    <row r="502" spans="1:4" x14ac:dyDescent="0.2">
      <c r="A502" s="23" t="s">
        <v>4425</v>
      </c>
      <c r="B502" s="23" t="s">
        <v>4426</v>
      </c>
      <c r="C502" s="22">
        <v>0</v>
      </c>
      <c r="D502" s="22">
        <v>349192.55</v>
      </c>
    </row>
    <row r="503" spans="1:4" x14ac:dyDescent="0.2">
      <c r="A503" s="23" t="s">
        <v>4427</v>
      </c>
      <c r="B503" s="23" t="s">
        <v>4428</v>
      </c>
      <c r="C503" s="22">
        <v>384.13</v>
      </c>
      <c r="D503" s="22">
        <v>123557.59</v>
      </c>
    </row>
    <row r="504" spans="1:4" x14ac:dyDescent="0.2">
      <c r="A504" s="23" t="s">
        <v>4429</v>
      </c>
      <c r="B504" s="23" t="s">
        <v>4430</v>
      </c>
      <c r="C504" s="22">
        <v>0</v>
      </c>
      <c r="D504" s="22">
        <v>0</v>
      </c>
    </row>
    <row r="505" spans="1:4" x14ac:dyDescent="0.2">
      <c r="A505" s="23" t="s">
        <v>4431</v>
      </c>
      <c r="B505" s="23" t="s">
        <v>4432</v>
      </c>
      <c r="C505" s="22">
        <v>-80.77</v>
      </c>
      <c r="D505" s="22">
        <v>57841.13</v>
      </c>
    </row>
    <row r="506" spans="1:4" x14ac:dyDescent="0.2">
      <c r="A506" s="23" t="s">
        <v>4433</v>
      </c>
      <c r="B506" s="23" t="s">
        <v>4434</v>
      </c>
      <c r="C506" s="22">
        <v>-5.41</v>
      </c>
      <c r="D506" s="22">
        <v>26141.66</v>
      </c>
    </row>
    <row r="507" spans="1:4" x14ac:dyDescent="0.2">
      <c r="A507" s="23" t="s">
        <v>4435</v>
      </c>
      <c r="B507" s="23" t="s">
        <v>4436</v>
      </c>
      <c r="C507" s="22">
        <v>-135.16</v>
      </c>
      <c r="D507" s="22">
        <v>9514.6299999999992</v>
      </c>
    </row>
    <row r="508" spans="1:4" x14ac:dyDescent="0.2">
      <c r="A508" s="23" t="s">
        <v>4437</v>
      </c>
      <c r="B508" s="23" t="s">
        <v>4438</v>
      </c>
      <c r="C508" s="22">
        <v>0</v>
      </c>
      <c r="D508" s="22">
        <v>0</v>
      </c>
    </row>
    <row r="509" spans="1:4" x14ac:dyDescent="0.2">
      <c r="A509" s="23" t="s">
        <v>4439</v>
      </c>
      <c r="B509" s="23" t="s">
        <v>4440</v>
      </c>
      <c r="C509" s="22">
        <v>0</v>
      </c>
      <c r="D509" s="22">
        <v>155.57</v>
      </c>
    </row>
    <row r="510" spans="1:4" x14ac:dyDescent="0.2">
      <c r="A510" s="23" t="s">
        <v>4441</v>
      </c>
      <c r="B510" s="23" t="s">
        <v>4442</v>
      </c>
      <c r="C510" s="22">
        <v>0</v>
      </c>
      <c r="D510" s="22">
        <v>0</v>
      </c>
    </row>
    <row r="511" spans="1:4" x14ac:dyDescent="0.2">
      <c r="A511" s="23" t="s">
        <v>4443</v>
      </c>
      <c r="B511" t="s">
        <v>4481</v>
      </c>
      <c r="C511" s="22">
        <v>-525830.38</v>
      </c>
      <c r="D511" s="22">
        <v>9252291.9000000004</v>
      </c>
    </row>
    <row r="512" spans="1:4" x14ac:dyDescent="0.2">
      <c r="A512" s="23" t="s">
        <v>4444</v>
      </c>
      <c r="B512" s="23" t="s">
        <v>4445</v>
      </c>
      <c r="C512" s="22">
        <v>-238668.11</v>
      </c>
      <c r="D512" s="22">
        <v>-129657.8</v>
      </c>
    </row>
    <row r="513" spans="1:4" x14ac:dyDescent="0.2">
      <c r="A513" s="23" t="s">
        <v>4446</v>
      </c>
      <c r="B513" s="23" t="s">
        <v>4447</v>
      </c>
      <c r="C513" s="22">
        <v>-1929.96</v>
      </c>
      <c r="D513" s="22">
        <v>0</v>
      </c>
    </row>
    <row r="514" spans="1:4" x14ac:dyDescent="0.2">
      <c r="A514" s="23" t="s">
        <v>4448</v>
      </c>
      <c r="B514" s="23" t="s">
        <v>4449</v>
      </c>
      <c r="C514" s="22">
        <v>-115928.33</v>
      </c>
      <c r="D514" s="22">
        <v>73033.27</v>
      </c>
    </row>
    <row r="515" spans="1:4" x14ac:dyDescent="0.2">
      <c r="A515" s="23" t="s">
        <v>4450</v>
      </c>
      <c r="B515" s="23" t="s">
        <v>4451</v>
      </c>
      <c r="C515" s="22">
        <v>-10374.58</v>
      </c>
      <c r="D515" s="22">
        <v>-526.1</v>
      </c>
    </row>
    <row r="516" spans="1:4" x14ac:dyDescent="0.2">
      <c r="A516" s="23" t="s">
        <v>4452</v>
      </c>
      <c r="B516" s="23" t="s">
        <v>4453</v>
      </c>
      <c r="C516" s="22">
        <v>110.86</v>
      </c>
      <c r="D516" s="22">
        <v>110.86</v>
      </c>
    </row>
    <row r="517" spans="1:4" x14ac:dyDescent="0.2">
      <c r="A517" s="23" t="s">
        <v>4454</v>
      </c>
      <c r="B517" s="23" t="s">
        <v>4455</v>
      </c>
      <c r="C517" s="22">
        <v>129612.69</v>
      </c>
      <c r="D517" s="22">
        <v>129657.8</v>
      </c>
    </row>
    <row r="518" spans="1:4" x14ac:dyDescent="0.2">
      <c r="A518" s="23" t="s">
        <v>4456</v>
      </c>
      <c r="B518" s="23" t="s">
        <v>4457</v>
      </c>
      <c r="C518" s="22">
        <v>-72692.06</v>
      </c>
      <c r="D518" s="22">
        <v>-73033.27</v>
      </c>
    </row>
    <row r="519" spans="1:4" x14ac:dyDescent="0.2">
      <c r="A519" s="23" t="s">
        <v>4458</v>
      </c>
      <c r="B519" s="23" t="s">
        <v>4459</v>
      </c>
      <c r="C519" s="22">
        <v>0</v>
      </c>
      <c r="D519" s="22">
        <v>0</v>
      </c>
    </row>
    <row r="520" spans="1:4" x14ac:dyDescent="0.2">
      <c r="A520" s="23" t="s">
        <v>4460</v>
      </c>
      <c r="B520" s="23" t="s">
        <v>4461</v>
      </c>
      <c r="C520" s="22">
        <v>-52.33</v>
      </c>
      <c r="D520" s="22">
        <v>0</v>
      </c>
    </row>
    <row r="521" spans="1:4" x14ac:dyDescent="0.2">
      <c r="A521" s="23" t="s">
        <v>4462</v>
      </c>
      <c r="B521" s="23" t="s">
        <v>4463</v>
      </c>
      <c r="C521" s="22">
        <v>0</v>
      </c>
      <c r="D521" s="22">
        <v>0</v>
      </c>
    </row>
    <row r="522" spans="1:4" x14ac:dyDescent="0.2">
      <c r="A522" s="23" t="s">
        <v>4464</v>
      </c>
      <c r="B522" s="23" t="s">
        <v>4465</v>
      </c>
      <c r="C522" s="22">
        <v>0</v>
      </c>
      <c r="D522" s="22">
        <v>2689.74</v>
      </c>
    </row>
    <row r="523" spans="1:4" x14ac:dyDescent="0.2">
      <c r="A523" s="23" t="s">
        <v>4466</v>
      </c>
      <c r="B523" s="23" t="s">
        <v>4467</v>
      </c>
      <c r="C523" s="22">
        <v>0</v>
      </c>
      <c r="D523" s="22">
        <v>0</v>
      </c>
    </row>
    <row r="524" spans="1:4" x14ac:dyDescent="0.2">
      <c r="A524" s="23" t="s">
        <v>4468</v>
      </c>
      <c r="B524" s="23" t="s">
        <v>4469</v>
      </c>
      <c r="C524" s="22">
        <v>0</v>
      </c>
      <c r="D524" s="22">
        <v>0</v>
      </c>
    </row>
    <row r="525" spans="1:4" x14ac:dyDescent="0.2">
      <c r="A525" s="23" t="s">
        <v>4470</v>
      </c>
      <c r="B525" s="23" t="s">
        <v>4471</v>
      </c>
      <c r="C525" s="22">
        <v>0</v>
      </c>
      <c r="D525" s="22">
        <v>1540.05</v>
      </c>
    </row>
    <row r="526" spans="1:4" x14ac:dyDescent="0.2">
      <c r="A526" s="23" t="s">
        <v>4472</v>
      </c>
      <c r="B526" s="23" t="s">
        <v>4473</v>
      </c>
      <c r="C526" s="22">
        <v>0</v>
      </c>
      <c r="D526" s="22">
        <v>0</v>
      </c>
    </row>
    <row r="527" spans="1:4" x14ac:dyDescent="0.2">
      <c r="A527" s="23" t="s">
        <v>4474</v>
      </c>
      <c r="B527" s="23" t="s">
        <v>4475</v>
      </c>
      <c r="C527" s="22">
        <v>0</v>
      </c>
      <c r="D527" s="22">
        <v>0</v>
      </c>
    </row>
    <row r="528" spans="1:4" x14ac:dyDescent="0.2">
      <c r="A528" s="23" t="s">
        <v>4476</v>
      </c>
      <c r="B528" s="23" t="s">
        <v>4477</v>
      </c>
      <c r="C528" s="22">
        <v>11801.48</v>
      </c>
      <c r="D528" s="22">
        <v>272374.32</v>
      </c>
    </row>
    <row r="529" spans="1:4" x14ac:dyDescent="0.2">
      <c r="A529" s="23" t="s">
        <v>4478</v>
      </c>
      <c r="B529" s="23" t="s">
        <v>4479</v>
      </c>
      <c r="C529" s="22">
        <v>1944.13</v>
      </c>
      <c r="D529" s="22">
        <v>41584.129999999997</v>
      </c>
    </row>
    <row r="530" spans="1:4" x14ac:dyDescent="0.2">
      <c r="A530" s="23" t="s">
        <v>4480</v>
      </c>
      <c r="B530" s="23" t="s">
        <v>1850</v>
      </c>
      <c r="C530" s="22">
        <v>41285.42</v>
      </c>
      <c r="D530" s="22">
        <v>537945.17000000004</v>
      </c>
    </row>
    <row r="531" spans="1:4" x14ac:dyDescent="0.2">
      <c r="A531" s="23" t="s">
        <v>1851</v>
      </c>
      <c r="B531" s="23" t="s">
        <v>1852</v>
      </c>
      <c r="C531" s="22">
        <v>0</v>
      </c>
      <c r="D531" s="22">
        <v>2052.7600000000002</v>
      </c>
    </row>
    <row r="532" spans="1:4" x14ac:dyDescent="0.2">
      <c r="A532" s="23" t="s">
        <v>1853</v>
      </c>
      <c r="B532" s="23" t="s">
        <v>1854</v>
      </c>
      <c r="C532" s="22">
        <v>-55031.03</v>
      </c>
      <c r="D532" s="22">
        <v>-851699.92</v>
      </c>
    </row>
    <row r="533" spans="1:4" x14ac:dyDescent="0.2">
      <c r="A533" s="23" t="s">
        <v>1855</v>
      </c>
      <c r="B533" s="23" t="s">
        <v>1856</v>
      </c>
      <c r="C533" s="22">
        <v>0</v>
      </c>
      <c r="D533" s="22">
        <v>2659.76</v>
      </c>
    </row>
    <row r="534" spans="1:4" x14ac:dyDescent="0.2">
      <c r="A534" s="23" t="s">
        <v>1857</v>
      </c>
      <c r="B534" s="23" t="s">
        <v>1858</v>
      </c>
      <c r="C534" s="22">
        <v>362.69</v>
      </c>
      <c r="D534" s="22">
        <v>27840.48</v>
      </c>
    </row>
    <row r="535" spans="1:4" x14ac:dyDescent="0.2">
      <c r="A535" s="23" t="s">
        <v>1859</v>
      </c>
      <c r="B535" s="23" t="s">
        <v>1860</v>
      </c>
      <c r="C535" s="22">
        <v>-68698.42</v>
      </c>
      <c r="D535" s="22">
        <v>-68698.42</v>
      </c>
    </row>
    <row r="536" spans="1:4" x14ac:dyDescent="0.2">
      <c r="A536" s="23" t="s">
        <v>1861</v>
      </c>
      <c r="B536" s="23" t="s">
        <v>1862</v>
      </c>
      <c r="C536" s="22">
        <v>0</v>
      </c>
      <c r="D536" s="22">
        <v>0</v>
      </c>
    </row>
    <row r="537" spans="1:4" x14ac:dyDescent="0.2">
      <c r="A537" s="23" t="s">
        <v>1863</v>
      </c>
      <c r="B537" s="23" t="s">
        <v>1864</v>
      </c>
      <c r="C537" s="22">
        <v>0</v>
      </c>
      <c r="D537" s="22">
        <v>120.8</v>
      </c>
    </row>
    <row r="538" spans="1:4" x14ac:dyDescent="0.2">
      <c r="A538" s="23" t="s">
        <v>1865</v>
      </c>
      <c r="B538" s="23" t="s">
        <v>1866</v>
      </c>
      <c r="C538" s="22">
        <v>0</v>
      </c>
      <c r="D538" s="22">
        <v>0</v>
      </c>
    </row>
    <row r="539" spans="1:4" x14ac:dyDescent="0.2">
      <c r="A539" s="23" t="s">
        <v>1867</v>
      </c>
      <c r="B539" s="23" t="s">
        <v>1868</v>
      </c>
      <c r="C539" s="22">
        <v>-1368.69</v>
      </c>
      <c r="D539" s="22">
        <v>4751.62</v>
      </c>
    </row>
    <row r="540" spans="1:4" x14ac:dyDescent="0.2">
      <c r="A540" s="23" t="s">
        <v>1869</v>
      </c>
      <c r="B540" s="23" t="s">
        <v>1870</v>
      </c>
      <c r="C540" s="22">
        <v>0</v>
      </c>
      <c r="D540" s="22">
        <v>-93.8</v>
      </c>
    </row>
    <row r="541" spans="1:4" x14ac:dyDescent="0.2">
      <c r="A541" s="23" t="s">
        <v>1871</v>
      </c>
      <c r="B541" s="23" t="s">
        <v>1872</v>
      </c>
      <c r="C541" s="22">
        <v>-2424.79</v>
      </c>
      <c r="D541" s="22">
        <v>27348.55</v>
      </c>
    </row>
    <row r="542" spans="1:4" x14ac:dyDescent="0.2">
      <c r="A542" s="23" t="s">
        <v>1873</v>
      </c>
      <c r="B542" s="23" t="s">
        <v>945</v>
      </c>
      <c r="C542" s="22">
        <v>253191.58</v>
      </c>
      <c r="D542" s="22">
        <v>0</v>
      </c>
    </row>
    <row r="543" spans="1:4" x14ac:dyDescent="0.2">
      <c r="A543" s="23" t="s">
        <v>1874</v>
      </c>
      <c r="B543" s="23" t="s">
        <v>1875</v>
      </c>
      <c r="C543" s="22">
        <v>154562.9</v>
      </c>
      <c r="D543" s="22">
        <v>0</v>
      </c>
    </row>
    <row r="544" spans="1:4" x14ac:dyDescent="0.2">
      <c r="A544" s="23" t="s">
        <v>1876</v>
      </c>
      <c r="B544" s="23" t="s">
        <v>1877</v>
      </c>
      <c r="C544" s="22">
        <v>0</v>
      </c>
      <c r="D544" s="22">
        <v>0</v>
      </c>
    </row>
    <row r="545" spans="1:4" x14ac:dyDescent="0.2">
      <c r="A545" s="23" t="s">
        <v>1878</v>
      </c>
      <c r="B545" s="23" t="s">
        <v>1879</v>
      </c>
      <c r="C545" s="22">
        <v>0</v>
      </c>
      <c r="D545" s="22">
        <v>0</v>
      </c>
    </row>
    <row r="546" spans="1:4" x14ac:dyDescent="0.2">
      <c r="A546" s="23" t="s">
        <v>1880</v>
      </c>
      <c r="B546" s="23" t="s">
        <v>1881</v>
      </c>
      <c r="C546" s="22">
        <v>0</v>
      </c>
      <c r="D546" s="22">
        <v>0</v>
      </c>
    </row>
    <row r="547" spans="1:4" x14ac:dyDescent="0.2">
      <c r="A547" s="23" t="s">
        <v>1882</v>
      </c>
      <c r="B547" s="23" t="s">
        <v>1883</v>
      </c>
      <c r="C547" s="22">
        <v>0</v>
      </c>
      <c r="D547" s="22">
        <v>0</v>
      </c>
    </row>
    <row r="548" spans="1:4" x14ac:dyDescent="0.2">
      <c r="A548" s="23" t="s">
        <v>1884</v>
      </c>
      <c r="B548" s="23" t="s">
        <v>1885</v>
      </c>
      <c r="C548" s="22">
        <v>0</v>
      </c>
      <c r="D548" s="22">
        <v>0</v>
      </c>
    </row>
    <row r="549" spans="1:4" x14ac:dyDescent="0.2">
      <c r="A549" s="23" t="s">
        <v>1886</v>
      </c>
      <c r="B549" s="23" t="s">
        <v>1887</v>
      </c>
      <c r="C549" s="22">
        <v>0</v>
      </c>
      <c r="D549" s="22">
        <v>0</v>
      </c>
    </row>
    <row r="550" spans="1:4" x14ac:dyDescent="0.2">
      <c r="A550" s="23" t="s">
        <v>1888</v>
      </c>
      <c r="B550" s="23" t="s">
        <v>1889</v>
      </c>
      <c r="C550" s="22">
        <v>0</v>
      </c>
      <c r="D550" s="22">
        <v>0</v>
      </c>
    </row>
    <row r="551" spans="1:4" x14ac:dyDescent="0.2">
      <c r="A551" s="23" t="s">
        <v>1890</v>
      </c>
      <c r="B551" s="23" t="s">
        <v>1891</v>
      </c>
      <c r="C551" s="22">
        <v>0</v>
      </c>
      <c r="D551" s="22">
        <v>0</v>
      </c>
    </row>
    <row r="552" spans="1:4" x14ac:dyDescent="0.2">
      <c r="A552" s="23" t="s">
        <v>1892</v>
      </c>
      <c r="B552" s="23" t="s">
        <v>1893</v>
      </c>
      <c r="C552" s="22">
        <v>-18.96</v>
      </c>
      <c r="D552" s="22">
        <v>-2450.4499999999998</v>
      </c>
    </row>
    <row r="553" spans="1:4" x14ac:dyDescent="0.2">
      <c r="A553" s="23" t="s">
        <v>1894</v>
      </c>
      <c r="B553" s="23" t="s">
        <v>1895</v>
      </c>
      <c r="C553" s="22">
        <v>-82574.05</v>
      </c>
      <c r="D553" s="22">
        <v>0</v>
      </c>
    </row>
    <row r="554" spans="1:4" x14ac:dyDescent="0.2">
      <c r="A554" s="23" t="s">
        <v>1896</v>
      </c>
      <c r="B554" s="23" t="s">
        <v>1897</v>
      </c>
      <c r="C554" s="22">
        <v>0</v>
      </c>
      <c r="D554" s="22">
        <v>0</v>
      </c>
    </row>
    <row r="555" spans="1:4" x14ac:dyDescent="0.2">
      <c r="A555" s="23" t="s">
        <v>1898</v>
      </c>
      <c r="B555" s="23" t="s">
        <v>1899</v>
      </c>
      <c r="C555" s="22">
        <v>0</v>
      </c>
      <c r="D555" s="22">
        <v>0</v>
      </c>
    </row>
    <row r="556" spans="1:4" x14ac:dyDescent="0.2">
      <c r="A556" s="23" t="s">
        <v>1900</v>
      </c>
      <c r="B556" s="23" t="s">
        <v>1901</v>
      </c>
      <c r="C556" s="22">
        <v>0</v>
      </c>
      <c r="D556" s="22">
        <v>0</v>
      </c>
    </row>
    <row r="557" spans="1:4" x14ac:dyDescent="0.2">
      <c r="A557" s="23" t="s">
        <v>1902</v>
      </c>
      <c r="B557" s="23" t="s">
        <v>1903</v>
      </c>
      <c r="C557" s="22">
        <v>0</v>
      </c>
      <c r="D557" s="22">
        <v>0</v>
      </c>
    </row>
    <row r="558" spans="1:4" x14ac:dyDescent="0.2">
      <c r="A558" s="23" t="s">
        <v>1904</v>
      </c>
      <c r="B558" s="23" t="s">
        <v>1905</v>
      </c>
      <c r="C558" s="22">
        <v>0</v>
      </c>
      <c r="D558" s="22">
        <v>0</v>
      </c>
    </row>
    <row r="559" spans="1:4" x14ac:dyDescent="0.2">
      <c r="A559" s="23" t="s">
        <v>1906</v>
      </c>
      <c r="B559" s="23" t="s">
        <v>1907</v>
      </c>
      <c r="C559" s="22">
        <v>0</v>
      </c>
      <c r="D559" s="22">
        <v>0</v>
      </c>
    </row>
    <row r="560" spans="1:4" x14ac:dyDescent="0.2">
      <c r="A560" s="23" t="s">
        <v>1908</v>
      </c>
      <c r="B560" s="23" t="s">
        <v>1909</v>
      </c>
      <c r="C560" s="22">
        <v>0</v>
      </c>
      <c r="D560" s="22">
        <v>0</v>
      </c>
    </row>
    <row r="561" spans="1:4" x14ac:dyDescent="0.2">
      <c r="A561" s="23" t="s">
        <v>1910</v>
      </c>
      <c r="B561" s="23" t="s">
        <v>1911</v>
      </c>
      <c r="C561" s="22">
        <v>0</v>
      </c>
      <c r="D561" s="22">
        <v>0</v>
      </c>
    </row>
    <row r="562" spans="1:4" x14ac:dyDescent="0.2">
      <c r="A562" s="23" t="s">
        <v>1912</v>
      </c>
      <c r="B562" s="23" t="s">
        <v>1913</v>
      </c>
      <c r="C562" s="22">
        <v>0</v>
      </c>
      <c r="D562" s="22">
        <v>0</v>
      </c>
    </row>
    <row r="563" spans="1:4" x14ac:dyDescent="0.2">
      <c r="A563" s="23" t="s">
        <v>1914</v>
      </c>
      <c r="B563" s="23" t="s">
        <v>1915</v>
      </c>
      <c r="C563" s="22">
        <v>0</v>
      </c>
      <c r="D563" s="22">
        <v>0</v>
      </c>
    </row>
    <row r="564" spans="1:4" x14ac:dyDescent="0.2">
      <c r="A564" s="23" t="s">
        <v>1916</v>
      </c>
      <c r="B564" s="23" t="s">
        <v>1917</v>
      </c>
      <c r="C564" s="22">
        <v>0</v>
      </c>
      <c r="D564" s="22">
        <v>0</v>
      </c>
    </row>
    <row r="565" spans="1:4" x14ac:dyDescent="0.2">
      <c r="A565" s="23" t="s">
        <v>1918</v>
      </c>
      <c r="B565" s="23" t="s">
        <v>1919</v>
      </c>
      <c r="C565" s="22">
        <v>0</v>
      </c>
      <c r="D565" s="22">
        <v>0</v>
      </c>
    </row>
    <row r="566" spans="1:4" x14ac:dyDescent="0.2">
      <c r="A566" s="23" t="s">
        <v>1920</v>
      </c>
      <c r="B566" s="23" t="s">
        <v>1921</v>
      </c>
      <c r="C566" s="22">
        <v>0</v>
      </c>
      <c r="D566" s="22">
        <v>0</v>
      </c>
    </row>
    <row r="567" spans="1:4" x14ac:dyDescent="0.2">
      <c r="A567" s="23" t="s">
        <v>1922</v>
      </c>
      <c r="B567" s="23" t="s">
        <v>1923</v>
      </c>
      <c r="C567" s="22">
        <v>0</v>
      </c>
      <c r="D567" s="22">
        <v>0</v>
      </c>
    </row>
    <row r="568" spans="1:4" x14ac:dyDescent="0.2">
      <c r="A568" s="23" t="s">
        <v>1924</v>
      </c>
      <c r="B568" s="23" t="s">
        <v>1925</v>
      </c>
      <c r="C568" s="22">
        <v>0</v>
      </c>
      <c r="D568" s="22">
        <v>0</v>
      </c>
    </row>
    <row r="569" spans="1:4" x14ac:dyDescent="0.2">
      <c r="A569" s="23" t="s">
        <v>1926</v>
      </c>
      <c r="B569" s="23" t="s">
        <v>1927</v>
      </c>
      <c r="C569" s="22">
        <v>0</v>
      </c>
      <c r="D569" s="22">
        <v>0</v>
      </c>
    </row>
    <row r="570" spans="1:4" x14ac:dyDescent="0.2">
      <c r="A570" s="23" t="s">
        <v>1928</v>
      </c>
      <c r="B570" s="23" t="s">
        <v>298</v>
      </c>
      <c r="C570" s="22">
        <v>0</v>
      </c>
      <c r="D570" s="22">
        <v>0</v>
      </c>
    </row>
    <row r="571" spans="1:4" x14ac:dyDescent="0.2">
      <c r="A571" s="23" t="s">
        <v>299</v>
      </c>
      <c r="B571" t="s">
        <v>4481</v>
      </c>
      <c r="C571" s="22">
        <v>-56889.56</v>
      </c>
      <c r="D571" s="22">
        <v>-2450.4499999999998</v>
      </c>
    </row>
    <row r="572" spans="1:4" x14ac:dyDescent="0.2">
      <c r="A572" s="23" t="s">
        <v>300</v>
      </c>
      <c r="B572" s="23" t="s">
        <v>301</v>
      </c>
      <c r="C572" s="22">
        <v>477260.16</v>
      </c>
      <c r="D572" s="22">
        <v>1751561.92</v>
      </c>
    </row>
    <row r="573" spans="1:4" x14ac:dyDescent="0.2">
      <c r="A573" s="23" t="s">
        <v>302</v>
      </c>
      <c r="B573" s="23" t="s">
        <v>303</v>
      </c>
      <c r="C573" s="22">
        <v>0</v>
      </c>
      <c r="D573" s="22">
        <v>0</v>
      </c>
    </row>
    <row r="574" spans="1:4" x14ac:dyDescent="0.2">
      <c r="A574" s="23" t="s">
        <v>304</v>
      </c>
      <c r="B574" s="23" t="s">
        <v>305</v>
      </c>
      <c r="C574" s="22">
        <v>-5510.38</v>
      </c>
      <c r="D574" s="22">
        <v>34645.26</v>
      </c>
    </row>
    <row r="575" spans="1:4" x14ac:dyDescent="0.2">
      <c r="A575" s="23" t="s">
        <v>306</v>
      </c>
      <c r="B575" s="23" t="s">
        <v>307</v>
      </c>
      <c r="C575" s="22">
        <v>-296313.03999999998</v>
      </c>
      <c r="D575" s="22">
        <v>0</v>
      </c>
    </row>
    <row r="576" spans="1:4" x14ac:dyDescent="0.2">
      <c r="A576" s="23" t="s">
        <v>308</v>
      </c>
      <c r="B576" s="23" t="s">
        <v>309</v>
      </c>
      <c r="C576" s="22">
        <v>0</v>
      </c>
      <c r="D576" s="22">
        <v>178800</v>
      </c>
    </row>
    <row r="577" spans="1:4" x14ac:dyDescent="0.2">
      <c r="A577" s="23" t="s">
        <v>310</v>
      </c>
      <c r="B577" s="23" t="s">
        <v>311</v>
      </c>
      <c r="C577" s="22">
        <v>0</v>
      </c>
      <c r="D577" s="22">
        <v>10000</v>
      </c>
    </row>
    <row r="578" spans="1:4" x14ac:dyDescent="0.2">
      <c r="A578" s="23" t="s">
        <v>312</v>
      </c>
      <c r="B578" s="23" t="s">
        <v>313</v>
      </c>
      <c r="C578" s="22">
        <v>11490.29</v>
      </c>
      <c r="D578" s="22">
        <v>281967.49</v>
      </c>
    </row>
    <row r="579" spans="1:4" x14ac:dyDescent="0.2">
      <c r="A579" s="23" t="s">
        <v>314</v>
      </c>
      <c r="B579" s="23" t="s">
        <v>315</v>
      </c>
      <c r="C579" s="22">
        <v>0</v>
      </c>
      <c r="D579" s="22">
        <v>-1332.2</v>
      </c>
    </row>
    <row r="580" spans="1:4" x14ac:dyDescent="0.2">
      <c r="A580" s="23" t="s">
        <v>316</v>
      </c>
      <c r="B580" s="23" t="s">
        <v>317</v>
      </c>
      <c r="C580" s="22">
        <v>0</v>
      </c>
      <c r="D580" s="22">
        <v>0</v>
      </c>
    </row>
    <row r="581" spans="1:4" x14ac:dyDescent="0.2">
      <c r="A581" s="23" t="s">
        <v>318</v>
      </c>
      <c r="B581" s="23" t="s">
        <v>319</v>
      </c>
      <c r="C581" s="22">
        <v>-15</v>
      </c>
      <c r="D581" s="22">
        <v>23199.57</v>
      </c>
    </row>
    <row r="582" spans="1:4" x14ac:dyDescent="0.2">
      <c r="A582" s="23" t="s">
        <v>320</v>
      </c>
      <c r="B582" s="23" t="s">
        <v>321</v>
      </c>
      <c r="C582" s="22">
        <v>0</v>
      </c>
      <c r="D582" s="22">
        <v>5183.04</v>
      </c>
    </row>
    <row r="583" spans="1:4" x14ac:dyDescent="0.2">
      <c r="A583" s="23" t="s">
        <v>322</v>
      </c>
      <c r="B583" s="23" t="s">
        <v>323</v>
      </c>
      <c r="C583" s="22">
        <v>0</v>
      </c>
      <c r="D583" s="22">
        <v>0</v>
      </c>
    </row>
    <row r="584" spans="1:4" x14ac:dyDescent="0.2">
      <c r="A584" s="23" t="s">
        <v>324</v>
      </c>
      <c r="B584" s="23" t="s">
        <v>325</v>
      </c>
      <c r="C584" s="22">
        <v>0</v>
      </c>
      <c r="D584" s="22">
        <v>0</v>
      </c>
    </row>
    <row r="585" spans="1:4" x14ac:dyDescent="0.2">
      <c r="A585" s="23" t="s">
        <v>326</v>
      </c>
      <c r="B585" s="23" t="s">
        <v>327</v>
      </c>
      <c r="C585" s="22">
        <v>0</v>
      </c>
      <c r="D585" s="22">
        <v>0</v>
      </c>
    </row>
    <row r="586" spans="1:4" x14ac:dyDescent="0.2">
      <c r="A586" s="23" t="s">
        <v>328</v>
      </c>
      <c r="B586" s="23" t="s">
        <v>329</v>
      </c>
      <c r="C586" s="22">
        <v>0</v>
      </c>
      <c r="D586" s="22">
        <v>0</v>
      </c>
    </row>
    <row r="587" spans="1:4" x14ac:dyDescent="0.2">
      <c r="A587" s="23" t="s">
        <v>330</v>
      </c>
      <c r="B587" t="s">
        <v>4481</v>
      </c>
      <c r="C587" s="22">
        <v>186912.03</v>
      </c>
      <c r="D587" s="22">
        <v>2284025.08</v>
      </c>
    </row>
    <row r="588" spans="1:4" x14ac:dyDescent="0.2">
      <c r="A588" s="23" t="s">
        <v>331</v>
      </c>
      <c r="B588" s="23" t="s">
        <v>332</v>
      </c>
      <c r="C588" s="22">
        <v>0</v>
      </c>
      <c r="D588" s="22">
        <v>0</v>
      </c>
    </row>
    <row r="589" spans="1:4" x14ac:dyDescent="0.2">
      <c r="A589" s="23" t="s">
        <v>333</v>
      </c>
      <c r="B589" t="s">
        <v>4481</v>
      </c>
      <c r="C589" s="22">
        <v>0</v>
      </c>
      <c r="D589" s="22">
        <v>0</v>
      </c>
    </row>
    <row r="590" spans="1:4" x14ac:dyDescent="0.2">
      <c r="A590" s="23" t="s">
        <v>334</v>
      </c>
      <c r="B590" s="23" t="s">
        <v>335</v>
      </c>
      <c r="C590" s="22">
        <v>359.87</v>
      </c>
      <c r="D590" s="22">
        <v>-14686.97</v>
      </c>
    </row>
    <row r="591" spans="1:4" x14ac:dyDescent="0.2">
      <c r="A591" s="23" t="s">
        <v>336</v>
      </c>
      <c r="B591" s="23" t="s">
        <v>337</v>
      </c>
      <c r="C591" s="22">
        <v>2164.1</v>
      </c>
      <c r="D591" s="22">
        <v>754420.14</v>
      </c>
    </row>
    <row r="592" spans="1:4" x14ac:dyDescent="0.2">
      <c r="A592" s="23" t="s">
        <v>338</v>
      </c>
      <c r="B592" s="23" t="s">
        <v>339</v>
      </c>
      <c r="C592" s="22">
        <v>-99594.66</v>
      </c>
      <c r="D592" s="22">
        <v>2614418.08</v>
      </c>
    </row>
    <row r="593" spans="1:4" x14ac:dyDescent="0.2">
      <c r="A593" s="23" t="s">
        <v>340</v>
      </c>
      <c r="B593" s="23" t="s">
        <v>341</v>
      </c>
      <c r="C593" s="22">
        <v>-598926.06999999995</v>
      </c>
      <c r="D593" s="22">
        <v>16144291.74</v>
      </c>
    </row>
    <row r="594" spans="1:4" x14ac:dyDescent="0.2">
      <c r="A594" s="23" t="s">
        <v>342</v>
      </c>
      <c r="B594" s="23" t="s">
        <v>343</v>
      </c>
      <c r="C594" s="22">
        <v>0</v>
      </c>
      <c r="D594" s="22">
        <v>0</v>
      </c>
    </row>
    <row r="595" spans="1:4" x14ac:dyDescent="0.2">
      <c r="A595" s="23" t="s">
        <v>344</v>
      </c>
      <c r="B595" s="23" t="s">
        <v>345</v>
      </c>
      <c r="C595" s="22">
        <v>0</v>
      </c>
      <c r="D595" s="22">
        <v>0</v>
      </c>
    </row>
    <row r="596" spans="1:4" x14ac:dyDescent="0.2">
      <c r="A596" s="23" t="s">
        <v>346</v>
      </c>
      <c r="B596" s="23" t="s">
        <v>347</v>
      </c>
      <c r="C596" s="22">
        <v>0</v>
      </c>
      <c r="D596" s="22">
        <v>0</v>
      </c>
    </row>
    <row r="597" spans="1:4" x14ac:dyDescent="0.2">
      <c r="A597" s="23" t="s">
        <v>348</v>
      </c>
      <c r="B597" s="23" t="s">
        <v>349</v>
      </c>
      <c r="C597" s="22">
        <v>0</v>
      </c>
      <c r="D597" s="22">
        <v>0</v>
      </c>
    </row>
    <row r="598" spans="1:4" x14ac:dyDescent="0.2">
      <c r="A598" s="23" t="s">
        <v>350</v>
      </c>
      <c r="B598" s="23" t="s">
        <v>351</v>
      </c>
      <c r="C598" s="22">
        <v>0</v>
      </c>
      <c r="D598" s="22">
        <v>0</v>
      </c>
    </row>
    <row r="599" spans="1:4" x14ac:dyDescent="0.2">
      <c r="A599" s="23" t="s">
        <v>352</v>
      </c>
      <c r="B599" s="23" t="s">
        <v>4148</v>
      </c>
      <c r="C599" s="22">
        <v>0</v>
      </c>
      <c r="D599" s="22">
        <v>0</v>
      </c>
    </row>
    <row r="600" spans="1:4" x14ac:dyDescent="0.2">
      <c r="A600" s="23" t="s">
        <v>4149</v>
      </c>
      <c r="B600" s="23" t="s">
        <v>4150</v>
      </c>
      <c r="C600" s="22">
        <v>-54602.52</v>
      </c>
      <c r="D600" s="22">
        <v>4627999.6100000003</v>
      </c>
    </row>
    <row r="601" spans="1:4" x14ac:dyDescent="0.2">
      <c r="A601" s="23" t="s">
        <v>4151</v>
      </c>
      <c r="B601" s="23" t="s">
        <v>4152</v>
      </c>
      <c r="C601" s="22">
        <v>-328359.67</v>
      </c>
      <c r="D601" s="22">
        <v>27849848.780000001</v>
      </c>
    </row>
    <row r="602" spans="1:4" x14ac:dyDescent="0.2">
      <c r="A602" s="23" t="s">
        <v>4153</v>
      </c>
      <c r="B602" s="23" t="s">
        <v>4154</v>
      </c>
      <c r="C602" s="22">
        <v>-23959.599999999999</v>
      </c>
      <c r="D602" s="22">
        <v>3849866.02</v>
      </c>
    </row>
    <row r="603" spans="1:4" x14ac:dyDescent="0.2">
      <c r="A603" s="23" t="s">
        <v>4155</v>
      </c>
      <c r="B603" s="23" t="s">
        <v>4156</v>
      </c>
      <c r="C603" s="22">
        <v>-144084.29</v>
      </c>
      <c r="D603" s="22">
        <v>23490116.27</v>
      </c>
    </row>
    <row r="604" spans="1:4" x14ac:dyDescent="0.2">
      <c r="A604" s="23" t="s">
        <v>4157</v>
      </c>
      <c r="B604" s="23" t="s">
        <v>4158</v>
      </c>
      <c r="C604" s="22">
        <v>8247.5300000000007</v>
      </c>
      <c r="D604" s="22">
        <v>6251882.8300000001</v>
      </c>
    </row>
    <row r="605" spans="1:4" x14ac:dyDescent="0.2">
      <c r="A605" s="23" t="s">
        <v>4159</v>
      </c>
      <c r="B605" s="23" t="s">
        <v>4160</v>
      </c>
      <c r="C605" s="22">
        <v>49597.61</v>
      </c>
      <c r="D605" s="22">
        <v>37599811.020000003</v>
      </c>
    </row>
    <row r="606" spans="1:4" x14ac:dyDescent="0.2">
      <c r="A606" s="23" t="s">
        <v>4161</v>
      </c>
      <c r="B606" s="23" t="s">
        <v>4162</v>
      </c>
      <c r="C606" s="22">
        <v>256.36</v>
      </c>
      <c r="D606" s="22">
        <v>3510.89</v>
      </c>
    </row>
    <row r="607" spans="1:4" x14ac:dyDescent="0.2">
      <c r="A607" s="23" t="s">
        <v>4163</v>
      </c>
      <c r="B607" s="23" t="s">
        <v>1571</v>
      </c>
      <c r="C607" s="22">
        <v>1541.62</v>
      </c>
      <c r="D607" s="22">
        <v>419321.01</v>
      </c>
    </row>
    <row r="608" spans="1:4" x14ac:dyDescent="0.2">
      <c r="A608" s="23" t="s">
        <v>1572</v>
      </c>
      <c r="B608" s="23" t="s">
        <v>1573</v>
      </c>
      <c r="C608" s="22">
        <v>-4944.67</v>
      </c>
      <c r="D608" s="22">
        <v>169018.13</v>
      </c>
    </row>
    <row r="609" spans="1:4" x14ac:dyDescent="0.2">
      <c r="A609" s="23" t="s">
        <v>1574</v>
      </c>
      <c r="B609" s="23" t="s">
        <v>1575</v>
      </c>
      <c r="C609" s="22">
        <v>-29735.42</v>
      </c>
      <c r="D609" s="22">
        <v>850340.48</v>
      </c>
    </row>
    <row r="610" spans="1:4" x14ac:dyDescent="0.2">
      <c r="A610" s="23" t="s">
        <v>1576</v>
      </c>
      <c r="B610" s="23" t="s">
        <v>1577</v>
      </c>
      <c r="C610" s="22">
        <v>-115574</v>
      </c>
      <c r="D610" s="22">
        <v>7508158.4100000001</v>
      </c>
    </row>
    <row r="611" spans="1:4" x14ac:dyDescent="0.2">
      <c r="A611" s="23" t="s">
        <v>1578</v>
      </c>
      <c r="B611" s="23" t="s">
        <v>1579</v>
      </c>
      <c r="C611" s="22">
        <v>-12603399.01</v>
      </c>
      <c r="D611" s="22">
        <v>28174075.57</v>
      </c>
    </row>
    <row r="612" spans="1:4" x14ac:dyDescent="0.2">
      <c r="A612" s="23" t="s">
        <v>1580</v>
      </c>
      <c r="B612" s="23" t="s">
        <v>1581</v>
      </c>
      <c r="C612" s="22">
        <v>-2095803.39</v>
      </c>
      <c r="D612" s="22">
        <v>4685031.3899999997</v>
      </c>
    </row>
    <row r="613" spans="1:4" x14ac:dyDescent="0.2">
      <c r="A613" s="23" t="s">
        <v>1582</v>
      </c>
      <c r="B613" s="23" t="s">
        <v>1583</v>
      </c>
      <c r="C613" s="22">
        <v>-628233.1</v>
      </c>
      <c r="D613" s="22">
        <v>718748.8</v>
      </c>
    </row>
    <row r="614" spans="1:4" x14ac:dyDescent="0.2">
      <c r="A614" s="23" t="s">
        <v>1584</v>
      </c>
      <c r="B614" s="23" t="s">
        <v>1585</v>
      </c>
      <c r="C614" s="22">
        <v>-3777965.4</v>
      </c>
      <c r="D614" s="22">
        <v>4322293.93</v>
      </c>
    </row>
    <row r="615" spans="1:4" x14ac:dyDescent="0.2">
      <c r="A615" s="23" t="s">
        <v>1586</v>
      </c>
      <c r="B615" s="23" t="s">
        <v>1587</v>
      </c>
      <c r="C615" s="22">
        <v>317842.90999999997</v>
      </c>
      <c r="D615" s="22">
        <v>463845.57</v>
      </c>
    </row>
    <row r="616" spans="1:4" x14ac:dyDescent="0.2">
      <c r="A616" s="23" t="s">
        <v>1588</v>
      </c>
      <c r="B616" s="23" t="s">
        <v>1589</v>
      </c>
      <c r="C616" s="22">
        <v>1911391.68</v>
      </c>
      <c r="D616" s="22">
        <v>2789398.65</v>
      </c>
    </row>
    <row r="617" spans="1:4" x14ac:dyDescent="0.2">
      <c r="A617" s="23" t="s">
        <v>1590</v>
      </c>
      <c r="B617" t="s">
        <v>4481</v>
      </c>
      <c r="C617" s="22">
        <v>-18213780.120000001</v>
      </c>
      <c r="D617" s="22">
        <v>173271710.34999999</v>
      </c>
    </row>
    <row r="618" spans="1:4" x14ac:dyDescent="0.2">
      <c r="A618" s="23" t="s">
        <v>1591</v>
      </c>
      <c r="B618" s="23" t="s">
        <v>1592</v>
      </c>
      <c r="C618" s="22">
        <v>0</v>
      </c>
      <c r="D618" s="22">
        <v>-119696788.17</v>
      </c>
    </row>
    <row r="619" spans="1:4" x14ac:dyDescent="0.2">
      <c r="A619" s="23" t="s">
        <v>1593</v>
      </c>
      <c r="B619" t="s">
        <v>4481</v>
      </c>
      <c r="C619" s="22">
        <v>0</v>
      </c>
      <c r="D619" s="22">
        <v>-119696788.17</v>
      </c>
    </row>
    <row r="620" spans="1:4" x14ac:dyDescent="0.2">
      <c r="A620" s="23" t="s">
        <v>1594</v>
      </c>
      <c r="B620" s="23" t="s">
        <v>1595</v>
      </c>
      <c r="C620" s="22">
        <v>-81800000</v>
      </c>
      <c r="D620" s="22">
        <v>-1235840249.49</v>
      </c>
    </row>
    <row r="621" spans="1:4" x14ac:dyDescent="0.2">
      <c r="A621" s="23" t="s">
        <v>1596</v>
      </c>
      <c r="B621" t="s">
        <v>4481</v>
      </c>
      <c r="C621" s="22">
        <v>-81800000</v>
      </c>
      <c r="D621" s="22">
        <v>-1235840249.49</v>
      </c>
    </row>
    <row r="622" spans="1:4" x14ac:dyDescent="0.2">
      <c r="A622" s="23" t="s">
        <v>1597</v>
      </c>
      <c r="B622" s="23" t="s">
        <v>1598</v>
      </c>
      <c r="C622" s="22">
        <v>0</v>
      </c>
      <c r="D622" s="22">
        <v>700920.51</v>
      </c>
    </row>
    <row r="623" spans="1:4" x14ac:dyDescent="0.2">
      <c r="A623" s="23" t="s">
        <v>1599</v>
      </c>
      <c r="B623" s="23" t="s">
        <v>1600</v>
      </c>
      <c r="C623" s="22">
        <v>0</v>
      </c>
      <c r="D623" s="22">
        <v>0</v>
      </c>
    </row>
    <row r="624" spans="1:4" x14ac:dyDescent="0.2">
      <c r="A624" s="23" t="s">
        <v>1601</v>
      </c>
      <c r="B624" s="23" t="s">
        <v>1602</v>
      </c>
      <c r="C624" s="22">
        <v>0</v>
      </c>
      <c r="D624" s="22">
        <v>0</v>
      </c>
    </row>
    <row r="625" spans="1:4" x14ac:dyDescent="0.2">
      <c r="A625" s="23" t="s">
        <v>1603</v>
      </c>
      <c r="B625" t="s">
        <v>4481</v>
      </c>
      <c r="C625" s="22">
        <v>0</v>
      </c>
      <c r="D625" s="22">
        <v>700920.51</v>
      </c>
    </row>
    <row r="626" spans="1:4" x14ac:dyDescent="0.2">
      <c r="A626" s="23" t="s">
        <v>1604</v>
      </c>
      <c r="B626" s="23" t="s">
        <v>1605</v>
      </c>
      <c r="C626" s="22">
        <v>0</v>
      </c>
      <c r="D626" s="22">
        <v>-32755106.300000001</v>
      </c>
    </row>
    <row r="627" spans="1:4" x14ac:dyDescent="0.2">
      <c r="A627" s="23" t="s">
        <v>1606</v>
      </c>
      <c r="B627" t="s">
        <v>4481</v>
      </c>
      <c r="C627" s="22">
        <v>0</v>
      </c>
      <c r="D627" s="22">
        <v>-32755106.300000001</v>
      </c>
    </row>
    <row r="628" spans="1:4" x14ac:dyDescent="0.2">
      <c r="A628" s="23" t="s">
        <v>1607</v>
      </c>
      <c r="B628" s="23" t="s">
        <v>1600</v>
      </c>
      <c r="C628" s="22">
        <v>-8938271.1600000001</v>
      </c>
      <c r="D628" s="22">
        <v>5937500.21</v>
      </c>
    </row>
    <row r="629" spans="1:4" x14ac:dyDescent="0.2">
      <c r="A629" s="23" t="s">
        <v>1608</v>
      </c>
      <c r="B629" s="23" t="s">
        <v>1602</v>
      </c>
      <c r="C629" s="22">
        <v>8938271.1600000001</v>
      </c>
      <c r="D629" s="22">
        <v>-5937500.21</v>
      </c>
    </row>
    <row r="630" spans="1:4" x14ac:dyDescent="0.2">
      <c r="A630" s="23" t="s">
        <v>1609</v>
      </c>
      <c r="B630" s="23" t="s">
        <v>1610</v>
      </c>
      <c r="C630" s="22">
        <v>-23406313.600000001</v>
      </c>
      <c r="D630" s="22">
        <v>52323282.039999999</v>
      </c>
    </row>
    <row r="631" spans="1:4" x14ac:dyDescent="0.2">
      <c r="A631" s="23" t="s">
        <v>1611</v>
      </c>
      <c r="B631" s="23" t="s">
        <v>1612</v>
      </c>
      <c r="C631" s="22">
        <v>23406313.600000001</v>
      </c>
      <c r="D631" s="22">
        <v>-52323282.039999999</v>
      </c>
    </row>
    <row r="632" spans="1:4" x14ac:dyDescent="0.2">
      <c r="A632" s="23" t="s">
        <v>1613</v>
      </c>
      <c r="B632" s="23" t="s">
        <v>1614</v>
      </c>
      <c r="C632" s="22">
        <v>3853174.9</v>
      </c>
      <c r="D632" s="22">
        <v>5180311.78</v>
      </c>
    </row>
    <row r="633" spans="1:4" x14ac:dyDescent="0.2">
      <c r="A633" s="23" t="s">
        <v>1615</v>
      </c>
      <c r="B633" t="s">
        <v>4481</v>
      </c>
      <c r="C633" s="22">
        <v>3853174.9</v>
      </c>
      <c r="D633" s="22">
        <v>5180311.78</v>
      </c>
    </row>
    <row r="634" spans="1:4" x14ac:dyDescent="0.2">
      <c r="A634" s="23" t="s">
        <v>1616</v>
      </c>
      <c r="B634" s="23">
        <v>2030</v>
      </c>
      <c r="C634" s="22">
        <v>0</v>
      </c>
      <c r="D634" s="22">
        <v>-75000000</v>
      </c>
    </row>
    <row r="635" spans="1:4" x14ac:dyDescent="0.2">
      <c r="A635" s="23" t="s">
        <v>1617</v>
      </c>
      <c r="B635" s="23" t="s">
        <v>1618</v>
      </c>
      <c r="C635" s="22">
        <v>0</v>
      </c>
      <c r="D635" s="22">
        <v>0</v>
      </c>
    </row>
    <row r="636" spans="1:4" x14ac:dyDescent="0.2">
      <c r="A636" s="23" t="s">
        <v>1619</v>
      </c>
      <c r="B636" s="23" t="s">
        <v>1620</v>
      </c>
      <c r="C636" s="22">
        <v>0</v>
      </c>
      <c r="D636" s="22">
        <v>0</v>
      </c>
    </row>
    <row r="637" spans="1:4" x14ac:dyDescent="0.2">
      <c r="A637" s="23" t="s">
        <v>1621</v>
      </c>
      <c r="B637" s="23" t="s">
        <v>1622</v>
      </c>
      <c r="C637" s="22">
        <v>0</v>
      </c>
      <c r="D637" s="22">
        <v>0</v>
      </c>
    </row>
    <row r="638" spans="1:4" x14ac:dyDescent="0.2">
      <c r="A638" s="23" t="s">
        <v>1623</v>
      </c>
      <c r="B638" s="23" t="s">
        <v>1624</v>
      </c>
      <c r="C638" s="22">
        <v>0</v>
      </c>
      <c r="D638" s="22">
        <v>0</v>
      </c>
    </row>
    <row r="639" spans="1:4" x14ac:dyDescent="0.2">
      <c r="A639" s="23" t="s">
        <v>1625</v>
      </c>
      <c r="B639" s="23" t="s">
        <v>1626</v>
      </c>
      <c r="C639" s="22">
        <v>0</v>
      </c>
      <c r="D639" s="22">
        <v>0</v>
      </c>
    </row>
    <row r="640" spans="1:4" x14ac:dyDescent="0.2">
      <c r="A640" s="23" t="s">
        <v>1627</v>
      </c>
      <c r="B640" s="23" t="s">
        <v>1628</v>
      </c>
      <c r="C640" s="22">
        <v>0</v>
      </c>
      <c r="D640" s="22">
        <v>-250000000</v>
      </c>
    </row>
    <row r="641" spans="1:4" x14ac:dyDescent="0.2">
      <c r="A641" s="23" t="s">
        <v>1629</v>
      </c>
      <c r="B641" s="23" t="s">
        <v>1630</v>
      </c>
      <c r="C641" s="22">
        <v>0</v>
      </c>
      <c r="D641" s="22">
        <v>0</v>
      </c>
    </row>
    <row r="642" spans="1:4" x14ac:dyDescent="0.2">
      <c r="A642" s="23" t="s">
        <v>1631</v>
      </c>
      <c r="B642" s="23" t="s">
        <v>1632</v>
      </c>
      <c r="C642" s="22">
        <v>0</v>
      </c>
      <c r="D642" s="22">
        <v>0</v>
      </c>
    </row>
    <row r="643" spans="1:4" x14ac:dyDescent="0.2">
      <c r="A643" s="23" t="s">
        <v>1633</v>
      </c>
      <c r="B643" s="23" t="s">
        <v>1634</v>
      </c>
      <c r="C643" s="22">
        <v>0</v>
      </c>
      <c r="D643" s="22">
        <v>0</v>
      </c>
    </row>
    <row r="644" spans="1:4" x14ac:dyDescent="0.2">
      <c r="A644" s="23" t="s">
        <v>1635</v>
      </c>
      <c r="B644" s="23" t="s">
        <v>1636</v>
      </c>
      <c r="C644" s="22">
        <v>0</v>
      </c>
      <c r="D644" s="22">
        <v>0</v>
      </c>
    </row>
    <row r="645" spans="1:4" x14ac:dyDescent="0.2">
      <c r="A645" s="23" t="s">
        <v>1637</v>
      </c>
      <c r="B645" s="23" t="s">
        <v>1638</v>
      </c>
      <c r="C645" s="22">
        <v>0</v>
      </c>
      <c r="D645" s="22">
        <v>-190000000</v>
      </c>
    </row>
    <row r="646" spans="1:4" x14ac:dyDescent="0.2">
      <c r="A646" s="23" t="s">
        <v>1639</v>
      </c>
      <c r="B646" s="23" t="s">
        <v>1634</v>
      </c>
      <c r="C646" s="22">
        <v>0</v>
      </c>
      <c r="D646" s="22">
        <v>-85950000</v>
      </c>
    </row>
    <row r="647" spans="1:4" x14ac:dyDescent="0.2">
      <c r="A647" s="23" t="s">
        <v>1640</v>
      </c>
      <c r="B647" s="23" t="s">
        <v>1641</v>
      </c>
      <c r="C647" s="22">
        <v>0</v>
      </c>
      <c r="D647" s="22">
        <v>-210000000</v>
      </c>
    </row>
    <row r="648" spans="1:4" x14ac:dyDescent="0.2">
      <c r="A648" s="23" t="s">
        <v>1642</v>
      </c>
      <c r="B648" s="23" t="s">
        <v>1643</v>
      </c>
      <c r="C648" s="22">
        <v>0</v>
      </c>
      <c r="D648" s="22">
        <v>-60685000</v>
      </c>
    </row>
    <row r="649" spans="1:4" x14ac:dyDescent="0.2">
      <c r="A649" s="23" t="s">
        <v>1644</v>
      </c>
      <c r="B649" s="23" t="s">
        <v>1645</v>
      </c>
      <c r="C649" s="22">
        <v>0</v>
      </c>
      <c r="D649" s="22">
        <v>-86400000</v>
      </c>
    </row>
    <row r="650" spans="1:4" x14ac:dyDescent="0.2">
      <c r="A650" s="23" t="s">
        <v>1646</v>
      </c>
      <c r="B650" s="23" t="s">
        <v>1641</v>
      </c>
      <c r="C650" s="22">
        <v>0</v>
      </c>
      <c r="D650" s="22">
        <v>-330000000</v>
      </c>
    </row>
    <row r="651" spans="1:4" x14ac:dyDescent="0.2">
      <c r="A651" s="23" t="s">
        <v>1647</v>
      </c>
      <c r="B651" s="23" t="s">
        <v>1648</v>
      </c>
      <c r="C651" s="22">
        <v>0</v>
      </c>
      <c r="D651" s="22">
        <v>0</v>
      </c>
    </row>
    <row r="652" spans="1:4" x14ac:dyDescent="0.2">
      <c r="A652" s="23" t="s">
        <v>1649</v>
      </c>
      <c r="B652" s="23" t="s">
        <v>1650</v>
      </c>
      <c r="C652" s="22">
        <v>0</v>
      </c>
      <c r="D652" s="22">
        <v>-250000000</v>
      </c>
    </row>
    <row r="653" spans="1:4" x14ac:dyDescent="0.2">
      <c r="A653" s="23" t="s">
        <v>1651</v>
      </c>
      <c r="B653" s="23" t="s">
        <v>1626</v>
      </c>
      <c r="C653" s="22">
        <v>0</v>
      </c>
      <c r="D653" s="22">
        <v>-54200000</v>
      </c>
    </row>
    <row r="654" spans="1:4" x14ac:dyDescent="0.2">
      <c r="A654" s="23" t="s">
        <v>1652</v>
      </c>
      <c r="B654" s="23" t="s">
        <v>1653</v>
      </c>
      <c r="C654" s="22">
        <v>0</v>
      </c>
      <c r="D654" s="22">
        <v>-51600000</v>
      </c>
    </row>
    <row r="655" spans="1:4" x14ac:dyDescent="0.2">
      <c r="A655" s="23" t="s">
        <v>1654</v>
      </c>
      <c r="B655" s="23" t="s">
        <v>1655</v>
      </c>
      <c r="C655" s="22">
        <v>0</v>
      </c>
      <c r="D655" s="22">
        <v>-20000000</v>
      </c>
    </row>
    <row r="656" spans="1:4" x14ac:dyDescent="0.2">
      <c r="A656" s="23" t="s">
        <v>1656</v>
      </c>
      <c r="B656" s="23" t="s">
        <v>1657</v>
      </c>
      <c r="C656" s="22">
        <v>0</v>
      </c>
      <c r="D656" s="22">
        <v>0</v>
      </c>
    </row>
    <row r="657" spans="1:4" x14ac:dyDescent="0.2">
      <c r="A657" s="23" t="s">
        <v>1658</v>
      </c>
      <c r="B657" s="23" t="s">
        <v>1618</v>
      </c>
      <c r="C657" s="22">
        <v>0</v>
      </c>
      <c r="D657" s="22">
        <v>0</v>
      </c>
    </row>
    <row r="658" spans="1:4" x14ac:dyDescent="0.2">
      <c r="A658" s="23" t="s">
        <v>1659</v>
      </c>
      <c r="B658" s="23" t="s">
        <v>1660</v>
      </c>
      <c r="C658" s="22">
        <v>0</v>
      </c>
      <c r="D658" s="22">
        <v>0</v>
      </c>
    </row>
    <row r="659" spans="1:4" x14ac:dyDescent="0.2">
      <c r="A659" s="23" t="s">
        <v>1661</v>
      </c>
      <c r="B659" s="23" t="s">
        <v>1624</v>
      </c>
      <c r="C659" s="22">
        <v>0</v>
      </c>
      <c r="D659" s="22">
        <v>0</v>
      </c>
    </row>
    <row r="660" spans="1:4" x14ac:dyDescent="0.2">
      <c r="A660" s="23" t="s">
        <v>1662</v>
      </c>
      <c r="B660" t="s">
        <v>4481</v>
      </c>
      <c r="C660" s="22">
        <v>0</v>
      </c>
      <c r="D660" s="22">
        <v>-1663835000</v>
      </c>
    </row>
    <row r="661" spans="1:4" x14ac:dyDescent="0.2">
      <c r="A661" s="23" t="s">
        <v>1663</v>
      </c>
      <c r="B661" s="23" t="s">
        <v>1664</v>
      </c>
      <c r="C661" s="22">
        <v>0</v>
      </c>
      <c r="D661" s="22">
        <v>0</v>
      </c>
    </row>
    <row r="662" spans="1:4" x14ac:dyDescent="0.2">
      <c r="A662" s="23" t="s">
        <v>1665</v>
      </c>
      <c r="B662" s="23" t="s">
        <v>1666</v>
      </c>
      <c r="C662" s="22">
        <v>0</v>
      </c>
      <c r="D662" s="22">
        <v>0</v>
      </c>
    </row>
    <row r="663" spans="1:4" x14ac:dyDescent="0.2">
      <c r="A663" s="23" t="s">
        <v>1667</v>
      </c>
      <c r="B663" s="23" t="s">
        <v>1668</v>
      </c>
      <c r="C663" s="22">
        <v>7859.23</v>
      </c>
      <c r="D663" s="22">
        <v>-542286.87</v>
      </c>
    </row>
    <row r="664" spans="1:4" x14ac:dyDescent="0.2">
      <c r="A664" s="23" t="s">
        <v>1669</v>
      </c>
      <c r="B664" t="s">
        <v>4481</v>
      </c>
      <c r="C664" s="22">
        <v>7859.23</v>
      </c>
      <c r="D664" s="22">
        <v>-542286.87</v>
      </c>
    </row>
    <row r="665" spans="1:4" x14ac:dyDescent="0.2">
      <c r="A665" s="23" t="s">
        <v>1670</v>
      </c>
      <c r="B665" s="23" t="s">
        <v>1671</v>
      </c>
      <c r="C665" s="22">
        <v>0</v>
      </c>
      <c r="D665" s="22">
        <v>0</v>
      </c>
    </row>
    <row r="666" spans="1:4" x14ac:dyDescent="0.2">
      <c r="A666" s="23" t="s">
        <v>1672</v>
      </c>
      <c r="B666" s="23" t="s">
        <v>1673</v>
      </c>
      <c r="C666" s="22">
        <v>0</v>
      </c>
      <c r="D666" s="22">
        <v>0</v>
      </c>
    </row>
    <row r="667" spans="1:4" x14ac:dyDescent="0.2">
      <c r="A667" s="23" t="s">
        <v>1674</v>
      </c>
      <c r="B667" s="23" t="s">
        <v>1675</v>
      </c>
      <c r="C667" s="22">
        <v>-4339.07</v>
      </c>
      <c r="D667" s="22">
        <v>1477454.15</v>
      </c>
    </row>
    <row r="668" spans="1:4" x14ac:dyDescent="0.2">
      <c r="A668" s="23" t="s">
        <v>1676</v>
      </c>
      <c r="B668" s="23" t="s">
        <v>1483</v>
      </c>
      <c r="C668" s="22">
        <v>-2995</v>
      </c>
      <c r="D668" s="22">
        <v>1055736.02</v>
      </c>
    </row>
    <row r="669" spans="1:4" x14ac:dyDescent="0.2">
      <c r="A669" s="23" t="s">
        <v>1484</v>
      </c>
      <c r="B669" s="23" t="s">
        <v>1485</v>
      </c>
      <c r="C669" s="22">
        <v>0</v>
      </c>
      <c r="D669" s="22">
        <v>0</v>
      </c>
    </row>
    <row r="670" spans="1:4" x14ac:dyDescent="0.2">
      <c r="A670" s="23" t="s">
        <v>1486</v>
      </c>
      <c r="B670" s="23" t="s">
        <v>1487</v>
      </c>
      <c r="C670" s="22">
        <v>-6713.64</v>
      </c>
      <c r="D670" s="22">
        <v>361193.55</v>
      </c>
    </row>
    <row r="671" spans="1:4" x14ac:dyDescent="0.2">
      <c r="A671" s="23" t="s">
        <v>1488</v>
      </c>
      <c r="B671" s="23" t="s">
        <v>1489</v>
      </c>
      <c r="C671" s="22">
        <v>-4207.3500000000004</v>
      </c>
      <c r="D671" s="22">
        <v>795189.9</v>
      </c>
    </row>
    <row r="672" spans="1:4" x14ac:dyDescent="0.2">
      <c r="A672" s="23" t="s">
        <v>1490</v>
      </c>
      <c r="B672" s="23" t="s">
        <v>1491</v>
      </c>
      <c r="C672" s="22">
        <v>-22150.2</v>
      </c>
      <c r="D672" s="22">
        <v>1228595.5</v>
      </c>
    </row>
    <row r="673" spans="1:4" x14ac:dyDescent="0.2">
      <c r="A673" s="23" t="s">
        <v>1492</v>
      </c>
      <c r="B673" s="23" t="s">
        <v>1493</v>
      </c>
      <c r="C673" s="22">
        <v>0</v>
      </c>
      <c r="D673" s="22">
        <v>0</v>
      </c>
    </row>
    <row r="674" spans="1:4" x14ac:dyDescent="0.2">
      <c r="A674" s="23" t="s">
        <v>1494</v>
      </c>
      <c r="B674" t="s">
        <v>4481</v>
      </c>
      <c r="C674" s="22">
        <v>-40405.26</v>
      </c>
      <c r="D674" s="22">
        <v>4918169.12</v>
      </c>
    </row>
    <row r="675" spans="1:4" x14ac:dyDescent="0.2">
      <c r="A675" s="23" t="s">
        <v>1495</v>
      </c>
      <c r="B675" s="23" t="s">
        <v>1496</v>
      </c>
      <c r="C675" s="22">
        <v>-333333</v>
      </c>
      <c r="D675" s="22">
        <v>-20310060.469999999</v>
      </c>
    </row>
    <row r="676" spans="1:4" x14ac:dyDescent="0.2">
      <c r="A676" s="23" t="s">
        <v>1497</v>
      </c>
      <c r="B676" s="23" t="s">
        <v>1498</v>
      </c>
      <c r="C676" s="22">
        <v>1261544.25</v>
      </c>
      <c r="D676" s="22">
        <v>-8895369</v>
      </c>
    </row>
    <row r="677" spans="1:4" x14ac:dyDescent="0.2">
      <c r="A677" s="23" t="s">
        <v>1499</v>
      </c>
      <c r="B677" s="23" t="s">
        <v>1500</v>
      </c>
      <c r="C677" s="22">
        <v>200426.51</v>
      </c>
      <c r="D677" s="22">
        <v>-10841454.6</v>
      </c>
    </row>
    <row r="678" spans="1:4" x14ac:dyDescent="0.2">
      <c r="A678" s="23" t="s">
        <v>1501</v>
      </c>
      <c r="B678" s="23" t="s">
        <v>1502</v>
      </c>
      <c r="C678" s="22">
        <v>11113.6</v>
      </c>
      <c r="D678" s="22">
        <v>739955.6</v>
      </c>
    </row>
    <row r="679" spans="1:4" x14ac:dyDescent="0.2">
      <c r="A679" s="23" t="s">
        <v>1503</v>
      </c>
      <c r="B679" s="23" t="s">
        <v>1504</v>
      </c>
      <c r="C679" s="22">
        <v>671060.53</v>
      </c>
      <c r="D679" s="22">
        <v>-284379</v>
      </c>
    </row>
    <row r="680" spans="1:4" x14ac:dyDescent="0.2">
      <c r="A680" s="23" t="s">
        <v>1505</v>
      </c>
      <c r="B680" s="23" t="s">
        <v>1506</v>
      </c>
      <c r="C680" s="22">
        <v>14545968.33</v>
      </c>
      <c r="D680" s="22">
        <v>37637037.530000001</v>
      </c>
    </row>
    <row r="681" spans="1:4" x14ac:dyDescent="0.2">
      <c r="A681" s="23" t="s">
        <v>1507</v>
      </c>
      <c r="B681" s="23" t="s">
        <v>1508</v>
      </c>
      <c r="C681" s="22">
        <v>32946871</v>
      </c>
      <c r="D681" s="22">
        <v>-43232303</v>
      </c>
    </row>
    <row r="682" spans="1:4" x14ac:dyDescent="0.2">
      <c r="A682" s="23" t="s">
        <v>1509</v>
      </c>
      <c r="B682" s="23" t="s">
        <v>1510</v>
      </c>
      <c r="C682" s="22">
        <v>0</v>
      </c>
      <c r="D682" s="22">
        <v>0</v>
      </c>
    </row>
    <row r="683" spans="1:4" x14ac:dyDescent="0.2">
      <c r="A683" s="23" t="s">
        <v>1511</v>
      </c>
      <c r="B683" s="23" t="s">
        <v>1512</v>
      </c>
      <c r="C683" s="22">
        <v>-52166.67</v>
      </c>
      <c r="D683" s="22">
        <v>-5978714.9800000004</v>
      </c>
    </row>
    <row r="684" spans="1:4" x14ac:dyDescent="0.2">
      <c r="A684" s="23" t="s">
        <v>1513</v>
      </c>
      <c r="B684" s="23" t="s">
        <v>1514</v>
      </c>
      <c r="C684" s="22">
        <v>-378968.65</v>
      </c>
      <c r="D684" s="22">
        <v>-89134953.019999996</v>
      </c>
    </row>
    <row r="685" spans="1:4" x14ac:dyDescent="0.2">
      <c r="A685" s="23" t="s">
        <v>1515</v>
      </c>
      <c r="B685" s="23" t="s">
        <v>1516</v>
      </c>
      <c r="C685" s="22">
        <v>468075.43</v>
      </c>
      <c r="D685" s="22">
        <v>-18623013</v>
      </c>
    </row>
    <row r="686" spans="1:4" x14ac:dyDescent="0.2">
      <c r="A686" s="23" t="s">
        <v>1517</v>
      </c>
      <c r="B686" s="23" t="s">
        <v>1518</v>
      </c>
      <c r="C686" s="22">
        <v>0</v>
      </c>
      <c r="D686" s="22">
        <v>0</v>
      </c>
    </row>
    <row r="687" spans="1:4" x14ac:dyDescent="0.2">
      <c r="A687" s="23" t="s">
        <v>1519</v>
      </c>
      <c r="B687" s="23" t="s">
        <v>1520</v>
      </c>
      <c r="C687" s="22">
        <v>5763419</v>
      </c>
      <c r="D687" s="22">
        <v>-30828757</v>
      </c>
    </row>
    <row r="688" spans="1:4" x14ac:dyDescent="0.2">
      <c r="A688" s="23" t="s">
        <v>1521</v>
      </c>
      <c r="B688" s="23" t="s">
        <v>1522</v>
      </c>
      <c r="C688" s="22">
        <v>-604774</v>
      </c>
      <c r="D688" s="22">
        <v>-1242991</v>
      </c>
    </row>
    <row r="689" spans="1:4" x14ac:dyDescent="0.2">
      <c r="A689" s="23" t="s">
        <v>1523</v>
      </c>
      <c r="B689" t="s">
        <v>4481</v>
      </c>
      <c r="C689" s="22">
        <v>54499236.329999998</v>
      </c>
      <c r="D689" s="22">
        <v>-190995001.94</v>
      </c>
    </row>
    <row r="690" spans="1:4" x14ac:dyDescent="0.2">
      <c r="A690" s="23" t="s">
        <v>1524</v>
      </c>
      <c r="B690" s="23" t="s">
        <v>1525</v>
      </c>
      <c r="C690" s="22">
        <v>-7712.04</v>
      </c>
      <c r="D690" s="22">
        <v>-207685.39</v>
      </c>
    </row>
    <row r="691" spans="1:4" x14ac:dyDescent="0.2">
      <c r="A691" s="23" t="s">
        <v>1526</v>
      </c>
      <c r="B691" s="23" t="s">
        <v>1527</v>
      </c>
      <c r="C691" s="22">
        <v>11873.31</v>
      </c>
      <c r="D691" s="22">
        <v>-26860963.75</v>
      </c>
    </row>
    <row r="692" spans="1:4" x14ac:dyDescent="0.2">
      <c r="A692" s="23" t="s">
        <v>1528</v>
      </c>
      <c r="B692" s="23" t="s">
        <v>1529</v>
      </c>
      <c r="C692" s="22">
        <v>0</v>
      </c>
      <c r="D692" s="22">
        <v>0</v>
      </c>
    </row>
    <row r="693" spans="1:4" x14ac:dyDescent="0.2">
      <c r="A693" s="23" t="s">
        <v>1530</v>
      </c>
      <c r="B693" s="23" t="s">
        <v>1531</v>
      </c>
      <c r="C693" s="22">
        <v>0</v>
      </c>
      <c r="D693" s="22">
        <v>0</v>
      </c>
    </row>
    <row r="694" spans="1:4" x14ac:dyDescent="0.2">
      <c r="A694" s="23" t="s">
        <v>1532</v>
      </c>
      <c r="B694" t="s">
        <v>4481</v>
      </c>
      <c r="C694" s="22">
        <v>4161.2700000000004</v>
      </c>
      <c r="D694" s="22">
        <v>-27068649.140000001</v>
      </c>
    </row>
    <row r="695" spans="1:4" x14ac:dyDescent="0.2">
      <c r="A695" s="23" t="s">
        <v>1533</v>
      </c>
      <c r="B695" s="23" t="s">
        <v>1534</v>
      </c>
      <c r="C695" s="22">
        <v>0</v>
      </c>
      <c r="D695" s="22">
        <v>0</v>
      </c>
    </row>
    <row r="696" spans="1:4" x14ac:dyDescent="0.2">
      <c r="A696" s="23" t="s">
        <v>1535</v>
      </c>
      <c r="B696" s="23" t="s">
        <v>1536</v>
      </c>
      <c r="C696" s="22">
        <v>0</v>
      </c>
      <c r="D696" s="22">
        <v>0</v>
      </c>
    </row>
    <row r="697" spans="1:4" x14ac:dyDescent="0.2">
      <c r="A697" s="23" t="s">
        <v>1537</v>
      </c>
      <c r="B697" s="23" t="s">
        <v>1538</v>
      </c>
      <c r="C697" s="22">
        <v>0</v>
      </c>
      <c r="D697" s="22">
        <v>0</v>
      </c>
    </row>
    <row r="698" spans="1:4" x14ac:dyDescent="0.2">
      <c r="A698" s="23" t="s">
        <v>1539</v>
      </c>
      <c r="B698" s="23" t="s">
        <v>1540</v>
      </c>
      <c r="C698" s="22">
        <v>-370000</v>
      </c>
      <c r="D698" s="22">
        <v>-370000</v>
      </c>
    </row>
    <row r="699" spans="1:4" x14ac:dyDescent="0.2">
      <c r="A699" s="23" t="s">
        <v>1541</v>
      </c>
      <c r="B699" s="23" t="s">
        <v>1542</v>
      </c>
      <c r="C699" s="22">
        <v>0</v>
      </c>
      <c r="D699" s="22">
        <v>0</v>
      </c>
    </row>
    <row r="700" spans="1:4" x14ac:dyDescent="0.2">
      <c r="A700" s="23" t="s">
        <v>1543</v>
      </c>
      <c r="B700" t="s">
        <v>4481</v>
      </c>
      <c r="C700" s="22">
        <v>-370000</v>
      </c>
      <c r="D700" s="22">
        <v>-370000</v>
      </c>
    </row>
    <row r="701" spans="1:4" x14ac:dyDescent="0.2">
      <c r="A701" s="23" t="s">
        <v>1544</v>
      </c>
      <c r="B701" s="23" t="s">
        <v>1545</v>
      </c>
      <c r="C701" s="22">
        <v>28153875.43</v>
      </c>
      <c r="D701" s="22">
        <v>-19410979.859999999</v>
      </c>
    </row>
    <row r="702" spans="1:4" x14ac:dyDescent="0.2">
      <c r="A702" s="23" t="s">
        <v>1546</v>
      </c>
      <c r="B702" s="23" t="s">
        <v>1547</v>
      </c>
      <c r="C702" s="22">
        <v>-1896407.98</v>
      </c>
      <c r="D702" s="22">
        <v>-17673319.960000001</v>
      </c>
    </row>
    <row r="703" spans="1:4" x14ac:dyDescent="0.2">
      <c r="A703" s="23" t="s">
        <v>1548</v>
      </c>
      <c r="B703" s="23" t="s">
        <v>1549</v>
      </c>
      <c r="C703" s="22">
        <v>-3904838.29</v>
      </c>
      <c r="D703" s="22">
        <v>-22682733.699999999</v>
      </c>
    </row>
    <row r="704" spans="1:4" x14ac:dyDescent="0.2">
      <c r="A704" s="23" t="s">
        <v>1550</v>
      </c>
      <c r="B704" s="23" t="s">
        <v>1551</v>
      </c>
      <c r="C704" s="22">
        <v>-0.27</v>
      </c>
      <c r="D704" s="22">
        <v>-1491.12</v>
      </c>
    </row>
    <row r="705" spans="1:4" x14ac:dyDescent="0.2">
      <c r="A705" s="23" t="s">
        <v>1552</v>
      </c>
      <c r="B705" s="23" t="s">
        <v>1553</v>
      </c>
      <c r="C705" s="22">
        <v>-10715270.92</v>
      </c>
      <c r="D705" s="22">
        <v>-40616930.329999998</v>
      </c>
    </row>
    <row r="706" spans="1:4" x14ac:dyDescent="0.2">
      <c r="A706" s="23" t="s">
        <v>1554</v>
      </c>
      <c r="B706" s="23" t="s">
        <v>1555</v>
      </c>
      <c r="C706" s="22">
        <v>1407630.08</v>
      </c>
      <c r="D706" s="22">
        <v>-5361924.25</v>
      </c>
    </row>
    <row r="707" spans="1:4" x14ac:dyDescent="0.2">
      <c r="A707" s="23" t="s">
        <v>1556</v>
      </c>
      <c r="B707" s="23" t="s">
        <v>1557</v>
      </c>
      <c r="C707" s="22">
        <v>-2386</v>
      </c>
      <c r="D707" s="22">
        <v>-21474</v>
      </c>
    </row>
    <row r="708" spans="1:4" x14ac:dyDescent="0.2">
      <c r="A708" s="23" t="s">
        <v>1558</v>
      </c>
      <c r="B708" s="23" t="s">
        <v>1559</v>
      </c>
      <c r="C708" s="22">
        <v>0</v>
      </c>
      <c r="D708" s="22">
        <v>0</v>
      </c>
    </row>
    <row r="709" spans="1:4" x14ac:dyDescent="0.2">
      <c r="A709" s="23" t="s">
        <v>1560</v>
      </c>
      <c r="B709" s="23" t="s">
        <v>1561</v>
      </c>
      <c r="C709" s="22">
        <v>-3657039</v>
      </c>
      <c r="D709" s="22">
        <v>-12881122</v>
      </c>
    </row>
    <row r="710" spans="1:4" x14ac:dyDescent="0.2">
      <c r="A710" s="23" t="s">
        <v>1562</v>
      </c>
      <c r="B710" s="23" t="s">
        <v>1563</v>
      </c>
      <c r="C710" s="22">
        <v>-381957.23</v>
      </c>
      <c r="D710" s="22">
        <v>-3500012.75</v>
      </c>
    </row>
    <row r="711" spans="1:4" x14ac:dyDescent="0.2">
      <c r="A711" s="23" t="s">
        <v>1564</v>
      </c>
      <c r="B711" s="23" t="s">
        <v>1565</v>
      </c>
      <c r="C711" s="22">
        <v>-1654283.39</v>
      </c>
      <c r="D711" s="22">
        <v>-5969892.7999999998</v>
      </c>
    </row>
    <row r="712" spans="1:4" x14ac:dyDescent="0.2">
      <c r="A712" s="23" t="s">
        <v>1566</v>
      </c>
      <c r="B712" s="23" t="s">
        <v>1567</v>
      </c>
      <c r="C712" s="22">
        <v>-51394.67</v>
      </c>
      <c r="D712" s="22">
        <v>-188625.78</v>
      </c>
    </row>
    <row r="713" spans="1:4" x14ac:dyDescent="0.2">
      <c r="A713" s="23" t="s">
        <v>1568</v>
      </c>
      <c r="B713" s="23" t="s">
        <v>1569</v>
      </c>
      <c r="C713" s="22">
        <v>-3550.9</v>
      </c>
      <c r="D713" s="22">
        <v>-230208.97</v>
      </c>
    </row>
    <row r="714" spans="1:4" x14ac:dyDescent="0.2">
      <c r="A714" s="23" t="s">
        <v>1570</v>
      </c>
      <c r="B714" s="23" t="s">
        <v>4870</v>
      </c>
      <c r="C714" s="22">
        <v>285.89999999999998</v>
      </c>
      <c r="D714" s="22">
        <v>14577.99</v>
      </c>
    </row>
    <row r="715" spans="1:4" x14ac:dyDescent="0.2">
      <c r="A715" s="23" t="s">
        <v>4871</v>
      </c>
      <c r="B715" s="23" t="s">
        <v>4872</v>
      </c>
      <c r="C715" s="22">
        <v>-7207786.0099999998</v>
      </c>
      <c r="D715" s="22">
        <v>-37921811.700000003</v>
      </c>
    </row>
    <row r="716" spans="1:4" x14ac:dyDescent="0.2">
      <c r="A716" s="23" t="s">
        <v>4873</v>
      </c>
      <c r="B716" s="23" t="s">
        <v>4874</v>
      </c>
      <c r="C716" s="22">
        <v>0</v>
      </c>
      <c r="D716" s="22">
        <v>0</v>
      </c>
    </row>
    <row r="717" spans="1:4" x14ac:dyDescent="0.2">
      <c r="A717" s="23" t="s">
        <v>4875</v>
      </c>
      <c r="B717" s="23" t="s">
        <v>4876</v>
      </c>
      <c r="C717" s="22">
        <v>1643.75</v>
      </c>
      <c r="D717" s="22">
        <v>-69381.64</v>
      </c>
    </row>
    <row r="718" spans="1:4" x14ac:dyDescent="0.2">
      <c r="A718" s="23" t="s">
        <v>4877</v>
      </c>
      <c r="B718" s="23" t="s">
        <v>4878</v>
      </c>
      <c r="C718" s="22">
        <v>0</v>
      </c>
      <c r="D718" s="22">
        <v>386.03</v>
      </c>
    </row>
    <row r="719" spans="1:4" x14ac:dyDescent="0.2">
      <c r="A719" s="23" t="s">
        <v>4879</v>
      </c>
      <c r="B719" s="23" t="s">
        <v>4880</v>
      </c>
      <c r="C719" s="22">
        <v>-1580261</v>
      </c>
      <c r="D719" s="22">
        <v>-2067508.28</v>
      </c>
    </row>
    <row r="720" spans="1:4" x14ac:dyDescent="0.2">
      <c r="A720" s="23" t="s">
        <v>4881</v>
      </c>
      <c r="B720" s="23" t="s">
        <v>4882</v>
      </c>
      <c r="C720" s="22">
        <v>0</v>
      </c>
      <c r="D720" s="22">
        <v>0</v>
      </c>
    </row>
    <row r="721" spans="1:4" x14ac:dyDescent="0.2">
      <c r="A721" s="23" t="s">
        <v>4883</v>
      </c>
      <c r="B721" s="23" t="s">
        <v>4884</v>
      </c>
      <c r="C721" s="22">
        <v>153.88</v>
      </c>
      <c r="D721" s="22">
        <v>25129.73</v>
      </c>
    </row>
    <row r="722" spans="1:4" x14ac:dyDescent="0.2">
      <c r="A722" s="23" t="s">
        <v>4885</v>
      </c>
      <c r="B722" s="23" t="s">
        <v>4886</v>
      </c>
      <c r="C722" s="22">
        <v>0</v>
      </c>
      <c r="D722" s="22">
        <v>0</v>
      </c>
    </row>
    <row r="723" spans="1:4" x14ac:dyDescent="0.2">
      <c r="A723" s="23" t="s">
        <v>4887</v>
      </c>
      <c r="B723" s="23" t="s">
        <v>4888</v>
      </c>
      <c r="C723" s="22">
        <v>0</v>
      </c>
      <c r="D723" s="22">
        <v>0</v>
      </c>
    </row>
    <row r="724" spans="1:4" x14ac:dyDescent="0.2">
      <c r="A724" s="23" t="s">
        <v>4889</v>
      </c>
      <c r="B724" s="23" t="s">
        <v>4890</v>
      </c>
      <c r="C724" s="22">
        <v>923.08</v>
      </c>
      <c r="D724" s="22">
        <v>0</v>
      </c>
    </row>
    <row r="725" spans="1:4" x14ac:dyDescent="0.2">
      <c r="A725" s="23" t="s">
        <v>4891</v>
      </c>
      <c r="B725" s="23" t="s">
        <v>4892</v>
      </c>
      <c r="C725" s="22">
        <v>0</v>
      </c>
      <c r="D725" s="22">
        <v>0</v>
      </c>
    </row>
    <row r="726" spans="1:4" x14ac:dyDescent="0.2">
      <c r="A726" s="23" t="s">
        <v>4893</v>
      </c>
      <c r="B726" s="23" t="s">
        <v>4894</v>
      </c>
      <c r="C726" s="22">
        <v>0</v>
      </c>
      <c r="D726" s="22">
        <v>0</v>
      </c>
    </row>
    <row r="727" spans="1:4" x14ac:dyDescent="0.2">
      <c r="A727" s="23" t="s">
        <v>4895</v>
      </c>
      <c r="B727" s="23" t="s">
        <v>4896</v>
      </c>
      <c r="C727" s="22">
        <v>-21.42</v>
      </c>
      <c r="D727" s="22">
        <v>16377.33</v>
      </c>
    </row>
    <row r="728" spans="1:4" x14ac:dyDescent="0.2">
      <c r="A728" s="23" t="s">
        <v>4897</v>
      </c>
      <c r="B728" s="23" t="s">
        <v>3158</v>
      </c>
      <c r="C728" s="22">
        <v>-13153.75</v>
      </c>
      <c r="D728" s="22">
        <v>-2049143</v>
      </c>
    </row>
    <row r="729" spans="1:4" x14ac:dyDescent="0.2">
      <c r="A729" s="23" t="s">
        <v>3159</v>
      </c>
      <c r="B729" s="23" t="s">
        <v>3160</v>
      </c>
      <c r="C729" s="22">
        <v>0</v>
      </c>
      <c r="D729" s="22">
        <v>0</v>
      </c>
    </row>
    <row r="730" spans="1:4" x14ac:dyDescent="0.2">
      <c r="A730" s="23" t="s">
        <v>3161</v>
      </c>
      <c r="B730" s="23" t="s">
        <v>3162</v>
      </c>
      <c r="C730" s="22">
        <v>0</v>
      </c>
      <c r="D730" s="22">
        <v>0</v>
      </c>
    </row>
    <row r="731" spans="1:4" x14ac:dyDescent="0.2">
      <c r="A731" s="23" t="s">
        <v>3163</v>
      </c>
      <c r="B731" s="23" t="s">
        <v>3164</v>
      </c>
      <c r="C731" s="22">
        <v>0</v>
      </c>
      <c r="D731" s="22">
        <v>0</v>
      </c>
    </row>
    <row r="732" spans="1:4" x14ac:dyDescent="0.2">
      <c r="A732" s="23" t="s">
        <v>3165</v>
      </c>
      <c r="B732" s="23" t="s">
        <v>3166</v>
      </c>
      <c r="C732" s="22">
        <v>40</v>
      </c>
      <c r="D732" s="22">
        <v>-9205</v>
      </c>
    </row>
    <row r="733" spans="1:4" x14ac:dyDescent="0.2">
      <c r="A733" s="23" t="s">
        <v>3167</v>
      </c>
      <c r="B733" s="23" t="s">
        <v>3168</v>
      </c>
      <c r="C733" s="22">
        <v>0</v>
      </c>
      <c r="D733" s="22">
        <v>1398.35</v>
      </c>
    </row>
    <row r="734" spans="1:4" x14ac:dyDescent="0.2">
      <c r="A734" s="23" t="s">
        <v>3169</v>
      </c>
      <c r="B734" s="23" t="s">
        <v>3170</v>
      </c>
      <c r="C734" s="22">
        <v>0</v>
      </c>
      <c r="D734" s="22">
        <v>0</v>
      </c>
    </row>
    <row r="735" spans="1:4" x14ac:dyDescent="0.2">
      <c r="A735" s="23" t="s">
        <v>3171</v>
      </c>
      <c r="B735" s="23" t="s">
        <v>3172</v>
      </c>
      <c r="C735" s="22">
        <v>0</v>
      </c>
      <c r="D735" s="22">
        <v>0</v>
      </c>
    </row>
    <row r="736" spans="1:4" x14ac:dyDescent="0.2">
      <c r="A736" s="23" t="s">
        <v>3173</v>
      </c>
      <c r="B736" s="23" t="s">
        <v>3174</v>
      </c>
      <c r="C736" s="22">
        <v>237.4</v>
      </c>
      <c r="D736" s="22">
        <v>-6880.32</v>
      </c>
    </row>
    <row r="737" spans="1:4" x14ac:dyDescent="0.2">
      <c r="A737" s="23" t="s">
        <v>3175</v>
      </c>
      <c r="B737" s="23" t="s">
        <v>3176</v>
      </c>
      <c r="C737" s="22">
        <v>0</v>
      </c>
      <c r="D737" s="22">
        <v>0</v>
      </c>
    </row>
    <row r="738" spans="1:4" x14ac:dyDescent="0.2">
      <c r="A738" s="23" t="s">
        <v>3177</v>
      </c>
      <c r="B738" s="23" t="s">
        <v>3178</v>
      </c>
      <c r="C738" s="22">
        <v>0</v>
      </c>
      <c r="D738" s="22">
        <v>12593.45</v>
      </c>
    </row>
    <row r="739" spans="1:4" x14ac:dyDescent="0.2">
      <c r="A739" s="23" t="s">
        <v>3179</v>
      </c>
      <c r="B739" s="23" t="s">
        <v>3180</v>
      </c>
      <c r="C739" s="22">
        <v>0</v>
      </c>
      <c r="D739" s="22">
        <v>0</v>
      </c>
    </row>
    <row r="740" spans="1:4" x14ac:dyDescent="0.2">
      <c r="A740" s="23" t="s">
        <v>3181</v>
      </c>
      <c r="B740" s="23" t="s">
        <v>3182</v>
      </c>
      <c r="C740" s="22">
        <v>0</v>
      </c>
      <c r="D740" s="22">
        <v>0</v>
      </c>
    </row>
    <row r="741" spans="1:4" x14ac:dyDescent="0.2">
      <c r="A741" s="23" t="s">
        <v>3183</v>
      </c>
      <c r="B741" s="23" t="s">
        <v>3184</v>
      </c>
      <c r="C741" s="22">
        <v>-225969.61</v>
      </c>
      <c r="D741" s="22">
        <v>-225969.61</v>
      </c>
    </row>
    <row r="742" spans="1:4" x14ac:dyDescent="0.2">
      <c r="A742" s="23" t="s">
        <v>3185</v>
      </c>
      <c r="B742" s="23" t="s">
        <v>3186</v>
      </c>
      <c r="C742" s="22">
        <v>-471133.44</v>
      </c>
      <c r="D742" s="22">
        <v>-471133.44</v>
      </c>
    </row>
    <row r="743" spans="1:4" x14ac:dyDescent="0.2">
      <c r="A743" s="23" t="s">
        <v>3187</v>
      </c>
      <c r="B743" s="23" t="s">
        <v>3188</v>
      </c>
      <c r="C743" s="22">
        <v>-282612</v>
      </c>
      <c r="D743" s="22">
        <v>-282612</v>
      </c>
    </row>
    <row r="744" spans="1:4" x14ac:dyDescent="0.2">
      <c r="A744" s="23" t="s">
        <v>3189</v>
      </c>
      <c r="B744" s="23" t="s">
        <v>3190</v>
      </c>
      <c r="C744" s="22">
        <v>-125539</v>
      </c>
      <c r="D744" s="22">
        <v>-125539</v>
      </c>
    </row>
    <row r="745" spans="1:4" x14ac:dyDescent="0.2">
      <c r="A745" s="23" t="s">
        <v>3191</v>
      </c>
      <c r="B745" s="23" t="s">
        <v>3192</v>
      </c>
      <c r="C745" s="22">
        <v>879326.99</v>
      </c>
      <c r="D745" s="22">
        <v>0</v>
      </c>
    </row>
    <row r="746" spans="1:4" x14ac:dyDescent="0.2">
      <c r="A746" s="23" t="s">
        <v>3193</v>
      </c>
      <c r="B746" s="23" t="s">
        <v>3194</v>
      </c>
      <c r="C746" s="22">
        <v>2091123.75</v>
      </c>
      <c r="D746" s="22">
        <v>-1209786.1299999999</v>
      </c>
    </row>
    <row r="747" spans="1:4" x14ac:dyDescent="0.2">
      <c r="A747" s="23" t="s">
        <v>3195</v>
      </c>
      <c r="B747" t="s">
        <v>4481</v>
      </c>
      <c r="C747" s="22">
        <v>361635.38</v>
      </c>
      <c r="D747" s="22">
        <v>-172907222.75999999</v>
      </c>
    </row>
    <row r="748" spans="1:4" x14ac:dyDescent="0.2">
      <c r="A748" s="23" t="s">
        <v>3196</v>
      </c>
      <c r="B748" s="23" t="s">
        <v>3197</v>
      </c>
      <c r="C748" s="22">
        <v>8193949</v>
      </c>
      <c r="D748" s="22">
        <v>0</v>
      </c>
    </row>
    <row r="749" spans="1:4" x14ac:dyDescent="0.2">
      <c r="A749" s="23" t="s">
        <v>3198</v>
      </c>
      <c r="B749" s="23" t="s">
        <v>3199</v>
      </c>
      <c r="C749" s="22">
        <v>0</v>
      </c>
      <c r="D749" s="22">
        <v>0</v>
      </c>
    </row>
    <row r="750" spans="1:4" x14ac:dyDescent="0.2">
      <c r="A750" s="23" t="s">
        <v>3200</v>
      </c>
      <c r="B750" s="23" t="s">
        <v>3201</v>
      </c>
      <c r="C750" s="22">
        <v>0</v>
      </c>
      <c r="D750" s="22">
        <v>0</v>
      </c>
    </row>
    <row r="751" spans="1:4" x14ac:dyDescent="0.2">
      <c r="A751" s="23" t="s">
        <v>3202</v>
      </c>
      <c r="B751" s="23" t="s">
        <v>3203</v>
      </c>
      <c r="C751" s="22">
        <v>0</v>
      </c>
      <c r="D751" s="22">
        <v>0</v>
      </c>
    </row>
    <row r="752" spans="1:4" x14ac:dyDescent="0.2">
      <c r="A752" s="23" t="s">
        <v>3204</v>
      </c>
      <c r="B752" s="23" t="s">
        <v>3205</v>
      </c>
      <c r="C752" s="22">
        <v>-662225.68999999994</v>
      </c>
      <c r="D752" s="22">
        <v>-5430418.6799999997</v>
      </c>
    </row>
    <row r="753" spans="1:4" x14ac:dyDescent="0.2">
      <c r="A753" s="23" t="s">
        <v>3206</v>
      </c>
      <c r="B753" s="23" t="s">
        <v>4074</v>
      </c>
      <c r="C753" s="22">
        <v>0.01</v>
      </c>
      <c r="D753" s="22">
        <v>0</v>
      </c>
    </row>
    <row r="754" spans="1:4" x14ac:dyDescent="0.2">
      <c r="A754" s="23" t="s">
        <v>4075</v>
      </c>
      <c r="B754" s="23" t="s">
        <v>4076</v>
      </c>
      <c r="C754" s="22">
        <v>0</v>
      </c>
      <c r="D754" s="22">
        <v>0</v>
      </c>
    </row>
    <row r="755" spans="1:4" x14ac:dyDescent="0.2">
      <c r="A755" s="23" t="s">
        <v>4077</v>
      </c>
      <c r="B755" s="23" t="s">
        <v>626</v>
      </c>
      <c r="C755" s="22">
        <v>0</v>
      </c>
      <c r="D755" s="22">
        <v>0</v>
      </c>
    </row>
    <row r="756" spans="1:4" x14ac:dyDescent="0.2">
      <c r="A756" s="23" t="s">
        <v>627</v>
      </c>
      <c r="B756" s="23" t="s">
        <v>628</v>
      </c>
      <c r="C756" s="22">
        <v>0</v>
      </c>
      <c r="D756" s="22">
        <v>0</v>
      </c>
    </row>
    <row r="757" spans="1:4" x14ac:dyDescent="0.2">
      <c r="A757" s="23" t="s">
        <v>629</v>
      </c>
      <c r="B757" s="23" t="s">
        <v>630</v>
      </c>
      <c r="C757" s="22">
        <v>-193905.33</v>
      </c>
      <c r="D757" s="22">
        <v>-364137.05</v>
      </c>
    </row>
    <row r="758" spans="1:4" x14ac:dyDescent="0.2">
      <c r="A758" s="23" t="s">
        <v>631</v>
      </c>
      <c r="B758" s="23" t="s">
        <v>632</v>
      </c>
      <c r="C758" s="22">
        <v>0</v>
      </c>
      <c r="D758" s="22">
        <v>0</v>
      </c>
    </row>
    <row r="759" spans="1:4" x14ac:dyDescent="0.2">
      <c r="A759" s="23" t="s">
        <v>3208</v>
      </c>
      <c r="B759" s="23" t="s">
        <v>3209</v>
      </c>
      <c r="C759" s="22">
        <v>0</v>
      </c>
      <c r="D759" s="22">
        <v>0</v>
      </c>
    </row>
    <row r="760" spans="1:4" x14ac:dyDescent="0.2">
      <c r="A760" s="23" t="s">
        <v>3210</v>
      </c>
      <c r="B760" s="23" t="s">
        <v>3211</v>
      </c>
      <c r="C760" s="22">
        <v>0</v>
      </c>
      <c r="D760" s="22">
        <v>0</v>
      </c>
    </row>
    <row r="761" spans="1:4" x14ac:dyDescent="0.2">
      <c r="A761" s="23" t="s">
        <v>3212</v>
      </c>
      <c r="B761" s="23" t="s">
        <v>3213</v>
      </c>
      <c r="C761" s="22">
        <v>0</v>
      </c>
      <c r="D761" s="22">
        <v>0</v>
      </c>
    </row>
    <row r="762" spans="1:4" x14ac:dyDescent="0.2">
      <c r="A762" s="23" t="s">
        <v>3214</v>
      </c>
      <c r="B762" s="23" t="s">
        <v>3215</v>
      </c>
      <c r="C762" s="22">
        <v>-3000518.98</v>
      </c>
      <c r="D762" s="22">
        <v>-5307277.5999999996</v>
      </c>
    </row>
    <row r="763" spans="1:4" x14ac:dyDescent="0.2">
      <c r="A763" s="23" t="s">
        <v>3216</v>
      </c>
      <c r="B763" s="23" t="s">
        <v>3217</v>
      </c>
      <c r="C763" s="22">
        <v>0</v>
      </c>
      <c r="D763" s="22">
        <v>0</v>
      </c>
    </row>
    <row r="764" spans="1:4" x14ac:dyDescent="0.2">
      <c r="A764" s="23" t="s">
        <v>3218</v>
      </c>
      <c r="B764" s="23" t="s">
        <v>3219</v>
      </c>
      <c r="C764" s="22">
        <v>0</v>
      </c>
      <c r="D764" s="22">
        <v>37113.300000000003</v>
      </c>
    </row>
    <row r="765" spans="1:4" x14ac:dyDescent="0.2">
      <c r="A765" s="23" t="s">
        <v>3220</v>
      </c>
      <c r="B765" t="s">
        <v>4481</v>
      </c>
      <c r="C765" s="22">
        <v>4337299.01</v>
      </c>
      <c r="D765" s="22">
        <v>-11064720.029999999</v>
      </c>
    </row>
    <row r="766" spans="1:4" x14ac:dyDescent="0.2">
      <c r="A766" s="23" t="s">
        <v>3221</v>
      </c>
      <c r="B766" s="23" t="s">
        <v>3222</v>
      </c>
      <c r="C766" s="22">
        <v>-762842.63</v>
      </c>
      <c r="D766" s="22">
        <v>-103479694.81999999</v>
      </c>
    </row>
    <row r="767" spans="1:4" x14ac:dyDescent="0.2">
      <c r="A767" s="23" t="s">
        <v>3223</v>
      </c>
      <c r="B767" t="s">
        <v>4481</v>
      </c>
      <c r="C767" s="22">
        <v>-762842.63</v>
      </c>
      <c r="D767" s="22">
        <v>-103479694.81999999</v>
      </c>
    </row>
    <row r="768" spans="1:4" x14ac:dyDescent="0.2">
      <c r="A768" s="23" t="s">
        <v>3224</v>
      </c>
      <c r="B768" s="23" t="s">
        <v>3225</v>
      </c>
      <c r="C768" s="22">
        <v>0</v>
      </c>
      <c r="D768" s="22">
        <v>0</v>
      </c>
    </row>
    <row r="769" spans="1:4" x14ac:dyDescent="0.2">
      <c r="A769" s="23" t="s">
        <v>3226</v>
      </c>
      <c r="B769" s="23" t="s">
        <v>3227</v>
      </c>
      <c r="C769" s="22">
        <v>188119</v>
      </c>
      <c r="D769" s="22">
        <v>111.27</v>
      </c>
    </row>
    <row r="770" spans="1:4" x14ac:dyDescent="0.2">
      <c r="A770" s="23" t="s">
        <v>3228</v>
      </c>
      <c r="B770" s="23" t="s">
        <v>3229</v>
      </c>
      <c r="C770" s="22">
        <v>50150555.729999997</v>
      </c>
      <c r="D770" s="22">
        <v>0.15</v>
      </c>
    </row>
    <row r="771" spans="1:4" x14ac:dyDescent="0.2">
      <c r="A771" s="23" t="s">
        <v>3230</v>
      </c>
      <c r="B771" s="23" t="s">
        <v>5186</v>
      </c>
      <c r="C771" s="22">
        <v>-780.46</v>
      </c>
      <c r="D771" s="22">
        <v>-2580.02</v>
      </c>
    </row>
    <row r="772" spans="1:4" x14ac:dyDescent="0.2">
      <c r="A772" s="23" t="s">
        <v>5187</v>
      </c>
      <c r="B772" s="23" t="s">
        <v>5188</v>
      </c>
      <c r="C772" s="22">
        <v>-269588.47999999998</v>
      </c>
      <c r="D772" s="22">
        <v>-936666.61</v>
      </c>
    </row>
    <row r="773" spans="1:4" x14ac:dyDescent="0.2">
      <c r="A773" s="23" t="s">
        <v>5189</v>
      </c>
      <c r="B773" s="23" t="s">
        <v>5190</v>
      </c>
      <c r="C773" s="22">
        <v>0</v>
      </c>
      <c r="D773" s="22">
        <v>0</v>
      </c>
    </row>
    <row r="774" spans="1:4" x14ac:dyDescent="0.2">
      <c r="A774" s="23" t="s">
        <v>5191</v>
      </c>
      <c r="B774" s="23" t="s">
        <v>1997</v>
      </c>
      <c r="C774" s="22">
        <v>-949927.83</v>
      </c>
      <c r="D774" s="22">
        <v>-4392596.3600000003</v>
      </c>
    </row>
    <row r="775" spans="1:4" x14ac:dyDescent="0.2">
      <c r="A775" s="23" t="s">
        <v>1998</v>
      </c>
      <c r="B775" s="23" t="s">
        <v>1999</v>
      </c>
      <c r="C775" s="22">
        <v>0</v>
      </c>
      <c r="D775" s="22">
        <v>-87936</v>
      </c>
    </row>
    <row r="776" spans="1:4" x14ac:dyDescent="0.2">
      <c r="A776" s="23" t="s">
        <v>2000</v>
      </c>
      <c r="B776" s="23" t="s">
        <v>2001</v>
      </c>
      <c r="C776" s="22">
        <v>0</v>
      </c>
      <c r="D776" s="22">
        <v>-0.93</v>
      </c>
    </row>
    <row r="777" spans="1:4" x14ac:dyDescent="0.2">
      <c r="A777" s="23" t="s">
        <v>2002</v>
      </c>
      <c r="B777" s="23" t="s">
        <v>2003</v>
      </c>
      <c r="C777" s="22">
        <v>0</v>
      </c>
      <c r="D777" s="22">
        <v>0</v>
      </c>
    </row>
    <row r="778" spans="1:4" x14ac:dyDescent="0.2">
      <c r="A778" s="23" t="s">
        <v>2004</v>
      </c>
      <c r="B778" s="23" t="s">
        <v>2005</v>
      </c>
      <c r="C778" s="22">
        <v>-3460477.96</v>
      </c>
      <c r="D778" s="22">
        <v>0</v>
      </c>
    </row>
    <row r="779" spans="1:4" x14ac:dyDescent="0.2">
      <c r="A779" s="23" t="s">
        <v>2006</v>
      </c>
      <c r="B779" s="23" t="s">
        <v>2007</v>
      </c>
      <c r="C779" s="22">
        <v>0</v>
      </c>
      <c r="D779" s="22">
        <v>0</v>
      </c>
    </row>
    <row r="780" spans="1:4" x14ac:dyDescent="0.2">
      <c r="A780" s="23" t="s">
        <v>2008</v>
      </c>
      <c r="B780" s="23" t="s">
        <v>2009</v>
      </c>
      <c r="C780" s="22">
        <v>0</v>
      </c>
      <c r="D780" s="22">
        <v>0</v>
      </c>
    </row>
    <row r="781" spans="1:4" x14ac:dyDescent="0.2">
      <c r="A781" s="23" t="s">
        <v>2010</v>
      </c>
      <c r="B781" s="23" t="s">
        <v>2011</v>
      </c>
      <c r="C781" s="22">
        <v>0</v>
      </c>
      <c r="D781" s="22">
        <v>0</v>
      </c>
    </row>
    <row r="782" spans="1:4" x14ac:dyDescent="0.2">
      <c r="A782" s="23" t="s">
        <v>2012</v>
      </c>
      <c r="B782" s="23" t="s">
        <v>2013</v>
      </c>
      <c r="C782" s="22">
        <v>0</v>
      </c>
      <c r="D782" s="22">
        <v>0</v>
      </c>
    </row>
    <row r="783" spans="1:4" x14ac:dyDescent="0.2">
      <c r="A783" s="23" t="s">
        <v>2014</v>
      </c>
      <c r="B783" s="23" t="s">
        <v>2015</v>
      </c>
      <c r="C783" s="22">
        <v>218429.12</v>
      </c>
      <c r="D783" s="22">
        <v>-3639285.1</v>
      </c>
    </row>
    <row r="784" spans="1:4" x14ac:dyDescent="0.2">
      <c r="A784" s="23" t="s">
        <v>2016</v>
      </c>
      <c r="B784" s="23" t="s">
        <v>2017</v>
      </c>
      <c r="C784" s="22">
        <v>37400</v>
      </c>
      <c r="D784" s="22">
        <v>32006.07</v>
      </c>
    </row>
    <row r="785" spans="1:4" x14ac:dyDescent="0.2">
      <c r="A785" s="23" t="s">
        <v>63</v>
      </c>
      <c r="B785" s="23" t="s">
        <v>64</v>
      </c>
      <c r="C785" s="22">
        <v>0</v>
      </c>
      <c r="D785" s="22">
        <v>0</v>
      </c>
    </row>
    <row r="786" spans="1:4" x14ac:dyDescent="0.2">
      <c r="A786" s="23" t="s">
        <v>65</v>
      </c>
      <c r="B786" s="23" t="s">
        <v>66</v>
      </c>
      <c r="C786" s="22">
        <v>-1706.58</v>
      </c>
      <c r="D786" s="22">
        <v>-5586.68</v>
      </c>
    </row>
    <row r="787" spans="1:4" x14ac:dyDescent="0.2">
      <c r="A787" s="23" t="s">
        <v>67</v>
      </c>
      <c r="B787" s="23" t="s">
        <v>68</v>
      </c>
      <c r="C787" s="22">
        <v>0</v>
      </c>
      <c r="D787" s="22">
        <v>0</v>
      </c>
    </row>
    <row r="788" spans="1:4" x14ac:dyDescent="0.2">
      <c r="A788" s="23" t="s">
        <v>69</v>
      </c>
      <c r="B788" s="23" t="s">
        <v>70</v>
      </c>
      <c r="C788" s="22">
        <v>-109000</v>
      </c>
      <c r="D788" s="22">
        <v>-819327.54</v>
      </c>
    </row>
    <row r="789" spans="1:4" x14ac:dyDescent="0.2">
      <c r="A789" s="23" t="s">
        <v>71</v>
      </c>
      <c r="B789" s="23" t="s">
        <v>72</v>
      </c>
      <c r="C789" s="22">
        <v>0</v>
      </c>
      <c r="D789" s="22">
        <v>0</v>
      </c>
    </row>
    <row r="790" spans="1:4" x14ac:dyDescent="0.2">
      <c r="A790" s="23" t="s">
        <v>73</v>
      </c>
      <c r="B790" s="23" t="s">
        <v>74</v>
      </c>
      <c r="C790" s="22">
        <v>2395</v>
      </c>
      <c r="D790" s="22">
        <v>-7906</v>
      </c>
    </row>
    <row r="791" spans="1:4" x14ac:dyDescent="0.2">
      <c r="A791" s="23" t="s">
        <v>75</v>
      </c>
      <c r="B791" s="23" t="s">
        <v>76</v>
      </c>
      <c r="C791" s="22">
        <v>7667</v>
      </c>
      <c r="D791" s="22">
        <v>-129958</v>
      </c>
    </row>
    <row r="792" spans="1:4" x14ac:dyDescent="0.2">
      <c r="A792" s="23" t="s">
        <v>77</v>
      </c>
      <c r="B792" s="23" t="s">
        <v>78</v>
      </c>
      <c r="C792" s="22">
        <v>33542</v>
      </c>
      <c r="D792" s="22">
        <v>-174574</v>
      </c>
    </row>
    <row r="793" spans="1:4" x14ac:dyDescent="0.2">
      <c r="A793" s="23" t="s">
        <v>79</v>
      </c>
      <c r="B793" s="23" t="s">
        <v>80</v>
      </c>
      <c r="C793" s="22">
        <v>4295</v>
      </c>
      <c r="D793" s="22">
        <v>-67875</v>
      </c>
    </row>
    <row r="794" spans="1:4" x14ac:dyDescent="0.2">
      <c r="A794" s="23" t="s">
        <v>81</v>
      </c>
      <c r="B794" s="23" t="s">
        <v>82</v>
      </c>
      <c r="C794" s="22">
        <v>3367</v>
      </c>
      <c r="D794" s="22">
        <v>-17789</v>
      </c>
    </row>
    <row r="795" spans="1:4" x14ac:dyDescent="0.2">
      <c r="A795" s="23" t="s">
        <v>83</v>
      </c>
      <c r="B795" s="23" t="s">
        <v>84</v>
      </c>
      <c r="C795" s="22">
        <v>3912</v>
      </c>
      <c r="D795" s="22">
        <v>-31512</v>
      </c>
    </row>
    <row r="796" spans="1:4" x14ac:dyDescent="0.2">
      <c r="A796" s="23" t="s">
        <v>85</v>
      </c>
      <c r="B796" s="23" t="s">
        <v>86</v>
      </c>
      <c r="C796" s="22">
        <v>23625</v>
      </c>
      <c r="D796" s="22">
        <v>-213341</v>
      </c>
    </row>
    <row r="797" spans="1:4" x14ac:dyDescent="0.2">
      <c r="A797" s="23" t="s">
        <v>87</v>
      </c>
      <c r="B797" s="23" t="s">
        <v>88</v>
      </c>
      <c r="C797" s="22">
        <v>2195</v>
      </c>
      <c r="D797" s="22">
        <v>-20435</v>
      </c>
    </row>
    <row r="798" spans="1:4" x14ac:dyDescent="0.2">
      <c r="A798" s="23" t="s">
        <v>89</v>
      </c>
      <c r="B798" s="23" t="s">
        <v>90</v>
      </c>
      <c r="C798" s="22">
        <v>-358</v>
      </c>
      <c r="D798" s="22">
        <v>-4578</v>
      </c>
    </row>
    <row r="799" spans="1:4" x14ac:dyDescent="0.2">
      <c r="A799" s="23" t="s">
        <v>91</v>
      </c>
      <c r="B799" s="23" t="s">
        <v>92</v>
      </c>
      <c r="C799" s="22">
        <v>-6707</v>
      </c>
      <c r="D799" s="22">
        <v>-104088</v>
      </c>
    </row>
    <row r="800" spans="1:4" x14ac:dyDescent="0.2">
      <c r="A800" s="23" t="s">
        <v>93</v>
      </c>
      <c r="B800" s="23" t="s">
        <v>94</v>
      </c>
      <c r="C800" s="22">
        <v>98978</v>
      </c>
      <c r="D800" s="22">
        <v>-1910091</v>
      </c>
    </row>
    <row r="801" spans="1:4" x14ac:dyDescent="0.2">
      <c r="A801" s="23" t="s">
        <v>95</v>
      </c>
      <c r="B801" s="23" t="s">
        <v>96</v>
      </c>
      <c r="C801" s="22">
        <v>-728</v>
      </c>
      <c r="D801" s="22">
        <v>-4983</v>
      </c>
    </row>
    <row r="802" spans="1:4" x14ac:dyDescent="0.2">
      <c r="A802" s="23" t="s">
        <v>97</v>
      </c>
      <c r="B802" s="23" t="s">
        <v>98</v>
      </c>
      <c r="C802" s="22">
        <v>37</v>
      </c>
      <c r="D802" s="22">
        <v>-6481</v>
      </c>
    </row>
    <row r="803" spans="1:4" x14ac:dyDescent="0.2">
      <c r="A803" s="23" t="s">
        <v>99</v>
      </c>
      <c r="B803" t="s">
        <v>4481</v>
      </c>
      <c r="C803" s="22">
        <v>45975242.539999999</v>
      </c>
      <c r="D803" s="22">
        <v>-12545472.75</v>
      </c>
    </row>
    <row r="804" spans="1:4" x14ac:dyDescent="0.2">
      <c r="A804" s="23" t="s">
        <v>100</v>
      </c>
      <c r="B804" s="23" t="s">
        <v>101</v>
      </c>
      <c r="C804" s="22">
        <v>-39583.339999999997</v>
      </c>
      <c r="D804" s="22">
        <v>-239583.34</v>
      </c>
    </row>
    <row r="805" spans="1:4" x14ac:dyDescent="0.2">
      <c r="A805" s="23" t="s">
        <v>102</v>
      </c>
      <c r="B805" s="23" t="s">
        <v>103</v>
      </c>
      <c r="C805" s="22">
        <v>0</v>
      </c>
      <c r="D805" s="22">
        <v>0</v>
      </c>
    </row>
    <row r="806" spans="1:4" x14ac:dyDescent="0.2">
      <c r="A806" s="23" t="s">
        <v>104</v>
      </c>
      <c r="B806" s="23" t="s">
        <v>105</v>
      </c>
      <c r="C806" s="22">
        <v>4448910.17</v>
      </c>
      <c r="D806" s="22">
        <v>-1614750.54</v>
      </c>
    </row>
    <row r="807" spans="1:4" x14ac:dyDescent="0.2">
      <c r="A807" s="23" t="s">
        <v>106</v>
      </c>
      <c r="B807" s="23" t="s">
        <v>107</v>
      </c>
      <c r="C807" s="22">
        <v>0</v>
      </c>
      <c r="D807" s="22">
        <v>0</v>
      </c>
    </row>
    <row r="808" spans="1:4" x14ac:dyDescent="0.2">
      <c r="A808" s="23" t="s">
        <v>108</v>
      </c>
      <c r="B808" s="23" t="s">
        <v>109</v>
      </c>
      <c r="C808" s="22">
        <v>-1364583.33</v>
      </c>
      <c r="D808" s="22">
        <v>-2046874.94</v>
      </c>
    </row>
    <row r="809" spans="1:4" x14ac:dyDescent="0.2">
      <c r="A809" s="23" t="s">
        <v>110</v>
      </c>
      <c r="B809" s="23" t="s">
        <v>111</v>
      </c>
      <c r="C809" s="22">
        <v>0</v>
      </c>
      <c r="D809" s="22">
        <v>0</v>
      </c>
    </row>
    <row r="810" spans="1:4" x14ac:dyDescent="0.2">
      <c r="A810" s="23" t="s">
        <v>112</v>
      </c>
      <c r="B810" s="23" t="s">
        <v>113</v>
      </c>
      <c r="C810" s="22">
        <v>0</v>
      </c>
      <c r="D810" s="22">
        <v>0</v>
      </c>
    </row>
    <row r="811" spans="1:4" x14ac:dyDescent="0.2">
      <c r="A811" s="23" t="s">
        <v>114</v>
      </c>
      <c r="B811" s="23" t="s">
        <v>115</v>
      </c>
      <c r="C811" s="22">
        <v>0</v>
      </c>
      <c r="D811" s="22">
        <v>0</v>
      </c>
    </row>
    <row r="812" spans="1:4" x14ac:dyDescent="0.2">
      <c r="A812" s="23" t="s">
        <v>116</v>
      </c>
      <c r="B812" s="23" t="s">
        <v>113</v>
      </c>
      <c r="C812" s="22">
        <v>0</v>
      </c>
      <c r="D812" s="22">
        <v>0</v>
      </c>
    </row>
    <row r="813" spans="1:4" x14ac:dyDescent="0.2">
      <c r="A813" s="23" t="s">
        <v>117</v>
      </c>
      <c r="B813" s="23" t="s">
        <v>118</v>
      </c>
      <c r="C813" s="22">
        <v>0</v>
      </c>
      <c r="D813" s="22">
        <v>0</v>
      </c>
    </row>
    <row r="814" spans="1:4" x14ac:dyDescent="0.2">
      <c r="A814" s="23" t="s">
        <v>119</v>
      </c>
      <c r="B814" s="23" t="s">
        <v>120</v>
      </c>
      <c r="C814" s="22">
        <v>0</v>
      </c>
      <c r="D814" s="22">
        <v>0</v>
      </c>
    </row>
    <row r="815" spans="1:4" x14ac:dyDescent="0.2">
      <c r="A815" s="23" t="s">
        <v>121</v>
      </c>
      <c r="B815" s="23" t="s">
        <v>122</v>
      </c>
      <c r="C815" s="22">
        <v>0</v>
      </c>
      <c r="D815" s="22">
        <v>0</v>
      </c>
    </row>
    <row r="816" spans="1:4" x14ac:dyDescent="0.2">
      <c r="A816" s="23" t="s">
        <v>123</v>
      </c>
      <c r="B816" s="23" t="s">
        <v>124</v>
      </c>
      <c r="C816" s="22">
        <v>0</v>
      </c>
      <c r="D816" s="22">
        <v>0</v>
      </c>
    </row>
    <row r="817" spans="1:4" x14ac:dyDescent="0.2">
      <c r="A817" s="23" t="s">
        <v>125</v>
      </c>
      <c r="B817" s="23" t="s">
        <v>126</v>
      </c>
      <c r="C817" s="22">
        <v>0</v>
      </c>
      <c r="D817" s="22">
        <v>-32207.99</v>
      </c>
    </row>
    <row r="818" spans="1:4" x14ac:dyDescent="0.2">
      <c r="A818" s="23" t="s">
        <v>127</v>
      </c>
      <c r="B818" s="23" t="s">
        <v>128</v>
      </c>
      <c r="C818" s="22">
        <v>-1038666.67</v>
      </c>
      <c r="D818" s="22">
        <v>-1590458.34</v>
      </c>
    </row>
    <row r="819" spans="1:4" x14ac:dyDescent="0.2">
      <c r="A819" s="23" t="s">
        <v>129</v>
      </c>
      <c r="B819" s="23" t="s">
        <v>122</v>
      </c>
      <c r="C819" s="22">
        <v>-34021.870000000003</v>
      </c>
      <c r="D819" s="22">
        <v>-67208.149999999994</v>
      </c>
    </row>
    <row r="820" spans="1:4" x14ac:dyDescent="0.2">
      <c r="A820" s="23" t="s">
        <v>130</v>
      </c>
      <c r="B820" s="23" t="s">
        <v>131</v>
      </c>
      <c r="C820" s="22">
        <v>6015625</v>
      </c>
      <c r="D820" s="22">
        <v>-601562.5</v>
      </c>
    </row>
    <row r="821" spans="1:4" x14ac:dyDescent="0.2">
      <c r="A821" s="23" t="s">
        <v>132</v>
      </c>
      <c r="B821" s="23" t="s">
        <v>133</v>
      </c>
      <c r="C821" s="22">
        <v>-257911.25</v>
      </c>
      <c r="D821" s="22">
        <v>-773733.75</v>
      </c>
    </row>
    <row r="822" spans="1:4" x14ac:dyDescent="0.2">
      <c r="A822" s="23" t="s">
        <v>134</v>
      </c>
      <c r="B822" s="23" t="s">
        <v>135</v>
      </c>
      <c r="C822" s="22">
        <v>-396000</v>
      </c>
      <c r="D822" s="22">
        <v>-1188000</v>
      </c>
    </row>
    <row r="823" spans="1:4" x14ac:dyDescent="0.2">
      <c r="A823" s="23" t="s">
        <v>136</v>
      </c>
      <c r="B823" s="23" t="s">
        <v>131</v>
      </c>
      <c r="C823" s="22">
        <v>-1753125</v>
      </c>
      <c r="D823" s="22">
        <v>-7889062.5</v>
      </c>
    </row>
    <row r="824" spans="1:4" x14ac:dyDescent="0.2">
      <c r="A824" s="23" t="s">
        <v>137</v>
      </c>
      <c r="B824" s="23" t="s">
        <v>138</v>
      </c>
      <c r="C824" s="22">
        <v>0</v>
      </c>
      <c r="D824" s="22">
        <v>0</v>
      </c>
    </row>
    <row r="825" spans="1:4" x14ac:dyDescent="0.2">
      <c r="A825" s="23" t="s">
        <v>139</v>
      </c>
      <c r="B825" s="23" t="s">
        <v>140</v>
      </c>
      <c r="C825" s="22">
        <v>-1302083.33</v>
      </c>
      <c r="D825" s="22">
        <v>-3255208.17</v>
      </c>
    </row>
    <row r="826" spans="1:4" x14ac:dyDescent="0.2">
      <c r="A826" s="23" t="s">
        <v>141</v>
      </c>
      <c r="B826" s="23" t="s">
        <v>115</v>
      </c>
      <c r="C826" s="22">
        <v>-18970.009999999998</v>
      </c>
      <c r="D826" s="22">
        <v>-37488.33</v>
      </c>
    </row>
    <row r="827" spans="1:4" x14ac:dyDescent="0.2">
      <c r="A827" s="23" t="s">
        <v>142</v>
      </c>
      <c r="B827" s="23" t="s">
        <v>143</v>
      </c>
      <c r="C827" s="22">
        <v>-27520</v>
      </c>
      <c r="D827" s="22">
        <v>-83983.3</v>
      </c>
    </row>
    <row r="828" spans="1:4" x14ac:dyDescent="0.2">
      <c r="A828" s="23" t="s">
        <v>144</v>
      </c>
      <c r="B828" s="23" t="s">
        <v>145</v>
      </c>
      <c r="C828" s="22">
        <v>7666.67</v>
      </c>
      <c r="D828" s="22">
        <v>-50333.33</v>
      </c>
    </row>
    <row r="829" spans="1:4" x14ac:dyDescent="0.2">
      <c r="A829" s="23" t="s">
        <v>146</v>
      </c>
      <c r="B829" s="23" t="s">
        <v>147</v>
      </c>
      <c r="C829" s="22">
        <v>-913.75</v>
      </c>
      <c r="D829" s="22">
        <v>-6552.63</v>
      </c>
    </row>
    <row r="830" spans="1:4" x14ac:dyDescent="0.2">
      <c r="A830" s="23" t="s">
        <v>148</v>
      </c>
      <c r="B830" s="23" t="s">
        <v>149</v>
      </c>
      <c r="C830" s="22">
        <v>-3000.56</v>
      </c>
      <c r="D830" s="22">
        <v>0</v>
      </c>
    </row>
    <row r="831" spans="1:4" x14ac:dyDescent="0.2">
      <c r="A831" s="23" t="s">
        <v>150</v>
      </c>
      <c r="B831" s="23" t="s">
        <v>151</v>
      </c>
      <c r="C831" s="22">
        <v>0</v>
      </c>
      <c r="D831" s="22">
        <v>0</v>
      </c>
    </row>
    <row r="832" spans="1:4" x14ac:dyDescent="0.2">
      <c r="A832" s="23" t="s">
        <v>152</v>
      </c>
      <c r="B832" s="23" t="s">
        <v>153</v>
      </c>
      <c r="C832" s="22">
        <v>-30017.61</v>
      </c>
      <c r="D832" s="22">
        <v>-30017.61</v>
      </c>
    </row>
    <row r="833" spans="1:4" x14ac:dyDescent="0.2">
      <c r="A833" s="23" t="s">
        <v>154</v>
      </c>
      <c r="B833" s="23" t="s">
        <v>155</v>
      </c>
      <c r="C833" s="22">
        <v>3000.56</v>
      </c>
      <c r="D833" s="22">
        <v>0</v>
      </c>
    </row>
    <row r="834" spans="1:4" x14ac:dyDescent="0.2">
      <c r="A834" s="23" t="s">
        <v>156</v>
      </c>
      <c r="B834" s="23" t="s">
        <v>157</v>
      </c>
      <c r="C834" s="22">
        <v>0</v>
      </c>
      <c r="D834" s="22">
        <v>0</v>
      </c>
    </row>
    <row r="835" spans="1:4" x14ac:dyDescent="0.2">
      <c r="A835" s="23" t="s">
        <v>158</v>
      </c>
      <c r="B835" t="s">
        <v>4481</v>
      </c>
      <c r="C835" s="22">
        <v>4208805.68</v>
      </c>
      <c r="D835" s="22">
        <v>-19507025.420000002</v>
      </c>
    </row>
    <row r="836" spans="1:4" x14ac:dyDescent="0.2">
      <c r="A836" s="23" t="s">
        <v>2845</v>
      </c>
      <c r="B836" s="23" t="s">
        <v>2846</v>
      </c>
      <c r="C836" s="22">
        <v>0</v>
      </c>
      <c r="D836" s="22">
        <v>0</v>
      </c>
    </row>
    <row r="837" spans="1:4" x14ac:dyDescent="0.2">
      <c r="A837" s="23" t="s">
        <v>2847</v>
      </c>
      <c r="B837" t="s">
        <v>4481</v>
      </c>
      <c r="C837" s="22">
        <v>0</v>
      </c>
      <c r="D837" s="22">
        <v>0</v>
      </c>
    </row>
    <row r="838" spans="1:4" x14ac:dyDescent="0.2">
      <c r="A838" s="23" t="s">
        <v>2848</v>
      </c>
      <c r="B838" s="23" t="s">
        <v>2849</v>
      </c>
      <c r="C838" s="22">
        <v>-6567.95</v>
      </c>
      <c r="D838" s="22">
        <v>-95093.63</v>
      </c>
    </row>
    <row r="839" spans="1:4" x14ac:dyDescent="0.2">
      <c r="A839" s="23" t="s">
        <v>2850</v>
      </c>
      <c r="B839" s="23" t="s">
        <v>2851</v>
      </c>
      <c r="C839" s="22">
        <v>-28.86</v>
      </c>
      <c r="D839" s="22">
        <v>-3083.07</v>
      </c>
    </row>
    <row r="840" spans="1:4" x14ac:dyDescent="0.2">
      <c r="A840" s="23" t="s">
        <v>2852</v>
      </c>
      <c r="B840" s="23" t="s">
        <v>2853</v>
      </c>
      <c r="C840" s="22">
        <v>-53.03</v>
      </c>
      <c r="D840" s="22">
        <v>-1628.3</v>
      </c>
    </row>
    <row r="841" spans="1:4" x14ac:dyDescent="0.2">
      <c r="A841" s="23" t="s">
        <v>2854</v>
      </c>
      <c r="B841" s="23" t="s">
        <v>2855</v>
      </c>
      <c r="C841" s="22">
        <v>-394.87</v>
      </c>
      <c r="D841" s="22">
        <v>-11909.92</v>
      </c>
    </row>
    <row r="842" spans="1:4" x14ac:dyDescent="0.2">
      <c r="A842" s="23" t="s">
        <v>2856</v>
      </c>
      <c r="B842" s="23" t="s">
        <v>2857</v>
      </c>
      <c r="C842" s="22">
        <v>-197417.43</v>
      </c>
      <c r="D842" s="22">
        <v>-848820.44</v>
      </c>
    </row>
    <row r="843" spans="1:4" x14ac:dyDescent="0.2">
      <c r="A843" s="23" t="s">
        <v>2858</v>
      </c>
      <c r="B843" s="23" t="s">
        <v>2859</v>
      </c>
      <c r="C843" s="22">
        <v>-8.94</v>
      </c>
      <c r="D843" s="22">
        <v>-37.799999999999997</v>
      </c>
    </row>
    <row r="844" spans="1:4" x14ac:dyDescent="0.2">
      <c r="A844" s="23" t="s">
        <v>2860</v>
      </c>
      <c r="B844" s="23" t="s">
        <v>2861</v>
      </c>
      <c r="C844" s="22">
        <v>-1005.49</v>
      </c>
      <c r="D844" s="22">
        <v>-3333.39</v>
      </c>
    </row>
    <row r="845" spans="1:4" x14ac:dyDescent="0.2">
      <c r="A845" s="23" t="s">
        <v>2862</v>
      </c>
      <c r="B845" s="23" t="s">
        <v>2863</v>
      </c>
      <c r="C845" s="22">
        <v>0</v>
      </c>
      <c r="D845" s="22">
        <v>0</v>
      </c>
    </row>
    <row r="846" spans="1:4" x14ac:dyDescent="0.2">
      <c r="A846" s="23" t="s">
        <v>2864</v>
      </c>
      <c r="B846" s="23" t="s">
        <v>2865</v>
      </c>
      <c r="C846" s="22">
        <v>-63.47</v>
      </c>
      <c r="D846" s="22">
        <v>-812.5</v>
      </c>
    </row>
    <row r="847" spans="1:4" x14ac:dyDescent="0.2">
      <c r="A847" s="23" t="s">
        <v>2866</v>
      </c>
      <c r="B847" s="23" t="s">
        <v>2867</v>
      </c>
      <c r="C847" s="22">
        <v>81565.289999999994</v>
      </c>
      <c r="D847" s="22">
        <v>-1794643.09</v>
      </c>
    </row>
    <row r="848" spans="1:4" x14ac:dyDescent="0.2">
      <c r="A848" s="23" t="s">
        <v>2868</v>
      </c>
      <c r="B848" s="23" t="s">
        <v>2869</v>
      </c>
      <c r="C848" s="22">
        <v>8407.69</v>
      </c>
      <c r="D848" s="22">
        <v>-111715.15</v>
      </c>
    </row>
    <row r="849" spans="1:4" x14ac:dyDescent="0.2">
      <c r="A849" s="23" t="s">
        <v>2870</v>
      </c>
      <c r="B849" s="23" t="s">
        <v>2871</v>
      </c>
      <c r="C849" s="22">
        <v>16552.62</v>
      </c>
      <c r="D849" s="22">
        <v>-165104.79</v>
      </c>
    </row>
    <row r="850" spans="1:4" x14ac:dyDescent="0.2">
      <c r="A850" s="23" t="s">
        <v>2872</v>
      </c>
      <c r="B850" s="23" t="s">
        <v>2873</v>
      </c>
      <c r="C850" s="22">
        <v>1599.1</v>
      </c>
      <c r="D850" s="22">
        <v>-5220.46</v>
      </c>
    </row>
    <row r="851" spans="1:4" x14ac:dyDescent="0.2">
      <c r="A851" s="23" t="s">
        <v>2874</v>
      </c>
      <c r="B851" s="23" t="s">
        <v>2513</v>
      </c>
      <c r="C851" s="22">
        <v>6314.94</v>
      </c>
      <c r="D851" s="22">
        <v>-84357.95</v>
      </c>
    </row>
    <row r="852" spans="1:4" x14ac:dyDescent="0.2">
      <c r="A852" s="23" t="s">
        <v>2514</v>
      </c>
      <c r="B852" s="23" t="s">
        <v>2515</v>
      </c>
      <c r="C852" s="22">
        <v>26888.35</v>
      </c>
      <c r="D852" s="22">
        <v>-186287.94</v>
      </c>
    </row>
    <row r="853" spans="1:4" x14ac:dyDescent="0.2">
      <c r="A853" s="23" t="s">
        <v>2516</v>
      </c>
      <c r="B853" s="23" t="s">
        <v>2517</v>
      </c>
      <c r="C853" s="22">
        <v>1237.24</v>
      </c>
      <c r="D853" s="22">
        <v>-21006.1</v>
      </c>
    </row>
    <row r="854" spans="1:4" x14ac:dyDescent="0.2">
      <c r="A854" s="23" t="s">
        <v>2518</v>
      </c>
      <c r="B854" s="23" t="s">
        <v>2519</v>
      </c>
      <c r="C854" s="22">
        <v>3172.13</v>
      </c>
      <c r="D854" s="22">
        <v>-30136.37</v>
      </c>
    </row>
    <row r="855" spans="1:4" x14ac:dyDescent="0.2">
      <c r="A855" s="23" t="s">
        <v>2520</v>
      </c>
      <c r="B855" s="23" t="s">
        <v>2521</v>
      </c>
      <c r="C855" s="22">
        <v>-163.74</v>
      </c>
      <c r="D855" s="22">
        <v>-16408.66</v>
      </c>
    </row>
    <row r="856" spans="1:4" x14ac:dyDescent="0.2">
      <c r="A856" s="23" t="s">
        <v>2522</v>
      </c>
      <c r="B856" s="23" t="s">
        <v>2523</v>
      </c>
      <c r="C856" s="22">
        <v>-5284.21</v>
      </c>
      <c r="D856" s="22">
        <v>-78605</v>
      </c>
    </row>
    <row r="857" spans="1:4" x14ac:dyDescent="0.2">
      <c r="A857" s="23" t="s">
        <v>2524</v>
      </c>
      <c r="B857" s="23" t="s">
        <v>2525</v>
      </c>
      <c r="C857" s="22">
        <v>32959.49</v>
      </c>
      <c r="D857" s="22">
        <v>-373155.68</v>
      </c>
    </row>
    <row r="858" spans="1:4" x14ac:dyDescent="0.2">
      <c r="A858" s="23" t="s">
        <v>2526</v>
      </c>
      <c r="B858" s="23" t="s">
        <v>2527</v>
      </c>
      <c r="C858" s="22">
        <v>1208.76</v>
      </c>
      <c r="D858" s="22">
        <v>-4309.21</v>
      </c>
    </row>
    <row r="859" spans="1:4" x14ac:dyDescent="0.2">
      <c r="A859" s="23" t="s">
        <v>2528</v>
      </c>
      <c r="B859" s="23" t="s">
        <v>2529</v>
      </c>
      <c r="C859" s="22">
        <v>0</v>
      </c>
      <c r="D859" s="22">
        <v>0</v>
      </c>
    </row>
    <row r="860" spans="1:4" x14ac:dyDescent="0.2">
      <c r="A860" s="23" t="s">
        <v>2530</v>
      </c>
      <c r="B860" s="23" t="s">
        <v>2531</v>
      </c>
      <c r="C860" s="22">
        <v>-4.3499999999999996</v>
      </c>
      <c r="D860" s="22">
        <v>-2138.89</v>
      </c>
    </row>
    <row r="861" spans="1:4" x14ac:dyDescent="0.2">
      <c r="A861" s="23" t="s">
        <v>2532</v>
      </c>
      <c r="B861" s="23" t="s">
        <v>2533</v>
      </c>
      <c r="C861" s="22">
        <v>0</v>
      </c>
      <c r="D861" s="22">
        <v>0</v>
      </c>
    </row>
    <row r="862" spans="1:4" x14ac:dyDescent="0.2">
      <c r="A862" s="23" t="s">
        <v>2534</v>
      </c>
      <c r="B862" s="23" t="s">
        <v>2535</v>
      </c>
      <c r="C862" s="22">
        <v>-5.56</v>
      </c>
      <c r="D862" s="22">
        <v>-76.95</v>
      </c>
    </row>
    <row r="863" spans="1:4" x14ac:dyDescent="0.2">
      <c r="A863" s="23" t="s">
        <v>2536</v>
      </c>
      <c r="B863" s="23" t="s">
        <v>2535</v>
      </c>
      <c r="C863" s="22">
        <v>-65.78</v>
      </c>
      <c r="D863" s="22">
        <v>-287.64999999999998</v>
      </c>
    </row>
    <row r="864" spans="1:4" x14ac:dyDescent="0.2">
      <c r="A864" s="23" t="s">
        <v>2537</v>
      </c>
      <c r="B864" s="23" t="s">
        <v>2538</v>
      </c>
      <c r="C864" s="22">
        <v>305.10000000000002</v>
      </c>
      <c r="D864" s="22">
        <v>493.56</v>
      </c>
    </row>
    <row r="865" spans="1:4" x14ac:dyDescent="0.2">
      <c r="A865" s="23" t="s">
        <v>2539</v>
      </c>
      <c r="B865" s="23" t="s">
        <v>2540</v>
      </c>
      <c r="C865" s="22">
        <v>0</v>
      </c>
      <c r="D865" s="22">
        <v>140.30000000000001</v>
      </c>
    </row>
    <row r="866" spans="1:4" x14ac:dyDescent="0.2">
      <c r="A866" s="23" t="s">
        <v>2541</v>
      </c>
      <c r="B866" s="23" t="s">
        <v>2542</v>
      </c>
      <c r="C866" s="22">
        <v>0</v>
      </c>
      <c r="D866" s="22">
        <v>0</v>
      </c>
    </row>
    <row r="867" spans="1:4" x14ac:dyDescent="0.2">
      <c r="A867" s="23" t="s">
        <v>2543</v>
      </c>
      <c r="B867" s="23" t="s">
        <v>2544</v>
      </c>
      <c r="C867" s="22">
        <v>0</v>
      </c>
      <c r="D867" s="22">
        <v>7387.65</v>
      </c>
    </row>
    <row r="868" spans="1:4" x14ac:dyDescent="0.2">
      <c r="A868" s="23" t="s">
        <v>2545</v>
      </c>
      <c r="B868" s="23" t="s">
        <v>2546</v>
      </c>
      <c r="C868" s="22">
        <v>15432.71</v>
      </c>
      <c r="D868" s="22">
        <v>-790147.41</v>
      </c>
    </row>
    <row r="869" spans="1:4" x14ac:dyDescent="0.2">
      <c r="A869" s="23" t="s">
        <v>2547</v>
      </c>
      <c r="B869" s="23" t="s">
        <v>2548</v>
      </c>
      <c r="C869" s="22">
        <v>5364.56</v>
      </c>
      <c r="D869" s="22">
        <v>-54309.73</v>
      </c>
    </row>
    <row r="870" spans="1:4" x14ac:dyDescent="0.2">
      <c r="A870" s="23" t="s">
        <v>2549</v>
      </c>
      <c r="B870" s="23" t="s">
        <v>2550</v>
      </c>
      <c r="C870" s="22">
        <v>-1327.84</v>
      </c>
      <c r="D870" s="22">
        <v>-68620.81</v>
      </c>
    </row>
    <row r="871" spans="1:4" x14ac:dyDescent="0.2">
      <c r="A871" s="23" t="s">
        <v>2551</v>
      </c>
      <c r="B871" s="23" t="s">
        <v>2855</v>
      </c>
      <c r="C871" s="22">
        <v>14758.46</v>
      </c>
      <c r="D871" s="22">
        <v>-273848.78999999998</v>
      </c>
    </row>
    <row r="872" spans="1:4" x14ac:dyDescent="0.2">
      <c r="A872" s="23" t="s">
        <v>2552</v>
      </c>
      <c r="B872" s="23" t="s">
        <v>2553</v>
      </c>
      <c r="C872" s="22">
        <v>-952.76</v>
      </c>
      <c r="D872" s="22">
        <v>-797.76</v>
      </c>
    </row>
    <row r="873" spans="1:4" x14ac:dyDescent="0.2">
      <c r="A873" s="23" t="s">
        <v>2554</v>
      </c>
      <c r="B873" s="23" t="s">
        <v>2555</v>
      </c>
      <c r="C873" s="22">
        <v>0</v>
      </c>
      <c r="D873" s="22">
        <v>0</v>
      </c>
    </row>
    <row r="874" spans="1:4" x14ac:dyDescent="0.2">
      <c r="A874" s="23" t="s">
        <v>2556</v>
      </c>
      <c r="B874" t="s">
        <v>4481</v>
      </c>
      <c r="C874" s="22">
        <v>2422.16</v>
      </c>
      <c r="D874" s="22">
        <v>-5017875.93</v>
      </c>
    </row>
    <row r="875" spans="1:4" x14ac:dyDescent="0.2">
      <c r="A875" s="23" t="s">
        <v>2557</v>
      </c>
      <c r="B875" s="23" t="s">
        <v>2558</v>
      </c>
      <c r="C875" s="22">
        <v>-283157.2</v>
      </c>
      <c r="D875" s="22">
        <v>-13507312.310000001</v>
      </c>
    </row>
    <row r="876" spans="1:4" x14ac:dyDescent="0.2">
      <c r="A876" s="23" t="s">
        <v>2559</v>
      </c>
      <c r="B876" s="23" t="s">
        <v>2560</v>
      </c>
      <c r="C876" s="22">
        <v>0</v>
      </c>
      <c r="D876" s="22">
        <v>-9655024</v>
      </c>
    </row>
    <row r="877" spans="1:4" x14ac:dyDescent="0.2">
      <c r="A877" s="23" t="s">
        <v>2561</v>
      </c>
      <c r="B877" s="23" t="s">
        <v>1510</v>
      </c>
      <c r="C877" s="22">
        <v>0</v>
      </c>
      <c r="D877" s="22">
        <v>-223314</v>
      </c>
    </row>
    <row r="878" spans="1:4" x14ac:dyDescent="0.2">
      <c r="A878" s="23" t="s">
        <v>2562</v>
      </c>
      <c r="B878" s="23" t="s">
        <v>2563</v>
      </c>
      <c r="C878" s="22">
        <v>0</v>
      </c>
      <c r="D878" s="22">
        <v>0</v>
      </c>
    </row>
    <row r="879" spans="1:4" x14ac:dyDescent="0.2">
      <c r="A879" s="23" t="s">
        <v>2564</v>
      </c>
      <c r="B879" s="23" t="s">
        <v>2565</v>
      </c>
      <c r="C879" s="22">
        <v>0</v>
      </c>
      <c r="D879" s="22">
        <v>0</v>
      </c>
    </row>
    <row r="880" spans="1:4" x14ac:dyDescent="0.2">
      <c r="A880" s="23" t="s">
        <v>2566</v>
      </c>
      <c r="B880" t="s">
        <v>4481</v>
      </c>
      <c r="C880" s="22">
        <v>-283157.2</v>
      </c>
      <c r="D880" s="22">
        <v>-23385650.309999999</v>
      </c>
    </row>
    <row r="881" spans="1:4" x14ac:dyDescent="0.2">
      <c r="A881" s="23" t="s">
        <v>2567</v>
      </c>
      <c r="B881" s="23" t="s">
        <v>2875</v>
      </c>
      <c r="C881" s="22">
        <v>11917160</v>
      </c>
      <c r="D881" s="22">
        <v>-11347630</v>
      </c>
    </row>
    <row r="882" spans="1:4" x14ac:dyDescent="0.2">
      <c r="A882" s="23" t="s">
        <v>2876</v>
      </c>
      <c r="B882" s="23" t="s">
        <v>2877</v>
      </c>
      <c r="C882" s="22">
        <v>-259180</v>
      </c>
      <c r="D882" s="22">
        <v>-259180</v>
      </c>
    </row>
    <row r="883" spans="1:4" x14ac:dyDescent="0.2">
      <c r="A883" s="23" t="s">
        <v>2878</v>
      </c>
      <c r="B883" s="23" t="s">
        <v>2879</v>
      </c>
      <c r="C883" s="22">
        <v>0</v>
      </c>
      <c r="D883" s="22">
        <v>0</v>
      </c>
    </row>
    <row r="884" spans="1:4" x14ac:dyDescent="0.2">
      <c r="A884" s="23" t="s">
        <v>2880</v>
      </c>
      <c r="B884" s="23" t="s">
        <v>2875</v>
      </c>
      <c r="C884" s="22">
        <v>1069810</v>
      </c>
      <c r="D884" s="22">
        <v>-19580</v>
      </c>
    </row>
    <row r="885" spans="1:4" x14ac:dyDescent="0.2">
      <c r="A885" s="23" t="s">
        <v>2881</v>
      </c>
      <c r="B885" s="23" t="s">
        <v>2877</v>
      </c>
      <c r="C885" s="22">
        <v>-1305370</v>
      </c>
      <c r="D885" s="22">
        <v>-1441770</v>
      </c>
    </row>
    <row r="886" spans="1:4" x14ac:dyDescent="0.2">
      <c r="A886" s="23" t="s">
        <v>2882</v>
      </c>
      <c r="B886" s="23" t="s">
        <v>2883</v>
      </c>
      <c r="C886" s="22">
        <v>-5778962</v>
      </c>
      <c r="D886" s="22">
        <v>-8433556</v>
      </c>
    </row>
    <row r="887" spans="1:4" x14ac:dyDescent="0.2">
      <c r="A887" s="23" t="s">
        <v>2884</v>
      </c>
      <c r="B887" s="23" t="s">
        <v>2885</v>
      </c>
      <c r="C887" s="22">
        <v>0</v>
      </c>
      <c r="D887" s="22">
        <v>0</v>
      </c>
    </row>
    <row r="888" spans="1:4" x14ac:dyDescent="0.2">
      <c r="A888" s="23" t="s">
        <v>2886</v>
      </c>
      <c r="B888" s="23" t="s">
        <v>2887</v>
      </c>
      <c r="C888" s="22">
        <v>-49800</v>
      </c>
      <c r="D888" s="22">
        <v>-52950</v>
      </c>
    </row>
    <row r="889" spans="1:4" x14ac:dyDescent="0.2">
      <c r="A889" s="23" t="s">
        <v>2888</v>
      </c>
      <c r="B889" t="s">
        <v>4481</v>
      </c>
      <c r="C889" s="22">
        <v>5593658</v>
      </c>
      <c r="D889" s="22">
        <v>-21554666</v>
      </c>
    </row>
    <row r="890" spans="1:4" x14ac:dyDescent="0.2">
      <c r="A890" s="23" t="s">
        <v>2889</v>
      </c>
      <c r="B890" s="23" t="s">
        <v>2890</v>
      </c>
      <c r="C890" s="22">
        <v>0</v>
      </c>
      <c r="D890" s="22">
        <v>0</v>
      </c>
    </row>
    <row r="891" spans="1:4" x14ac:dyDescent="0.2">
      <c r="A891" s="23" t="s">
        <v>2891</v>
      </c>
      <c r="B891" t="s">
        <v>4481</v>
      </c>
      <c r="C891" s="22">
        <v>0</v>
      </c>
      <c r="D891" s="22">
        <v>0</v>
      </c>
    </row>
    <row r="892" spans="1:4" x14ac:dyDescent="0.2">
      <c r="A892" s="23" t="s">
        <v>2892</v>
      </c>
      <c r="B892" s="23" t="s">
        <v>2893</v>
      </c>
      <c r="C892" s="22">
        <v>1706525.2</v>
      </c>
      <c r="D892" s="22">
        <v>-2898980.37</v>
      </c>
    </row>
    <row r="893" spans="1:4" x14ac:dyDescent="0.2">
      <c r="A893" s="23" t="s">
        <v>2894</v>
      </c>
      <c r="B893" s="23" t="s">
        <v>2895</v>
      </c>
      <c r="C893" s="22">
        <v>-5895</v>
      </c>
      <c r="D893" s="22">
        <v>-812576</v>
      </c>
    </row>
    <row r="894" spans="1:4" x14ac:dyDescent="0.2">
      <c r="A894" s="23" t="s">
        <v>2896</v>
      </c>
      <c r="B894" s="23" t="s">
        <v>2897</v>
      </c>
      <c r="C894" s="22">
        <v>0</v>
      </c>
      <c r="D894" s="22">
        <v>0</v>
      </c>
    </row>
    <row r="895" spans="1:4" x14ac:dyDescent="0.2">
      <c r="A895" s="23" t="s">
        <v>2898</v>
      </c>
      <c r="B895" s="23" t="s">
        <v>2899</v>
      </c>
      <c r="C895" s="22">
        <v>0</v>
      </c>
      <c r="D895" s="22">
        <v>-500</v>
      </c>
    </row>
    <row r="896" spans="1:4" x14ac:dyDescent="0.2">
      <c r="A896" s="23" t="s">
        <v>2900</v>
      </c>
      <c r="B896" s="23" t="s">
        <v>2901</v>
      </c>
      <c r="C896" s="22">
        <v>0</v>
      </c>
      <c r="D896" s="22">
        <v>0</v>
      </c>
    </row>
    <row r="897" spans="1:4" x14ac:dyDescent="0.2">
      <c r="A897" s="23" t="s">
        <v>2902</v>
      </c>
      <c r="B897" s="23" t="s">
        <v>2903</v>
      </c>
      <c r="C897" s="22">
        <v>0</v>
      </c>
      <c r="D897" s="22">
        <v>0</v>
      </c>
    </row>
    <row r="898" spans="1:4" x14ac:dyDescent="0.2">
      <c r="A898" s="23" t="s">
        <v>2904</v>
      </c>
      <c r="B898" s="23" t="s">
        <v>2905</v>
      </c>
      <c r="C898" s="22">
        <v>0</v>
      </c>
      <c r="D898" s="22">
        <v>0</v>
      </c>
    </row>
    <row r="899" spans="1:4" x14ac:dyDescent="0.2">
      <c r="A899" s="23" t="s">
        <v>2906</v>
      </c>
      <c r="B899" s="23" t="s">
        <v>2907</v>
      </c>
      <c r="C899" s="22">
        <v>0</v>
      </c>
      <c r="D899" s="22">
        <v>0</v>
      </c>
    </row>
    <row r="900" spans="1:4" x14ac:dyDescent="0.2">
      <c r="A900" s="23" t="s">
        <v>2908</v>
      </c>
      <c r="B900" s="23" t="s">
        <v>2909</v>
      </c>
      <c r="C900" s="22">
        <v>0</v>
      </c>
      <c r="D900" s="22">
        <v>0</v>
      </c>
    </row>
    <row r="901" spans="1:4" x14ac:dyDescent="0.2">
      <c r="A901" s="23" t="s">
        <v>2910</v>
      </c>
      <c r="B901" s="23" t="s">
        <v>2568</v>
      </c>
      <c r="C901" s="22">
        <v>0</v>
      </c>
      <c r="D901" s="22">
        <v>0</v>
      </c>
    </row>
    <row r="902" spans="1:4" x14ac:dyDescent="0.2">
      <c r="A902" s="23" t="s">
        <v>2569</v>
      </c>
      <c r="B902" s="23" t="s">
        <v>2570</v>
      </c>
      <c r="C902" s="22">
        <v>0</v>
      </c>
      <c r="D902" s="22">
        <v>0</v>
      </c>
    </row>
    <row r="903" spans="1:4" x14ac:dyDescent="0.2">
      <c r="A903" s="23" t="s">
        <v>2571</v>
      </c>
      <c r="B903" s="23" t="s">
        <v>2572</v>
      </c>
      <c r="C903" s="22">
        <v>0</v>
      </c>
      <c r="D903" s="22">
        <v>0</v>
      </c>
    </row>
    <row r="904" spans="1:4" x14ac:dyDescent="0.2">
      <c r="A904" s="23" t="s">
        <v>2573</v>
      </c>
      <c r="B904" s="23" t="s">
        <v>2574</v>
      </c>
      <c r="C904" s="22">
        <v>-6543.06</v>
      </c>
      <c r="D904" s="22">
        <v>-273299.31</v>
      </c>
    </row>
    <row r="905" spans="1:4" x14ac:dyDescent="0.2">
      <c r="A905" s="23" t="s">
        <v>2575</v>
      </c>
      <c r="B905" s="23" t="s">
        <v>2576</v>
      </c>
      <c r="C905" s="22">
        <v>-4660.76</v>
      </c>
      <c r="D905" s="22">
        <v>-183826.6</v>
      </c>
    </row>
    <row r="906" spans="1:4" x14ac:dyDescent="0.2">
      <c r="A906" s="23" t="s">
        <v>2577</v>
      </c>
      <c r="B906" s="23" t="s">
        <v>2578</v>
      </c>
      <c r="C906" s="22">
        <v>0</v>
      </c>
      <c r="D906" s="22">
        <v>0</v>
      </c>
    </row>
    <row r="907" spans="1:4" x14ac:dyDescent="0.2">
      <c r="A907" s="23" t="s">
        <v>2579</v>
      </c>
      <c r="B907" s="23" t="s">
        <v>2580</v>
      </c>
      <c r="C907" s="22">
        <v>0</v>
      </c>
      <c r="D907" s="22">
        <v>0</v>
      </c>
    </row>
    <row r="908" spans="1:4" x14ac:dyDescent="0.2">
      <c r="A908" s="23" t="s">
        <v>2581</v>
      </c>
      <c r="B908" s="23" t="s">
        <v>2582</v>
      </c>
      <c r="C908" s="22">
        <v>-680951.73</v>
      </c>
      <c r="D908" s="22">
        <v>-6783900.4800000004</v>
      </c>
    </row>
    <row r="909" spans="1:4" x14ac:dyDescent="0.2">
      <c r="A909" s="23" t="s">
        <v>2583</v>
      </c>
      <c r="B909" s="23" t="s">
        <v>3848</v>
      </c>
      <c r="C909" s="22">
        <v>0</v>
      </c>
      <c r="D909" s="22">
        <v>0</v>
      </c>
    </row>
    <row r="910" spans="1:4" x14ac:dyDescent="0.2">
      <c r="A910" s="23" t="s">
        <v>3849</v>
      </c>
      <c r="B910" s="23" t="s">
        <v>3850</v>
      </c>
      <c r="C910" s="22">
        <v>0</v>
      </c>
      <c r="D910" s="22">
        <v>0</v>
      </c>
    </row>
    <row r="911" spans="1:4" x14ac:dyDescent="0.2">
      <c r="A911" s="23" t="s">
        <v>3851</v>
      </c>
      <c r="B911" s="23" t="s">
        <v>3852</v>
      </c>
      <c r="C911" s="22">
        <v>-1172293.45</v>
      </c>
      <c r="D911" s="22">
        <v>-1521212.77</v>
      </c>
    </row>
    <row r="912" spans="1:4" x14ac:dyDescent="0.2">
      <c r="A912" s="23" t="s">
        <v>3853</v>
      </c>
      <c r="B912" s="23" t="s">
        <v>3854</v>
      </c>
      <c r="C912" s="22">
        <v>0</v>
      </c>
      <c r="D912" s="22">
        <v>0</v>
      </c>
    </row>
    <row r="913" spans="1:4" x14ac:dyDescent="0.2">
      <c r="A913" s="23" t="s">
        <v>3855</v>
      </c>
      <c r="B913" s="23" t="s">
        <v>3856</v>
      </c>
      <c r="C913" s="22">
        <v>-74972.23</v>
      </c>
      <c r="D913" s="22">
        <v>-1102358.05</v>
      </c>
    </row>
    <row r="914" spans="1:4" x14ac:dyDescent="0.2">
      <c r="A914" s="23" t="s">
        <v>3857</v>
      </c>
      <c r="B914" s="23" t="s">
        <v>3858</v>
      </c>
      <c r="C914" s="22">
        <v>0</v>
      </c>
      <c r="D914" s="22">
        <v>0</v>
      </c>
    </row>
    <row r="915" spans="1:4" x14ac:dyDescent="0.2">
      <c r="A915" s="23" t="s">
        <v>2584</v>
      </c>
      <c r="B915" s="23" t="s">
        <v>2585</v>
      </c>
      <c r="C915" s="22">
        <v>0</v>
      </c>
      <c r="D915" s="22">
        <v>-8144.84</v>
      </c>
    </row>
    <row r="916" spans="1:4" x14ac:dyDescent="0.2">
      <c r="A916" s="23" t="s">
        <v>2586</v>
      </c>
      <c r="B916" s="23" t="s">
        <v>2587</v>
      </c>
      <c r="C916" s="22">
        <v>0</v>
      </c>
      <c r="D916" s="22">
        <v>0</v>
      </c>
    </row>
    <row r="917" spans="1:4" x14ac:dyDescent="0.2">
      <c r="A917" s="23" t="s">
        <v>2588</v>
      </c>
      <c r="B917" s="23" t="s">
        <v>2589</v>
      </c>
      <c r="C917" s="22">
        <v>0</v>
      </c>
      <c r="D917" s="22">
        <v>0</v>
      </c>
    </row>
    <row r="918" spans="1:4" x14ac:dyDescent="0.2">
      <c r="A918" s="23" t="s">
        <v>2590</v>
      </c>
      <c r="B918" s="23" t="s">
        <v>2591</v>
      </c>
      <c r="C918" s="22">
        <v>0</v>
      </c>
      <c r="D918" s="22">
        <v>0</v>
      </c>
    </row>
    <row r="919" spans="1:4" x14ac:dyDescent="0.2">
      <c r="A919" s="23" t="s">
        <v>2592</v>
      </c>
      <c r="B919" s="23" t="s">
        <v>2593</v>
      </c>
      <c r="C919" s="22">
        <v>0</v>
      </c>
      <c r="D919" s="22">
        <v>0</v>
      </c>
    </row>
    <row r="920" spans="1:4" x14ac:dyDescent="0.2">
      <c r="A920" s="23" t="s">
        <v>2594</v>
      </c>
      <c r="B920" s="23" t="s">
        <v>2595</v>
      </c>
      <c r="C920" s="22">
        <v>0</v>
      </c>
      <c r="D920" s="22">
        <v>0</v>
      </c>
    </row>
    <row r="921" spans="1:4" x14ac:dyDescent="0.2">
      <c r="A921" s="23" t="s">
        <v>2596</v>
      </c>
      <c r="B921" s="23" t="s">
        <v>2597</v>
      </c>
      <c r="C921" s="22">
        <v>0</v>
      </c>
      <c r="D921" s="22">
        <v>0</v>
      </c>
    </row>
    <row r="922" spans="1:4" x14ac:dyDescent="0.2">
      <c r="A922" s="23" t="s">
        <v>2598</v>
      </c>
      <c r="B922" s="23" t="s">
        <v>2599</v>
      </c>
      <c r="C922" s="22">
        <v>-435</v>
      </c>
      <c r="D922" s="22">
        <v>-62472</v>
      </c>
    </row>
    <row r="923" spans="1:4" x14ac:dyDescent="0.2">
      <c r="A923" s="23" t="s">
        <v>2600</v>
      </c>
      <c r="B923" s="23" t="s">
        <v>2601</v>
      </c>
      <c r="C923" s="22">
        <v>2207</v>
      </c>
      <c r="D923" s="22">
        <v>-54555</v>
      </c>
    </row>
    <row r="924" spans="1:4" x14ac:dyDescent="0.2">
      <c r="A924" s="23" t="s">
        <v>2602</v>
      </c>
      <c r="B924" s="23" t="s">
        <v>2603</v>
      </c>
      <c r="C924" s="22">
        <v>0</v>
      </c>
      <c r="D924" s="22">
        <v>0</v>
      </c>
    </row>
    <row r="925" spans="1:4" x14ac:dyDescent="0.2">
      <c r="A925" s="23" t="s">
        <v>2604</v>
      </c>
      <c r="B925" s="23" t="s">
        <v>2605</v>
      </c>
      <c r="C925" s="22">
        <v>0</v>
      </c>
      <c r="D925" s="22">
        <v>0</v>
      </c>
    </row>
    <row r="926" spans="1:4" x14ac:dyDescent="0.2">
      <c r="A926" s="23" t="s">
        <v>2606</v>
      </c>
      <c r="B926" s="23" t="s">
        <v>2607</v>
      </c>
      <c r="C926" s="22">
        <v>0</v>
      </c>
      <c r="D926" s="22">
        <v>0</v>
      </c>
    </row>
    <row r="927" spans="1:4" x14ac:dyDescent="0.2">
      <c r="A927" s="23" t="s">
        <v>2608</v>
      </c>
      <c r="B927" s="23" t="s">
        <v>2607</v>
      </c>
      <c r="C927" s="22">
        <v>0</v>
      </c>
      <c r="D927" s="22">
        <v>0</v>
      </c>
    </row>
    <row r="928" spans="1:4" x14ac:dyDescent="0.2">
      <c r="A928" s="23" t="s">
        <v>2609</v>
      </c>
      <c r="B928" s="23" t="s">
        <v>2610</v>
      </c>
      <c r="C928" s="22">
        <v>0</v>
      </c>
      <c r="D928" s="22">
        <v>0</v>
      </c>
    </row>
    <row r="929" spans="1:4" x14ac:dyDescent="0.2">
      <c r="A929" s="23" t="s">
        <v>2611</v>
      </c>
      <c r="B929" s="23" t="s">
        <v>2612</v>
      </c>
      <c r="C929" s="22">
        <v>0</v>
      </c>
      <c r="D929" s="22">
        <v>0</v>
      </c>
    </row>
    <row r="930" spans="1:4" x14ac:dyDescent="0.2">
      <c r="A930" s="23" t="s">
        <v>2613</v>
      </c>
      <c r="B930" s="23" t="s">
        <v>2612</v>
      </c>
      <c r="C930" s="22">
        <v>0</v>
      </c>
      <c r="D930" s="22">
        <v>0</v>
      </c>
    </row>
    <row r="931" spans="1:4" x14ac:dyDescent="0.2">
      <c r="A931" s="23" t="s">
        <v>2614</v>
      </c>
      <c r="B931" s="23" t="s">
        <v>2615</v>
      </c>
      <c r="C931" s="22">
        <v>73796.509999999995</v>
      </c>
      <c r="D931" s="22">
        <v>-950723.9</v>
      </c>
    </row>
    <row r="932" spans="1:4" x14ac:dyDescent="0.2">
      <c r="A932" s="23" t="s">
        <v>2616</v>
      </c>
      <c r="B932" t="s">
        <v>4481</v>
      </c>
      <c r="C932" s="22">
        <v>-163222.51999999999</v>
      </c>
      <c r="D932" s="22">
        <v>-14652549.32</v>
      </c>
    </row>
    <row r="933" spans="1:4" x14ac:dyDescent="0.2">
      <c r="A933" s="23" t="s">
        <v>2617</v>
      </c>
      <c r="B933" s="23" t="s">
        <v>2618</v>
      </c>
      <c r="C933" s="22">
        <v>115574</v>
      </c>
      <c r="D933" s="22">
        <v>-18773647.329999998</v>
      </c>
    </row>
    <row r="934" spans="1:4" x14ac:dyDescent="0.2">
      <c r="A934" s="23" t="s">
        <v>2619</v>
      </c>
      <c r="B934" s="23" t="s">
        <v>2620</v>
      </c>
      <c r="C934" s="22">
        <v>108323.19</v>
      </c>
      <c r="D934" s="22">
        <v>-69803.55</v>
      </c>
    </row>
    <row r="935" spans="1:4" x14ac:dyDescent="0.2">
      <c r="A935" s="23" t="s">
        <v>2621</v>
      </c>
      <c r="B935" s="23" t="s">
        <v>2622</v>
      </c>
      <c r="C935" s="22">
        <v>0</v>
      </c>
      <c r="D935" s="22">
        <v>0</v>
      </c>
    </row>
    <row r="936" spans="1:4" x14ac:dyDescent="0.2">
      <c r="A936" s="23" t="s">
        <v>2623</v>
      </c>
      <c r="B936" s="23" t="s">
        <v>2624</v>
      </c>
      <c r="C936" s="22">
        <v>441120</v>
      </c>
      <c r="D936" s="22">
        <v>-569868</v>
      </c>
    </row>
    <row r="937" spans="1:4" x14ac:dyDescent="0.2">
      <c r="A937" s="23" t="s">
        <v>2625</v>
      </c>
      <c r="B937" s="23" t="s">
        <v>2626</v>
      </c>
      <c r="C937" s="22">
        <v>0</v>
      </c>
      <c r="D937" s="22">
        <v>0</v>
      </c>
    </row>
    <row r="938" spans="1:4" x14ac:dyDescent="0.2">
      <c r="A938" s="23" t="s">
        <v>2627</v>
      </c>
      <c r="B938" s="23" t="s">
        <v>2628</v>
      </c>
      <c r="C938" s="22">
        <v>0</v>
      </c>
      <c r="D938" s="22">
        <v>0</v>
      </c>
    </row>
    <row r="939" spans="1:4" x14ac:dyDescent="0.2">
      <c r="A939" s="23" t="s">
        <v>2629</v>
      </c>
      <c r="B939" s="23" t="s">
        <v>2630</v>
      </c>
      <c r="C939" s="22">
        <v>-47346</v>
      </c>
      <c r="D939" s="22">
        <v>-47346</v>
      </c>
    </row>
    <row r="940" spans="1:4" x14ac:dyDescent="0.2">
      <c r="A940" s="23" t="s">
        <v>2631</v>
      </c>
      <c r="B940" s="23" t="s">
        <v>2632</v>
      </c>
      <c r="C940" s="22">
        <v>-6602283</v>
      </c>
      <c r="D940" s="22">
        <v>-10218730.77</v>
      </c>
    </row>
    <row r="941" spans="1:4" x14ac:dyDescent="0.2">
      <c r="A941" s="23" t="s">
        <v>2633</v>
      </c>
      <c r="B941" s="23" t="s">
        <v>2634</v>
      </c>
      <c r="C941" s="22">
        <v>-16408.36</v>
      </c>
      <c r="D941" s="22">
        <v>1743483.63</v>
      </c>
    </row>
    <row r="942" spans="1:4" x14ac:dyDescent="0.2">
      <c r="A942" s="23" t="s">
        <v>2635</v>
      </c>
      <c r="B942" s="23" t="s">
        <v>2634</v>
      </c>
      <c r="C942" s="22">
        <v>16408.36</v>
      </c>
      <c r="D942" s="22">
        <v>-1743483.63</v>
      </c>
    </row>
    <row r="943" spans="1:4" x14ac:dyDescent="0.2">
      <c r="A943" s="23" t="s">
        <v>2636</v>
      </c>
      <c r="B943" s="23" t="s">
        <v>2637</v>
      </c>
      <c r="C943" s="22">
        <v>-134759.6</v>
      </c>
      <c r="D943" s="22">
        <v>2366899.96</v>
      </c>
    </row>
    <row r="944" spans="1:4" x14ac:dyDescent="0.2">
      <c r="A944" s="23" t="s">
        <v>2638</v>
      </c>
      <c r="B944" s="23" t="s">
        <v>2637</v>
      </c>
      <c r="C944" s="22">
        <v>134759.6</v>
      </c>
      <c r="D944" s="22">
        <v>-2366899.96</v>
      </c>
    </row>
    <row r="945" spans="1:4" x14ac:dyDescent="0.2">
      <c r="A945" s="23" t="s">
        <v>2639</v>
      </c>
      <c r="B945" s="23" t="s">
        <v>2622</v>
      </c>
      <c r="C945" s="22">
        <v>0</v>
      </c>
      <c r="D945" s="22">
        <v>0</v>
      </c>
    </row>
    <row r="946" spans="1:4" x14ac:dyDescent="0.2">
      <c r="A946" s="23" t="s">
        <v>2640</v>
      </c>
      <c r="B946" s="23" t="s">
        <v>0</v>
      </c>
      <c r="C946" s="22">
        <v>2370.85</v>
      </c>
      <c r="D946" s="22">
        <v>-16595.95</v>
      </c>
    </row>
    <row r="947" spans="1:4" x14ac:dyDescent="0.2">
      <c r="A947" s="23" t="s">
        <v>1</v>
      </c>
      <c r="B947" s="23" t="s">
        <v>2</v>
      </c>
      <c r="C947" s="22">
        <v>86.18</v>
      </c>
      <c r="D947" s="22">
        <v>-2068.3200000000002</v>
      </c>
    </row>
    <row r="948" spans="1:4" x14ac:dyDescent="0.2">
      <c r="A948" s="23" t="s">
        <v>3</v>
      </c>
      <c r="B948" s="23" t="s">
        <v>2670</v>
      </c>
      <c r="C948" s="22">
        <v>24623.02</v>
      </c>
      <c r="D948" s="22">
        <v>-763313.62</v>
      </c>
    </row>
    <row r="949" spans="1:4" x14ac:dyDescent="0.2">
      <c r="A949" s="23" t="s">
        <v>2671</v>
      </c>
      <c r="B949" s="23" t="s">
        <v>2672</v>
      </c>
      <c r="C949" s="22">
        <v>5394.77</v>
      </c>
      <c r="D949" s="22">
        <v>-172632.64</v>
      </c>
    </row>
    <row r="950" spans="1:4" x14ac:dyDescent="0.2">
      <c r="A950" s="23" t="s">
        <v>2673</v>
      </c>
      <c r="B950" s="23" t="s">
        <v>2674</v>
      </c>
      <c r="C950" s="22">
        <v>47336.1</v>
      </c>
      <c r="D950" s="22">
        <v>-1514755.2</v>
      </c>
    </row>
    <row r="951" spans="1:4" x14ac:dyDescent="0.2">
      <c r="A951" s="23" t="s">
        <v>2675</v>
      </c>
      <c r="B951" s="23" t="s">
        <v>2676</v>
      </c>
      <c r="C951" s="22">
        <v>262.54000000000002</v>
      </c>
      <c r="D951" s="22">
        <v>-9976.52</v>
      </c>
    </row>
    <row r="952" spans="1:4" x14ac:dyDescent="0.2">
      <c r="A952" s="23" t="s">
        <v>2677</v>
      </c>
      <c r="B952" s="23" t="s">
        <v>2678</v>
      </c>
      <c r="C952" s="22">
        <v>1299.5</v>
      </c>
      <c r="D952" s="22">
        <v>-45482.29</v>
      </c>
    </row>
    <row r="953" spans="1:4" x14ac:dyDescent="0.2">
      <c r="A953" s="23" t="s">
        <v>2679</v>
      </c>
      <c r="B953" s="23" t="s">
        <v>2680</v>
      </c>
      <c r="C953" s="22">
        <v>337.29</v>
      </c>
      <c r="D953" s="22">
        <v>-15178.05</v>
      </c>
    </row>
    <row r="954" spans="1:4" x14ac:dyDescent="0.2">
      <c r="A954" s="23" t="s">
        <v>2681</v>
      </c>
      <c r="B954" s="23" t="s">
        <v>2682</v>
      </c>
      <c r="C954" s="22">
        <v>301.77</v>
      </c>
      <c r="D954" s="22">
        <v>-13579.65</v>
      </c>
    </row>
    <row r="955" spans="1:4" x14ac:dyDescent="0.2">
      <c r="A955" s="23" t="s">
        <v>2683</v>
      </c>
      <c r="B955" s="23" t="s">
        <v>2684</v>
      </c>
      <c r="C955" s="22">
        <v>708.09</v>
      </c>
      <c r="D955" s="22">
        <v>-38237.31</v>
      </c>
    </row>
    <row r="956" spans="1:4" x14ac:dyDescent="0.2">
      <c r="A956" s="23" t="s">
        <v>2685</v>
      </c>
      <c r="B956" s="23" t="s">
        <v>2686</v>
      </c>
      <c r="C956" s="22">
        <v>1773.58</v>
      </c>
      <c r="D956" s="22">
        <v>-60301.72</v>
      </c>
    </row>
    <row r="957" spans="1:4" x14ac:dyDescent="0.2">
      <c r="A957" s="23" t="s">
        <v>2687</v>
      </c>
      <c r="B957" s="23" t="s">
        <v>2688</v>
      </c>
      <c r="C957" s="22">
        <v>2964.79</v>
      </c>
      <c r="D957" s="22">
        <v>-97838.07</v>
      </c>
    </row>
    <row r="958" spans="1:4" x14ac:dyDescent="0.2">
      <c r="A958" s="23" t="s">
        <v>2689</v>
      </c>
      <c r="B958" s="23" t="s">
        <v>2690</v>
      </c>
      <c r="C958" s="22">
        <v>12398.46</v>
      </c>
      <c r="D958" s="22">
        <v>-99187.61</v>
      </c>
    </row>
    <row r="959" spans="1:4" x14ac:dyDescent="0.2">
      <c r="A959" s="23" t="s">
        <v>2691</v>
      </c>
      <c r="B959" s="23" t="s">
        <v>2692</v>
      </c>
      <c r="C959" s="22">
        <v>0</v>
      </c>
      <c r="D959" s="22">
        <v>0</v>
      </c>
    </row>
    <row r="960" spans="1:4" x14ac:dyDescent="0.2">
      <c r="A960" s="23" t="s">
        <v>2693</v>
      </c>
      <c r="B960" s="23" t="s">
        <v>2694</v>
      </c>
      <c r="C960" s="22">
        <v>630.91</v>
      </c>
      <c r="D960" s="22">
        <v>-5047.5</v>
      </c>
    </row>
    <row r="961" spans="1:4" x14ac:dyDescent="0.2">
      <c r="A961" s="23" t="s">
        <v>2695</v>
      </c>
      <c r="B961" s="23" t="s">
        <v>2696</v>
      </c>
      <c r="C961" s="22">
        <v>309.94</v>
      </c>
      <c r="D961" s="22">
        <v>-1549.54</v>
      </c>
    </row>
    <row r="962" spans="1:4" x14ac:dyDescent="0.2">
      <c r="A962" s="23" t="s">
        <v>2697</v>
      </c>
      <c r="B962" s="23" t="s">
        <v>2698</v>
      </c>
      <c r="C962" s="22">
        <v>48.82</v>
      </c>
      <c r="D962" s="22">
        <v>-439.38</v>
      </c>
    </row>
    <row r="963" spans="1:4" x14ac:dyDescent="0.2">
      <c r="A963" s="23" t="s">
        <v>2699</v>
      </c>
      <c r="B963" s="23" t="s">
        <v>2700</v>
      </c>
      <c r="C963" s="22">
        <v>60.31</v>
      </c>
      <c r="D963" s="22">
        <v>-603.1</v>
      </c>
    </row>
    <row r="964" spans="1:4" x14ac:dyDescent="0.2">
      <c r="A964" s="23" t="s">
        <v>2701</v>
      </c>
      <c r="B964" s="23" t="s">
        <v>2702</v>
      </c>
      <c r="C964" s="22">
        <v>4160.8900000000003</v>
      </c>
      <c r="D964" s="22">
        <v>-70735.259999999995</v>
      </c>
    </row>
    <row r="965" spans="1:4" x14ac:dyDescent="0.2">
      <c r="A965" s="23" t="s">
        <v>2703</v>
      </c>
      <c r="B965" s="23" t="s">
        <v>2704</v>
      </c>
      <c r="C965" s="22">
        <v>202.1</v>
      </c>
      <c r="D965" s="22">
        <v>-3233.48</v>
      </c>
    </row>
    <row r="966" spans="1:4" x14ac:dyDescent="0.2">
      <c r="A966" s="23" t="s">
        <v>2705</v>
      </c>
      <c r="B966" s="23" t="s">
        <v>2706</v>
      </c>
      <c r="C966" s="22">
        <v>187.82</v>
      </c>
      <c r="D966" s="22">
        <v>-3192.94</v>
      </c>
    </row>
    <row r="967" spans="1:4" x14ac:dyDescent="0.2">
      <c r="A967" s="23" t="s">
        <v>2707</v>
      </c>
      <c r="B967" s="23" t="s">
        <v>2708</v>
      </c>
      <c r="C967" s="22">
        <v>0</v>
      </c>
      <c r="D967" s="22">
        <v>0</v>
      </c>
    </row>
    <row r="968" spans="1:4" x14ac:dyDescent="0.2">
      <c r="A968" s="23" t="s">
        <v>2709</v>
      </c>
      <c r="B968" s="23" t="s">
        <v>2710</v>
      </c>
      <c r="C968" s="22">
        <v>44781.23</v>
      </c>
      <c r="D968" s="22">
        <v>-1164311.98</v>
      </c>
    </row>
    <row r="969" spans="1:4" x14ac:dyDescent="0.2">
      <c r="A969" s="23" t="s">
        <v>2711</v>
      </c>
      <c r="B969" s="23" t="s">
        <v>2712</v>
      </c>
      <c r="C969" s="22">
        <v>0</v>
      </c>
      <c r="D969" s="22">
        <v>0</v>
      </c>
    </row>
    <row r="970" spans="1:4" x14ac:dyDescent="0.2">
      <c r="A970" s="23" t="s">
        <v>2713</v>
      </c>
      <c r="B970" s="23" t="s">
        <v>2714</v>
      </c>
      <c r="C970" s="22">
        <v>0</v>
      </c>
      <c r="D970" s="22">
        <v>0</v>
      </c>
    </row>
    <row r="971" spans="1:4" x14ac:dyDescent="0.2">
      <c r="A971" s="23" t="s">
        <v>2715</v>
      </c>
      <c r="B971" s="23" t="s">
        <v>2716</v>
      </c>
      <c r="C971" s="22">
        <v>0</v>
      </c>
      <c r="D971" s="22">
        <v>0</v>
      </c>
    </row>
    <row r="972" spans="1:4" x14ac:dyDescent="0.2">
      <c r="A972" s="23" t="s">
        <v>2717</v>
      </c>
      <c r="B972" s="23" t="s">
        <v>2718</v>
      </c>
      <c r="C972" s="22">
        <v>589.07000000000005</v>
      </c>
      <c r="D972" s="22">
        <v>-2945.35</v>
      </c>
    </row>
    <row r="973" spans="1:4" x14ac:dyDescent="0.2">
      <c r="A973" s="23" t="s">
        <v>2719</v>
      </c>
      <c r="B973" s="23" t="s">
        <v>2720</v>
      </c>
      <c r="C973" s="22">
        <v>339.93</v>
      </c>
      <c r="D973" s="22">
        <v>-9178.11</v>
      </c>
    </row>
    <row r="974" spans="1:4" x14ac:dyDescent="0.2">
      <c r="A974" s="23" t="s">
        <v>2721</v>
      </c>
      <c r="B974" t="s">
        <v>4481</v>
      </c>
      <c r="C974" s="22">
        <v>-5833443.8499999996</v>
      </c>
      <c r="D974" s="22">
        <v>-33789779.240000002</v>
      </c>
    </row>
    <row r="975" spans="1:4" x14ac:dyDescent="0.2">
      <c r="A975" s="23" t="s">
        <v>2722</v>
      </c>
      <c r="B975" s="23" t="s">
        <v>2723</v>
      </c>
      <c r="C975" s="22">
        <v>0</v>
      </c>
      <c r="D975" s="22">
        <v>8.2799999999999994</v>
      </c>
    </row>
    <row r="976" spans="1:4" x14ac:dyDescent="0.2">
      <c r="A976" s="23" t="s">
        <v>2724</v>
      </c>
      <c r="B976" s="23" t="s">
        <v>2725</v>
      </c>
      <c r="C976" s="22">
        <v>85.21</v>
      </c>
      <c r="D976" s="22">
        <v>-3579.03</v>
      </c>
    </row>
    <row r="977" spans="1:4" x14ac:dyDescent="0.2">
      <c r="A977" s="23" t="s">
        <v>2726</v>
      </c>
      <c r="B977" s="23" t="s">
        <v>5206</v>
      </c>
      <c r="C977" s="22">
        <v>505.61</v>
      </c>
      <c r="D977" s="22">
        <v>-27303.21</v>
      </c>
    </row>
    <row r="978" spans="1:4" x14ac:dyDescent="0.2">
      <c r="A978" s="23" t="s">
        <v>5207</v>
      </c>
      <c r="B978" s="23" t="s">
        <v>5208</v>
      </c>
      <c r="C978" s="22">
        <v>113.59</v>
      </c>
      <c r="D978" s="22">
        <v>-7496.99</v>
      </c>
    </row>
    <row r="979" spans="1:4" x14ac:dyDescent="0.2">
      <c r="A979" s="23" t="s">
        <v>5209</v>
      </c>
      <c r="B979" s="23" t="s">
        <v>5210</v>
      </c>
      <c r="C979" s="22">
        <v>7.72</v>
      </c>
      <c r="D979" s="22">
        <v>-602.04999999999995</v>
      </c>
    </row>
    <row r="980" spans="1:4" x14ac:dyDescent="0.2">
      <c r="A980" s="23" t="s">
        <v>5211</v>
      </c>
      <c r="B980" s="23" t="s">
        <v>5212</v>
      </c>
      <c r="C980" s="22">
        <v>0</v>
      </c>
      <c r="D980" s="22">
        <v>0</v>
      </c>
    </row>
    <row r="981" spans="1:4" x14ac:dyDescent="0.2">
      <c r="A981" s="23" t="s">
        <v>5213</v>
      </c>
      <c r="B981" s="23" t="s">
        <v>5214</v>
      </c>
      <c r="C981" s="22">
        <v>0</v>
      </c>
      <c r="D981" s="22">
        <v>0</v>
      </c>
    </row>
    <row r="982" spans="1:4" x14ac:dyDescent="0.2">
      <c r="A982" s="23" t="s">
        <v>5215</v>
      </c>
      <c r="B982" s="23" t="s">
        <v>5216</v>
      </c>
      <c r="C982" s="22">
        <v>0</v>
      </c>
      <c r="D982" s="22">
        <v>0</v>
      </c>
    </row>
    <row r="983" spans="1:4" x14ac:dyDescent="0.2">
      <c r="A983" s="23" t="s">
        <v>5217</v>
      </c>
      <c r="B983" s="23" t="s">
        <v>5218</v>
      </c>
      <c r="C983" s="22">
        <v>0</v>
      </c>
      <c r="D983" s="22">
        <v>0</v>
      </c>
    </row>
    <row r="984" spans="1:4" x14ac:dyDescent="0.2">
      <c r="A984" s="23" t="s">
        <v>5219</v>
      </c>
      <c r="B984" s="23" t="s">
        <v>5220</v>
      </c>
      <c r="C984" s="22">
        <v>0</v>
      </c>
      <c r="D984" s="22">
        <v>0</v>
      </c>
    </row>
    <row r="985" spans="1:4" x14ac:dyDescent="0.2">
      <c r="A985" s="23" t="s">
        <v>5221</v>
      </c>
      <c r="B985" s="23" t="s">
        <v>5222</v>
      </c>
      <c r="C985" s="22">
        <v>0</v>
      </c>
      <c r="D985" s="22">
        <v>0</v>
      </c>
    </row>
    <row r="986" spans="1:4" x14ac:dyDescent="0.2">
      <c r="A986" s="23" t="s">
        <v>5223</v>
      </c>
      <c r="B986" s="23" t="s">
        <v>5224</v>
      </c>
      <c r="C986" s="22">
        <v>0</v>
      </c>
      <c r="D986" s="22">
        <v>0</v>
      </c>
    </row>
    <row r="987" spans="1:4" x14ac:dyDescent="0.2">
      <c r="A987" s="23" t="s">
        <v>5225</v>
      </c>
      <c r="B987" s="23" t="s">
        <v>5226</v>
      </c>
      <c r="C987" s="22">
        <v>0</v>
      </c>
      <c r="D987" s="22">
        <v>0</v>
      </c>
    </row>
    <row r="988" spans="1:4" x14ac:dyDescent="0.2">
      <c r="A988" s="23" t="s">
        <v>5227</v>
      </c>
      <c r="B988" s="23" t="s">
        <v>5228</v>
      </c>
      <c r="C988" s="22">
        <v>0</v>
      </c>
      <c r="D988" s="22">
        <v>-0.98</v>
      </c>
    </row>
    <row r="989" spans="1:4" x14ac:dyDescent="0.2">
      <c r="A989" s="23" t="s">
        <v>5229</v>
      </c>
      <c r="B989" s="23" t="s">
        <v>5230</v>
      </c>
      <c r="C989" s="22">
        <v>0</v>
      </c>
      <c r="D989" s="22">
        <v>0</v>
      </c>
    </row>
    <row r="990" spans="1:4" x14ac:dyDescent="0.2">
      <c r="A990" s="23" t="s">
        <v>5231</v>
      </c>
      <c r="B990" s="23" t="s">
        <v>5232</v>
      </c>
      <c r="C990" s="22">
        <v>0</v>
      </c>
      <c r="D990" s="22">
        <v>0</v>
      </c>
    </row>
    <row r="991" spans="1:4" x14ac:dyDescent="0.2">
      <c r="A991" s="23" t="s">
        <v>5233</v>
      </c>
      <c r="B991" s="23" t="s">
        <v>5234</v>
      </c>
      <c r="C991" s="22">
        <v>0</v>
      </c>
      <c r="D991" s="22">
        <v>0.03</v>
      </c>
    </row>
    <row r="992" spans="1:4" x14ac:dyDescent="0.2">
      <c r="A992" s="23" t="s">
        <v>5235</v>
      </c>
      <c r="B992" s="23" t="s">
        <v>5236</v>
      </c>
      <c r="C992" s="22">
        <v>0</v>
      </c>
      <c r="D992" s="22">
        <v>0</v>
      </c>
    </row>
    <row r="993" spans="1:4" x14ac:dyDescent="0.2">
      <c r="A993" s="23" t="s">
        <v>5237</v>
      </c>
      <c r="B993" s="23" t="s">
        <v>5238</v>
      </c>
      <c r="C993" s="22">
        <v>0</v>
      </c>
      <c r="D993" s="22">
        <v>0</v>
      </c>
    </row>
    <row r="994" spans="1:4" x14ac:dyDescent="0.2">
      <c r="A994" s="23" t="s">
        <v>5239</v>
      </c>
      <c r="B994" s="23" t="s">
        <v>5240</v>
      </c>
      <c r="C994" s="22">
        <v>0</v>
      </c>
      <c r="D994" s="22">
        <v>0</v>
      </c>
    </row>
    <row r="995" spans="1:4" x14ac:dyDescent="0.2">
      <c r="A995" s="23" t="s">
        <v>5241</v>
      </c>
      <c r="B995" s="23" t="s">
        <v>5242</v>
      </c>
      <c r="C995" s="22">
        <v>0</v>
      </c>
      <c r="D995" s="22">
        <v>0</v>
      </c>
    </row>
    <row r="996" spans="1:4" x14ac:dyDescent="0.2">
      <c r="A996" s="23" t="s">
        <v>5243</v>
      </c>
      <c r="B996" s="23" t="s">
        <v>5244</v>
      </c>
      <c r="C996" s="22">
        <v>0</v>
      </c>
      <c r="D996" s="22">
        <v>0</v>
      </c>
    </row>
    <row r="997" spans="1:4" x14ac:dyDescent="0.2">
      <c r="A997" s="23" t="s">
        <v>5245</v>
      </c>
      <c r="B997" s="23" t="s">
        <v>5246</v>
      </c>
      <c r="C997" s="22">
        <v>0</v>
      </c>
      <c r="D997" s="22">
        <v>0</v>
      </c>
    </row>
    <row r="998" spans="1:4" x14ac:dyDescent="0.2">
      <c r="A998" s="23" t="s">
        <v>5247</v>
      </c>
      <c r="B998" s="23" t="s">
        <v>5248</v>
      </c>
      <c r="C998" s="22">
        <v>0</v>
      </c>
      <c r="D998" s="22">
        <v>0</v>
      </c>
    </row>
    <row r="999" spans="1:4" x14ac:dyDescent="0.2">
      <c r="A999" s="23" t="s">
        <v>5249</v>
      </c>
      <c r="B999" s="23" t="s">
        <v>5250</v>
      </c>
      <c r="C999" s="22">
        <v>5255.16</v>
      </c>
      <c r="D999" s="22">
        <v>-31530.99</v>
      </c>
    </row>
    <row r="1000" spans="1:4" x14ac:dyDescent="0.2">
      <c r="A1000" s="23" t="s">
        <v>5251</v>
      </c>
      <c r="B1000" s="23" t="s">
        <v>5252</v>
      </c>
      <c r="C1000" s="22">
        <v>0</v>
      </c>
      <c r="D1000" s="22">
        <v>0</v>
      </c>
    </row>
    <row r="1001" spans="1:4" x14ac:dyDescent="0.2">
      <c r="A1001" s="23" t="s">
        <v>5253</v>
      </c>
      <c r="B1001" s="23" t="s">
        <v>5254</v>
      </c>
      <c r="C1001" s="22">
        <v>12736.25</v>
      </c>
      <c r="D1001" s="22">
        <v>-382087.65</v>
      </c>
    </row>
    <row r="1002" spans="1:4" x14ac:dyDescent="0.2">
      <c r="A1002" s="23" t="s">
        <v>5255</v>
      </c>
      <c r="B1002" s="23" t="s">
        <v>5256</v>
      </c>
      <c r="C1002" s="22">
        <v>4867.6499999999996</v>
      </c>
      <c r="D1002" s="22">
        <v>-204441.51</v>
      </c>
    </row>
    <row r="1003" spans="1:4" x14ac:dyDescent="0.2">
      <c r="A1003" s="23" t="s">
        <v>5545</v>
      </c>
      <c r="B1003" s="23" t="s">
        <v>5546</v>
      </c>
      <c r="C1003" s="22">
        <v>31350.959999999999</v>
      </c>
      <c r="D1003" s="22">
        <v>-1692952.07</v>
      </c>
    </row>
    <row r="1004" spans="1:4" x14ac:dyDescent="0.2">
      <c r="A1004" s="23" t="s">
        <v>5547</v>
      </c>
      <c r="B1004" s="23" t="s">
        <v>357</v>
      </c>
      <c r="C1004" s="22">
        <v>15945.61</v>
      </c>
      <c r="D1004" s="22">
        <v>-1052410.25</v>
      </c>
    </row>
    <row r="1005" spans="1:4" x14ac:dyDescent="0.2">
      <c r="A1005" s="23" t="s">
        <v>358</v>
      </c>
      <c r="B1005" s="23" t="s">
        <v>359</v>
      </c>
      <c r="C1005" s="22">
        <v>4208.57</v>
      </c>
      <c r="D1005" s="22">
        <v>-227262.77</v>
      </c>
    </row>
    <row r="1006" spans="1:4" x14ac:dyDescent="0.2">
      <c r="A1006" s="23" t="s">
        <v>360</v>
      </c>
      <c r="B1006" s="23" t="s">
        <v>361</v>
      </c>
      <c r="C1006" s="22">
        <v>5640.89</v>
      </c>
      <c r="D1006" s="22">
        <v>-439989.32</v>
      </c>
    </row>
    <row r="1007" spans="1:4" x14ac:dyDescent="0.2">
      <c r="A1007" s="23" t="s">
        <v>362</v>
      </c>
      <c r="B1007" s="23" t="s">
        <v>1300</v>
      </c>
      <c r="C1007" s="22">
        <v>3829.01</v>
      </c>
      <c r="D1007" s="22">
        <v>-252714.49</v>
      </c>
    </row>
    <row r="1008" spans="1:4" x14ac:dyDescent="0.2">
      <c r="A1008" s="23" t="s">
        <v>1301</v>
      </c>
      <c r="B1008" s="23" t="s">
        <v>1302</v>
      </c>
      <c r="C1008" s="22">
        <v>29184.16</v>
      </c>
      <c r="D1008" s="22">
        <v>-1926154.89</v>
      </c>
    </row>
    <row r="1009" spans="1:4" x14ac:dyDescent="0.2">
      <c r="A1009" s="23" t="s">
        <v>1303</v>
      </c>
      <c r="B1009" s="23" t="s">
        <v>1304</v>
      </c>
      <c r="C1009" s="22">
        <v>45563.24</v>
      </c>
      <c r="D1009" s="22">
        <v>-3007174.17</v>
      </c>
    </row>
    <row r="1010" spans="1:4" x14ac:dyDescent="0.2">
      <c r="A1010" s="23" t="s">
        <v>1305</v>
      </c>
      <c r="B1010" s="23" t="s">
        <v>1306</v>
      </c>
      <c r="C1010" s="22">
        <v>12241.05</v>
      </c>
      <c r="D1010" s="22">
        <v>-807909.63</v>
      </c>
    </row>
    <row r="1011" spans="1:4" x14ac:dyDescent="0.2">
      <c r="A1011" s="23" t="s">
        <v>1307</v>
      </c>
      <c r="B1011" s="23" t="s">
        <v>1308</v>
      </c>
      <c r="C1011" s="22">
        <v>16719.169999999998</v>
      </c>
      <c r="D1011" s="22">
        <v>-1103464.98</v>
      </c>
    </row>
    <row r="1012" spans="1:4" x14ac:dyDescent="0.2">
      <c r="A1012" s="23" t="s">
        <v>1309</v>
      </c>
      <c r="B1012" s="23" t="s">
        <v>1310</v>
      </c>
      <c r="C1012" s="22">
        <v>5898.99</v>
      </c>
      <c r="D1012" s="22">
        <v>-389333.67</v>
      </c>
    </row>
    <row r="1013" spans="1:4" x14ac:dyDescent="0.2">
      <c r="A1013" s="23" t="s">
        <v>1311</v>
      </c>
      <c r="B1013" s="23" t="s">
        <v>1312</v>
      </c>
      <c r="C1013" s="22">
        <v>530.36</v>
      </c>
      <c r="D1013" s="22">
        <v>-41368.160000000003</v>
      </c>
    </row>
    <row r="1014" spans="1:4" x14ac:dyDescent="0.2">
      <c r="A1014" s="23" t="s">
        <v>1313</v>
      </c>
      <c r="B1014" s="23" t="s">
        <v>1314</v>
      </c>
      <c r="C1014" s="22">
        <v>0</v>
      </c>
      <c r="D1014" s="22">
        <v>0</v>
      </c>
    </row>
    <row r="1015" spans="1:4" x14ac:dyDescent="0.2">
      <c r="A1015" s="23" t="s">
        <v>1315</v>
      </c>
      <c r="B1015" s="23" t="s">
        <v>1316</v>
      </c>
      <c r="C1015" s="22">
        <v>35.69</v>
      </c>
      <c r="D1015" s="22">
        <v>-642.51</v>
      </c>
    </row>
    <row r="1016" spans="1:4" x14ac:dyDescent="0.2">
      <c r="A1016" s="23" t="s">
        <v>1317</v>
      </c>
      <c r="B1016" s="23" t="s">
        <v>1318</v>
      </c>
      <c r="C1016" s="22">
        <v>40.26</v>
      </c>
      <c r="D1016" s="22">
        <v>-1207.95</v>
      </c>
    </row>
    <row r="1017" spans="1:4" x14ac:dyDescent="0.2">
      <c r="A1017" s="23" t="s">
        <v>1319</v>
      </c>
      <c r="B1017" s="23" t="s">
        <v>1320</v>
      </c>
      <c r="C1017" s="22">
        <v>423.9</v>
      </c>
      <c r="D1017" s="22">
        <v>-38151.449999999997</v>
      </c>
    </row>
    <row r="1018" spans="1:4" x14ac:dyDescent="0.2">
      <c r="A1018" s="23" t="s">
        <v>1321</v>
      </c>
      <c r="B1018" s="23" t="s">
        <v>1322</v>
      </c>
      <c r="C1018" s="22">
        <v>2012.77</v>
      </c>
      <c r="D1018" s="22">
        <v>-181149.63</v>
      </c>
    </row>
    <row r="1019" spans="1:4" x14ac:dyDescent="0.2">
      <c r="A1019" s="23" t="s">
        <v>1323</v>
      </c>
      <c r="B1019" s="23" t="s">
        <v>1324</v>
      </c>
      <c r="C1019" s="22">
        <v>1661.01</v>
      </c>
      <c r="D1019" s="22">
        <v>-169423.53</v>
      </c>
    </row>
    <row r="1020" spans="1:4" x14ac:dyDescent="0.2">
      <c r="A1020" s="23" t="s">
        <v>1325</v>
      </c>
      <c r="B1020" s="23" t="s">
        <v>1326</v>
      </c>
      <c r="C1020" s="22">
        <v>263.26</v>
      </c>
      <c r="D1020" s="22">
        <v>-30012.21</v>
      </c>
    </row>
    <row r="1021" spans="1:4" x14ac:dyDescent="0.2">
      <c r="A1021" s="23" t="s">
        <v>1327</v>
      </c>
      <c r="B1021" s="23" t="s">
        <v>1328</v>
      </c>
      <c r="C1021" s="22">
        <v>23.2</v>
      </c>
      <c r="D1021" s="22">
        <v>-2922.6</v>
      </c>
    </row>
    <row r="1022" spans="1:4" x14ac:dyDescent="0.2">
      <c r="A1022" s="23" t="s">
        <v>1329</v>
      </c>
      <c r="B1022" t="s">
        <v>4481</v>
      </c>
      <c r="C1022" s="22">
        <v>199143.29</v>
      </c>
      <c r="D1022" s="22">
        <v>-12021278.380000001</v>
      </c>
    </row>
    <row r="1023" spans="1:4" x14ac:dyDescent="0.2">
      <c r="A1023" s="23" t="s">
        <v>1330</v>
      </c>
      <c r="B1023" s="23" t="s">
        <v>1331</v>
      </c>
      <c r="C1023" s="22">
        <v>0</v>
      </c>
      <c r="D1023" s="22">
        <v>55</v>
      </c>
    </row>
    <row r="1024" spans="1:4" x14ac:dyDescent="0.2">
      <c r="A1024" s="23" t="s">
        <v>1332</v>
      </c>
      <c r="B1024" s="23" t="s">
        <v>1333</v>
      </c>
      <c r="C1024" s="22">
        <v>0</v>
      </c>
      <c r="D1024" s="22">
        <v>0</v>
      </c>
    </row>
    <row r="1025" spans="1:4" x14ac:dyDescent="0.2">
      <c r="A1025" s="23" t="s">
        <v>1334</v>
      </c>
      <c r="B1025" s="23" t="s">
        <v>315</v>
      </c>
      <c r="C1025" s="22">
        <v>0</v>
      </c>
      <c r="D1025" s="22">
        <v>0</v>
      </c>
    </row>
    <row r="1026" spans="1:4" x14ac:dyDescent="0.2">
      <c r="A1026" s="23" t="s">
        <v>1335</v>
      </c>
      <c r="B1026" s="23" t="s">
        <v>1929</v>
      </c>
      <c r="C1026" s="22">
        <v>0</v>
      </c>
      <c r="D1026" s="22">
        <v>2750</v>
      </c>
    </row>
    <row r="1027" spans="1:4" x14ac:dyDescent="0.2">
      <c r="A1027" s="23" t="s">
        <v>1930</v>
      </c>
      <c r="B1027" s="23" t="s">
        <v>1931</v>
      </c>
      <c r="C1027" s="22">
        <v>0</v>
      </c>
      <c r="D1027" s="22">
        <v>0</v>
      </c>
    </row>
    <row r="1028" spans="1:4" x14ac:dyDescent="0.2">
      <c r="A1028" s="23" t="s">
        <v>1932</v>
      </c>
      <c r="B1028" s="23" t="s">
        <v>1933</v>
      </c>
      <c r="C1028" s="22">
        <v>0</v>
      </c>
      <c r="D1028" s="22">
        <v>0</v>
      </c>
    </row>
    <row r="1029" spans="1:4" x14ac:dyDescent="0.2">
      <c r="A1029" s="23" t="s">
        <v>1934</v>
      </c>
      <c r="B1029" s="23" t="s">
        <v>1935</v>
      </c>
      <c r="C1029" s="22">
        <v>0</v>
      </c>
      <c r="D1029" s="22">
        <v>275</v>
      </c>
    </row>
    <row r="1030" spans="1:4" x14ac:dyDescent="0.2">
      <c r="A1030" s="23" t="s">
        <v>1936</v>
      </c>
      <c r="B1030" s="23" t="s">
        <v>1937</v>
      </c>
      <c r="C1030" s="22">
        <v>0</v>
      </c>
      <c r="D1030" s="22">
        <v>0</v>
      </c>
    </row>
    <row r="1031" spans="1:4" x14ac:dyDescent="0.2">
      <c r="A1031" s="23" t="s">
        <v>1938</v>
      </c>
      <c r="B1031" s="23" t="s">
        <v>36</v>
      </c>
      <c r="C1031" s="22">
        <v>0</v>
      </c>
      <c r="D1031" s="22">
        <v>116.54</v>
      </c>
    </row>
    <row r="1032" spans="1:4" x14ac:dyDescent="0.2">
      <c r="A1032" s="23" t="s">
        <v>37</v>
      </c>
      <c r="B1032" s="23" t="s">
        <v>38</v>
      </c>
      <c r="C1032" s="22">
        <v>0</v>
      </c>
      <c r="D1032" s="22">
        <v>0</v>
      </c>
    </row>
    <row r="1033" spans="1:4" x14ac:dyDescent="0.2">
      <c r="A1033" s="23" t="s">
        <v>39</v>
      </c>
      <c r="B1033" s="23" t="s">
        <v>40</v>
      </c>
      <c r="C1033" s="22">
        <v>0</v>
      </c>
      <c r="D1033" s="22">
        <v>8000</v>
      </c>
    </row>
    <row r="1034" spans="1:4" x14ac:dyDescent="0.2">
      <c r="A1034" s="23" t="s">
        <v>41</v>
      </c>
      <c r="B1034" s="23" t="s">
        <v>42</v>
      </c>
      <c r="C1034" s="22">
        <v>23655.78</v>
      </c>
      <c r="D1034" s="22">
        <v>-1111685.75</v>
      </c>
    </row>
    <row r="1035" spans="1:4" x14ac:dyDescent="0.2">
      <c r="A1035" s="23" t="s">
        <v>43</v>
      </c>
      <c r="B1035" s="23" t="s">
        <v>44</v>
      </c>
      <c r="C1035" s="22">
        <v>0</v>
      </c>
      <c r="D1035" s="22">
        <v>-122661.38</v>
      </c>
    </row>
    <row r="1036" spans="1:4" x14ac:dyDescent="0.2">
      <c r="A1036" s="23" t="s">
        <v>45</v>
      </c>
      <c r="B1036" s="23" t="s">
        <v>46</v>
      </c>
      <c r="C1036" s="22">
        <v>0</v>
      </c>
      <c r="D1036" s="22">
        <v>-24577.919999999998</v>
      </c>
    </row>
    <row r="1037" spans="1:4" x14ac:dyDescent="0.2">
      <c r="A1037" s="23" t="s">
        <v>47</v>
      </c>
      <c r="B1037" t="s">
        <v>4481</v>
      </c>
      <c r="C1037" s="22">
        <v>23655.78</v>
      </c>
      <c r="D1037" s="22">
        <v>-1247728.51</v>
      </c>
    </row>
    <row r="1038" spans="1:4" x14ac:dyDescent="0.2">
      <c r="A1038" s="23" t="s">
        <v>48</v>
      </c>
      <c r="B1038" s="23" t="s">
        <v>49</v>
      </c>
      <c r="C1038" s="22">
        <v>0</v>
      </c>
      <c r="D1038" s="22">
        <v>0</v>
      </c>
    </row>
    <row r="1039" spans="1:4" x14ac:dyDescent="0.2">
      <c r="A1039" s="23" t="s">
        <v>50</v>
      </c>
      <c r="B1039" t="s">
        <v>4481</v>
      </c>
      <c r="C1039" s="22">
        <v>0</v>
      </c>
      <c r="D1039" s="22">
        <v>0</v>
      </c>
    </row>
    <row r="1040" spans="1:4" x14ac:dyDescent="0.2">
      <c r="A1040" s="23" t="s">
        <v>51</v>
      </c>
      <c r="B1040" s="23" t="s">
        <v>52</v>
      </c>
      <c r="C1040" s="22">
        <v>6609.73</v>
      </c>
      <c r="D1040" s="22">
        <v>-1122646.6299999999</v>
      </c>
    </row>
    <row r="1041" spans="1:4" x14ac:dyDescent="0.2">
      <c r="A1041" s="23" t="s">
        <v>53</v>
      </c>
      <c r="B1041" s="23" t="s">
        <v>54</v>
      </c>
      <c r="C1041" s="22">
        <v>44464.93</v>
      </c>
      <c r="D1041" s="22">
        <v>-7216092.5599999996</v>
      </c>
    </row>
    <row r="1042" spans="1:4" x14ac:dyDescent="0.2">
      <c r="A1042" s="23" t="s">
        <v>55</v>
      </c>
      <c r="B1042" t="s">
        <v>4481</v>
      </c>
      <c r="C1042" s="22">
        <v>51074.66</v>
      </c>
      <c r="D1042" s="22">
        <v>-8338739.1900000004</v>
      </c>
    </row>
    <row r="1043" spans="1:4" x14ac:dyDescent="0.2">
      <c r="A1043" s="23" t="s">
        <v>56</v>
      </c>
      <c r="B1043" s="23" t="s">
        <v>57</v>
      </c>
      <c r="C1043" s="22">
        <v>0</v>
      </c>
      <c r="D1043" s="22">
        <v>0</v>
      </c>
    </row>
    <row r="1044" spans="1:4" x14ac:dyDescent="0.2">
      <c r="A1044" s="23" t="s">
        <v>58</v>
      </c>
      <c r="B1044" s="23" t="s">
        <v>59</v>
      </c>
      <c r="C1044" s="22">
        <v>0</v>
      </c>
      <c r="D1044" s="22">
        <v>0</v>
      </c>
    </row>
    <row r="1045" spans="1:4" x14ac:dyDescent="0.2">
      <c r="A1045" s="23" t="s">
        <v>60</v>
      </c>
      <c r="B1045" s="23" t="s">
        <v>61</v>
      </c>
      <c r="C1045" s="22">
        <v>0</v>
      </c>
      <c r="D1045" s="22">
        <v>0</v>
      </c>
    </row>
    <row r="1046" spans="1:4" x14ac:dyDescent="0.2">
      <c r="A1046" s="23" t="s">
        <v>62</v>
      </c>
      <c r="B1046" s="23" t="s">
        <v>159</v>
      </c>
      <c r="C1046" s="22">
        <v>0</v>
      </c>
      <c r="D1046" s="22">
        <v>0</v>
      </c>
    </row>
    <row r="1047" spans="1:4" x14ac:dyDescent="0.2">
      <c r="A1047" s="23" t="s">
        <v>160</v>
      </c>
      <c r="B1047" s="23" t="s">
        <v>161</v>
      </c>
      <c r="C1047" s="22">
        <v>0</v>
      </c>
      <c r="D1047" s="22">
        <v>0</v>
      </c>
    </row>
    <row r="1048" spans="1:4" x14ac:dyDescent="0.2">
      <c r="A1048" s="23" t="s">
        <v>162</v>
      </c>
      <c r="B1048" s="23" t="s">
        <v>163</v>
      </c>
      <c r="C1048" s="22">
        <v>0</v>
      </c>
      <c r="D1048" s="22">
        <v>0</v>
      </c>
    </row>
    <row r="1049" spans="1:4" x14ac:dyDescent="0.2">
      <c r="A1049" s="23" t="s">
        <v>164</v>
      </c>
      <c r="B1049" s="23" t="s">
        <v>165</v>
      </c>
      <c r="C1049" s="22">
        <v>0</v>
      </c>
      <c r="D1049" s="22">
        <v>0</v>
      </c>
    </row>
    <row r="1050" spans="1:4" x14ac:dyDescent="0.2">
      <c r="A1050" s="23" t="s">
        <v>166</v>
      </c>
      <c r="B1050" s="23" t="s">
        <v>167</v>
      </c>
      <c r="C1050" s="22">
        <v>0</v>
      </c>
      <c r="D1050" s="22">
        <v>0</v>
      </c>
    </row>
    <row r="1051" spans="1:4" x14ac:dyDescent="0.2">
      <c r="A1051" s="23" t="s">
        <v>168</v>
      </c>
      <c r="B1051" s="23" t="s">
        <v>169</v>
      </c>
      <c r="C1051" s="22">
        <v>-473334.15</v>
      </c>
      <c r="D1051" s="22">
        <v>-71438321.590000004</v>
      </c>
    </row>
    <row r="1052" spans="1:4" x14ac:dyDescent="0.2">
      <c r="A1052" s="23" t="s">
        <v>170</v>
      </c>
      <c r="B1052" s="23" t="s">
        <v>171</v>
      </c>
      <c r="C1052" s="22">
        <v>0</v>
      </c>
      <c r="D1052" s="22">
        <v>0</v>
      </c>
    </row>
    <row r="1053" spans="1:4" x14ac:dyDescent="0.2">
      <c r="A1053" s="23" t="s">
        <v>172</v>
      </c>
      <c r="B1053" s="23" t="s">
        <v>173</v>
      </c>
      <c r="C1053" s="22">
        <v>0</v>
      </c>
      <c r="D1053" s="22">
        <v>0</v>
      </c>
    </row>
    <row r="1054" spans="1:4" x14ac:dyDescent="0.2">
      <c r="A1054" s="23" t="s">
        <v>174</v>
      </c>
      <c r="B1054" s="23" t="s">
        <v>175</v>
      </c>
      <c r="C1054" s="22">
        <v>0</v>
      </c>
      <c r="D1054" s="22">
        <v>0</v>
      </c>
    </row>
    <row r="1055" spans="1:4" x14ac:dyDescent="0.2">
      <c r="A1055" s="23" t="s">
        <v>176</v>
      </c>
      <c r="B1055" s="23" t="s">
        <v>177</v>
      </c>
      <c r="C1055" s="22">
        <v>0</v>
      </c>
      <c r="D1055" s="22">
        <v>0</v>
      </c>
    </row>
    <row r="1056" spans="1:4" x14ac:dyDescent="0.2">
      <c r="A1056" s="23" t="s">
        <v>178</v>
      </c>
      <c r="B1056" s="23" t="s">
        <v>179</v>
      </c>
      <c r="C1056" s="22">
        <v>0</v>
      </c>
      <c r="D1056" s="22">
        <v>0</v>
      </c>
    </row>
    <row r="1057" spans="1:4" x14ac:dyDescent="0.2">
      <c r="A1057" s="23" t="s">
        <v>180</v>
      </c>
      <c r="B1057" s="23" t="s">
        <v>181</v>
      </c>
      <c r="C1057" s="22">
        <v>0</v>
      </c>
      <c r="D1057" s="22">
        <v>0</v>
      </c>
    </row>
    <row r="1058" spans="1:4" x14ac:dyDescent="0.2">
      <c r="A1058" s="23" t="s">
        <v>182</v>
      </c>
      <c r="B1058" s="23" t="s">
        <v>183</v>
      </c>
      <c r="C1058" s="22">
        <v>-2553304.58</v>
      </c>
      <c r="D1058" s="22">
        <v>-442949148.99000001</v>
      </c>
    </row>
    <row r="1059" spans="1:4" x14ac:dyDescent="0.2">
      <c r="A1059" s="23" t="s">
        <v>184</v>
      </c>
      <c r="B1059" s="23" t="s">
        <v>185</v>
      </c>
      <c r="C1059" s="22">
        <v>0</v>
      </c>
      <c r="D1059" s="22">
        <v>0</v>
      </c>
    </row>
    <row r="1060" spans="1:4" x14ac:dyDescent="0.2">
      <c r="A1060" s="23" t="s">
        <v>186</v>
      </c>
      <c r="B1060" s="23" t="s">
        <v>187</v>
      </c>
      <c r="C1060" s="22">
        <v>176216</v>
      </c>
      <c r="D1060" s="22">
        <v>-22657983.899999999</v>
      </c>
    </row>
    <row r="1061" spans="1:4" x14ac:dyDescent="0.2">
      <c r="A1061" s="23" t="s">
        <v>188</v>
      </c>
      <c r="B1061" s="23" t="s">
        <v>189</v>
      </c>
      <c r="C1061" s="22">
        <v>0</v>
      </c>
      <c r="D1061" s="22">
        <v>0</v>
      </c>
    </row>
    <row r="1062" spans="1:4" x14ac:dyDescent="0.2">
      <c r="A1062" s="23" t="s">
        <v>190</v>
      </c>
      <c r="B1062" s="23" t="s">
        <v>191</v>
      </c>
      <c r="C1062" s="22">
        <v>0</v>
      </c>
      <c r="D1062" s="22">
        <v>0</v>
      </c>
    </row>
    <row r="1063" spans="1:4" x14ac:dyDescent="0.2">
      <c r="A1063" s="23" t="s">
        <v>192</v>
      </c>
      <c r="B1063" s="23" t="s">
        <v>193</v>
      </c>
      <c r="C1063" s="22">
        <v>0</v>
      </c>
      <c r="D1063" s="22">
        <v>0</v>
      </c>
    </row>
    <row r="1064" spans="1:4" x14ac:dyDescent="0.2">
      <c r="A1064" s="23" t="s">
        <v>194</v>
      </c>
      <c r="B1064" t="s">
        <v>4481</v>
      </c>
      <c r="C1064" s="22">
        <v>-2850422.73</v>
      </c>
      <c r="D1064" s="22">
        <v>-537045454.48000002</v>
      </c>
    </row>
    <row r="1065" spans="1:4" x14ac:dyDescent="0.2">
      <c r="A1065" s="23" t="s">
        <v>195</v>
      </c>
      <c r="B1065" s="23" t="s">
        <v>196</v>
      </c>
      <c r="C1065" s="22">
        <v>613689.72</v>
      </c>
      <c r="D1065" s="22">
        <v>5948335</v>
      </c>
    </row>
    <row r="1066" spans="1:4" x14ac:dyDescent="0.2">
      <c r="A1066" s="23" t="s">
        <v>197</v>
      </c>
      <c r="B1066" s="23" t="s">
        <v>198</v>
      </c>
      <c r="C1066" s="22">
        <v>-16281.16</v>
      </c>
      <c r="D1066" s="22">
        <v>119783.98</v>
      </c>
    </row>
    <row r="1067" spans="1:4" x14ac:dyDescent="0.2">
      <c r="A1067" s="23" t="s">
        <v>199</v>
      </c>
      <c r="B1067" s="23" t="s">
        <v>2412</v>
      </c>
      <c r="C1067" s="22">
        <v>444853.64</v>
      </c>
      <c r="D1067" s="22">
        <v>-1915330.5600000001</v>
      </c>
    </row>
    <row r="1068" spans="1:4" x14ac:dyDescent="0.2">
      <c r="A1068" s="23" t="s">
        <v>2413</v>
      </c>
      <c r="B1068" s="23" t="s">
        <v>2414</v>
      </c>
      <c r="C1068" s="22">
        <v>26739.58</v>
      </c>
      <c r="D1068" s="22">
        <v>2565181.0299999998</v>
      </c>
    </row>
    <row r="1069" spans="1:4" x14ac:dyDescent="0.2">
      <c r="A1069" s="23" t="s">
        <v>2415</v>
      </c>
      <c r="B1069" s="23" t="s">
        <v>2416</v>
      </c>
      <c r="C1069" s="22">
        <v>3690506.79</v>
      </c>
      <c r="D1069" s="22">
        <v>40188328.280000001</v>
      </c>
    </row>
    <row r="1070" spans="1:4" x14ac:dyDescent="0.2">
      <c r="A1070" s="23" t="s">
        <v>2417</v>
      </c>
      <c r="B1070" s="23" t="s">
        <v>2418</v>
      </c>
      <c r="C1070" s="22">
        <v>-97908.94</v>
      </c>
      <c r="D1070" s="22">
        <v>638952.65</v>
      </c>
    </row>
    <row r="1071" spans="1:4" x14ac:dyDescent="0.2">
      <c r="A1071" s="23" t="s">
        <v>2419</v>
      </c>
      <c r="B1071" s="23" t="s">
        <v>2420</v>
      </c>
      <c r="C1071" s="22">
        <v>2675188.0299999998</v>
      </c>
      <c r="D1071" s="22">
        <v>-12672984.369999999</v>
      </c>
    </row>
    <row r="1072" spans="1:4" x14ac:dyDescent="0.2">
      <c r="A1072" s="23" t="s">
        <v>2421</v>
      </c>
      <c r="B1072" s="23" t="s">
        <v>2422</v>
      </c>
      <c r="C1072" s="22">
        <v>160988.01</v>
      </c>
      <c r="D1072" s="22">
        <v>15395198.560000001</v>
      </c>
    </row>
    <row r="1073" spans="1:4" x14ac:dyDescent="0.2">
      <c r="A1073" s="23" t="s">
        <v>2423</v>
      </c>
      <c r="B1073" s="23" t="s">
        <v>2424</v>
      </c>
      <c r="C1073" s="22">
        <v>16566.28</v>
      </c>
      <c r="D1073" s="22">
        <v>-1079377.01</v>
      </c>
    </row>
    <row r="1074" spans="1:4" x14ac:dyDescent="0.2">
      <c r="A1074" s="23" t="s">
        <v>2425</v>
      </c>
      <c r="B1074" s="23" t="s">
        <v>2426</v>
      </c>
      <c r="C1074" s="22">
        <v>99623.55</v>
      </c>
      <c r="D1074" s="22">
        <v>-6346879.46</v>
      </c>
    </row>
    <row r="1075" spans="1:4" x14ac:dyDescent="0.2">
      <c r="A1075" s="23" t="s">
        <v>2427</v>
      </c>
      <c r="B1075" s="23" t="s">
        <v>2428</v>
      </c>
      <c r="C1075" s="22">
        <v>0</v>
      </c>
      <c r="D1075" s="22">
        <v>-1.32</v>
      </c>
    </row>
    <row r="1076" spans="1:4" x14ac:dyDescent="0.2">
      <c r="A1076" s="23" t="s">
        <v>2429</v>
      </c>
      <c r="B1076" s="23" t="s">
        <v>2430</v>
      </c>
      <c r="C1076" s="22">
        <v>0</v>
      </c>
      <c r="D1076" s="22">
        <v>-6.69</v>
      </c>
    </row>
    <row r="1077" spans="1:4" x14ac:dyDescent="0.2">
      <c r="A1077" s="23" t="s">
        <v>2431</v>
      </c>
      <c r="B1077" s="23" t="s">
        <v>2432</v>
      </c>
      <c r="C1077" s="22">
        <v>0</v>
      </c>
      <c r="D1077" s="22">
        <v>0</v>
      </c>
    </row>
    <row r="1078" spans="1:4" x14ac:dyDescent="0.2">
      <c r="A1078" s="23" t="s">
        <v>2433</v>
      </c>
      <c r="B1078" s="23" t="s">
        <v>4591</v>
      </c>
      <c r="C1078" s="22">
        <v>0</v>
      </c>
      <c r="D1078" s="22">
        <v>0</v>
      </c>
    </row>
    <row r="1079" spans="1:4" x14ac:dyDescent="0.2">
      <c r="A1079" s="23" t="s">
        <v>4592</v>
      </c>
      <c r="B1079" s="23" t="s">
        <v>4593</v>
      </c>
      <c r="C1079" s="22">
        <v>110664</v>
      </c>
      <c r="D1079" s="22">
        <v>-14229229.98</v>
      </c>
    </row>
    <row r="1080" spans="1:4" x14ac:dyDescent="0.2">
      <c r="A1080" s="23" t="s">
        <v>4594</v>
      </c>
      <c r="B1080" s="23" t="s">
        <v>1583</v>
      </c>
      <c r="C1080" s="22">
        <v>628233.1</v>
      </c>
      <c r="D1080" s="22">
        <v>-718748.8</v>
      </c>
    </row>
    <row r="1081" spans="1:4" x14ac:dyDescent="0.2">
      <c r="A1081" s="23" t="s">
        <v>4595</v>
      </c>
      <c r="B1081" s="23" t="s">
        <v>1585</v>
      </c>
      <c r="C1081" s="22">
        <v>3777965.4</v>
      </c>
      <c r="D1081" s="22">
        <v>-4322293.93</v>
      </c>
    </row>
    <row r="1082" spans="1:4" x14ac:dyDescent="0.2">
      <c r="A1082" s="23" t="s">
        <v>4596</v>
      </c>
      <c r="B1082" s="23" t="s">
        <v>1579</v>
      </c>
      <c r="C1082" s="22">
        <v>12603399.01</v>
      </c>
      <c r="D1082" s="22">
        <v>-28174075.57</v>
      </c>
    </row>
    <row r="1083" spans="1:4" x14ac:dyDescent="0.2">
      <c r="A1083" s="23" t="s">
        <v>4597</v>
      </c>
      <c r="B1083" s="23" t="s">
        <v>1581</v>
      </c>
      <c r="C1083" s="22">
        <v>2095803.39</v>
      </c>
      <c r="D1083" s="22">
        <v>-4685031.3899999997</v>
      </c>
    </row>
    <row r="1084" spans="1:4" x14ac:dyDescent="0.2">
      <c r="A1084" s="23" t="s">
        <v>4598</v>
      </c>
      <c r="B1084" s="23" t="s">
        <v>1587</v>
      </c>
      <c r="C1084" s="22">
        <v>27170.71</v>
      </c>
      <c r="D1084" s="22">
        <v>0</v>
      </c>
    </row>
    <row r="1085" spans="1:4" x14ac:dyDescent="0.2">
      <c r="A1085" s="23" t="s">
        <v>4599</v>
      </c>
      <c r="B1085" s="23" t="s">
        <v>1589</v>
      </c>
      <c r="C1085" s="22">
        <v>163394.79999999999</v>
      </c>
      <c r="D1085" s="22">
        <v>0</v>
      </c>
    </row>
    <row r="1086" spans="1:4" x14ac:dyDescent="0.2">
      <c r="A1086" s="23" t="s">
        <v>4600</v>
      </c>
      <c r="B1086" t="s">
        <v>4481</v>
      </c>
      <c r="C1086" s="22">
        <v>27020595.91</v>
      </c>
      <c r="D1086" s="22">
        <v>-9288179.5800000001</v>
      </c>
    </row>
    <row r="1087" spans="1:4" x14ac:dyDescent="0.2">
      <c r="A1087" s="23" t="s">
        <v>4601</v>
      </c>
      <c r="B1087" s="23" t="s">
        <v>4602</v>
      </c>
      <c r="C1087" s="22">
        <v>-6557045.7999999998</v>
      </c>
      <c r="D1087" s="22">
        <v>-150275679.62</v>
      </c>
    </row>
    <row r="1088" spans="1:4" x14ac:dyDescent="0.2">
      <c r="A1088" s="23" t="s">
        <v>4603</v>
      </c>
      <c r="B1088" t="s">
        <v>4481</v>
      </c>
      <c r="C1088" s="22">
        <v>-6557045.7999999998</v>
      </c>
      <c r="D1088" s="22">
        <v>-150275679.62</v>
      </c>
    </row>
    <row r="1089" spans="1:4" x14ac:dyDescent="0.2">
      <c r="A1089" s="23" t="s">
        <v>4604</v>
      </c>
      <c r="B1089" s="23" t="s">
        <v>4605</v>
      </c>
      <c r="C1089" s="22">
        <v>62380089.229999997</v>
      </c>
      <c r="D1089" s="22">
        <v>857367964.54999995</v>
      </c>
    </row>
    <row r="1090" spans="1:4" x14ac:dyDescent="0.2">
      <c r="A1090" s="23" t="s">
        <v>4606</v>
      </c>
      <c r="B1090" s="23" t="s">
        <v>4607</v>
      </c>
      <c r="C1090" s="22">
        <v>43261420.530000001</v>
      </c>
      <c r="D1090" s="22">
        <v>499900492.25</v>
      </c>
    </row>
    <row r="1091" spans="1:4" x14ac:dyDescent="0.2">
      <c r="A1091" s="23" t="s">
        <v>4608</v>
      </c>
      <c r="B1091" t="s">
        <v>4481</v>
      </c>
      <c r="C1091" s="22">
        <v>105641509.76000001</v>
      </c>
      <c r="D1091" s="22">
        <v>1357268456.8</v>
      </c>
    </row>
    <row r="1092" spans="1:4" x14ac:dyDescent="0.2">
      <c r="A1092" s="23" t="s">
        <v>4609</v>
      </c>
      <c r="B1092" s="23" t="s">
        <v>4610</v>
      </c>
      <c r="C1092" s="22">
        <v>8875704.2200000007</v>
      </c>
      <c r="D1092" s="22">
        <v>109329503.63</v>
      </c>
    </row>
    <row r="1093" spans="1:4" x14ac:dyDescent="0.2">
      <c r="A1093" s="23" t="s">
        <v>4611</v>
      </c>
      <c r="B1093" t="s">
        <v>4481</v>
      </c>
      <c r="C1093" s="22">
        <v>8875704.2200000007</v>
      </c>
      <c r="D1093" s="22">
        <v>109329503.63</v>
      </c>
    </row>
    <row r="1094" spans="1:4" x14ac:dyDescent="0.2">
      <c r="A1094" s="23" t="s">
        <v>4612</v>
      </c>
      <c r="B1094" s="23" t="s">
        <v>4613</v>
      </c>
      <c r="C1094" s="22">
        <v>14510145.16</v>
      </c>
      <c r="D1094" s="22">
        <v>169835161.5</v>
      </c>
    </row>
    <row r="1095" spans="1:4" x14ac:dyDescent="0.2">
      <c r="A1095" s="23" t="s">
        <v>4614</v>
      </c>
      <c r="B1095" s="23" t="s">
        <v>4615</v>
      </c>
      <c r="C1095" s="22">
        <v>149954.9</v>
      </c>
      <c r="D1095" s="22">
        <v>1336986</v>
      </c>
    </row>
    <row r="1096" spans="1:4" x14ac:dyDescent="0.2">
      <c r="A1096" s="23" t="s">
        <v>4616</v>
      </c>
      <c r="B1096" s="23" t="s">
        <v>4617</v>
      </c>
      <c r="C1096" s="22">
        <v>455135.98</v>
      </c>
      <c r="D1096" s="22">
        <v>4856205.1100000003</v>
      </c>
    </row>
    <row r="1097" spans="1:4" x14ac:dyDescent="0.2">
      <c r="A1097" s="23" t="s">
        <v>4618</v>
      </c>
      <c r="B1097" t="s">
        <v>4481</v>
      </c>
      <c r="C1097" s="22">
        <v>15115236.039999999</v>
      </c>
      <c r="D1097" s="22">
        <v>176028352.61000001</v>
      </c>
    </row>
    <row r="1098" spans="1:4" x14ac:dyDescent="0.2">
      <c r="A1098" s="23" t="s">
        <v>4619</v>
      </c>
      <c r="B1098" s="23" t="s">
        <v>4620</v>
      </c>
      <c r="C1098" s="22">
        <v>220667.54</v>
      </c>
      <c r="D1098" s="22">
        <v>2771924.24</v>
      </c>
    </row>
    <row r="1099" spans="1:4" x14ac:dyDescent="0.2">
      <c r="A1099" s="23" t="s">
        <v>4621</v>
      </c>
      <c r="B1099" t="s">
        <v>4481</v>
      </c>
      <c r="C1099" s="22">
        <v>220667.54</v>
      </c>
      <c r="D1099" s="22">
        <v>2771924.24</v>
      </c>
    </row>
    <row r="1100" spans="1:4" x14ac:dyDescent="0.2">
      <c r="A1100" s="23" t="s">
        <v>4622</v>
      </c>
      <c r="B1100" s="23" t="s">
        <v>4623</v>
      </c>
      <c r="C1100" s="22">
        <v>17444.71</v>
      </c>
      <c r="D1100" s="22">
        <v>209336.52</v>
      </c>
    </row>
    <row r="1101" spans="1:4" x14ac:dyDescent="0.2">
      <c r="A1101" s="23" t="s">
        <v>4624</v>
      </c>
      <c r="B1101" s="23" t="s">
        <v>4625</v>
      </c>
      <c r="C1101" s="22">
        <v>-35284.03</v>
      </c>
      <c r="D1101" s="22">
        <v>-423408.36</v>
      </c>
    </row>
    <row r="1102" spans="1:4" x14ac:dyDescent="0.2">
      <c r="A1102" s="23" t="s">
        <v>4626</v>
      </c>
      <c r="B1102" t="s">
        <v>4481</v>
      </c>
      <c r="C1102" s="22">
        <v>-17839.32</v>
      </c>
      <c r="D1102" s="22">
        <v>-214071.84</v>
      </c>
    </row>
    <row r="1103" spans="1:4" x14ac:dyDescent="0.2">
      <c r="A1103" s="23" t="s">
        <v>4627</v>
      </c>
      <c r="B1103" s="23" t="s">
        <v>4628</v>
      </c>
      <c r="C1103" s="22">
        <v>13148084</v>
      </c>
      <c r="D1103" s="22">
        <v>157776986</v>
      </c>
    </row>
    <row r="1104" spans="1:4" x14ac:dyDescent="0.2">
      <c r="A1104" s="23" t="s">
        <v>4629</v>
      </c>
      <c r="B1104" s="23" t="s">
        <v>4630</v>
      </c>
      <c r="C1104" s="22">
        <v>0</v>
      </c>
      <c r="D1104" s="22">
        <v>45376533</v>
      </c>
    </row>
    <row r="1105" spans="1:4" x14ac:dyDescent="0.2">
      <c r="A1105" s="23" t="s">
        <v>4631</v>
      </c>
      <c r="B1105" s="23" t="s">
        <v>4632</v>
      </c>
      <c r="C1105" s="22">
        <v>80082</v>
      </c>
      <c r="D1105" s="22">
        <v>960951</v>
      </c>
    </row>
    <row r="1106" spans="1:4" x14ac:dyDescent="0.2">
      <c r="A1106" s="23" t="s">
        <v>4633</v>
      </c>
      <c r="B1106" s="23" t="s">
        <v>4634</v>
      </c>
      <c r="C1106" s="22">
        <v>0</v>
      </c>
      <c r="D1106" s="22">
        <v>0</v>
      </c>
    </row>
    <row r="1107" spans="1:4" x14ac:dyDescent="0.2">
      <c r="A1107" s="23" t="s">
        <v>4635</v>
      </c>
      <c r="B1107" s="23" t="s">
        <v>4636</v>
      </c>
      <c r="C1107" s="22">
        <v>115015</v>
      </c>
      <c r="D1107" s="22">
        <v>1380334</v>
      </c>
    </row>
    <row r="1108" spans="1:4" x14ac:dyDescent="0.2">
      <c r="A1108" s="23" t="s">
        <v>4637</v>
      </c>
      <c r="B1108" s="23" t="s">
        <v>4638</v>
      </c>
      <c r="C1108" s="22">
        <v>10099</v>
      </c>
      <c r="D1108" s="22">
        <v>1645277</v>
      </c>
    </row>
    <row r="1109" spans="1:4" x14ac:dyDescent="0.2">
      <c r="A1109" s="23" t="s">
        <v>4639</v>
      </c>
      <c r="B1109" s="23" t="s">
        <v>4640</v>
      </c>
      <c r="C1109" s="22">
        <v>0</v>
      </c>
      <c r="D1109" s="22">
        <v>0</v>
      </c>
    </row>
    <row r="1110" spans="1:4" x14ac:dyDescent="0.2">
      <c r="A1110" s="23" t="s">
        <v>4641</v>
      </c>
      <c r="B1110" s="23" t="s">
        <v>4642</v>
      </c>
      <c r="C1110" s="22">
        <v>9469272</v>
      </c>
      <c r="D1110" s="22">
        <v>41035727</v>
      </c>
    </row>
    <row r="1111" spans="1:4" x14ac:dyDescent="0.2">
      <c r="A1111" s="23" t="s">
        <v>4643</v>
      </c>
      <c r="B1111" s="23" t="s">
        <v>4644</v>
      </c>
      <c r="C1111" s="22">
        <v>0</v>
      </c>
      <c r="D1111" s="22">
        <v>0</v>
      </c>
    </row>
    <row r="1112" spans="1:4" x14ac:dyDescent="0.2">
      <c r="A1112" s="23" t="s">
        <v>4645</v>
      </c>
      <c r="B1112" s="23" t="s">
        <v>4646</v>
      </c>
      <c r="C1112" s="22">
        <v>-37203</v>
      </c>
      <c r="D1112" s="22">
        <v>1185208</v>
      </c>
    </row>
    <row r="1113" spans="1:4" x14ac:dyDescent="0.2">
      <c r="A1113" s="23" t="s">
        <v>4647</v>
      </c>
      <c r="B1113" s="23" t="s">
        <v>4648</v>
      </c>
      <c r="C1113" s="22">
        <v>-2504446</v>
      </c>
      <c r="D1113" s="22">
        <v>-44116759</v>
      </c>
    </row>
    <row r="1114" spans="1:4" x14ac:dyDescent="0.2">
      <c r="A1114" s="23" t="s">
        <v>4649</v>
      </c>
      <c r="B1114" s="23" t="s">
        <v>4650</v>
      </c>
      <c r="C1114" s="22">
        <v>0</v>
      </c>
      <c r="D1114" s="22">
        <v>0</v>
      </c>
    </row>
    <row r="1115" spans="1:4" x14ac:dyDescent="0.2">
      <c r="A1115" s="23" t="s">
        <v>4651</v>
      </c>
      <c r="B1115" s="23" t="s">
        <v>4652</v>
      </c>
      <c r="C1115" s="22">
        <v>-2563356</v>
      </c>
      <c r="D1115" s="22">
        <v>-23915772</v>
      </c>
    </row>
    <row r="1116" spans="1:4" x14ac:dyDescent="0.2">
      <c r="A1116" s="23" t="s">
        <v>4653</v>
      </c>
      <c r="B1116" s="23" t="s">
        <v>2098</v>
      </c>
      <c r="C1116" s="22">
        <v>0</v>
      </c>
      <c r="D1116" s="22">
        <v>0</v>
      </c>
    </row>
    <row r="1117" spans="1:4" x14ac:dyDescent="0.2">
      <c r="A1117" s="23" t="s">
        <v>2099</v>
      </c>
      <c r="B1117" s="23" t="s">
        <v>2100</v>
      </c>
      <c r="C1117" s="22">
        <v>0</v>
      </c>
      <c r="D1117" s="22">
        <v>-1590778</v>
      </c>
    </row>
    <row r="1118" spans="1:4" x14ac:dyDescent="0.2">
      <c r="A1118" s="23" t="s">
        <v>2101</v>
      </c>
      <c r="B1118" s="23" t="s">
        <v>2102</v>
      </c>
      <c r="C1118" s="22">
        <v>0</v>
      </c>
      <c r="D1118" s="22">
        <v>0</v>
      </c>
    </row>
    <row r="1119" spans="1:4" x14ac:dyDescent="0.2">
      <c r="A1119" s="23" t="s">
        <v>2103</v>
      </c>
      <c r="B1119" s="23" t="s">
        <v>2104</v>
      </c>
      <c r="C1119" s="22">
        <v>0</v>
      </c>
      <c r="D1119" s="22">
        <v>-19112624</v>
      </c>
    </row>
    <row r="1120" spans="1:4" x14ac:dyDescent="0.2">
      <c r="A1120" s="23" t="s">
        <v>2105</v>
      </c>
      <c r="B1120" s="23" t="s">
        <v>2106</v>
      </c>
      <c r="C1120" s="22">
        <v>-2894852</v>
      </c>
      <c r="D1120" s="22">
        <v>-34738235</v>
      </c>
    </row>
    <row r="1121" spans="1:4" x14ac:dyDescent="0.2">
      <c r="A1121" s="23" t="s">
        <v>2107</v>
      </c>
      <c r="B1121" s="23" t="s">
        <v>2108</v>
      </c>
      <c r="C1121" s="22">
        <v>-307316</v>
      </c>
      <c r="D1121" s="22">
        <v>-741101</v>
      </c>
    </row>
    <row r="1122" spans="1:4" x14ac:dyDescent="0.2">
      <c r="A1122" s="23" t="s">
        <v>2109</v>
      </c>
      <c r="B1122" s="23" t="s">
        <v>2110</v>
      </c>
      <c r="C1122" s="22">
        <v>-99375</v>
      </c>
      <c r="D1122" s="22">
        <v>-1192467</v>
      </c>
    </row>
    <row r="1123" spans="1:4" x14ac:dyDescent="0.2">
      <c r="A1123" s="23" t="s">
        <v>2111</v>
      </c>
      <c r="B1123" t="s">
        <v>4481</v>
      </c>
      <c r="C1123" s="22">
        <v>14416004</v>
      </c>
      <c r="D1123" s="22">
        <v>123953280</v>
      </c>
    </row>
    <row r="1124" spans="1:4" x14ac:dyDescent="0.2">
      <c r="A1124" s="23" t="s">
        <v>2112</v>
      </c>
      <c r="B1124" s="23" t="s">
        <v>2113</v>
      </c>
      <c r="C1124" s="22">
        <v>-282256.89</v>
      </c>
      <c r="D1124" s="22">
        <v>-3503748.56</v>
      </c>
    </row>
    <row r="1125" spans="1:4" x14ac:dyDescent="0.2">
      <c r="A1125" s="23" t="s">
        <v>2114</v>
      </c>
      <c r="B1125" s="23" t="s">
        <v>2115</v>
      </c>
      <c r="C1125" s="22">
        <v>122117.71</v>
      </c>
      <c r="D1125" s="22">
        <v>1764819.14</v>
      </c>
    </row>
    <row r="1126" spans="1:4" x14ac:dyDescent="0.2">
      <c r="A1126" s="23" t="s">
        <v>2116</v>
      </c>
      <c r="B1126" s="23" t="s">
        <v>2117</v>
      </c>
      <c r="C1126" s="22">
        <v>1141897.5900000001</v>
      </c>
      <c r="D1126" s="22">
        <v>13511519.93</v>
      </c>
    </row>
    <row r="1127" spans="1:4" x14ac:dyDescent="0.2">
      <c r="A1127" s="23" t="s">
        <v>2118</v>
      </c>
      <c r="B1127" s="23" t="s">
        <v>2119</v>
      </c>
      <c r="C1127" s="22">
        <v>3452477.96</v>
      </c>
      <c r="D1127" s="22">
        <v>41429735.530000001</v>
      </c>
    </row>
    <row r="1128" spans="1:4" x14ac:dyDescent="0.2">
      <c r="A1128" s="23" t="s">
        <v>2120</v>
      </c>
      <c r="B1128" s="23" t="s">
        <v>2121</v>
      </c>
      <c r="C1128" s="22">
        <v>2689356</v>
      </c>
      <c r="D1128" s="22">
        <v>37254415.200000003</v>
      </c>
    </row>
    <row r="1129" spans="1:4" x14ac:dyDescent="0.2">
      <c r="A1129" s="23" t="s">
        <v>2122</v>
      </c>
      <c r="B1129" s="23" t="s">
        <v>2123</v>
      </c>
      <c r="C1129" s="22">
        <v>3639285.1</v>
      </c>
      <c r="D1129" s="22">
        <v>49909513.810000002</v>
      </c>
    </row>
    <row r="1130" spans="1:4" x14ac:dyDescent="0.2">
      <c r="A1130" s="23" t="s">
        <v>2124</v>
      </c>
      <c r="B1130" s="23" t="s">
        <v>2125</v>
      </c>
      <c r="C1130" s="22">
        <v>8000</v>
      </c>
      <c r="D1130" s="22">
        <v>96000</v>
      </c>
    </row>
    <row r="1131" spans="1:4" x14ac:dyDescent="0.2">
      <c r="A1131" s="23" t="s">
        <v>2126</v>
      </c>
      <c r="B1131" t="s">
        <v>4481</v>
      </c>
      <c r="C1131" s="22">
        <v>10770877.470000001</v>
      </c>
      <c r="D1131" s="22">
        <v>140462255.05000001</v>
      </c>
    </row>
    <row r="1132" spans="1:4" x14ac:dyDescent="0.2">
      <c r="A1132" s="23" t="s">
        <v>2127</v>
      </c>
      <c r="B1132" s="23" t="s">
        <v>2128</v>
      </c>
      <c r="C1132" s="22">
        <v>6966122.2999999998</v>
      </c>
      <c r="D1132" s="22">
        <v>131066396.38</v>
      </c>
    </row>
    <row r="1133" spans="1:4" x14ac:dyDescent="0.2">
      <c r="A1133" s="23" t="s">
        <v>2129</v>
      </c>
      <c r="B1133" s="23" t="s">
        <v>2130</v>
      </c>
      <c r="C1133" s="22">
        <v>-252553.2</v>
      </c>
      <c r="D1133" s="22">
        <v>1419028.42</v>
      </c>
    </row>
    <row r="1134" spans="1:4" x14ac:dyDescent="0.2">
      <c r="A1134" s="23" t="s">
        <v>2131</v>
      </c>
      <c r="B1134" t="s">
        <v>4481</v>
      </c>
      <c r="C1134" s="22">
        <v>6713569.0999999996</v>
      </c>
      <c r="D1134" s="22">
        <v>132485424.8</v>
      </c>
    </row>
    <row r="1135" spans="1:4" x14ac:dyDescent="0.2">
      <c r="A1135" s="23" t="s">
        <v>2132</v>
      </c>
      <c r="B1135" s="23" t="s">
        <v>335</v>
      </c>
      <c r="C1135" s="22">
        <v>0</v>
      </c>
      <c r="D1135" s="22">
        <v>5548</v>
      </c>
    </row>
    <row r="1136" spans="1:4" x14ac:dyDescent="0.2">
      <c r="A1136" s="23" t="s">
        <v>2133</v>
      </c>
      <c r="B1136" s="23" t="s">
        <v>337</v>
      </c>
      <c r="C1136" s="22">
        <v>0</v>
      </c>
      <c r="D1136" s="22">
        <v>33364</v>
      </c>
    </row>
    <row r="1137" spans="1:4" x14ac:dyDescent="0.2">
      <c r="A1137" s="23" t="s">
        <v>2134</v>
      </c>
      <c r="B1137" s="23" t="s">
        <v>2135</v>
      </c>
      <c r="C1137" s="22">
        <v>99594.66</v>
      </c>
      <c r="D1137" s="22">
        <v>224148.17</v>
      </c>
    </row>
    <row r="1138" spans="1:4" x14ac:dyDescent="0.2">
      <c r="A1138" s="23" t="s">
        <v>2136</v>
      </c>
      <c r="B1138" s="23" t="s">
        <v>341</v>
      </c>
      <c r="C1138" s="22">
        <v>598926.06999999995</v>
      </c>
      <c r="D1138" s="22">
        <v>1347945.5</v>
      </c>
    </row>
    <row r="1139" spans="1:4" x14ac:dyDescent="0.2">
      <c r="A1139" s="23" t="s">
        <v>2137</v>
      </c>
      <c r="B1139" s="23" t="s">
        <v>343</v>
      </c>
      <c r="C1139" s="22">
        <v>0</v>
      </c>
      <c r="D1139" s="22">
        <v>0</v>
      </c>
    </row>
    <row r="1140" spans="1:4" x14ac:dyDescent="0.2">
      <c r="A1140" s="23" t="s">
        <v>2138</v>
      </c>
      <c r="B1140" s="23" t="s">
        <v>345</v>
      </c>
      <c r="C1140" s="22">
        <v>0</v>
      </c>
      <c r="D1140" s="22">
        <v>0</v>
      </c>
    </row>
    <row r="1141" spans="1:4" x14ac:dyDescent="0.2">
      <c r="A1141" s="23" t="s">
        <v>2139</v>
      </c>
      <c r="B1141" s="23" t="s">
        <v>347</v>
      </c>
      <c r="C1141" s="22">
        <v>0</v>
      </c>
      <c r="D1141" s="22">
        <v>0</v>
      </c>
    </row>
    <row r="1142" spans="1:4" x14ac:dyDescent="0.2">
      <c r="A1142" s="23" t="s">
        <v>2140</v>
      </c>
      <c r="B1142" s="23" t="s">
        <v>2141</v>
      </c>
      <c r="C1142" s="22">
        <v>0</v>
      </c>
      <c r="D1142" s="22">
        <v>0</v>
      </c>
    </row>
    <row r="1143" spans="1:4" x14ac:dyDescent="0.2">
      <c r="A1143" s="23" t="s">
        <v>2142</v>
      </c>
      <c r="B1143" s="23" t="s">
        <v>351</v>
      </c>
      <c r="C1143" s="22">
        <v>0</v>
      </c>
      <c r="D1143" s="22">
        <v>0</v>
      </c>
    </row>
    <row r="1144" spans="1:4" x14ac:dyDescent="0.2">
      <c r="A1144" s="23" t="s">
        <v>2143</v>
      </c>
      <c r="B1144" s="23" t="s">
        <v>4148</v>
      </c>
      <c r="C1144" s="22">
        <v>0</v>
      </c>
      <c r="D1144" s="22">
        <v>0</v>
      </c>
    </row>
    <row r="1145" spans="1:4" x14ac:dyDescent="0.2">
      <c r="A1145" s="23" t="s">
        <v>2144</v>
      </c>
      <c r="B1145" s="23" t="s">
        <v>2145</v>
      </c>
      <c r="C1145" s="22">
        <v>54602.52</v>
      </c>
      <c r="D1145" s="22">
        <v>109383.03999999999</v>
      </c>
    </row>
    <row r="1146" spans="1:4" x14ac:dyDescent="0.2">
      <c r="A1146" s="23" t="s">
        <v>2146</v>
      </c>
      <c r="B1146" s="23" t="s">
        <v>2147</v>
      </c>
      <c r="C1146" s="22">
        <v>328359.67</v>
      </c>
      <c r="D1146" s="22">
        <v>656719.34</v>
      </c>
    </row>
    <row r="1147" spans="1:4" x14ac:dyDescent="0.2">
      <c r="A1147" s="23" t="s">
        <v>2148</v>
      </c>
      <c r="B1147" s="23" t="s">
        <v>2149</v>
      </c>
      <c r="C1147" s="22">
        <v>23959.599999999999</v>
      </c>
      <c r="D1147" s="22">
        <v>240060.37</v>
      </c>
    </row>
    <row r="1148" spans="1:4" x14ac:dyDescent="0.2">
      <c r="A1148" s="23" t="s">
        <v>2150</v>
      </c>
      <c r="B1148" s="23" t="s">
        <v>2151</v>
      </c>
      <c r="C1148" s="22">
        <v>144084.29</v>
      </c>
      <c r="D1148" s="22">
        <v>1443635.66</v>
      </c>
    </row>
    <row r="1149" spans="1:4" x14ac:dyDescent="0.2">
      <c r="A1149" s="23" t="s">
        <v>2152</v>
      </c>
      <c r="B1149" s="23" t="s">
        <v>2153</v>
      </c>
      <c r="C1149" s="22">
        <v>0</v>
      </c>
      <c r="D1149" s="22">
        <v>0</v>
      </c>
    </row>
    <row r="1150" spans="1:4" x14ac:dyDescent="0.2">
      <c r="A1150" s="23" t="s">
        <v>2154</v>
      </c>
      <c r="B1150" s="23" t="s">
        <v>2155</v>
      </c>
      <c r="C1150" s="22">
        <v>0</v>
      </c>
      <c r="D1150" s="22">
        <v>0</v>
      </c>
    </row>
    <row r="1151" spans="1:4" x14ac:dyDescent="0.2">
      <c r="A1151" s="23" t="s">
        <v>2156</v>
      </c>
      <c r="B1151" s="23" t="s">
        <v>52</v>
      </c>
      <c r="C1151" s="22">
        <v>0</v>
      </c>
      <c r="D1151" s="22">
        <v>0</v>
      </c>
    </row>
    <row r="1152" spans="1:4" x14ac:dyDescent="0.2">
      <c r="A1152" s="23" t="s">
        <v>2157</v>
      </c>
      <c r="B1152" s="23" t="s">
        <v>54</v>
      </c>
      <c r="C1152" s="22">
        <v>0</v>
      </c>
      <c r="D1152" s="22">
        <v>0</v>
      </c>
    </row>
    <row r="1153" spans="1:4" x14ac:dyDescent="0.2">
      <c r="A1153" s="23" t="s">
        <v>2158</v>
      </c>
      <c r="B1153" s="23" t="s">
        <v>57</v>
      </c>
      <c r="C1153" s="22">
        <v>0</v>
      </c>
      <c r="D1153" s="22">
        <v>0</v>
      </c>
    </row>
    <row r="1154" spans="1:4" x14ac:dyDescent="0.2">
      <c r="A1154" s="23" t="s">
        <v>2159</v>
      </c>
      <c r="B1154" s="23" t="s">
        <v>59</v>
      </c>
      <c r="C1154" s="22">
        <v>0</v>
      </c>
      <c r="D1154" s="22">
        <v>0</v>
      </c>
    </row>
    <row r="1155" spans="1:4" x14ac:dyDescent="0.2">
      <c r="A1155" s="23" t="s">
        <v>2160</v>
      </c>
      <c r="B1155" s="23" t="s">
        <v>61</v>
      </c>
      <c r="C1155" s="22">
        <v>0</v>
      </c>
      <c r="D1155" s="22">
        <v>0</v>
      </c>
    </row>
    <row r="1156" spans="1:4" x14ac:dyDescent="0.2">
      <c r="A1156" s="23" t="s">
        <v>2161</v>
      </c>
      <c r="B1156" s="23" t="s">
        <v>159</v>
      </c>
      <c r="C1156" s="22">
        <v>0</v>
      </c>
      <c r="D1156" s="22">
        <v>0</v>
      </c>
    </row>
    <row r="1157" spans="1:4" x14ac:dyDescent="0.2">
      <c r="A1157" s="23" t="s">
        <v>2162</v>
      </c>
      <c r="B1157" s="23" t="s">
        <v>2163</v>
      </c>
      <c r="C1157" s="22">
        <v>0</v>
      </c>
      <c r="D1157" s="22">
        <v>0</v>
      </c>
    </row>
    <row r="1158" spans="1:4" x14ac:dyDescent="0.2">
      <c r="A1158" s="23" t="s">
        <v>2164</v>
      </c>
      <c r="B1158" s="23" t="s">
        <v>163</v>
      </c>
      <c r="C1158" s="22">
        <v>0</v>
      </c>
      <c r="D1158" s="22">
        <v>0</v>
      </c>
    </row>
    <row r="1159" spans="1:4" x14ac:dyDescent="0.2">
      <c r="A1159" s="23" t="s">
        <v>2165</v>
      </c>
      <c r="B1159" s="23" t="s">
        <v>165</v>
      </c>
      <c r="C1159" s="22">
        <v>0</v>
      </c>
      <c r="D1159" s="22">
        <v>0</v>
      </c>
    </row>
    <row r="1160" spans="1:4" x14ac:dyDescent="0.2">
      <c r="A1160" s="23" t="s">
        <v>2166</v>
      </c>
      <c r="B1160" s="23" t="s">
        <v>167</v>
      </c>
      <c r="C1160" s="22">
        <v>0</v>
      </c>
      <c r="D1160" s="22">
        <v>0</v>
      </c>
    </row>
    <row r="1161" spans="1:4" x14ac:dyDescent="0.2">
      <c r="A1161" s="23" t="s">
        <v>2167</v>
      </c>
      <c r="B1161" s="23" t="s">
        <v>2168</v>
      </c>
      <c r="C1161" s="22">
        <v>0</v>
      </c>
      <c r="D1161" s="22">
        <v>0</v>
      </c>
    </row>
    <row r="1162" spans="1:4" x14ac:dyDescent="0.2">
      <c r="A1162" s="23" t="s">
        <v>2169</v>
      </c>
      <c r="B1162" s="23" t="s">
        <v>2170</v>
      </c>
      <c r="C1162" s="22">
        <v>0</v>
      </c>
      <c r="D1162" s="22">
        <v>0</v>
      </c>
    </row>
    <row r="1163" spans="1:4" x14ac:dyDescent="0.2">
      <c r="A1163" s="23" t="s">
        <v>2171</v>
      </c>
      <c r="B1163" s="23" t="s">
        <v>193</v>
      </c>
      <c r="C1163" s="22">
        <v>0</v>
      </c>
      <c r="D1163" s="22">
        <v>0</v>
      </c>
    </row>
    <row r="1164" spans="1:4" x14ac:dyDescent="0.2">
      <c r="A1164" s="23" t="s">
        <v>2172</v>
      </c>
      <c r="B1164" s="23" t="s">
        <v>2173</v>
      </c>
      <c r="C1164" s="22">
        <v>0</v>
      </c>
      <c r="D1164" s="22">
        <v>0</v>
      </c>
    </row>
    <row r="1165" spans="1:4" x14ac:dyDescent="0.2">
      <c r="A1165" s="23" t="s">
        <v>2174</v>
      </c>
      <c r="B1165" s="23" t="s">
        <v>196</v>
      </c>
      <c r="C1165" s="22">
        <v>51771.07</v>
      </c>
      <c r="D1165" s="22">
        <v>1934263.41</v>
      </c>
    </row>
    <row r="1166" spans="1:4" x14ac:dyDescent="0.2">
      <c r="A1166" s="23" t="s">
        <v>2175</v>
      </c>
      <c r="B1166" s="23" t="s">
        <v>2416</v>
      </c>
      <c r="C1166" s="22">
        <v>311332.38</v>
      </c>
      <c r="D1166" s="22">
        <v>11106348.310000001</v>
      </c>
    </row>
    <row r="1167" spans="1:4" x14ac:dyDescent="0.2">
      <c r="A1167" s="23" t="s">
        <v>2176</v>
      </c>
      <c r="B1167" s="23" t="s">
        <v>198</v>
      </c>
      <c r="C1167" s="22">
        <v>16281.16</v>
      </c>
      <c r="D1167" s="22">
        <v>69903.86</v>
      </c>
    </row>
    <row r="1168" spans="1:4" x14ac:dyDescent="0.2">
      <c r="A1168" s="23" t="s">
        <v>2177</v>
      </c>
      <c r="B1168" s="23" t="s">
        <v>2418</v>
      </c>
      <c r="C1168" s="22">
        <v>97908.94</v>
      </c>
      <c r="D1168" s="22">
        <v>420376.3</v>
      </c>
    </row>
    <row r="1169" spans="1:4" x14ac:dyDescent="0.2">
      <c r="A1169" s="23" t="s">
        <v>2178</v>
      </c>
      <c r="B1169" s="23" t="s">
        <v>2412</v>
      </c>
      <c r="C1169" s="22">
        <v>0</v>
      </c>
      <c r="D1169" s="22">
        <v>0</v>
      </c>
    </row>
    <row r="1170" spans="1:4" x14ac:dyDescent="0.2">
      <c r="A1170" s="23" t="s">
        <v>2179</v>
      </c>
      <c r="B1170" s="23" t="s">
        <v>2420</v>
      </c>
      <c r="C1170" s="22">
        <v>0</v>
      </c>
      <c r="D1170" s="22">
        <v>0</v>
      </c>
    </row>
    <row r="1171" spans="1:4" x14ac:dyDescent="0.2">
      <c r="A1171" s="23" t="s">
        <v>2180</v>
      </c>
      <c r="B1171" s="23" t="s">
        <v>2414</v>
      </c>
      <c r="C1171" s="22">
        <v>0</v>
      </c>
      <c r="D1171" s="22">
        <v>47846</v>
      </c>
    </row>
    <row r="1172" spans="1:4" x14ac:dyDescent="0.2">
      <c r="A1172" s="23" t="s">
        <v>2181</v>
      </c>
      <c r="B1172" s="23" t="s">
        <v>2422</v>
      </c>
      <c r="C1172" s="22">
        <v>0</v>
      </c>
      <c r="D1172" s="22">
        <v>287729</v>
      </c>
    </row>
    <row r="1173" spans="1:4" x14ac:dyDescent="0.2">
      <c r="A1173" s="23" t="s">
        <v>2182</v>
      </c>
      <c r="B1173" s="23" t="s">
        <v>2183</v>
      </c>
      <c r="C1173" s="22">
        <v>0</v>
      </c>
      <c r="D1173" s="22">
        <v>0</v>
      </c>
    </row>
    <row r="1174" spans="1:4" x14ac:dyDescent="0.2">
      <c r="A1174" s="23" t="s">
        <v>2184</v>
      </c>
      <c r="B1174" s="23" t="s">
        <v>2428</v>
      </c>
      <c r="C1174" s="22">
        <v>0</v>
      </c>
      <c r="D1174" s="22">
        <v>0</v>
      </c>
    </row>
    <row r="1175" spans="1:4" x14ac:dyDescent="0.2">
      <c r="A1175" s="23" t="s">
        <v>2185</v>
      </c>
      <c r="B1175" s="23" t="s">
        <v>2430</v>
      </c>
      <c r="C1175" s="22">
        <v>0</v>
      </c>
      <c r="D1175" s="22">
        <v>0</v>
      </c>
    </row>
    <row r="1176" spans="1:4" x14ac:dyDescent="0.2">
      <c r="A1176" s="23" t="s">
        <v>2186</v>
      </c>
      <c r="B1176" s="23" t="s">
        <v>169</v>
      </c>
      <c r="C1176" s="22">
        <v>680683.07</v>
      </c>
      <c r="D1176" s="22">
        <v>4096325.23</v>
      </c>
    </row>
    <row r="1177" spans="1:4" x14ac:dyDescent="0.2">
      <c r="A1177" s="23" t="s">
        <v>2187</v>
      </c>
      <c r="B1177" s="23" t="s">
        <v>183</v>
      </c>
      <c r="C1177" s="22">
        <v>4167828.54</v>
      </c>
      <c r="D1177" s="22">
        <v>25253532.73</v>
      </c>
    </row>
    <row r="1178" spans="1:4" x14ac:dyDescent="0.2">
      <c r="A1178" s="23" t="s">
        <v>2188</v>
      </c>
      <c r="B1178" s="23" t="s">
        <v>171</v>
      </c>
      <c r="C1178" s="22">
        <v>0</v>
      </c>
      <c r="D1178" s="22">
        <v>0</v>
      </c>
    </row>
    <row r="1179" spans="1:4" x14ac:dyDescent="0.2">
      <c r="A1179" s="23" t="s">
        <v>2189</v>
      </c>
      <c r="B1179" s="23" t="s">
        <v>185</v>
      </c>
      <c r="C1179" s="22">
        <v>0</v>
      </c>
      <c r="D1179" s="22">
        <v>0</v>
      </c>
    </row>
    <row r="1180" spans="1:4" x14ac:dyDescent="0.2">
      <c r="A1180" s="23" t="s">
        <v>2190</v>
      </c>
      <c r="B1180" s="23" t="s">
        <v>173</v>
      </c>
      <c r="C1180" s="22">
        <v>0</v>
      </c>
      <c r="D1180" s="22">
        <v>0</v>
      </c>
    </row>
    <row r="1181" spans="1:4" x14ac:dyDescent="0.2">
      <c r="A1181" s="23" t="s">
        <v>2191</v>
      </c>
      <c r="B1181" s="23" t="s">
        <v>2192</v>
      </c>
      <c r="C1181" s="22">
        <v>0</v>
      </c>
      <c r="D1181" s="22">
        <v>76902.710000000006</v>
      </c>
    </row>
    <row r="1182" spans="1:4" x14ac:dyDescent="0.2">
      <c r="A1182" s="23" t="s">
        <v>2193</v>
      </c>
      <c r="B1182" s="23" t="s">
        <v>2194</v>
      </c>
      <c r="C1182" s="22">
        <v>0</v>
      </c>
      <c r="D1182" s="22">
        <v>-844654.1</v>
      </c>
    </row>
    <row r="1183" spans="1:4" x14ac:dyDescent="0.2">
      <c r="A1183" s="23" t="s">
        <v>2195</v>
      </c>
      <c r="B1183" s="23" t="s">
        <v>1573</v>
      </c>
      <c r="C1183" s="22">
        <v>4944.67</v>
      </c>
      <c r="D1183" s="22">
        <v>59336.04</v>
      </c>
    </row>
    <row r="1184" spans="1:4" x14ac:dyDescent="0.2">
      <c r="A1184" s="23" t="s">
        <v>2196</v>
      </c>
      <c r="B1184" s="23" t="s">
        <v>1575</v>
      </c>
      <c r="C1184" s="22">
        <v>29735.42</v>
      </c>
      <c r="D1184" s="22">
        <v>356825.04</v>
      </c>
    </row>
    <row r="1185" spans="1:4" x14ac:dyDescent="0.2">
      <c r="A1185" s="23" t="s">
        <v>2197</v>
      </c>
      <c r="B1185" s="23" t="s">
        <v>2198</v>
      </c>
      <c r="C1185" s="22">
        <v>0</v>
      </c>
      <c r="D1185" s="22">
        <v>4805</v>
      </c>
    </row>
    <row r="1186" spans="1:4" x14ac:dyDescent="0.2">
      <c r="A1186" s="23" t="s">
        <v>2199</v>
      </c>
      <c r="B1186" s="23" t="s">
        <v>2200</v>
      </c>
      <c r="C1186" s="22">
        <v>0</v>
      </c>
      <c r="D1186" s="22">
        <v>28893</v>
      </c>
    </row>
    <row r="1187" spans="1:4" x14ac:dyDescent="0.2">
      <c r="A1187" s="23" t="s">
        <v>2201</v>
      </c>
      <c r="B1187" s="23" t="s">
        <v>2432</v>
      </c>
      <c r="C1187" s="22">
        <v>0</v>
      </c>
      <c r="D1187" s="22">
        <v>0</v>
      </c>
    </row>
    <row r="1188" spans="1:4" x14ac:dyDescent="0.2">
      <c r="A1188" s="23" t="s">
        <v>2202</v>
      </c>
      <c r="B1188" s="23" t="s">
        <v>4591</v>
      </c>
      <c r="C1188" s="22">
        <v>0</v>
      </c>
      <c r="D1188" s="22">
        <v>0</v>
      </c>
    </row>
    <row r="1189" spans="1:4" x14ac:dyDescent="0.2">
      <c r="A1189" s="23" t="s">
        <v>2203</v>
      </c>
      <c r="B1189" s="23" t="s">
        <v>2424</v>
      </c>
      <c r="C1189" s="22">
        <v>0</v>
      </c>
      <c r="D1189" s="22">
        <v>1205</v>
      </c>
    </row>
    <row r="1190" spans="1:4" x14ac:dyDescent="0.2">
      <c r="A1190" s="23" t="s">
        <v>2204</v>
      </c>
      <c r="B1190" s="23" t="s">
        <v>2426</v>
      </c>
      <c r="C1190" s="22">
        <v>0</v>
      </c>
      <c r="D1190" s="22">
        <v>7250</v>
      </c>
    </row>
    <row r="1191" spans="1:4" x14ac:dyDescent="0.2">
      <c r="A1191" s="23" t="s">
        <v>2205</v>
      </c>
      <c r="B1191" s="23" t="s">
        <v>2206</v>
      </c>
      <c r="C1191" s="22">
        <v>0</v>
      </c>
      <c r="D1191" s="22">
        <v>0</v>
      </c>
    </row>
    <row r="1192" spans="1:4" x14ac:dyDescent="0.2">
      <c r="A1192" s="23" t="s">
        <v>2207</v>
      </c>
      <c r="B1192" s="23" t="s">
        <v>175</v>
      </c>
      <c r="C1192" s="22">
        <v>0</v>
      </c>
      <c r="D1192" s="22">
        <v>0</v>
      </c>
    </row>
    <row r="1193" spans="1:4" x14ac:dyDescent="0.2">
      <c r="A1193" s="23" t="s">
        <v>2208</v>
      </c>
      <c r="B1193" s="23" t="s">
        <v>177</v>
      </c>
      <c r="C1193" s="22">
        <v>0</v>
      </c>
      <c r="D1193" s="22">
        <v>0</v>
      </c>
    </row>
    <row r="1194" spans="1:4" x14ac:dyDescent="0.2">
      <c r="A1194" s="23" t="s">
        <v>2209</v>
      </c>
      <c r="B1194" s="23" t="s">
        <v>179</v>
      </c>
      <c r="C1194" s="22">
        <v>0</v>
      </c>
      <c r="D1194" s="22">
        <v>0</v>
      </c>
    </row>
    <row r="1195" spans="1:4" x14ac:dyDescent="0.2">
      <c r="A1195" s="23" t="s">
        <v>2210</v>
      </c>
      <c r="B1195" s="23" t="s">
        <v>181</v>
      </c>
      <c r="C1195" s="22">
        <v>0</v>
      </c>
      <c r="D1195" s="22">
        <v>0</v>
      </c>
    </row>
    <row r="1196" spans="1:4" x14ac:dyDescent="0.2">
      <c r="A1196" s="23" t="s">
        <v>2211</v>
      </c>
      <c r="B1196" t="s">
        <v>4481</v>
      </c>
      <c r="C1196" s="22">
        <v>6610012.0599999996</v>
      </c>
      <c r="D1196" s="22">
        <v>46967691.609999999</v>
      </c>
    </row>
    <row r="1197" spans="1:4" x14ac:dyDescent="0.2">
      <c r="A1197" s="23" t="s">
        <v>2212</v>
      </c>
      <c r="B1197" s="23" t="s">
        <v>335</v>
      </c>
      <c r="C1197" s="22">
        <v>-359.87</v>
      </c>
      <c r="D1197" s="22">
        <v>-4181.13</v>
      </c>
    </row>
    <row r="1198" spans="1:4" x14ac:dyDescent="0.2">
      <c r="A1198" s="23" t="s">
        <v>2213</v>
      </c>
      <c r="B1198" s="23" t="s">
        <v>337</v>
      </c>
      <c r="C1198" s="22">
        <v>-2164.1</v>
      </c>
      <c r="D1198" s="22">
        <v>-25143.61</v>
      </c>
    </row>
    <row r="1199" spans="1:4" x14ac:dyDescent="0.2">
      <c r="A1199" s="23" t="s">
        <v>2214</v>
      </c>
      <c r="B1199" s="23" t="s">
        <v>2135</v>
      </c>
      <c r="C1199" s="22">
        <v>0</v>
      </c>
      <c r="D1199" s="22">
        <v>-445813.09</v>
      </c>
    </row>
    <row r="1200" spans="1:4" x14ac:dyDescent="0.2">
      <c r="A1200" s="23" t="s">
        <v>2215</v>
      </c>
      <c r="B1200" s="23" t="s">
        <v>341</v>
      </c>
      <c r="C1200" s="22">
        <v>0</v>
      </c>
      <c r="D1200" s="22">
        <v>-2680956.8199999998</v>
      </c>
    </row>
    <row r="1201" spans="1:4" x14ac:dyDescent="0.2">
      <c r="A1201" s="23" t="s">
        <v>2216</v>
      </c>
      <c r="B1201" s="23" t="s">
        <v>343</v>
      </c>
      <c r="C1201" s="22">
        <v>0</v>
      </c>
      <c r="D1201" s="22">
        <v>0</v>
      </c>
    </row>
    <row r="1202" spans="1:4" x14ac:dyDescent="0.2">
      <c r="A1202" s="23" t="s">
        <v>2217</v>
      </c>
      <c r="B1202" s="23" t="s">
        <v>345</v>
      </c>
      <c r="C1202" s="22">
        <v>0</v>
      </c>
      <c r="D1202" s="22">
        <v>0</v>
      </c>
    </row>
    <row r="1203" spans="1:4" x14ac:dyDescent="0.2">
      <c r="A1203" s="23" t="s">
        <v>2218</v>
      </c>
      <c r="B1203" s="23" t="s">
        <v>347</v>
      </c>
      <c r="C1203" s="22">
        <v>0</v>
      </c>
      <c r="D1203" s="22">
        <v>0</v>
      </c>
    </row>
    <row r="1204" spans="1:4" x14ac:dyDescent="0.2">
      <c r="A1204" s="23" t="s">
        <v>2219</v>
      </c>
      <c r="B1204" s="23" t="s">
        <v>349</v>
      </c>
      <c r="C1204" s="22">
        <v>0</v>
      </c>
      <c r="D1204" s="22">
        <v>0</v>
      </c>
    </row>
    <row r="1205" spans="1:4" x14ac:dyDescent="0.2">
      <c r="A1205" s="23" t="s">
        <v>2220</v>
      </c>
      <c r="B1205" s="23" t="s">
        <v>351</v>
      </c>
      <c r="C1205" s="22">
        <v>0</v>
      </c>
      <c r="D1205" s="22">
        <v>0</v>
      </c>
    </row>
    <row r="1206" spans="1:4" x14ac:dyDescent="0.2">
      <c r="A1206" s="23" t="s">
        <v>2221</v>
      </c>
      <c r="B1206" s="23" t="s">
        <v>4148</v>
      </c>
      <c r="C1206" s="22">
        <v>0</v>
      </c>
      <c r="D1206" s="22">
        <v>0</v>
      </c>
    </row>
    <row r="1207" spans="1:4" x14ac:dyDescent="0.2">
      <c r="A1207" s="23" t="s">
        <v>2222</v>
      </c>
      <c r="B1207" s="23" t="s">
        <v>2223</v>
      </c>
      <c r="C1207" s="22">
        <v>0</v>
      </c>
      <c r="D1207" s="22">
        <v>-171547.65</v>
      </c>
    </row>
    <row r="1208" spans="1:4" x14ac:dyDescent="0.2">
      <c r="A1208" s="23" t="s">
        <v>2224</v>
      </c>
      <c r="B1208" s="23" t="s">
        <v>2147</v>
      </c>
      <c r="C1208" s="22">
        <v>0</v>
      </c>
      <c r="D1208" s="22">
        <v>-1030550.12</v>
      </c>
    </row>
    <row r="1209" spans="1:4" x14ac:dyDescent="0.2">
      <c r="A1209" s="23" t="s">
        <v>2225</v>
      </c>
      <c r="B1209" s="23" t="s">
        <v>2149</v>
      </c>
      <c r="C1209" s="22">
        <v>0</v>
      </c>
      <c r="D1209" s="22">
        <v>-81585.14</v>
      </c>
    </row>
    <row r="1210" spans="1:4" x14ac:dyDescent="0.2">
      <c r="A1210" s="23" t="s">
        <v>2226</v>
      </c>
      <c r="B1210" s="23" t="s">
        <v>2151</v>
      </c>
      <c r="C1210" s="22">
        <v>0</v>
      </c>
      <c r="D1210" s="22">
        <v>-490623.3</v>
      </c>
    </row>
    <row r="1211" spans="1:4" x14ac:dyDescent="0.2">
      <c r="A1211" s="23" t="s">
        <v>2227</v>
      </c>
      <c r="B1211" s="23" t="s">
        <v>2153</v>
      </c>
      <c r="C1211" s="22">
        <v>0</v>
      </c>
      <c r="D1211" s="22">
        <v>0</v>
      </c>
    </row>
    <row r="1212" spans="1:4" x14ac:dyDescent="0.2">
      <c r="A1212" s="23" t="s">
        <v>2228</v>
      </c>
      <c r="B1212" s="23" t="s">
        <v>2155</v>
      </c>
      <c r="C1212" s="22">
        <v>0</v>
      </c>
      <c r="D1212" s="22">
        <v>0</v>
      </c>
    </row>
    <row r="1213" spans="1:4" x14ac:dyDescent="0.2">
      <c r="A1213" s="23" t="s">
        <v>2229</v>
      </c>
      <c r="B1213" s="23" t="s">
        <v>52</v>
      </c>
      <c r="C1213" s="22">
        <v>-6609.73</v>
      </c>
      <c r="D1213" s="22">
        <v>-79316.89</v>
      </c>
    </row>
    <row r="1214" spans="1:4" x14ac:dyDescent="0.2">
      <c r="A1214" s="23" t="s">
        <v>2230</v>
      </c>
      <c r="B1214" s="23" t="s">
        <v>54</v>
      </c>
      <c r="C1214" s="22">
        <v>-44464.93</v>
      </c>
      <c r="D1214" s="22">
        <v>-533579.01</v>
      </c>
    </row>
    <row r="1215" spans="1:4" x14ac:dyDescent="0.2">
      <c r="A1215" s="23" t="s">
        <v>2231</v>
      </c>
      <c r="B1215" s="23" t="s">
        <v>57</v>
      </c>
      <c r="C1215" s="22">
        <v>0</v>
      </c>
      <c r="D1215" s="22">
        <v>0</v>
      </c>
    </row>
    <row r="1216" spans="1:4" x14ac:dyDescent="0.2">
      <c r="A1216" s="23" t="s">
        <v>2232</v>
      </c>
      <c r="B1216" s="23" t="s">
        <v>59</v>
      </c>
      <c r="C1216" s="22">
        <v>0</v>
      </c>
      <c r="D1216" s="22">
        <v>0</v>
      </c>
    </row>
    <row r="1217" spans="1:4" x14ac:dyDescent="0.2">
      <c r="A1217" s="23" t="s">
        <v>2233</v>
      </c>
      <c r="B1217" s="23" t="s">
        <v>61</v>
      </c>
      <c r="C1217" s="22">
        <v>0</v>
      </c>
      <c r="D1217" s="22">
        <v>0</v>
      </c>
    </row>
    <row r="1218" spans="1:4" x14ac:dyDescent="0.2">
      <c r="A1218" s="23" t="s">
        <v>2234</v>
      </c>
      <c r="B1218" s="23" t="s">
        <v>159</v>
      </c>
      <c r="C1218" s="22">
        <v>0</v>
      </c>
      <c r="D1218" s="22">
        <v>0</v>
      </c>
    </row>
    <row r="1219" spans="1:4" x14ac:dyDescent="0.2">
      <c r="A1219" s="23" t="s">
        <v>2235</v>
      </c>
      <c r="B1219" s="23" t="s">
        <v>161</v>
      </c>
      <c r="C1219" s="22">
        <v>0</v>
      </c>
      <c r="D1219" s="22">
        <v>0</v>
      </c>
    </row>
    <row r="1220" spans="1:4" x14ac:dyDescent="0.2">
      <c r="A1220" s="23" t="s">
        <v>2236</v>
      </c>
      <c r="B1220" s="23" t="s">
        <v>163</v>
      </c>
      <c r="C1220" s="22">
        <v>0</v>
      </c>
      <c r="D1220" s="22">
        <v>0</v>
      </c>
    </row>
    <row r="1221" spans="1:4" x14ac:dyDescent="0.2">
      <c r="A1221" s="23" t="s">
        <v>2237</v>
      </c>
      <c r="B1221" s="23" t="s">
        <v>165</v>
      </c>
      <c r="C1221" s="22">
        <v>0</v>
      </c>
      <c r="D1221" s="22">
        <v>0</v>
      </c>
    </row>
    <row r="1222" spans="1:4" x14ac:dyDescent="0.2">
      <c r="A1222" s="23" t="s">
        <v>2238</v>
      </c>
      <c r="B1222" s="23" t="s">
        <v>2239</v>
      </c>
      <c r="C1222" s="22">
        <v>0</v>
      </c>
      <c r="D1222" s="22">
        <v>0</v>
      </c>
    </row>
    <row r="1223" spans="1:4" x14ac:dyDescent="0.2">
      <c r="A1223" s="23" t="s">
        <v>2240</v>
      </c>
      <c r="B1223" s="23" t="s">
        <v>2168</v>
      </c>
      <c r="C1223" s="22">
        <v>0</v>
      </c>
      <c r="D1223" s="22">
        <v>0</v>
      </c>
    </row>
    <row r="1224" spans="1:4" x14ac:dyDescent="0.2">
      <c r="A1224" s="23" t="s">
        <v>2241</v>
      </c>
      <c r="B1224" s="23" t="s">
        <v>191</v>
      </c>
      <c r="C1224" s="22">
        <v>0</v>
      </c>
      <c r="D1224" s="22">
        <v>0</v>
      </c>
    </row>
    <row r="1225" spans="1:4" x14ac:dyDescent="0.2">
      <c r="A1225" s="23" t="s">
        <v>2242</v>
      </c>
      <c r="B1225" s="23" t="s">
        <v>193</v>
      </c>
      <c r="C1225" s="22">
        <v>0</v>
      </c>
      <c r="D1225" s="22">
        <v>0</v>
      </c>
    </row>
    <row r="1226" spans="1:4" x14ac:dyDescent="0.2">
      <c r="A1226" s="23" t="s">
        <v>2243</v>
      </c>
      <c r="B1226" s="23" t="s">
        <v>2244</v>
      </c>
      <c r="C1226" s="22">
        <v>0</v>
      </c>
      <c r="D1226" s="22">
        <v>0</v>
      </c>
    </row>
    <row r="1227" spans="1:4" x14ac:dyDescent="0.2">
      <c r="A1227" s="23" t="s">
        <v>2245</v>
      </c>
      <c r="B1227" s="23" t="s">
        <v>2246</v>
      </c>
      <c r="C1227" s="22">
        <v>-199067.34</v>
      </c>
      <c r="D1227" s="22">
        <v>-2433993.19</v>
      </c>
    </row>
    <row r="1228" spans="1:4" x14ac:dyDescent="0.2">
      <c r="A1228" s="23" t="s">
        <v>2247</v>
      </c>
      <c r="B1228" s="23" t="s">
        <v>196</v>
      </c>
      <c r="C1228" s="22">
        <v>-665460.79</v>
      </c>
      <c r="D1228" s="22">
        <v>-906067.55</v>
      </c>
    </row>
    <row r="1229" spans="1:4" x14ac:dyDescent="0.2">
      <c r="A1229" s="23" t="s">
        <v>2248</v>
      </c>
      <c r="B1229" s="23" t="s">
        <v>2416</v>
      </c>
      <c r="C1229" s="22">
        <v>-4001839.17</v>
      </c>
      <c r="D1229" s="22">
        <v>-4920929.46</v>
      </c>
    </row>
    <row r="1230" spans="1:4" x14ac:dyDescent="0.2">
      <c r="A1230" s="23" t="s">
        <v>2249</v>
      </c>
      <c r="B1230" s="23" t="s">
        <v>198</v>
      </c>
      <c r="C1230" s="22">
        <v>0</v>
      </c>
      <c r="D1230" s="22">
        <v>-66715.179999999993</v>
      </c>
    </row>
    <row r="1231" spans="1:4" x14ac:dyDescent="0.2">
      <c r="A1231" s="23" t="s">
        <v>2250</v>
      </c>
      <c r="B1231" s="23" t="s">
        <v>2418</v>
      </c>
      <c r="C1231" s="22">
        <v>0</v>
      </c>
      <c r="D1231" s="22">
        <v>-401200.73</v>
      </c>
    </row>
    <row r="1232" spans="1:4" x14ac:dyDescent="0.2">
      <c r="A1232" s="23" t="s">
        <v>2251</v>
      </c>
      <c r="B1232" s="23" t="s">
        <v>2412</v>
      </c>
      <c r="C1232" s="22">
        <v>-444853.64</v>
      </c>
      <c r="D1232" s="22">
        <v>-7260759.5300000003</v>
      </c>
    </row>
    <row r="1233" spans="1:4" x14ac:dyDescent="0.2">
      <c r="A1233" s="23" t="s">
        <v>2252</v>
      </c>
      <c r="B1233" s="23" t="s">
        <v>2420</v>
      </c>
      <c r="C1233" s="22">
        <v>-2675188.0299999998</v>
      </c>
      <c r="D1233" s="22">
        <v>-43663567.32</v>
      </c>
    </row>
    <row r="1234" spans="1:4" x14ac:dyDescent="0.2">
      <c r="A1234" s="23" t="s">
        <v>2253</v>
      </c>
      <c r="B1234" s="23" t="s">
        <v>2414</v>
      </c>
      <c r="C1234" s="22">
        <v>-26739.58</v>
      </c>
      <c r="D1234" s="22">
        <v>-320874.96000000002</v>
      </c>
    </row>
    <row r="1235" spans="1:4" x14ac:dyDescent="0.2">
      <c r="A1235" s="23" t="s">
        <v>2254</v>
      </c>
      <c r="B1235" s="23" t="s">
        <v>2422</v>
      </c>
      <c r="C1235" s="22">
        <v>-160988.01</v>
      </c>
      <c r="D1235" s="22">
        <v>-1931856.12</v>
      </c>
    </row>
    <row r="1236" spans="1:4" x14ac:dyDescent="0.2">
      <c r="A1236" s="23" t="s">
        <v>2255</v>
      </c>
      <c r="B1236" s="23" t="s">
        <v>2256</v>
      </c>
      <c r="C1236" s="22">
        <v>0</v>
      </c>
      <c r="D1236" s="22">
        <v>0</v>
      </c>
    </row>
    <row r="1237" spans="1:4" x14ac:dyDescent="0.2">
      <c r="A1237" s="23" t="s">
        <v>2257</v>
      </c>
      <c r="B1237" s="23" t="s">
        <v>2258</v>
      </c>
      <c r="C1237" s="22">
        <v>-75.95</v>
      </c>
      <c r="D1237" s="22">
        <v>-911.52</v>
      </c>
    </row>
    <row r="1238" spans="1:4" x14ac:dyDescent="0.2">
      <c r="A1238" s="23" t="s">
        <v>2259</v>
      </c>
      <c r="B1238" s="23" t="s">
        <v>2428</v>
      </c>
      <c r="C1238" s="22">
        <v>0</v>
      </c>
      <c r="D1238" s="22">
        <v>0</v>
      </c>
    </row>
    <row r="1239" spans="1:4" x14ac:dyDescent="0.2">
      <c r="A1239" s="23" t="s">
        <v>2260</v>
      </c>
      <c r="B1239" s="23" t="s">
        <v>2430</v>
      </c>
      <c r="C1239" s="22">
        <v>0</v>
      </c>
      <c r="D1239" s="22">
        <v>0</v>
      </c>
    </row>
    <row r="1240" spans="1:4" x14ac:dyDescent="0.2">
      <c r="A1240" s="23" t="s">
        <v>2261</v>
      </c>
      <c r="B1240" s="23" t="s">
        <v>169</v>
      </c>
      <c r="C1240" s="22">
        <v>-207348.92</v>
      </c>
      <c r="D1240" s="22">
        <v>-3255913.1</v>
      </c>
    </row>
    <row r="1241" spans="1:4" x14ac:dyDescent="0.2">
      <c r="A1241" s="23" t="s">
        <v>2262</v>
      </c>
      <c r="B1241" s="23" t="s">
        <v>183</v>
      </c>
      <c r="C1241" s="22">
        <v>-1614523.96</v>
      </c>
      <c r="D1241" s="22">
        <v>-20858499.219999999</v>
      </c>
    </row>
    <row r="1242" spans="1:4" x14ac:dyDescent="0.2">
      <c r="A1242" s="23" t="s">
        <v>2263</v>
      </c>
      <c r="B1242" s="23" t="s">
        <v>171</v>
      </c>
      <c r="C1242" s="22">
        <v>0</v>
      </c>
      <c r="D1242" s="22">
        <v>0</v>
      </c>
    </row>
    <row r="1243" spans="1:4" x14ac:dyDescent="0.2">
      <c r="A1243" s="23" t="s">
        <v>2264</v>
      </c>
      <c r="B1243" s="23" t="s">
        <v>185</v>
      </c>
      <c r="C1243" s="22">
        <v>0</v>
      </c>
      <c r="D1243" s="22">
        <v>0</v>
      </c>
    </row>
    <row r="1244" spans="1:4" x14ac:dyDescent="0.2">
      <c r="A1244" s="23" t="s">
        <v>2265</v>
      </c>
      <c r="B1244" s="23" t="s">
        <v>173</v>
      </c>
      <c r="C1244" s="22">
        <v>0</v>
      </c>
      <c r="D1244" s="22">
        <v>0</v>
      </c>
    </row>
    <row r="1245" spans="1:4" x14ac:dyDescent="0.2">
      <c r="A1245" s="23" t="s">
        <v>2266</v>
      </c>
      <c r="B1245" s="23" t="s">
        <v>2267</v>
      </c>
      <c r="C1245" s="22">
        <v>0</v>
      </c>
      <c r="D1245" s="22">
        <v>0</v>
      </c>
    </row>
    <row r="1246" spans="1:4" x14ac:dyDescent="0.2">
      <c r="A1246" s="23" t="s">
        <v>2268</v>
      </c>
      <c r="B1246" s="23" t="s">
        <v>2192</v>
      </c>
      <c r="C1246" s="22">
        <v>-8247.5300000000007</v>
      </c>
      <c r="D1246" s="22">
        <v>-367253.92</v>
      </c>
    </row>
    <row r="1247" spans="1:4" x14ac:dyDescent="0.2">
      <c r="A1247" s="23" t="s">
        <v>2269</v>
      </c>
      <c r="B1247" s="23" t="s">
        <v>2194</v>
      </c>
      <c r="C1247" s="22">
        <v>-49597.61</v>
      </c>
      <c r="D1247" s="22">
        <v>-904673.63</v>
      </c>
    </row>
    <row r="1248" spans="1:4" x14ac:dyDescent="0.2">
      <c r="A1248" s="23" t="s">
        <v>2270</v>
      </c>
      <c r="B1248" s="23" t="s">
        <v>1573</v>
      </c>
      <c r="C1248" s="22">
        <v>0</v>
      </c>
      <c r="D1248" s="22">
        <v>0</v>
      </c>
    </row>
    <row r="1249" spans="1:4" x14ac:dyDescent="0.2">
      <c r="A1249" s="23" t="s">
        <v>2271</v>
      </c>
      <c r="B1249" s="23" t="s">
        <v>1575</v>
      </c>
      <c r="C1249" s="22">
        <v>0</v>
      </c>
      <c r="D1249" s="22">
        <v>-2</v>
      </c>
    </row>
    <row r="1250" spans="1:4" x14ac:dyDescent="0.2">
      <c r="A1250" s="23" t="s">
        <v>2272</v>
      </c>
      <c r="B1250" s="23" t="s">
        <v>2273</v>
      </c>
      <c r="C1250" s="22">
        <v>-256.36</v>
      </c>
      <c r="D1250" s="22">
        <v>-3213.57</v>
      </c>
    </row>
    <row r="1251" spans="1:4" x14ac:dyDescent="0.2">
      <c r="A1251" s="23" t="s">
        <v>2274</v>
      </c>
      <c r="B1251" s="23" t="s">
        <v>2275</v>
      </c>
      <c r="C1251" s="22">
        <v>-87753.94</v>
      </c>
      <c r="D1251" s="22">
        <v>-1053047.28</v>
      </c>
    </row>
    <row r="1252" spans="1:4" x14ac:dyDescent="0.2">
      <c r="A1252" s="23" t="s">
        <v>2276</v>
      </c>
      <c r="B1252" s="23" t="s">
        <v>2277</v>
      </c>
      <c r="C1252" s="22">
        <v>-1541.62</v>
      </c>
      <c r="D1252" s="22">
        <v>-19325.04</v>
      </c>
    </row>
    <row r="1253" spans="1:4" x14ac:dyDescent="0.2">
      <c r="A1253" s="23" t="s">
        <v>2278</v>
      </c>
      <c r="B1253" s="23" t="s">
        <v>2279</v>
      </c>
      <c r="C1253" s="22">
        <v>0</v>
      </c>
      <c r="D1253" s="22">
        <v>0</v>
      </c>
    </row>
    <row r="1254" spans="1:4" x14ac:dyDescent="0.2">
      <c r="A1254" s="23" t="s">
        <v>2280</v>
      </c>
      <c r="B1254" s="23" t="s">
        <v>2432</v>
      </c>
      <c r="C1254" s="22">
        <v>0</v>
      </c>
      <c r="D1254" s="22">
        <v>0</v>
      </c>
    </row>
    <row r="1255" spans="1:4" x14ac:dyDescent="0.2">
      <c r="A1255" s="23" t="s">
        <v>2281</v>
      </c>
      <c r="B1255" s="23" t="s">
        <v>4591</v>
      </c>
      <c r="C1255" s="22">
        <v>0</v>
      </c>
      <c r="D1255" s="22">
        <v>0</v>
      </c>
    </row>
    <row r="1256" spans="1:4" x14ac:dyDescent="0.2">
      <c r="A1256" s="23" t="s">
        <v>2282</v>
      </c>
      <c r="B1256" s="23" t="s">
        <v>2424</v>
      </c>
      <c r="C1256" s="22">
        <v>-16566.28</v>
      </c>
      <c r="D1256" s="22">
        <v>-198795.36</v>
      </c>
    </row>
    <row r="1257" spans="1:4" x14ac:dyDescent="0.2">
      <c r="A1257" s="23" t="s">
        <v>2283</v>
      </c>
      <c r="B1257" s="23" t="s">
        <v>2426</v>
      </c>
      <c r="C1257" s="22">
        <v>-99623.55</v>
      </c>
      <c r="D1257" s="22">
        <v>-1195482.6000000001</v>
      </c>
    </row>
    <row r="1258" spans="1:4" x14ac:dyDescent="0.2">
      <c r="A1258" s="23" t="s">
        <v>2284</v>
      </c>
      <c r="B1258" s="23" t="s">
        <v>2285</v>
      </c>
      <c r="C1258" s="22">
        <v>0</v>
      </c>
      <c r="D1258" s="22">
        <v>0</v>
      </c>
    </row>
    <row r="1259" spans="1:4" x14ac:dyDescent="0.2">
      <c r="A1259" s="23" t="s">
        <v>2286</v>
      </c>
      <c r="B1259" s="23" t="s">
        <v>175</v>
      </c>
      <c r="C1259" s="22">
        <v>0</v>
      </c>
      <c r="D1259" s="22">
        <v>0</v>
      </c>
    </row>
    <row r="1260" spans="1:4" x14ac:dyDescent="0.2">
      <c r="A1260" s="23" t="s">
        <v>2287</v>
      </c>
      <c r="B1260" s="23" t="s">
        <v>177</v>
      </c>
      <c r="C1260" s="22">
        <v>0</v>
      </c>
      <c r="D1260" s="22">
        <v>0</v>
      </c>
    </row>
    <row r="1261" spans="1:4" x14ac:dyDescent="0.2">
      <c r="A1261" s="23" t="s">
        <v>2288</v>
      </c>
      <c r="B1261" s="23" t="s">
        <v>179</v>
      </c>
      <c r="C1261" s="22">
        <v>0</v>
      </c>
      <c r="D1261" s="22">
        <v>0</v>
      </c>
    </row>
    <row r="1262" spans="1:4" x14ac:dyDescent="0.2">
      <c r="A1262" s="23" t="s">
        <v>2289</v>
      </c>
      <c r="B1262" s="23" t="s">
        <v>181</v>
      </c>
      <c r="C1262" s="22">
        <v>0</v>
      </c>
      <c r="D1262" s="22">
        <v>0</v>
      </c>
    </row>
    <row r="1263" spans="1:4" x14ac:dyDescent="0.2">
      <c r="A1263" s="23" t="s">
        <v>2290</v>
      </c>
      <c r="B1263" s="23" t="s">
        <v>2291</v>
      </c>
      <c r="C1263" s="22">
        <v>-14548768.02</v>
      </c>
      <c r="D1263" s="22">
        <v>-87724309.450000003</v>
      </c>
    </row>
    <row r="1264" spans="1:4" x14ac:dyDescent="0.2">
      <c r="A1264" s="23" t="s">
        <v>2292</v>
      </c>
      <c r="B1264" s="23" t="s">
        <v>2293</v>
      </c>
      <c r="C1264" s="22">
        <v>-463127</v>
      </c>
      <c r="D1264" s="22">
        <v>-3373226</v>
      </c>
    </row>
    <row r="1265" spans="1:4" x14ac:dyDescent="0.2">
      <c r="A1265" s="23" t="s">
        <v>2294</v>
      </c>
      <c r="B1265" t="s">
        <v>4481</v>
      </c>
      <c r="C1265" s="22">
        <v>-25325165.93</v>
      </c>
      <c r="D1265" s="22">
        <v>-186403913.49000001</v>
      </c>
    </row>
    <row r="1266" spans="1:4" x14ac:dyDescent="0.2">
      <c r="A1266" s="23" t="s">
        <v>2295</v>
      </c>
      <c r="B1266" s="23" t="s">
        <v>2296</v>
      </c>
      <c r="C1266" s="22">
        <v>-68284.5</v>
      </c>
      <c r="D1266" s="22">
        <v>-785151.2</v>
      </c>
    </row>
    <row r="1267" spans="1:4" x14ac:dyDescent="0.2">
      <c r="A1267" s="23" t="s">
        <v>2297</v>
      </c>
      <c r="B1267" s="23" t="s">
        <v>2298</v>
      </c>
      <c r="C1267" s="22">
        <v>-171364.71</v>
      </c>
      <c r="D1267" s="22">
        <v>-2058848.13</v>
      </c>
    </row>
    <row r="1268" spans="1:4" x14ac:dyDescent="0.2">
      <c r="A1268" s="23" t="s">
        <v>2299</v>
      </c>
      <c r="B1268" s="23" t="s">
        <v>2300</v>
      </c>
      <c r="C1268" s="22">
        <v>0</v>
      </c>
      <c r="D1268" s="22">
        <v>0</v>
      </c>
    </row>
    <row r="1269" spans="1:4" x14ac:dyDescent="0.2">
      <c r="A1269" s="23" t="s">
        <v>2301</v>
      </c>
      <c r="B1269" s="23" t="s">
        <v>2302</v>
      </c>
      <c r="C1269" s="22">
        <v>0</v>
      </c>
      <c r="D1269" s="22">
        <v>0</v>
      </c>
    </row>
    <row r="1270" spans="1:4" x14ac:dyDescent="0.2">
      <c r="A1270" s="23" t="s">
        <v>2303</v>
      </c>
      <c r="B1270" s="23" t="s">
        <v>2304</v>
      </c>
      <c r="C1270" s="22">
        <v>0</v>
      </c>
      <c r="D1270" s="22">
        <v>0</v>
      </c>
    </row>
    <row r="1271" spans="1:4" x14ac:dyDescent="0.2">
      <c r="A1271" s="23" t="s">
        <v>2305</v>
      </c>
      <c r="B1271" s="23" t="s">
        <v>2306</v>
      </c>
      <c r="C1271" s="22">
        <v>0</v>
      </c>
      <c r="D1271" s="22">
        <v>0</v>
      </c>
    </row>
    <row r="1272" spans="1:4" x14ac:dyDescent="0.2">
      <c r="A1272" s="23" t="s">
        <v>2307</v>
      </c>
      <c r="B1272" s="23" t="s">
        <v>2308</v>
      </c>
      <c r="C1272" s="22">
        <v>0</v>
      </c>
      <c r="D1272" s="22">
        <v>0</v>
      </c>
    </row>
    <row r="1273" spans="1:4" x14ac:dyDescent="0.2">
      <c r="A1273" s="23" t="s">
        <v>2309</v>
      </c>
      <c r="B1273" s="23" t="s">
        <v>2310</v>
      </c>
      <c r="C1273" s="22">
        <v>0</v>
      </c>
      <c r="D1273" s="22">
        <v>0</v>
      </c>
    </row>
    <row r="1274" spans="1:4" x14ac:dyDescent="0.2">
      <c r="A1274" s="23" t="s">
        <v>2311</v>
      </c>
      <c r="B1274" s="23" t="s">
        <v>2312</v>
      </c>
      <c r="C1274" s="22">
        <v>0</v>
      </c>
      <c r="D1274" s="22">
        <v>0</v>
      </c>
    </row>
    <row r="1275" spans="1:4" x14ac:dyDescent="0.2">
      <c r="A1275" s="23" t="s">
        <v>2313</v>
      </c>
      <c r="B1275" s="23" t="s">
        <v>2314</v>
      </c>
      <c r="C1275" s="22">
        <v>0</v>
      </c>
      <c r="D1275" s="22">
        <v>0</v>
      </c>
    </row>
    <row r="1276" spans="1:4" x14ac:dyDescent="0.2">
      <c r="A1276" s="23" t="s">
        <v>2315</v>
      </c>
      <c r="B1276" s="23" t="s">
        <v>2316</v>
      </c>
      <c r="C1276" s="22">
        <v>0</v>
      </c>
      <c r="D1276" s="22">
        <v>0</v>
      </c>
    </row>
    <row r="1277" spans="1:4" x14ac:dyDescent="0.2">
      <c r="A1277" s="23" t="s">
        <v>2317</v>
      </c>
      <c r="B1277" t="s">
        <v>4481</v>
      </c>
      <c r="C1277" s="22">
        <v>-239649.21</v>
      </c>
      <c r="D1277" s="22">
        <v>-2843999.33</v>
      </c>
    </row>
    <row r="1278" spans="1:4" x14ac:dyDescent="0.2">
      <c r="A1278" s="23" t="s">
        <v>2318</v>
      </c>
      <c r="B1278" s="23" t="s">
        <v>2319</v>
      </c>
      <c r="C1278" s="22">
        <v>0</v>
      </c>
      <c r="D1278" s="22">
        <v>0</v>
      </c>
    </row>
    <row r="1279" spans="1:4" x14ac:dyDescent="0.2">
      <c r="A1279" s="23" t="s">
        <v>2320</v>
      </c>
      <c r="B1279" s="23" t="s">
        <v>2321</v>
      </c>
      <c r="C1279" s="22">
        <v>20386.64</v>
      </c>
      <c r="D1279" s="22">
        <v>204779.16</v>
      </c>
    </row>
    <row r="1280" spans="1:4" x14ac:dyDescent="0.2">
      <c r="A1280" s="23" t="s">
        <v>2322</v>
      </c>
      <c r="B1280" s="23" t="s">
        <v>2323</v>
      </c>
      <c r="C1280" s="22">
        <v>66052.039999999994</v>
      </c>
      <c r="D1280" s="22">
        <v>829058.65</v>
      </c>
    </row>
    <row r="1281" spans="1:4" x14ac:dyDescent="0.2">
      <c r="A1281" s="23" t="s">
        <v>2324</v>
      </c>
      <c r="B1281" s="23" t="s">
        <v>2325</v>
      </c>
      <c r="C1281" s="22">
        <v>0</v>
      </c>
      <c r="D1281" s="22">
        <v>0</v>
      </c>
    </row>
    <row r="1282" spans="1:4" x14ac:dyDescent="0.2">
      <c r="A1282" s="23" t="s">
        <v>2326</v>
      </c>
      <c r="B1282" s="23" t="s">
        <v>2327</v>
      </c>
      <c r="C1282" s="22">
        <v>0</v>
      </c>
      <c r="D1282" s="22">
        <v>0</v>
      </c>
    </row>
    <row r="1283" spans="1:4" x14ac:dyDescent="0.2">
      <c r="A1283" s="23" t="s">
        <v>2328</v>
      </c>
      <c r="B1283" s="23" t="s">
        <v>5548</v>
      </c>
      <c r="C1283" s="22">
        <v>0</v>
      </c>
      <c r="D1283" s="22">
        <v>0</v>
      </c>
    </row>
    <row r="1284" spans="1:4" x14ac:dyDescent="0.2">
      <c r="A1284" s="23" t="s">
        <v>2641</v>
      </c>
      <c r="B1284" s="23" t="s">
        <v>2642</v>
      </c>
      <c r="C1284" s="22">
        <v>0</v>
      </c>
      <c r="D1284" s="22">
        <v>0</v>
      </c>
    </row>
    <row r="1285" spans="1:4" x14ac:dyDescent="0.2">
      <c r="A1285" s="23" t="s">
        <v>2643</v>
      </c>
      <c r="B1285" s="23" t="s">
        <v>2644</v>
      </c>
      <c r="C1285" s="22">
        <v>0</v>
      </c>
      <c r="D1285" s="22">
        <v>205.63</v>
      </c>
    </row>
    <row r="1286" spans="1:4" x14ac:dyDescent="0.2">
      <c r="A1286" s="23" t="s">
        <v>2645</v>
      </c>
      <c r="B1286" s="23" t="s">
        <v>2308</v>
      </c>
      <c r="C1286" s="22">
        <v>0</v>
      </c>
      <c r="D1286" s="22">
        <v>0</v>
      </c>
    </row>
    <row r="1287" spans="1:4" x14ac:dyDescent="0.2">
      <c r="A1287" s="23" t="s">
        <v>2646</v>
      </c>
      <c r="B1287" s="23" t="s">
        <v>2647</v>
      </c>
      <c r="C1287" s="22">
        <v>0</v>
      </c>
      <c r="D1287" s="22">
        <v>0</v>
      </c>
    </row>
    <row r="1288" spans="1:4" x14ac:dyDescent="0.2">
      <c r="A1288" s="23" t="s">
        <v>2648</v>
      </c>
      <c r="B1288" s="23" t="s">
        <v>2312</v>
      </c>
      <c r="C1288" s="22">
        <v>0</v>
      </c>
      <c r="D1288" s="22">
        <v>0</v>
      </c>
    </row>
    <row r="1289" spans="1:4" x14ac:dyDescent="0.2">
      <c r="A1289" s="23" t="s">
        <v>2649</v>
      </c>
      <c r="B1289" s="23" t="s">
        <v>2650</v>
      </c>
      <c r="C1289" s="22">
        <v>0</v>
      </c>
      <c r="D1289" s="22">
        <v>0</v>
      </c>
    </row>
    <row r="1290" spans="1:4" x14ac:dyDescent="0.2">
      <c r="A1290" s="23" t="s">
        <v>2651</v>
      </c>
      <c r="B1290" s="23" t="s">
        <v>2652</v>
      </c>
      <c r="C1290" s="22">
        <v>0</v>
      </c>
      <c r="D1290" s="22">
        <v>0</v>
      </c>
    </row>
    <row r="1291" spans="1:4" x14ac:dyDescent="0.2">
      <c r="A1291" s="23" t="s">
        <v>2653</v>
      </c>
      <c r="B1291" t="s">
        <v>4481</v>
      </c>
      <c r="C1291" s="22">
        <v>86438.68</v>
      </c>
      <c r="D1291" s="22">
        <v>1034043.44</v>
      </c>
    </row>
    <row r="1292" spans="1:4" x14ac:dyDescent="0.2">
      <c r="A1292" s="23" t="s">
        <v>2654</v>
      </c>
      <c r="B1292" s="23" t="s">
        <v>2655</v>
      </c>
      <c r="C1292" s="22">
        <v>-8427.58</v>
      </c>
      <c r="D1292" s="22">
        <v>-101130.96</v>
      </c>
    </row>
    <row r="1293" spans="1:4" x14ac:dyDescent="0.2">
      <c r="A1293" s="23" t="s">
        <v>2656</v>
      </c>
      <c r="B1293" s="23" t="s">
        <v>2657</v>
      </c>
      <c r="C1293" s="22">
        <v>-39729.620000000003</v>
      </c>
      <c r="D1293" s="22">
        <v>-39729.620000000003</v>
      </c>
    </row>
    <row r="1294" spans="1:4" x14ac:dyDescent="0.2">
      <c r="A1294" s="23" t="s">
        <v>2658</v>
      </c>
      <c r="B1294" s="23" t="s">
        <v>2659</v>
      </c>
      <c r="C1294" s="22">
        <v>1107.07</v>
      </c>
      <c r="D1294" s="22">
        <v>-14163.6</v>
      </c>
    </row>
    <row r="1295" spans="1:4" x14ac:dyDescent="0.2">
      <c r="A1295" s="23" t="s">
        <v>2660</v>
      </c>
      <c r="B1295" s="23" t="s">
        <v>2661</v>
      </c>
      <c r="C1295" s="22">
        <v>0</v>
      </c>
      <c r="D1295" s="22">
        <v>0</v>
      </c>
    </row>
    <row r="1296" spans="1:4" x14ac:dyDescent="0.2">
      <c r="A1296" s="23" t="s">
        <v>2662</v>
      </c>
      <c r="B1296" s="23" t="s">
        <v>2663</v>
      </c>
      <c r="C1296" s="22">
        <v>-2348.7199999999998</v>
      </c>
      <c r="D1296" s="22">
        <v>-29212.720000000001</v>
      </c>
    </row>
    <row r="1297" spans="1:4" x14ac:dyDescent="0.2">
      <c r="A1297" s="23" t="s">
        <v>2664</v>
      </c>
      <c r="B1297" s="23" t="s">
        <v>2665</v>
      </c>
      <c r="C1297" s="22">
        <v>0</v>
      </c>
      <c r="D1297" s="22">
        <v>0</v>
      </c>
    </row>
    <row r="1298" spans="1:4" x14ac:dyDescent="0.2">
      <c r="A1298" s="23" t="s">
        <v>1221</v>
      </c>
      <c r="B1298" s="23" t="s">
        <v>1222</v>
      </c>
      <c r="C1298" s="22">
        <v>1604</v>
      </c>
      <c r="D1298" s="22">
        <v>21641</v>
      </c>
    </row>
    <row r="1299" spans="1:4" x14ac:dyDescent="0.2">
      <c r="A1299" s="23" t="s">
        <v>1223</v>
      </c>
      <c r="B1299" s="23" t="s">
        <v>1224</v>
      </c>
      <c r="C1299" s="22">
        <v>3000</v>
      </c>
      <c r="D1299" s="22">
        <v>6087.93</v>
      </c>
    </row>
    <row r="1300" spans="1:4" x14ac:dyDescent="0.2">
      <c r="A1300" s="23" t="s">
        <v>1225</v>
      </c>
      <c r="B1300" s="23" t="s">
        <v>1226</v>
      </c>
      <c r="C1300" s="22">
        <v>0</v>
      </c>
      <c r="D1300" s="22">
        <v>0</v>
      </c>
    </row>
    <row r="1301" spans="1:4" x14ac:dyDescent="0.2">
      <c r="A1301" s="23" t="s">
        <v>1227</v>
      </c>
      <c r="B1301" s="23" t="s">
        <v>1228</v>
      </c>
      <c r="C1301" s="22">
        <v>12372.85</v>
      </c>
      <c r="D1301" s="22">
        <v>104809.27</v>
      </c>
    </row>
    <row r="1302" spans="1:4" x14ac:dyDescent="0.2">
      <c r="A1302" s="23" t="s">
        <v>1229</v>
      </c>
      <c r="B1302" s="23" t="s">
        <v>1230</v>
      </c>
      <c r="C1302" s="22">
        <v>0</v>
      </c>
      <c r="D1302" s="22">
        <v>0</v>
      </c>
    </row>
    <row r="1303" spans="1:4" x14ac:dyDescent="0.2">
      <c r="A1303" s="23" t="s">
        <v>1231</v>
      </c>
      <c r="B1303" s="23" t="s">
        <v>1232</v>
      </c>
      <c r="C1303" s="22">
        <v>0</v>
      </c>
      <c r="D1303" s="22">
        <v>0</v>
      </c>
    </row>
    <row r="1304" spans="1:4" x14ac:dyDescent="0.2">
      <c r="A1304" s="23" t="s">
        <v>1233</v>
      </c>
      <c r="B1304" s="23" t="s">
        <v>1234</v>
      </c>
      <c r="C1304" s="22">
        <v>7562.78</v>
      </c>
      <c r="D1304" s="22">
        <v>90753.36</v>
      </c>
    </row>
    <row r="1305" spans="1:4" x14ac:dyDescent="0.2">
      <c r="A1305" s="23" t="s">
        <v>1235</v>
      </c>
      <c r="B1305" s="23" t="s">
        <v>1236</v>
      </c>
      <c r="C1305" s="22">
        <v>58127.56</v>
      </c>
      <c r="D1305" s="22">
        <v>58127.56</v>
      </c>
    </row>
    <row r="1306" spans="1:4" x14ac:dyDescent="0.2">
      <c r="A1306" s="23" t="s">
        <v>1237</v>
      </c>
      <c r="B1306" s="23" t="s">
        <v>1238</v>
      </c>
      <c r="C1306" s="22">
        <v>0</v>
      </c>
      <c r="D1306" s="22">
        <v>0</v>
      </c>
    </row>
    <row r="1307" spans="1:4" x14ac:dyDescent="0.2">
      <c r="A1307" s="23" t="s">
        <v>1239</v>
      </c>
      <c r="B1307" t="s">
        <v>4481</v>
      </c>
      <c r="C1307" s="22">
        <v>33268.339999999997</v>
      </c>
      <c r="D1307" s="22">
        <v>97182.22</v>
      </c>
    </row>
    <row r="1308" spans="1:4" x14ac:dyDescent="0.2">
      <c r="A1308" s="23" t="s">
        <v>1240</v>
      </c>
      <c r="B1308" s="23" t="s">
        <v>1241</v>
      </c>
      <c r="C1308" s="22">
        <v>0</v>
      </c>
      <c r="D1308" s="22">
        <v>0</v>
      </c>
    </row>
    <row r="1309" spans="1:4" x14ac:dyDescent="0.2">
      <c r="A1309" s="23" t="s">
        <v>1242</v>
      </c>
      <c r="B1309" s="23" t="s">
        <v>1243</v>
      </c>
      <c r="C1309" s="22">
        <v>-342076.27</v>
      </c>
      <c r="D1309" s="22">
        <v>-4470664.4000000004</v>
      </c>
    </row>
    <row r="1310" spans="1:4" x14ac:dyDescent="0.2">
      <c r="A1310" s="23" t="s">
        <v>1244</v>
      </c>
      <c r="B1310" s="23" t="s">
        <v>1245</v>
      </c>
      <c r="C1310" s="22">
        <v>0</v>
      </c>
      <c r="D1310" s="22">
        <v>0</v>
      </c>
    </row>
    <row r="1311" spans="1:4" x14ac:dyDescent="0.2">
      <c r="A1311" s="23" t="s">
        <v>1246</v>
      </c>
      <c r="B1311" s="23" t="s">
        <v>1247</v>
      </c>
      <c r="C1311" s="22">
        <v>-33604.160000000003</v>
      </c>
      <c r="D1311" s="22">
        <v>-2470137.91</v>
      </c>
    </row>
    <row r="1312" spans="1:4" x14ac:dyDescent="0.2">
      <c r="A1312" s="23" t="s">
        <v>1248</v>
      </c>
      <c r="B1312" s="23" t="s">
        <v>1249</v>
      </c>
      <c r="C1312" s="22">
        <v>-19216.099999999999</v>
      </c>
      <c r="D1312" s="22">
        <v>-115399</v>
      </c>
    </row>
    <row r="1313" spans="1:4" x14ac:dyDescent="0.2">
      <c r="A1313" s="23" t="s">
        <v>1250</v>
      </c>
      <c r="B1313" s="23" t="s">
        <v>1251</v>
      </c>
      <c r="C1313" s="22">
        <v>0</v>
      </c>
      <c r="D1313" s="22">
        <v>0</v>
      </c>
    </row>
    <row r="1314" spans="1:4" x14ac:dyDescent="0.2">
      <c r="A1314" s="23" t="s">
        <v>1252</v>
      </c>
      <c r="B1314" t="s">
        <v>4481</v>
      </c>
      <c r="C1314" s="22">
        <v>-394896.53</v>
      </c>
      <c r="D1314" s="22">
        <v>-7056201.3099999996</v>
      </c>
    </row>
    <row r="1315" spans="1:4" x14ac:dyDescent="0.2">
      <c r="A1315" s="23" t="s">
        <v>1253</v>
      </c>
      <c r="B1315" s="23" t="s">
        <v>1254</v>
      </c>
      <c r="C1315" s="22">
        <v>0</v>
      </c>
      <c r="D1315" s="22">
        <v>0</v>
      </c>
    </row>
    <row r="1316" spans="1:4" x14ac:dyDescent="0.2">
      <c r="A1316" s="23" t="s">
        <v>1255</v>
      </c>
      <c r="B1316" s="23" t="s">
        <v>1256</v>
      </c>
      <c r="C1316" s="22">
        <v>-63414.02</v>
      </c>
      <c r="D1316" s="22">
        <v>-837576.99</v>
      </c>
    </row>
    <row r="1317" spans="1:4" x14ac:dyDescent="0.2">
      <c r="A1317" s="23" t="s">
        <v>1257</v>
      </c>
      <c r="B1317" s="23" t="s">
        <v>1258</v>
      </c>
      <c r="C1317" s="22">
        <v>0</v>
      </c>
      <c r="D1317" s="22">
        <v>0</v>
      </c>
    </row>
    <row r="1318" spans="1:4" x14ac:dyDescent="0.2">
      <c r="A1318" s="23" t="s">
        <v>1259</v>
      </c>
      <c r="B1318" s="23" t="s">
        <v>1260</v>
      </c>
      <c r="C1318" s="22">
        <v>0</v>
      </c>
      <c r="D1318" s="22">
        <v>0</v>
      </c>
    </row>
    <row r="1319" spans="1:4" x14ac:dyDescent="0.2">
      <c r="A1319" s="23" t="s">
        <v>1261</v>
      </c>
      <c r="B1319" s="23" t="s">
        <v>1262</v>
      </c>
      <c r="C1319" s="22">
        <v>0</v>
      </c>
      <c r="D1319" s="22">
        <v>0</v>
      </c>
    </row>
    <row r="1320" spans="1:4" x14ac:dyDescent="0.2">
      <c r="A1320" s="23" t="s">
        <v>1263</v>
      </c>
      <c r="B1320" s="23" t="s">
        <v>1264</v>
      </c>
      <c r="C1320" s="22">
        <v>0</v>
      </c>
      <c r="D1320" s="22">
        <v>0</v>
      </c>
    </row>
    <row r="1321" spans="1:4" x14ac:dyDescent="0.2">
      <c r="A1321" s="23" t="s">
        <v>1265</v>
      </c>
      <c r="B1321" s="23" t="s">
        <v>1266</v>
      </c>
      <c r="C1321" s="22">
        <v>0</v>
      </c>
      <c r="D1321" s="22">
        <v>0</v>
      </c>
    </row>
    <row r="1322" spans="1:4" x14ac:dyDescent="0.2">
      <c r="A1322" s="23" t="s">
        <v>1267</v>
      </c>
      <c r="B1322" s="23" t="s">
        <v>1268</v>
      </c>
      <c r="C1322" s="22">
        <v>0</v>
      </c>
      <c r="D1322" s="22">
        <v>0</v>
      </c>
    </row>
    <row r="1323" spans="1:4" x14ac:dyDescent="0.2">
      <c r="A1323" s="23" t="s">
        <v>1269</v>
      </c>
      <c r="B1323" s="23" t="s">
        <v>1270</v>
      </c>
      <c r="C1323" s="22">
        <v>0</v>
      </c>
      <c r="D1323" s="22">
        <v>0</v>
      </c>
    </row>
    <row r="1324" spans="1:4" x14ac:dyDescent="0.2">
      <c r="A1324" s="23" t="s">
        <v>1271</v>
      </c>
      <c r="B1324" s="23" t="s">
        <v>1272</v>
      </c>
      <c r="C1324" s="22">
        <v>0</v>
      </c>
      <c r="D1324" s="22">
        <v>0</v>
      </c>
    </row>
    <row r="1325" spans="1:4" x14ac:dyDescent="0.2">
      <c r="A1325" s="23" t="s">
        <v>1273</v>
      </c>
      <c r="B1325" s="23" t="s">
        <v>1274</v>
      </c>
      <c r="C1325" s="22">
        <v>-44573</v>
      </c>
      <c r="D1325" s="22">
        <v>-4638346</v>
      </c>
    </row>
    <row r="1326" spans="1:4" x14ac:dyDescent="0.2">
      <c r="A1326" s="23" t="s">
        <v>1275</v>
      </c>
      <c r="B1326" s="23" t="s">
        <v>1276</v>
      </c>
      <c r="C1326" s="22">
        <v>-105990</v>
      </c>
      <c r="D1326" s="22">
        <v>-811258</v>
      </c>
    </row>
    <row r="1327" spans="1:4" x14ac:dyDescent="0.2">
      <c r="A1327" s="23" t="s">
        <v>1277</v>
      </c>
      <c r="B1327" s="23" t="s">
        <v>1278</v>
      </c>
      <c r="C1327" s="22">
        <v>0</v>
      </c>
      <c r="D1327" s="22">
        <v>-13804</v>
      </c>
    </row>
    <row r="1328" spans="1:4" x14ac:dyDescent="0.2">
      <c r="A1328" s="23" t="s">
        <v>1279</v>
      </c>
      <c r="B1328" s="23" t="s">
        <v>1280</v>
      </c>
      <c r="C1328" s="22">
        <v>0</v>
      </c>
      <c r="D1328" s="22">
        <v>-89901</v>
      </c>
    </row>
    <row r="1329" spans="1:4" x14ac:dyDescent="0.2">
      <c r="A1329" s="23" t="s">
        <v>1281</v>
      </c>
      <c r="B1329" s="23" t="s">
        <v>1282</v>
      </c>
      <c r="C1329" s="22">
        <v>0</v>
      </c>
      <c r="D1329" s="22">
        <v>0</v>
      </c>
    </row>
    <row r="1330" spans="1:4" x14ac:dyDescent="0.2">
      <c r="A1330" s="23" t="s">
        <v>1283</v>
      </c>
      <c r="B1330" t="s">
        <v>4481</v>
      </c>
      <c r="C1330" s="22">
        <v>-213977.02</v>
      </c>
      <c r="D1330" s="22">
        <v>-6390885.9900000002</v>
      </c>
    </row>
    <row r="1331" spans="1:4" x14ac:dyDescent="0.2">
      <c r="A1331" s="23" t="s">
        <v>1284</v>
      </c>
      <c r="B1331" s="23" t="s">
        <v>1285</v>
      </c>
      <c r="C1331" s="22">
        <v>0</v>
      </c>
      <c r="D1331" s="22">
        <v>0</v>
      </c>
    </row>
    <row r="1332" spans="1:4" x14ac:dyDescent="0.2">
      <c r="A1332" s="23" t="s">
        <v>1286</v>
      </c>
      <c r="B1332" s="23" t="s">
        <v>1287</v>
      </c>
      <c r="C1332" s="22">
        <v>2871.56</v>
      </c>
      <c r="D1332" s="22">
        <v>34458.720000000001</v>
      </c>
    </row>
    <row r="1333" spans="1:4" x14ac:dyDescent="0.2">
      <c r="A1333" s="23" t="s">
        <v>1288</v>
      </c>
      <c r="B1333" t="s">
        <v>4481</v>
      </c>
      <c r="C1333" s="22">
        <v>2871.56</v>
      </c>
      <c r="D1333" s="22">
        <v>34458.720000000001</v>
      </c>
    </row>
    <row r="1334" spans="1:4" x14ac:dyDescent="0.2">
      <c r="A1334" s="23" t="s">
        <v>1289</v>
      </c>
      <c r="B1334" s="23" t="s">
        <v>1290</v>
      </c>
      <c r="C1334" s="22">
        <v>1594.99</v>
      </c>
      <c r="D1334" s="22">
        <v>41298</v>
      </c>
    </row>
    <row r="1335" spans="1:4" x14ac:dyDescent="0.2">
      <c r="A1335" s="23" t="s">
        <v>1291</v>
      </c>
      <c r="B1335" s="23" t="s">
        <v>1292</v>
      </c>
      <c r="C1335" s="22">
        <v>5036</v>
      </c>
      <c r="D1335" s="22">
        <v>155145.25</v>
      </c>
    </row>
    <row r="1336" spans="1:4" x14ac:dyDescent="0.2">
      <c r="A1336" s="23" t="s">
        <v>1293</v>
      </c>
      <c r="B1336" s="23" t="s">
        <v>1294</v>
      </c>
      <c r="C1336" s="22">
        <v>7750</v>
      </c>
      <c r="D1336" s="22">
        <v>55509.5</v>
      </c>
    </row>
    <row r="1337" spans="1:4" x14ac:dyDescent="0.2">
      <c r="A1337" s="23" t="s">
        <v>1295</v>
      </c>
      <c r="B1337" s="23" t="s">
        <v>1296</v>
      </c>
      <c r="C1337" s="22">
        <v>12017</v>
      </c>
      <c r="D1337" s="22">
        <v>144826.66</v>
      </c>
    </row>
    <row r="1338" spans="1:4" x14ac:dyDescent="0.2">
      <c r="A1338" s="23" t="s">
        <v>1297</v>
      </c>
      <c r="B1338" s="23" t="s">
        <v>1298</v>
      </c>
      <c r="C1338" s="22">
        <v>27965</v>
      </c>
      <c r="D1338" s="22">
        <v>182802.4</v>
      </c>
    </row>
    <row r="1339" spans="1:4" x14ac:dyDescent="0.2">
      <c r="A1339" s="23" t="s">
        <v>1299</v>
      </c>
      <c r="B1339" s="23" t="s">
        <v>2828</v>
      </c>
      <c r="C1339" s="22">
        <v>4414</v>
      </c>
      <c r="D1339" s="22">
        <v>53294.54</v>
      </c>
    </row>
    <row r="1340" spans="1:4" x14ac:dyDescent="0.2">
      <c r="A1340" s="23" t="s">
        <v>2829</v>
      </c>
      <c r="B1340" s="23" t="s">
        <v>2830</v>
      </c>
      <c r="C1340" s="22">
        <v>0</v>
      </c>
      <c r="D1340" s="22">
        <v>11132.96</v>
      </c>
    </row>
    <row r="1341" spans="1:4" x14ac:dyDescent="0.2">
      <c r="A1341" s="23" t="s">
        <v>2831</v>
      </c>
      <c r="B1341" s="23" t="s">
        <v>2832</v>
      </c>
      <c r="C1341" s="22">
        <v>0</v>
      </c>
      <c r="D1341" s="22">
        <v>0</v>
      </c>
    </row>
    <row r="1342" spans="1:4" x14ac:dyDescent="0.2">
      <c r="A1342" s="23" t="s">
        <v>2833</v>
      </c>
      <c r="B1342" s="23" t="s">
        <v>2834</v>
      </c>
      <c r="C1342" s="22">
        <v>0</v>
      </c>
      <c r="D1342" s="22">
        <v>12000</v>
      </c>
    </row>
    <row r="1343" spans="1:4" x14ac:dyDescent="0.2">
      <c r="A1343" s="23" t="s">
        <v>2835</v>
      </c>
      <c r="B1343" s="23" t="s">
        <v>2836</v>
      </c>
      <c r="C1343" s="22">
        <v>0</v>
      </c>
      <c r="D1343" s="22">
        <v>0</v>
      </c>
    </row>
    <row r="1344" spans="1:4" x14ac:dyDescent="0.2">
      <c r="A1344" s="23" t="s">
        <v>2837</v>
      </c>
      <c r="B1344" s="23" t="s">
        <v>2838</v>
      </c>
      <c r="C1344" s="22">
        <v>0</v>
      </c>
      <c r="D1344" s="22">
        <v>0</v>
      </c>
    </row>
    <row r="1345" spans="1:4" x14ac:dyDescent="0.2">
      <c r="A1345" s="23" t="s">
        <v>2839</v>
      </c>
      <c r="B1345" t="s">
        <v>4481</v>
      </c>
      <c r="C1345" s="22">
        <v>58776.99</v>
      </c>
      <c r="D1345" s="22">
        <v>656009.31000000006</v>
      </c>
    </row>
    <row r="1346" spans="1:4" x14ac:dyDescent="0.2">
      <c r="A1346" s="23" t="s">
        <v>2840</v>
      </c>
      <c r="B1346" s="23" t="s">
        <v>2841</v>
      </c>
      <c r="C1346" s="22">
        <v>331250.01</v>
      </c>
      <c r="D1346" s="22">
        <v>2065937.53</v>
      </c>
    </row>
    <row r="1347" spans="1:4" x14ac:dyDescent="0.2">
      <c r="A1347" s="23" t="s">
        <v>2842</v>
      </c>
      <c r="B1347" s="23" t="s">
        <v>2843</v>
      </c>
      <c r="C1347" s="22">
        <v>0</v>
      </c>
      <c r="D1347" s="22">
        <v>0</v>
      </c>
    </row>
    <row r="1348" spans="1:4" x14ac:dyDescent="0.2">
      <c r="A1348" s="23" t="s">
        <v>2844</v>
      </c>
      <c r="B1348" s="23" t="s">
        <v>200</v>
      </c>
      <c r="C1348" s="22">
        <v>1364583.33</v>
      </c>
      <c r="D1348" s="22">
        <v>16374999.960000001</v>
      </c>
    </row>
    <row r="1349" spans="1:4" x14ac:dyDescent="0.2">
      <c r="A1349" s="23" t="s">
        <v>201</v>
      </c>
      <c r="B1349" s="23" t="s">
        <v>202</v>
      </c>
      <c r="C1349" s="22">
        <v>6351.74</v>
      </c>
      <c r="D1349" s="22">
        <v>78454.23</v>
      </c>
    </row>
    <row r="1350" spans="1:4" x14ac:dyDescent="0.2">
      <c r="A1350" s="23" t="s">
        <v>203</v>
      </c>
      <c r="B1350" s="23" t="s">
        <v>204</v>
      </c>
      <c r="C1350" s="22">
        <v>32973.25</v>
      </c>
      <c r="D1350" s="22">
        <v>400947.44</v>
      </c>
    </row>
    <row r="1351" spans="1:4" x14ac:dyDescent="0.2">
      <c r="A1351" s="23" t="s">
        <v>205</v>
      </c>
      <c r="B1351" s="23" t="s">
        <v>204</v>
      </c>
      <c r="C1351" s="22">
        <v>0</v>
      </c>
      <c r="D1351" s="22">
        <v>0</v>
      </c>
    </row>
    <row r="1352" spans="1:4" x14ac:dyDescent="0.2">
      <c r="A1352" s="23" t="s">
        <v>206</v>
      </c>
      <c r="B1352" s="23" t="s">
        <v>207</v>
      </c>
      <c r="C1352" s="22">
        <v>0</v>
      </c>
      <c r="D1352" s="22">
        <v>1204116.6499999999</v>
      </c>
    </row>
    <row r="1353" spans="1:4" x14ac:dyDescent="0.2">
      <c r="A1353" s="23" t="s">
        <v>208</v>
      </c>
      <c r="B1353" s="23" t="s">
        <v>209</v>
      </c>
      <c r="C1353" s="22">
        <v>0</v>
      </c>
      <c r="D1353" s="22">
        <v>0</v>
      </c>
    </row>
    <row r="1354" spans="1:4" x14ac:dyDescent="0.2">
      <c r="A1354" s="23" t="s">
        <v>210</v>
      </c>
      <c r="B1354" s="23" t="s">
        <v>211</v>
      </c>
      <c r="C1354" s="22">
        <v>0</v>
      </c>
      <c r="D1354" s="22">
        <v>0</v>
      </c>
    </row>
    <row r="1355" spans="1:4" x14ac:dyDescent="0.2">
      <c r="A1355" s="23" t="s">
        <v>212</v>
      </c>
      <c r="B1355" s="23" t="s">
        <v>213</v>
      </c>
      <c r="C1355" s="22">
        <v>0</v>
      </c>
      <c r="D1355" s="22">
        <v>1264666.6499999999</v>
      </c>
    </row>
    <row r="1356" spans="1:4" x14ac:dyDescent="0.2">
      <c r="A1356" s="23" t="s">
        <v>214</v>
      </c>
      <c r="B1356" s="23" t="s">
        <v>211</v>
      </c>
      <c r="C1356" s="22">
        <v>0</v>
      </c>
      <c r="D1356" s="22">
        <v>0</v>
      </c>
    </row>
    <row r="1357" spans="1:4" x14ac:dyDescent="0.2">
      <c r="A1357" s="23" t="s">
        <v>215</v>
      </c>
      <c r="B1357" s="23" t="s">
        <v>216</v>
      </c>
      <c r="C1357" s="22">
        <v>0</v>
      </c>
      <c r="D1357" s="22">
        <v>0</v>
      </c>
    </row>
    <row r="1358" spans="1:4" x14ac:dyDescent="0.2">
      <c r="A1358" s="23" t="s">
        <v>217</v>
      </c>
      <c r="B1358" s="23" t="s">
        <v>218</v>
      </c>
      <c r="C1358" s="22">
        <v>0</v>
      </c>
      <c r="D1358" s="22">
        <v>0</v>
      </c>
    </row>
    <row r="1359" spans="1:4" x14ac:dyDescent="0.2">
      <c r="A1359" s="23" t="s">
        <v>219</v>
      </c>
      <c r="B1359" s="23" t="s">
        <v>220</v>
      </c>
      <c r="C1359" s="22">
        <v>0</v>
      </c>
      <c r="D1359" s="22">
        <v>495833.35</v>
      </c>
    </row>
    <row r="1360" spans="1:4" x14ac:dyDescent="0.2">
      <c r="A1360" s="23" t="s">
        <v>221</v>
      </c>
      <c r="B1360" s="23" t="s">
        <v>222</v>
      </c>
      <c r="C1360" s="22">
        <v>19430</v>
      </c>
      <c r="D1360" s="22">
        <v>233160</v>
      </c>
    </row>
    <row r="1361" spans="1:4" x14ac:dyDescent="0.2">
      <c r="A1361" s="23" t="s">
        <v>223</v>
      </c>
      <c r="B1361" s="23" t="s">
        <v>224</v>
      </c>
      <c r="C1361" s="22">
        <v>0</v>
      </c>
      <c r="D1361" s="22">
        <v>0</v>
      </c>
    </row>
    <row r="1362" spans="1:4" x14ac:dyDescent="0.2">
      <c r="A1362" s="23" t="s">
        <v>225</v>
      </c>
      <c r="B1362" s="23" t="s">
        <v>226</v>
      </c>
      <c r="C1362" s="22">
        <v>0</v>
      </c>
      <c r="D1362" s="22">
        <v>2169374.81</v>
      </c>
    </row>
    <row r="1363" spans="1:4" x14ac:dyDescent="0.2">
      <c r="A1363" s="23" t="s">
        <v>227</v>
      </c>
      <c r="B1363" s="23" t="s">
        <v>228</v>
      </c>
      <c r="C1363" s="22">
        <v>1038666.67</v>
      </c>
      <c r="D1363" s="22">
        <v>7238208.3399999999</v>
      </c>
    </row>
    <row r="1364" spans="1:4" x14ac:dyDescent="0.2">
      <c r="A1364" s="23" t="s">
        <v>1383</v>
      </c>
      <c r="B1364" s="23" t="s">
        <v>224</v>
      </c>
      <c r="C1364" s="22">
        <v>328997.52</v>
      </c>
      <c r="D1364" s="22">
        <v>3416250.23</v>
      </c>
    </row>
    <row r="1365" spans="1:4" x14ac:dyDescent="0.2">
      <c r="A1365" s="23" t="s">
        <v>1384</v>
      </c>
      <c r="B1365" s="23" t="s">
        <v>1385</v>
      </c>
      <c r="C1365" s="22">
        <v>1203125</v>
      </c>
      <c r="D1365" s="22">
        <v>14437500</v>
      </c>
    </row>
    <row r="1366" spans="1:4" x14ac:dyDescent="0.2">
      <c r="A1366" s="23" t="s">
        <v>1386</v>
      </c>
      <c r="B1366" s="23" t="s">
        <v>1387</v>
      </c>
      <c r="C1366" s="22">
        <v>257911.25</v>
      </c>
      <c r="D1366" s="22">
        <v>3094935</v>
      </c>
    </row>
    <row r="1367" spans="1:4" x14ac:dyDescent="0.2">
      <c r="A1367" s="23" t="s">
        <v>1388</v>
      </c>
      <c r="B1367" s="23" t="s">
        <v>1389</v>
      </c>
      <c r="C1367" s="22">
        <v>396000</v>
      </c>
      <c r="D1367" s="22">
        <v>4752000</v>
      </c>
    </row>
    <row r="1368" spans="1:4" x14ac:dyDescent="0.2">
      <c r="A1368" s="23" t="s">
        <v>1390</v>
      </c>
      <c r="B1368" s="23" t="s">
        <v>1385</v>
      </c>
      <c r="C1368" s="22">
        <v>1753125</v>
      </c>
      <c r="D1368" s="22">
        <v>21037500</v>
      </c>
    </row>
    <row r="1369" spans="1:4" x14ac:dyDescent="0.2">
      <c r="A1369" s="23" t="s">
        <v>1391</v>
      </c>
      <c r="B1369" s="23" t="s">
        <v>2843</v>
      </c>
      <c r="C1369" s="22">
        <v>0</v>
      </c>
      <c r="D1369" s="22">
        <v>4199217.87</v>
      </c>
    </row>
    <row r="1370" spans="1:4" x14ac:dyDescent="0.2">
      <c r="A1370" s="23" t="s">
        <v>1392</v>
      </c>
      <c r="B1370" s="23" t="s">
        <v>1393</v>
      </c>
      <c r="C1370" s="22">
        <v>1302083.33</v>
      </c>
      <c r="D1370" s="22">
        <v>15624999.960000001</v>
      </c>
    </row>
    <row r="1371" spans="1:4" x14ac:dyDescent="0.2">
      <c r="A1371" s="23" t="s">
        <v>1394</v>
      </c>
      <c r="B1371" s="23" t="s">
        <v>213</v>
      </c>
      <c r="C1371" s="22">
        <v>198658.05</v>
      </c>
      <c r="D1371" s="22">
        <v>968061.65</v>
      </c>
    </row>
    <row r="1372" spans="1:4" x14ac:dyDescent="0.2">
      <c r="A1372" s="23" t="s">
        <v>1395</v>
      </c>
      <c r="B1372" s="23" t="s">
        <v>1396</v>
      </c>
      <c r="C1372" s="22">
        <v>197584.99</v>
      </c>
      <c r="D1372" s="22">
        <v>919950.51</v>
      </c>
    </row>
    <row r="1373" spans="1:4" x14ac:dyDescent="0.2">
      <c r="A1373" s="23" t="s">
        <v>1397</v>
      </c>
      <c r="B1373" s="23" t="s">
        <v>1398</v>
      </c>
      <c r="C1373" s="22">
        <v>76916.66</v>
      </c>
      <c r="D1373" s="22">
        <v>379916.66</v>
      </c>
    </row>
    <row r="1374" spans="1:4" x14ac:dyDescent="0.2">
      <c r="A1374" s="23" t="s">
        <v>1399</v>
      </c>
      <c r="B1374" t="s">
        <v>4481</v>
      </c>
      <c r="C1374" s="22">
        <v>8507656.8000000007</v>
      </c>
      <c r="D1374" s="22">
        <v>100356030.84</v>
      </c>
    </row>
    <row r="1375" spans="1:4" x14ac:dyDescent="0.2">
      <c r="A1375" s="23" t="s">
        <v>1400</v>
      </c>
      <c r="B1375" s="23" t="s">
        <v>1401</v>
      </c>
      <c r="C1375" s="22">
        <v>6471.67</v>
      </c>
      <c r="D1375" s="22">
        <v>48727.39</v>
      </c>
    </row>
    <row r="1376" spans="1:4" x14ac:dyDescent="0.2">
      <c r="A1376" s="23" t="s">
        <v>1402</v>
      </c>
      <c r="B1376" s="23" t="s">
        <v>1403</v>
      </c>
      <c r="C1376" s="22">
        <v>0</v>
      </c>
      <c r="D1376" s="22">
        <v>1511.56</v>
      </c>
    </row>
    <row r="1377" spans="1:4" x14ac:dyDescent="0.2">
      <c r="A1377" s="23" t="s">
        <v>1404</v>
      </c>
      <c r="B1377" s="23" t="s">
        <v>1405</v>
      </c>
      <c r="C1377" s="22">
        <v>0</v>
      </c>
      <c r="D1377" s="22">
        <v>0</v>
      </c>
    </row>
    <row r="1378" spans="1:4" x14ac:dyDescent="0.2">
      <c r="A1378" s="23" t="s">
        <v>1406</v>
      </c>
      <c r="B1378" s="23" t="s">
        <v>1407</v>
      </c>
      <c r="C1378" s="22">
        <v>2329</v>
      </c>
      <c r="D1378" s="22">
        <v>27948</v>
      </c>
    </row>
    <row r="1379" spans="1:4" x14ac:dyDescent="0.2">
      <c r="A1379" s="23" t="s">
        <v>1408</v>
      </c>
      <c r="B1379" s="23" t="s">
        <v>1409</v>
      </c>
      <c r="C1379" s="22">
        <v>5475.97</v>
      </c>
      <c r="D1379" s="22">
        <v>66587.12</v>
      </c>
    </row>
    <row r="1380" spans="1:4" x14ac:dyDescent="0.2">
      <c r="A1380" s="23" t="s">
        <v>1410</v>
      </c>
      <c r="B1380" s="23" t="s">
        <v>1411</v>
      </c>
      <c r="C1380" s="22">
        <v>7091.09</v>
      </c>
      <c r="D1380" s="22">
        <v>85093.08</v>
      </c>
    </row>
    <row r="1381" spans="1:4" x14ac:dyDescent="0.2">
      <c r="A1381" s="23" t="s">
        <v>1412</v>
      </c>
      <c r="B1381" s="23" t="s">
        <v>1413</v>
      </c>
      <c r="C1381" s="22">
        <v>0</v>
      </c>
      <c r="D1381" s="22">
        <v>0</v>
      </c>
    </row>
    <row r="1382" spans="1:4" x14ac:dyDescent="0.2">
      <c r="A1382" s="23" t="s">
        <v>1414</v>
      </c>
      <c r="B1382" s="23" t="s">
        <v>1415</v>
      </c>
      <c r="C1382" s="22">
        <v>15841.69</v>
      </c>
      <c r="D1382" s="22">
        <v>190100.28</v>
      </c>
    </row>
    <row r="1383" spans="1:4" x14ac:dyDescent="0.2">
      <c r="A1383" s="23" t="s">
        <v>1416</v>
      </c>
      <c r="B1383" s="23" t="s">
        <v>1407</v>
      </c>
      <c r="C1383" s="22">
        <v>2423.66</v>
      </c>
      <c r="D1383" s="22">
        <v>30021.99</v>
      </c>
    </row>
    <row r="1384" spans="1:4" x14ac:dyDescent="0.2">
      <c r="A1384" s="23" t="s">
        <v>1417</v>
      </c>
      <c r="B1384" s="23" t="s">
        <v>1409</v>
      </c>
      <c r="C1384" s="22">
        <v>7853.94</v>
      </c>
      <c r="D1384" s="22">
        <v>95503</v>
      </c>
    </row>
    <row r="1385" spans="1:4" x14ac:dyDescent="0.2">
      <c r="A1385" s="23" t="s">
        <v>1418</v>
      </c>
      <c r="B1385" s="23" t="s">
        <v>1419</v>
      </c>
      <c r="C1385" s="22">
        <v>2490.34</v>
      </c>
      <c r="D1385" s="22">
        <v>29884.080000000002</v>
      </c>
    </row>
    <row r="1386" spans="1:4" x14ac:dyDescent="0.2">
      <c r="A1386" s="23" t="s">
        <v>1420</v>
      </c>
      <c r="B1386" s="23" t="s">
        <v>1421</v>
      </c>
      <c r="C1386" s="22">
        <v>467.85</v>
      </c>
      <c r="D1386" s="22">
        <v>5614.2</v>
      </c>
    </row>
    <row r="1387" spans="1:4" x14ac:dyDescent="0.2">
      <c r="A1387" s="23" t="s">
        <v>1422</v>
      </c>
      <c r="B1387" s="23" t="s">
        <v>1421</v>
      </c>
      <c r="C1387" s="22">
        <v>3266.81</v>
      </c>
      <c r="D1387" s="22">
        <v>39201.72</v>
      </c>
    </row>
    <row r="1388" spans="1:4" x14ac:dyDescent="0.2">
      <c r="A1388" s="23" t="s">
        <v>1423</v>
      </c>
      <c r="B1388" s="23" t="s">
        <v>1424</v>
      </c>
      <c r="C1388" s="22">
        <v>15689.13</v>
      </c>
      <c r="D1388" s="22">
        <v>188269.56</v>
      </c>
    </row>
    <row r="1389" spans="1:4" x14ac:dyDescent="0.2">
      <c r="A1389" s="23" t="s">
        <v>1425</v>
      </c>
      <c r="B1389" s="23" t="s">
        <v>1424</v>
      </c>
      <c r="C1389" s="22">
        <v>3932.13</v>
      </c>
      <c r="D1389" s="22">
        <v>47185.56</v>
      </c>
    </row>
    <row r="1390" spans="1:4" x14ac:dyDescent="0.2">
      <c r="A1390" s="23" t="s">
        <v>1426</v>
      </c>
      <c r="B1390" s="23" t="s">
        <v>1427</v>
      </c>
      <c r="C1390" s="22">
        <v>1019.33</v>
      </c>
      <c r="D1390" s="22">
        <v>54762.63</v>
      </c>
    </row>
    <row r="1391" spans="1:4" x14ac:dyDescent="0.2">
      <c r="A1391" s="23" t="s">
        <v>1428</v>
      </c>
      <c r="B1391" s="23" t="s">
        <v>1424</v>
      </c>
      <c r="C1391" s="22">
        <v>7577.25</v>
      </c>
      <c r="D1391" s="22">
        <v>90927</v>
      </c>
    </row>
    <row r="1392" spans="1:4" x14ac:dyDescent="0.2">
      <c r="A1392" s="23" t="s">
        <v>1429</v>
      </c>
      <c r="B1392" s="23" t="s">
        <v>1430</v>
      </c>
      <c r="C1392" s="22">
        <v>857.57</v>
      </c>
      <c r="D1392" s="22">
        <v>26774.9</v>
      </c>
    </row>
    <row r="1393" spans="1:4" x14ac:dyDescent="0.2">
      <c r="A1393" s="23" t="s">
        <v>1431</v>
      </c>
      <c r="B1393" s="23" t="s">
        <v>1432</v>
      </c>
      <c r="C1393" s="22">
        <v>7116.94</v>
      </c>
      <c r="D1393" s="22">
        <v>53738.2</v>
      </c>
    </row>
    <row r="1394" spans="1:4" x14ac:dyDescent="0.2">
      <c r="A1394" s="23" t="s">
        <v>1433</v>
      </c>
      <c r="B1394" s="23" t="s">
        <v>1434</v>
      </c>
      <c r="C1394" s="22">
        <v>10077.08</v>
      </c>
      <c r="D1394" s="22">
        <v>120924.96</v>
      </c>
    </row>
    <row r="1395" spans="1:4" x14ac:dyDescent="0.2">
      <c r="A1395" s="23" t="s">
        <v>1435</v>
      </c>
      <c r="B1395" s="23" t="s">
        <v>1436</v>
      </c>
      <c r="C1395" s="22">
        <v>1179.21</v>
      </c>
      <c r="D1395" s="22">
        <v>58820.97</v>
      </c>
    </row>
    <row r="1396" spans="1:4" x14ac:dyDescent="0.2">
      <c r="A1396" s="23" t="s">
        <v>1437</v>
      </c>
      <c r="B1396" s="23" t="s">
        <v>1419</v>
      </c>
      <c r="C1396" s="22">
        <v>11160.13</v>
      </c>
      <c r="D1396" s="22">
        <v>133921.56</v>
      </c>
    </row>
    <row r="1397" spans="1:4" x14ac:dyDescent="0.2">
      <c r="A1397" s="23" t="s">
        <v>1438</v>
      </c>
      <c r="B1397" s="23" t="s">
        <v>1439</v>
      </c>
      <c r="C1397" s="22">
        <v>0</v>
      </c>
      <c r="D1397" s="22">
        <v>0</v>
      </c>
    </row>
    <row r="1398" spans="1:4" x14ac:dyDescent="0.2">
      <c r="A1398" s="23" t="s">
        <v>1440</v>
      </c>
      <c r="B1398" s="23" t="s">
        <v>1441</v>
      </c>
      <c r="C1398" s="22">
        <v>0</v>
      </c>
      <c r="D1398" s="22">
        <v>0</v>
      </c>
    </row>
    <row r="1399" spans="1:4" x14ac:dyDescent="0.2">
      <c r="A1399" s="23" t="s">
        <v>1442</v>
      </c>
      <c r="B1399" s="23" t="s">
        <v>1443</v>
      </c>
      <c r="C1399" s="22">
        <v>9829.4699999999993</v>
      </c>
      <c r="D1399" s="22">
        <v>88916.93</v>
      </c>
    </row>
    <row r="1400" spans="1:4" x14ac:dyDescent="0.2">
      <c r="A1400" s="23" t="s">
        <v>1444</v>
      </c>
      <c r="B1400" s="23" t="s">
        <v>1419</v>
      </c>
      <c r="C1400" s="22">
        <v>10288.84</v>
      </c>
      <c r="D1400" s="22">
        <v>123466.08</v>
      </c>
    </row>
    <row r="1401" spans="1:4" x14ac:dyDescent="0.2">
      <c r="A1401" s="23" t="s">
        <v>1445</v>
      </c>
      <c r="B1401" s="23" t="s">
        <v>1409</v>
      </c>
      <c r="C1401" s="22">
        <v>18119.189999999999</v>
      </c>
      <c r="D1401" s="22">
        <v>217430.28</v>
      </c>
    </row>
    <row r="1402" spans="1:4" x14ac:dyDescent="0.2">
      <c r="A1402" s="23" t="s">
        <v>1446</v>
      </c>
      <c r="B1402" s="23" t="s">
        <v>1447</v>
      </c>
      <c r="C1402" s="22">
        <v>4422.05</v>
      </c>
      <c r="D1402" s="22">
        <v>53064.6</v>
      </c>
    </row>
    <row r="1403" spans="1:4" x14ac:dyDescent="0.2">
      <c r="A1403" s="23" t="s">
        <v>1448</v>
      </c>
      <c r="B1403" s="23" t="s">
        <v>2440</v>
      </c>
      <c r="C1403" s="22">
        <v>7548.13</v>
      </c>
      <c r="D1403" s="22">
        <v>90577.56</v>
      </c>
    </row>
    <row r="1404" spans="1:4" x14ac:dyDescent="0.2">
      <c r="A1404" s="23" t="s">
        <v>2441</v>
      </c>
      <c r="B1404" s="23" t="s">
        <v>2442</v>
      </c>
      <c r="C1404" s="22">
        <v>267086.40000000002</v>
      </c>
      <c r="D1404" s="22">
        <v>3205036.8</v>
      </c>
    </row>
    <row r="1405" spans="1:4" x14ac:dyDescent="0.2">
      <c r="A1405" s="23" t="s">
        <v>2443</v>
      </c>
      <c r="B1405" s="23" t="s">
        <v>2444</v>
      </c>
      <c r="C1405" s="22">
        <v>0</v>
      </c>
      <c r="D1405" s="22">
        <v>165550.34</v>
      </c>
    </row>
    <row r="1406" spans="1:4" x14ac:dyDescent="0.2">
      <c r="A1406" s="23" t="s">
        <v>2445</v>
      </c>
      <c r="B1406" s="23" t="s">
        <v>2446</v>
      </c>
      <c r="C1406" s="22">
        <v>12467.89</v>
      </c>
      <c r="D1406" s="22">
        <v>149614.68</v>
      </c>
    </row>
    <row r="1407" spans="1:4" x14ac:dyDescent="0.2">
      <c r="A1407" s="23" t="s">
        <v>2447</v>
      </c>
      <c r="B1407" s="23" t="s">
        <v>1436</v>
      </c>
      <c r="C1407" s="22">
        <v>7861.73</v>
      </c>
      <c r="D1407" s="22">
        <v>40276.18</v>
      </c>
    </row>
    <row r="1408" spans="1:4" x14ac:dyDescent="0.2">
      <c r="A1408" s="23" t="s">
        <v>2448</v>
      </c>
      <c r="B1408" s="23" t="s">
        <v>2449</v>
      </c>
      <c r="C1408" s="22">
        <v>4497.3500000000004</v>
      </c>
      <c r="D1408" s="22">
        <v>23025.82</v>
      </c>
    </row>
    <row r="1409" spans="1:4" x14ac:dyDescent="0.2">
      <c r="A1409" s="23" t="s">
        <v>2450</v>
      </c>
      <c r="B1409" s="23" t="s">
        <v>2451</v>
      </c>
      <c r="C1409" s="22">
        <v>2468.71</v>
      </c>
      <c r="D1409" s="22">
        <v>12307.28</v>
      </c>
    </row>
    <row r="1410" spans="1:4" x14ac:dyDescent="0.2">
      <c r="A1410" s="23" t="s">
        <v>2452</v>
      </c>
      <c r="B1410" t="s">
        <v>4481</v>
      </c>
      <c r="C1410" s="22">
        <v>456910.55</v>
      </c>
      <c r="D1410" s="22">
        <v>5564784.3099999996</v>
      </c>
    </row>
    <row r="1411" spans="1:4" x14ac:dyDescent="0.2">
      <c r="A1411" s="23" t="s">
        <v>2453</v>
      </c>
      <c r="B1411" s="23" t="s">
        <v>2454</v>
      </c>
      <c r="C1411" s="22">
        <v>0</v>
      </c>
      <c r="D1411" s="22">
        <v>-338.36</v>
      </c>
    </row>
    <row r="1412" spans="1:4" x14ac:dyDescent="0.2">
      <c r="A1412" s="23" t="s">
        <v>2455</v>
      </c>
      <c r="B1412" s="23" t="s">
        <v>2456</v>
      </c>
      <c r="C1412" s="22">
        <v>0</v>
      </c>
      <c r="D1412" s="22">
        <v>0</v>
      </c>
    </row>
    <row r="1413" spans="1:4" x14ac:dyDescent="0.2">
      <c r="A1413" s="23" t="s">
        <v>2457</v>
      </c>
      <c r="B1413" s="23" t="s">
        <v>2458</v>
      </c>
      <c r="C1413" s="22">
        <v>0</v>
      </c>
      <c r="D1413" s="22">
        <v>0</v>
      </c>
    </row>
    <row r="1414" spans="1:4" x14ac:dyDescent="0.2">
      <c r="A1414" s="23" t="s">
        <v>2459</v>
      </c>
      <c r="B1414" s="23" t="s">
        <v>2460</v>
      </c>
      <c r="C1414" s="22">
        <v>-7859.23</v>
      </c>
      <c r="D1414" s="22">
        <v>-94310.76</v>
      </c>
    </row>
    <row r="1415" spans="1:4" x14ac:dyDescent="0.2">
      <c r="A1415" s="23" t="s">
        <v>2461</v>
      </c>
      <c r="B1415" t="s">
        <v>4481</v>
      </c>
      <c r="C1415" s="22">
        <v>-7859.23</v>
      </c>
      <c r="D1415" s="22">
        <v>-94649.12</v>
      </c>
    </row>
    <row r="1416" spans="1:4" x14ac:dyDescent="0.2">
      <c r="A1416" s="23" t="s">
        <v>2462</v>
      </c>
      <c r="B1416" s="23" t="s">
        <v>2463</v>
      </c>
      <c r="C1416" s="22">
        <v>0</v>
      </c>
      <c r="D1416" s="22">
        <v>488.39</v>
      </c>
    </row>
    <row r="1417" spans="1:4" x14ac:dyDescent="0.2">
      <c r="A1417" s="23" t="s">
        <v>2464</v>
      </c>
      <c r="B1417" t="s">
        <v>4481</v>
      </c>
      <c r="C1417" s="22">
        <v>0</v>
      </c>
      <c r="D1417" s="22">
        <v>488.39</v>
      </c>
    </row>
    <row r="1418" spans="1:4" x14ac:dyDescent="0.2">
      <c r="A1418" s="23" t="s">
        <v>2465</v>
      </c>
      <c r="B1418" s="23" t="s">
        <v>2466</v>
      </c>
      <c r="C1418" s="22">
        <v>474213.4</v>
      </c>
      <c r="D1418" s="22">
        <v>6033509.7199999997</v>
      </c>
    </row>
    <row r="1419" spans="1:4" x14ac:dyDescent="0.2">
      <c r="A1419" s="23" t="s">
        <v>2467</v>
      </c>
      <c r="B1419" s="23" t="s">
        <v>2468</v>
      </c>
      <c r="C1419" s="22">
        <v>0</v>
      </c>
      <c r="D1419" s="22">
        <v>157317.76000000001</v>
      </c>
    </row>
    <row r="1420" spans="1:4" x14ac:dyDescent="0.2">
      <c r="A1420" s="23" t="s">
        <v>2469</v>
      </c>
      <c r="B1420" s="23" t="s">
        <v>2470</v>
      </c>
      <c r="C1420" s="22">
        <v>0</v>
      </c>
      <c r="D1420" s="22">
        <v>0</v>
      </c>
    </row>
    <row r="1421" spans="1:4" x14ac:dyDescent="0.2">
      <c r="A1421" s="23" t="s">
        <v>2471</v>
      </c>
      <c r="B1421" s="23" t="s">
        <v>2472</v>
      </c>
      <c r="C1421" s="22">
        <v>0</v>
      </c>
      <c r="D1421" s="22">
        <v>20435.95</v>
      </c>
    </row>
    <row r="1422" spans="1:4" x14ac:dyDescent="0.2">
      <c r="A1422" s="23" t="s">
        <v>2473</v>
      </c>
      <c r="B1422" s="23" t="s">
        <v>2666</v>
      </c>
      <c r="C1422" s="22">
        <v>0</v>
      </c>
      <c r="D1422" s="22">
        <v>0</v>
      </c>
    </row>
    <row r="1423" spans="1:4" x14ac:dyDescent="0.2">
      <c r="A1423" s="23" t="s">
        <v>2667</v>
      </c>
      <c r="B1423" s="23" t="s">
        <v>2668</v>
      </c>
      <c r="C1423" s="22">
        <v>0</v>
      </c>
      <c r="D1423" s="22">
        <v>0</v>
      </c>
    </row>
    <row r="1424" spans="1:4" x14ac:dyDescent="0.2">
      <c r="A1424" s="23" t="s">
        <v>2669</v>
      </c>
      <c r="B1424" s="23" t="s">
        <v>5126</v>
      </c>
      <c r="C1424" s="22">
        <v>0</v>
      </c>
      <c r="D1424" s="22">
        <v>0</v>
      </c>
    </row>
    <row r="1425" spans="1:4" x14ac:dyDescent="0.2">
      <c r="A1425" s="23" t="s">
        <v>5127</v>
      </c>
      <c r="B1425" s="23" t="s">
        <v>5128</v>
      </c>
      <c r="C1425" s="22">
        <v>171</v>
      </c>
      <c r="D1425" s="22">
        <v>6650</v>
      </c>
    </row>
    <row r="1426" spans="1:4" x14ac:dyDescent="0.2">
      <c r="A1426" s="23" t="s">
        <v>5129</v>
      </c>
      <c r="B1426" s="23" t="s">
        <v>5130</v>
      </c>
      <c r="C1426" s="22">
        <v>27863</v>
      </c>
      <c r="D1426" s="22">
        <v>224237</v>
      </c>
    </row>
    <row r="1427" spans="1:4" x14ac:dyDescent="0.2">
      <c r="A1427" s="23" t="s">
        <v>5131</v>
      </c>
      <c r="B1427" s="23" t="s">
        <v>5132</v>
      </c>
      <c r="C1427" s="22">
        <v>2774</v>
      </c>
      <c r="D1427" s="22">
        <v>41218</v>
      </c>
    </row>
    <row r="1428" spans="1:4" x14ac:dyDescent="0.2">
      <c r="A1428" s="23" t="s">
        <v>5133</v>
      </c>
      <c r="B1428" s="23" t="s">
        <v>5134</v>
      </c>
      <c r="C1428" s="22">
        <v>0</v>
      </c>
      <c r="D1428" s="22">
        <v>0</v>
      </c>
    </row>
    <row r="1429" spans="1:4" x14ac:dyDescent="0.2">
      <c r="A1429" s="23" t="s">
        <v>5135</v>
      </c>
      <c r="B1429" s="23" t="s">
        <v>5136</v>
      </c>
      <c r="C1429" s="22">
        <v>0</v>
      </c>
      <c r="D1429" s="22">
        <v>0</v>
      </c>
    </row>
    <row r="1430" spans="1:4" x14ac:dyDescent="0.2">
      <c r="A1430" s="23" t="s">
        <v>5137</v>
      </c>
      <c r="B1430" s="23" t="s">
        <v>5138</v>
      </c>
      <c r="C1430" s="22">
        <v>0</v>
      </c>
      <c r="D1430" s="22">
        <v>189.35</v>
      </c>
    </row>
    <row r="1431" spans="1:4" x14ac:dyDescent="0.2">
      <c r="A1431" s="23" t="s">
        <v>5139</v>
      </c>
      <c r="B1431" s="23" t="s">
        <v>5140</v>
      </c>
      <c r="C1431" s="22">
        <v>0</v>
      </c>
      <c r="D1431" s="22">
        <v>0</v>
      </c>
    </row>
    <row r="1432" spans="1:4" x14ac:dyDescent="0.2">
      <c r="A1432" s="23" t="s">
        <v>5141</v>
      </c>
      <c r="B1432" s="23" t="s">
        <v>5142</v>
      </c>
      <c r="C1432" s="22">
        <v>15106.73</v>
      </c>
      <c r="D1432" s="22">
        <v>476793.07</v>
      </c>
    </row>
    <row r="1433" spans="1:4" x14ac:dyDescent="0.2">
      <c r="A1433" s="23" t="s">
        <v>5143</v>
      </c>
      <c r="B1433" s="23" t="s">
        <v>5144</v>
      </c>
      <c r="C1433" s="22">
        <v>11449.83</v>
      </c>
      <c r="D1433" s="22">
        <v>562304.31999999995</v>
      </c>
    </row>
    <row r="1434" spans="1:4" x14ac:dyDescent="0.2">
      <c r="A1434" s="23" t="s">
        <v>5145</v>
      </c>
      <c r="B1434" s="23" t="s">
        <v>5146</v>
      </c>
      <c r="C1434" s="22">
        <v>22533.29</v>
      </c>
      <c r="D1434" s="22">
        <v>322554.33</v>
      </c>
    </row>
    <row r="1435" spans="1:4" x14ac:dyDescent="0.2">
      <c r="A1435" s="23" t="s">
        <v>5147</v>
      </c>
      <c r="B1435" s="23" t="s">
        <v>5148</v>
      </c>
      <c r="C1435" s="22">
        <v>25268.79</v>
      </c>
      <c r="D1435" s="22">
        <v>75076.740000000005</v>
      </c>
    </row>
    <row r="1436" spans="1:4" x14ac:dyDescent="0.2">
      <c r="A1436" s="23" t="s">
        <v>5149</v>
      </c>
      <c r="B1436" s="23" t="s">
        <v>5150</v>
      </c>
      <c r="C1436" s="22">
        <v>15158.75</v>
      </c>
      <c r="D1436" s="22">
        <v>170509</v>
      </c>
    </row>
    <row r="1437" spans="1:4" x14ac:dyDescent="0.2">
      <c r="A1437" s="23" t="s">
        <v>5151</v>
      </c>
      <c r="B1437" t="s">
        <v>4481</v>
      </c>
      <c r="C1437" s="22">
        <v>594538.79</v>
      </c>
      <c r="D1437" s="22">
        <v>8090795.2400000002</v>
      </c>
    </row>
    <row r="1438" spans="1:4" x14ac:dyDescent="0.2">
      <c r="A1438" s="23" t="s">
        <v>5152</v>
      </c>
      <c r="B1438" s="23" t="s">
        <v>5153</v>
      </c>
      <c r="C1438" s="22">
        <v>-132106.85999999999</v>
      </c>
      <c r="D1438" s="22">
        <v>-1726529.68</v>
      </c>
    </row>
    <row r="1439" spans="1:4" x14ac:dyDescent="0.2">
      <c r="A1439" s="23" t="s">
        <v>5154</v>
      </c>
      <c r="B1439" t="s">
        <v>4481</v>
      </c>
      <c r="C1439" s="22">
        <v>-132106.85999999999</v>
      </c>
      <c r="D1439" s="22">
        <v>-1726529.68</v>
      </c>
    </row>
    <row r="1440" spans="1:4" x14ac:dyDescent="0.2">
      <c r="A1440" s="23" t="s">
        <v>5155</v>
      </c>
      <c r="B1440" s="23" t="s">
        <v>5156</v>
      </c>
      <c r="C1440" s="22">
        <v>0</v>
      </c>
      <c r="D1440" s="22">
        <v>0</v>
      </c>
    </row>
    <row r="1441" spans="1:4" x14ac:dyDescent="0.2">
      <c r="A1441" s="23" t="s">
        <v>5157</v>
      </c>
      <c r="B1441" t="s">
        <v>4481</v>
      </c>
      <c r="C1441" s="22">
        <v>0</v>
      </c>
      <c r="D1441" s="22">
        <v>0</v>
      </c>
    </row>
    <row r="1442" spans="1:4" x14ac:dyDescent="0.2">
      <c r="A1442" s="23" t="s">
        <v>5158</v>
      </c>
      <c r="B1442" s="23" t="s">
        <v>5159</v>
      </c>
      <c r="C1442" s="22">
        <v>-30833527.710000001</v>
      </c>
      <c r="D1442" s="22">
        <v>-447493315.33999997</v>
      </c>
    </row>
    <row r="1443" spans="1:4" x14ac:dyDescent="0.2">
      <c r="A1443" s="23" t="s">
        <v>5160</v>
      </c>
      <c r="B1443" s="23" t="s">
        <v>5161</v>
      </c>
      <c r="C1443" s="22">
        <v>-34926797.880000003</v>
      </c>
      <c r="D1443" s="22">
        <v>-525246573.01999998</v>
      </c>
    </row>
    <row r="1444" spans="1:4" x14ac:dyDescent="0.2">
      <c r="A1444" s="23" t="s">
        <v>5162</v>
      </c>
      <c r="B1444" s="23" t="s">
        <v>5163</v>
      </c>
      <c r="C1444" s="22">
        <v>-1912812.02</v>
      </c>
      <c r="D1444" s="22">
        <v>-28775187.699999999</v>
      </c>
    </row>
    <row r="1445" spans="1:4" x14ac:dyDescent="0.2">
      <c r="A1445" s="23" t="s">
        <v>5164</v>
      </c>
      <c r="B1445" s="23" t="s">
        <v>5165</v>
      </c>
      <c r="C1445" s="22">
        <v>-429931.62</v>
      </c>
      <c r="D1445" s="22">
        <v>-6466567.8499999996</v>
      </c>
    </row>
    <row r="1446" spans="1:4" x14ac:dyDescent="0.2">
      <c r="A1446" s="23" t="s">
        <v>5166</v>
      </c>
      <c r="B1446" s="23" t="s">
        <v>5167</v>
      </c>
      <c r="C1446" s="22">
        <v>2029595.53</v>
      </c>
      <c r="D1446" s="22">
        <v>30517840.550000001</v>
      </c>
    </row>
    <row r="1447" spans="1:4" x14ac:dyDescent="0.2">
      <c r="A1447" s="23" t="s">
        <v>5168</v>
      </c>
      <c r="B1447" s="23" t="s">
        <v>5169</v>
      </c>
      <c r="C1447" s="22">
        <v>-1055346.47</v>
      </c>
      <c r="D1447" s="22">
        <v>-15648926.199999999</v>
      </c>
    </row>
    <row r="1448" spans="1:4" x14ac:dyDescent="0.2">
      <c r="A1448" s="23" t="s">
        <v>5170</v>
      </c>
      <c r="B1448" s="23" t="s">
        <v>5171</v>
      </c>
      <c r="C1448" s="22">
        <v>-1673871.58</v>
      </c>
      <c r="D1448" s="22">
        <v>-24827712.859999999</v>
      </c>
    </row>
    <row r="1449" spans="1:4" x14ac:dyDescent="0.2">
      <c r="A1449" s="23" t="s">
        <v>5172</v>
      </c>
      <c r="B1449" t="s">
        <v>4481</v>
      </c>
      <c r="C1449" s="22">
        <v>-68802691.75</v>
      </c>
      <c r="D1449" s="22">
        <v>-1017940442.42</v>
      </c>
    </row>
    <row r="1450" spans="1:4" x14ac:dyDescent="0.2">
      <c r="A1450" s="23" t="s">
        <v>5173</v>
      </c>
      <c r="B1450" s="23" t="s">
        <v>5174</v>
      </c>
      <c r="C1450" s="22">
        <v>0</v>
      </c>
      <c r="D1450" s="22">
        <v>0</v>
      </c>
    </row>
    <row r="1451" spans="1:4" x14ac:dyDescent="0.2">
      <c r="A1451" s="23" t="s">
        <v>5175</v>
      </c>
      <c r="B1451" s="23" t="s">
        <v>5176</v>
      </c>
      <c r="C1451" s="22">
        <v>-5192564.24</v>
      </c>
      <c r="D1451" s="22">
        <v>-67685829.180000007</v>
      </c>
    </row>
    <row r="1452" spans="1:4" x14ac:dyDescent="0.2">
      <c r="A1452" s="23" t="s">
        <v>5177</v>
      </c>
      <c r="B1452" s="23" t="s">
        <v>5178</v>
      </c>
      <c r="C1452" s="22">
        <v>-4629004.34</v>
      </c>
      <c r="D1452" s="22">
        <v>-63888501.549999997</v>
      </c>
    </row>
    <row r="1453" spans="1:4" x14ac:dyDescent="0.2">
      <c r="A1453" s="23" t="s">
        <v>5179</v>
      </c>
      <c r="B1453" s="23" t="s">
        <v>5180</v>
      </c>
      <c r="C1453" s="22">
        <v>-221465.12</v>
      </c>
      <c r="D1453" s="22">
        <v>-3097638.24</v>
      </c>
    </row>
    <row r="1454" spans="1:4" x14ac:dyDescent="0.2">
      <c r="A1454" s="23" t="s">
        <v>5181</v>
      </c>
      <c r="B1454" s="23" t="s">
        <v>5182</v>
      </c>
      <c r="C1454" s="22">
        <v>-52008.1</v>
      </c>
      <c r="D1454" s="22">
        <v>-724424.34</v>
      </c>
    </row>
    <row r="1455" spans="1:4" x14ac:dyDescent="0.2">
      <c r="A1455" s="23" t="s">
        <v>5183</v>
      </c>
      <c r="B1455" s="23" t="s">
        <v>5184</v>
      </c>
      <c r="C1455" s="22">
        <v>273643.45</v>
      </c>
      <c r="D1455" s="22">
        <v>3768047.97</v>
      </c>
    </row>
    <row r="1456" spans="1:4" x14ac:dyDescent="0.2">
      <c r="A1456" s="23" t="s">
        <v>5185</v>
      </c>
      <c r="B1456" s="23" t="s">
        <v>3008</v>
      </c>
      <c r="C1456" s="22">
        <v>-198282.96</v>
      </c>
      <c r="D1456" s="22">
        <v>-2607526.65</v>
      </c>
    </row>
    <row r="1457" spans="1:4" x14ac:dyDescent="0.2">
      <c r="A1457" s="23" t="s">
        <v>3009</v>
      </c>
      <c r="B1457" s="23" t="s">
        <v>3010</v>
      </c>
      <c r="C1457" s="22">
        <v>-213688.36</v>
      </c>
      <c r="D1457" s="22">
        <v>-2939354.61</v>
      </c>
    </row>
    <row r="1458" spans="1:4" x14ac:dyDescent="0.2">
      <c r="A1458" s="23" t="s">
        <v>3011</v>
      </c>
      <c r="B1458" s="23" t="s">
        <v>3012</v>
      </c>
      <c r="C1458" s="22">
        <v>0</v>
      </c>
      <c r="D1458" s="22">
        <v>-11172.3</v>
      </c>
    </row>
    <row r="1459" spans="1:4" x14ac:dyDescent="0.2">
      <c r="A1459" s="23" t="s">
        <v>3013</v>
      </c>
      <c r="B1459" s="23" t="s">
        <v>3014</v>
      </c>
      <c r="C1459" s="22">
        <v>-13856395.109999999</v>
      </c>
      <c r="D1459" s="22">
        <v>-174193172.38999999</v>
      </c>
    </row>
    <row r="1460" spans="1:4" x14ac:dyDescent="0.2">
      <c r="A1460" s="23" t="s">
        <v>3015</v>
      </c>
      <c r="B1460" s="23" t="s">
        <v>1156</v>
      </c>
      <c r="C1460" s="22">
        <v>-25091097.609999999</v>
      </c>
      <c r="D1460" s="22">
        <v>-318494704.49000001</v>
      </c>
    </row>
    <row r="1461" spans="1:4" x14ac:dyDescent="0.2">
      <c r="A1461" s="23" t="s">
        <v>1157</v>
      </c>
      <c r="B1461" s="23" t="s">
        <v>1158</v>
      </c>
      <c r="C1461" s="22">
        <v>-1073896.54</v>
      </c>
      <c r="D1461" s="22">
        <v>-13599910.01</v>
      </c>
    </row>
    <row r="1462" spans="1:4" x14ac:dyDescent="0.2">
      <c r="A1462" s="23" t="s">
        <v>1159</v>
      </c>
      <c r="B1462" s="23" t="s">
        <v>1160</v>
      </c>
      <c r="C1462" s="22">
        <v>-265215.5</v>
      </c>
      <c r="D1462" s="22">
        <v>-3353232.65</v>
      </c>
    </row>
    <row r="1463" spans="1:4" x14ac:dyDescent="0.2">
      <c r="A1463" s="23" t="s">
        <v>1161</v>
      </c>
      <c r="B1463" s="23" t="s">
        <v>1162</v>
      </c>
      <c r="C1463" s="22">
        <v>1494939.34</v>
      </c>
      <c r="D1463" s="22">
        <v>18895496.16</v>
      </c>
    </row>
    <row r="1464" spans="1:4" x14ac:dyDescent="0.2">
      <c r="A1464" s="23" t="s">
        <v>1163</v>
      </c>
      <c r="B1464" s="23" t="s">
        <v>1164</v>
      </c>
      <c r="C1464" s="22">
        <v>-1030478.6</v>
      </c>
      <c r="D1464" s="22">
        <v>-13118005.460000001</v>
      </c>
    </row>
    <row r="1465" spans="1:4" x14ac:dyDescent="0.2">
      <c r="A1465" s="23" t="s">
        <v>1165</v>
      </c>
      <c r="B1465" s="23" t="s">
        <v>1166</v>
      </c>
      <c r="C1465" s="22">
        <v>-993654.31</v>
      </c>
      <c r="D1465" s="22">
        <v>-12575408.1</v>
      </c>
    </row>
    <row r="1466" spans="1:4" x14ac:dyDescent="0.2">
      <c r="A1466" s="23" t="s">
        <v>1167</v>
      </c>
      <c r="B1466" s="23" t="s">
        <v>1168</v>
      </c>
      <c r="C1466" s="22">
        <v>0</v>
      </c>
      <c r="D1466" s="22">
        <v>0</v>
      </c>
    </row>
    <row r="1467" spans="1:4" x14ac:dyDescent="0.2">
      <c r="A1467" s="23" t="s">
        <v>1169</v>
      </c>
      <c r="B1467" s="23" t="s">
        <v>1170</v>
      </c>
      <c r="C1467" s="22">
        <v>-908.28</v>
      </c>
      <c r="D1467" s="22">
        <v>-10899.36</v>
      </c>
    </row>
    <row r="1468" spans="1:4" x14ac:dyDescent="0.2">
      <c r="A1468" s="23" t="s">
        <v>1171</v>
      </c>
      <c r="B1468" s="23" t="s">
        <v>1172</v>
      </c>
      <c r="C1468" s="22">
        <v>-468.88</v>
      </c>
      <c r="D1468" s="22">
        <v>-5626.56</v>
      </c>
    </row>
    <row r="1469" spans="1:4" x14ac:dyDescent="0.2">
      <c r="A1469" s="23" t="s">
        <v>1173</v>
      </c>
      <c r="B1469" s="23" t="s">
        <v>1174</v>
      </c>
      <c r="C1469" s="22">
        <v>-3.67</v>
      </c>
      <c r="D1469" s="22">
        <v>-44.04</v>
      </c>
    </row>
    <row r="1470" spans="1:4" x14ac:dyDescent="0.2">
      <c r="A1470" s="23" t="s">
        <v>3778</v>
      </c>
      <c r="B1470" s="23" t="s">
        <v>3779</v>
      </c>
      <c r="C1470" s="22">
        <v>-2.1</v>
      </c>
      <c r="D1470" s="22">
        <v>-25.2</v>
      </c>
    </row>
    <row r="1471" spans="1:4" x14ac:dyDescent="0.2">
      <c r="A1471" s="23" t="s">
        <v>3780</v>
      </c>
      <c r="B1471" s="23" t="s">
        <v>3781</v>
      </c>
      <c r="C1471" s="22">
        <v>30.43</v>
      </c>
      <c r="D1471" s="22">
        <v>365.16</v>
      </c>
    </row>
    <row r="1472" spans="1:4" x14ac:dyDescent="0.2">
      <c r="A1472" s="23" t="s">
        <v>3782</v>
      </c>
      <c r="B1472" s="23" t="s">
        <v>3783</v>
      </c>
      <c r="C1472" s="22">
        <v>0</v>
      </c>
      <c r="D1472" s="22">
        <v>0</v>
      </c>
    </row>
    <row r="1473" spans="1:4" x14ac:dyDescent="0.2">
      <c r="A1473" s="23" t="s">
        <v>3784</v>
      </c>
      <c r="B1473" s="23" t="s">
        <v>3785</v>
      </c>
      <c r="C1473" s="22">
        <v>-15.75</v>
      </c>
      <c r="D1473" s="22">
        <v>-189</v>
      </c>
    </row>
    <row r="1474" spans="1:4" x14ac:dyDescent="0.2">
      <c r="A1474" s="23" t="s">
        <v>3786</v>
      </c>
      <c r="B1474" s="23" t="s">
        <v>3891</v>
      </c>
      <c r="C1474" s="22">
        <v>0</v>
      </c>
      <c r="D1474" s="22">
        <v>-147407.95000000001</v>
      </c>
    </row>
    <row r="1475" spans="1:4" x14ac:dyDescent="0.2">
      <c r="A1475" s="23" t="s">
        <v>3892</v>
      </c>
      <c r="B1475" s="23" t="s">
        <v>3893</v>
      </c>
      <c r="C1475" s="22">
        <v>-1350963.64</v>
      </c>
      <c r="D1475" s="22">
        <v>-15874907.77</v>
      </c>
    </row>
    <row r="1476" spans="1:4" x14ac:dyDescent="0.2">
      <c r="A1476" s="23" t="s">
        <v>3894</v>
      </c>
      <c r="B1476" s="23" t="s">
        <v>3895</v>
      </c>
      <c r="C1476" s="22">
        <v>-4846959.6500000004</v>
      </c>
      <c r="D1476" s="22">
        <v>-57835174.93</v>
      </c>
    </row>
    <row r="1477" spans="1:4" x14ac:dyDescent="0.2">
      <c r="A1477" s="23" t="s">
        <v>3896</v>
      </c>
      <c r="B1477" s="23" t="s">
        <v>3897</v>
      </c>
      <c r="C1477" s="22">
        <v>-18739.05</v>
      </c>
      <c r="D1477" s="22">
        <v>-212001.07</v>
      </c>
    </row>
    <row r="1478" spans="1:4" x14ac:dyDescent="0.2">
      <c r="A1478" s="23" t="s">
        <v>3898</v>
      </c>
      <c r="B1478" s="23" t="s">
        <v>3899</v>
      </c>
      <c r="C1478" s="22">
        <v>-54099.01</v>
      </c>
      <c r="D1478" s="22">
        <v>-639902.37</v>
      </c>
    </row>
    <row r="1479" spans="1:4" x14ac:dyDescent="0.2">
      <c r="A1479" s="23" t="s">
        <v>3900</v>
      </c>
      <c r="B1479" s="23" t="s">
        <v>3901</v>
      </c>
      <c r="C1479" s="22">
        <v>301684.7</v>
      </c>
      <c r="D1479" s="22">
        <v>3566825.69</v>
      </c>
    </row>
    <row r="1480" spans="1:4" x14ac:dyDescent="0.2">
      <c r="A1480" s="23" t="s">
        <v>3902</v>
      </c>
      <c r="B1480" s="23" t="s">
        <v>3903</v>
      </c>
      <c r="C1480" s="22">
        <v>0</v>
      </c>
      <c r="D1480" s="22">
        <v>0</v>
      </c>
    </row>
    <row r="1481" spans="1:4" x14ac:dyDescent="0.2">
      <c r="A1481" s="23" t="s">
        <v>3904</v>
      </c>
      <c r="B1481" s="23" t="s">
        <v>3905</v>
      </c>
      <c r="C1481" s="22">
        <v>-153053.09</v>
      </c>
      <c r="D1481" s="22">
        <v>-1824156.42</v>
      </c>
    </row>
    <row r="1482" spans="1:4" x14ac:dyDescent="0.2">
      <c r="A1482" s="23" t="s">
        <v>3906</v>
      </c>
      <c r="B1482" s="23" t="s">
        <v>3907</v>
      </c>
      <c r="C1482" s="22">
        <v>0</v>
      </c>
      <c r="D1482" s="22">
        <v>0</v>
      </c>
    </row>
    <row r="1483" spans="1:4" x14ac:dyDescent="0.2">
      <c r="A1483" s="23" t="s">
        <v>3908</v>
      </c>
      <c r="B1483" s="23" t="s">
        <v>3909</v>
      </c>
      <c r="C1483" s="22">
        <v>-99256.87</v>
      </c>
      <c r="D1483" s="22">
        <v>-1385301.38</v>
      </c>
    </row>
    <row r="1484" spans="1:4" x14ac:dyDescent="0.2">
      <c r="A1484" s="23" t="s">
        <v>3910</v>
      </c>
      <c r="B1484" s="23" t="s">
        <v>3911</v>
      </c>
      <c r="C1484" s="22">
        <v>-99880.3</v>
      </c>
      <c r="D1484" s="22">
        <v>-1477500.77</v>
      </c>
    </row>
    <row r="1485" spans="1:4" x14ac:dyDescent="0.2">
      <c r="A1485" s="23" t="s">
        <v>3912</v>
      </c>
      <c r="B1485" s="23" t="s">
        <v>3913</v>
      </c>
      <c r="C1485" s="22">
        <v>-4183.37</v>
      </c>
      <c r="D1485" s="22">
        <v>-66061.81</v>
      </c>
    </row>
    <row r="1486" spans="1:4" x14ac:dyDescent="0.2">
      <c r="A1486" s="23" t="s">
        <v>3914</v>
      </c>
      <c r="B1486" s="23" t="s">
        <v>3915</v>
      </c>
      <c r="C1486" s="22">
        <v>-1025.4000000000001</v>
      </c>
      <c r="D1486" s="22">
        <v>-15843.03</v>
      </c>
    </row>
    <row r="1487" spans="1:4" x14ac:dyDescent="0.2">
      <c r="A1487" s="23" t="s">
        <v>3916</v>
      </c>
      <c r="B1487" s="23" t="s">
        <v>3917</v>
      </c>
      <c r="C1487" s="22">
        <v>5985.04</v>
      </c>
      <c r="D1487" s="22">
        <v>87924.02</v>
      </c>
    </row>
    <row r="1488" spans="1:4" x14ac:dyDescent="0.2">
      <c r="A1488" s="23" t="s">
        <v>3918</v>
      </c>
      <c r="B1488" s="23" t="s">
        <v>3919</v>
      </c>
      <c r="C1488" s="22">
        <v>-4545.6499999999996</v>
      </c>
      <c r="D1488" s="22">
        <v>-62568.97</v>
      </c>
    </row>
    <row r="1489" spans="1:4" x14ac:dyDescent="0.2">
      <c r="A1489" s="23" t="s">
        <v>3920</v>
      </c>
      <c r="B1489" s="23" t="s">
        <v>3921</v>
      </c>
      <c r="C1489" s="22">
        <v>-4326.3500000000004</v>
      </c>
      <c r="D1489" s="22">
        <v>-64856.87</v>
      </c>
    </row>
    <row r="1490" spans="1:4" x14ac:dyDescent="0.2">
      <c r="A1490" s="23" t="s">
        <v>3922</v>
      </c>
      <c r="B1490" s="23" t="s">
        <v>3923</v>
      </c>
      <c r="C1490" s="22">
        <v>0</v>
      </c>
      <c r="D1490" s="22">
        <v>-45222.77</v>
      </c>
    </row>
    <row r="1491" spans="1:4" x14ac:dyDescent="0.2">
      <c r="A1491" s="23" t="s">
        <v>3924</v>
      </c>
      <c r="B1491" s="23" t="s">
        <v>3925</v>
      </c>
      <c r="C1491" s="22">
        <v>-2906162.86</v>
      </c>
      <c r="D1491" s="22">
        <v>-35805984.280000001</v>
      </c>
    </row>
    <row r="1492" spans="1:4" x14ac:dyDescent="0.2">
      <c r="A1492" s="23" t="s">
        <v>3926</v>
      </c>
      <c r="B1492" s="23" t="s">
        <v>3927</v>
      </c>
      <c r="C1492" s="22">
        <v>-5869540.96</v>
      </c>
      <c r="D1492" s="22">
        <v>-74505675.719999999</v>
      </c>
    </row>
    <row r="1493" spans="1:4" x14ac:dyDescent="0.2">
      <c r="A1493" s="23" t="s">
        <v>3928</v>
      </c>
      <c r="B1493" s="23" t="s">
        <v>3929</v>
      </c>
      <c r="C1493" s="22">
        <v>-200329.33</v>
      </c>
      <c r="D1493" s="22">
        <v>-2522087.86</v>
      </c>
    </row>
    <row r="1494" spans="1:4" x14ac:dyDescent="0.2">
      <c r="A1494" s="23" t="s">
        <v>3930</v>
      </c>
      <c r="B1494" s="23" t="s">
        <v>3931</v>
      </c>
      <c r="C1494" s="22">
        <v>-60931.6</v>
      </c>
      <c r="D1494" s="22">
        <v>-768446.45</v>
      </c>
    </row>
    <row r="1495" spans="1:4" x14ac:dyDescent="0.2">
      <c r="A1495" s="23" t="s">
        <v>3932</v>
      </c>
      <c r="B1495" s="23" t="s">
        <v>3933</v>
      </c>
      <c r="C1495" s="22">
        <v>352701.02</v>
      </c>
      <c r="D1495" s="22">
        <v>4447389.76</v>
      </c>
    </row>
    <row r="1496" spans="1:4" x14ac:dyDescent="0.2">
      <c r="A1496" s="23" t="s">
        <v>3934</v>
      </c>
      <c r="B1496" s="23" t="s">
        <v>3935</v>
      </c>
      <c r="C1496" s="22">
        <v>-255960.75</v>
      </c>
      <c r="D1496" s="22">
        <v>-3200595.78</v>
      </c>
    </row>
    <row r="1497" spans="1:4" x14ac:dyDescent="0.2">
      <c r="A1497" s="23" t="s">
        <v>3936</v>
      </c>
      <c r="B1497" s="23" t="s">
        <v>3937</v>
      </c>
      <c r="C1497" s="22">
        <v>-222687.26</v>
      </c>
      <c r="D1497" s="22">
        <v>-2798660.91</v>
      </c>
    </row>
    <row r="1498" spans="1:4" x14ac:dyDescent="0.2">
      <c r="A1498" s="23" t="s">
        <v>3938</v>
      </c>
      <c r="B1498" t="s">
        <v>4481</v>
      </c>
      <c r="C1498" s="22">
        <v>-66542810.630000003</v>
      </c>
      <c r="D1498" s="22">
        <v>-844791972.48000002</v>
      </c>
    </row>
    <row r="1499" spans="1:4" x14ac:dyDescent="0.2">
      <c r="A1499" s="23" t="s">
        <v>3939</v>
      </c>
      <c r="B1499" s="23" t="s">
        <v>3940</v>
      </c>
      <c r="C1499" s="22">
        <v>-827234.58</v>
      </c>
      <c r="D1499" s="22">
        <v>-9801802.9199999999</v>
      </c>
    </row>
    <row r="1500" spans="1:4" x14ac:dyDescent="0.2">
      <c r="A1500" s="23" t="s">
        <v>3941</v>
      </c>
      <c r="B1500" s="23" t="s">
        <v>3942</v>
      </c>
      <c r="C1500" s="22">
        <v>-299074.94</v>
      </c>
      <c r="D1500" s="22">
        <v>-3421369.44</v>
      </c>
    </row>
    <row r="1501" spans="1:4" x14ac:dyDescent="0.2">
      <c r="A1501" s="23" t="s">
        <v>3943</v>
      </c>
      <c r="B1501" s="23" t="s">
        <v>3944</v>
      </c>
      <c r="C1501" s="22">
        <v>-2344.27</v>
      </c>
      <c r="D1501" s="22">
        <v>-26834.33</v>
      </c>
    </row>
    <row r="1502" spans="1:4" x14ac:dyDescent="0.2">
      <c r="A1502" s="23" t="s">
        <v>3945</v>
      </c>
      <c r="B1502" s="23" t="s">
        <v>3946</v>
      </c>
      <c r="C1502" s="22">
        <v>-1393.82</v>
      </c>
      <c r="D1502" s="22">
        <v>-16058.78</v>
      </c>
    </row>
    <row r="1503" spans="1:4" x14ac:dyDescent="0.2">
      <c r="A1503" s="23" t="s">
        <v>3947</v>
      </c>
      <c r="B1503" s="23" t="s">
        <v>3948</v>
      </c>
      <c r="C1503" s="22">
        <v>19691</v>
      </c>
      <c r="D1503" s="22">
        <v>225232.55</v>
      </c>
    </row>
    <row r="1504" spans="1:4" x14ac:dyDescent="0.2">
      <c r="A1504" s="23" t="s">
        <v>3949</v>
      </c>
      <c r="B1504" s="23" t="s">
        <v>3304</v>
      </c>
      <c r="C1504" s="22">
        <v>-23723.8</v>
      </c>
      <c r="D1504" s="22">
        <v>-196241.99</v>
      </c>
    </row>
    <row r="1505" spans="1:4" x14ac:dyDescent="0.2">
      <c r="A1505" s="23" t="s">
        <v>3305</v>
      </c>
      <c r="B1505" s="23" t="s">
        <v>3306</v>
      </c>
      <c r="C1505" s="22">
        <v>-10070.950000000001</v>
      </c>
      <c r="D1505" s="22">
        <v>-115211.21</v>
      </c>
    </row>
    <row r="1506" spans="1:4" x14ac:dyDescent="0.2">
      <c r="A1506" s="23" t="s">
        <v>3307</v>
      </c>
      <c r="B1506" t="s">
        <v>4481</v>
      </c>
      <c r="C1506" s="22">
        <v>-1144151.3600000001</v>
      </c>
      <c r="D1506" s="22">
        <v>-13352286.119999999</v>
      </c>
    </row>
    <row r="1507" spans="1:4" x14ac:dyDescent="0.2">
      <c r="A1507" s="23" t="s">
        <v>3308</v>
      </c>
      <c r="B1507" s="23" t="s">
        <v>3309</v>
      </c>
      <c r="C1507" s="22">
        <v>0</v>
      </c>
      <c r="D1507" s="22">
        <v>-901.7</v>
      </c>
    </row>
    <row r="1508" spans="1:4" x14ac:dyDescent="0.2">
      <c r="A1508" s="23" t="s">
        <v>3310</v>
      </c>
      <c r="B1508" s="23" t="s">
        <v>3311</v>
      </c>
      <c r="C1508" s="22">
        <v>-4803114.91</v>
      </c>
      <c r="D1508" s="22">
        <v>-60106599.600000001</v>
      </c>
    </row>
    <row r="1509" spans="1:4" x14ac:dyDescent="0.2">
      <c r="A1509" s="23" t="s">
        <v>3312</v>
      </c>
      <c r="B1509" s="23" t="s">
        <v>3313</v>
      </c>
      <c r="C1509" s="22">
        <v>-7699808.2999999998</v>
      </c>
      <c r="D1509" s="22">
        <v>-98192149.890000001</v>
      </c>
    </row>
    <row r="1510" spans="1:4" x14ac:dyDescent="0.2">
      <c r="A1510" s="23" t="s">
        <v>3314</v>
      </c>
      <c r="B1510" s="23" t="s">
        <v>3315</v>
      </c>
      <c r="C1510" s="22">
        <v>-323065</v>
      </c>
      <c r="D1510" s="22">
        <v>-4088786.19</v>
      </c>
    </row>
    <row r="1511" spans="1:4" x14ac:dyDescent="0.2">
      <c r="A1511" s="23" t="s">
        <v>3316</v>
      </c>
      <c r="B1511" s="23" t="s">
        <v>3317</v>
      </c>
      <c r="C1511" s="22">
        <v>-79579.05</v>
      </c>
      <c r="D1511" s="22">
        <v>-1007688.56</v>
      </c>
    </row>
    <row r="1512" spans="1:4" x14ac:dyDescent="0.2">
      <c r="A1512" s="23" t="s">
        <v>3318</v>
      </c>
      <c r="B1512" s="23" t="s">
        <v>3319</v>
      </c>
      <c r="C1512" s="22">
        <v>461961.75</v>
      </c>
      <c r="D1512" s="22">
        <v>5854802.1299999999</v>
      </c>
    </row>
    <row r="1513" spans="1:4" x14ac:dyDescent="0.2">
      <c r="A1513" s="23" t="s">
        <v>3320</v>
      </c>
      <c r="B1513" s="23" t="s">
        <v>3321</v>
      </c>
      <c r="C1513" s="22">
        <v>-273191.40000000002</v>
      </c>
      <c r="D1513" s="22">
        <v>-3521057.65</v>
      </c>
    </row>
    <row r="1514" spans="1:4" x14ac:dyDescent="0.2">
      <c r="A1514" s="23" t="s">
        <v>3322</v>
      </c>
      <c r="B1514" s="23" t="s">
        <v>3323</v>
      </c>
      <c r="C1514" s="22">
        <v>-310254.78000000003</v>
      </c>
      <c r="D1514" s="22">
        <v>-3938745.07</v>
      </c>
    </row>
    <row r="1515" spans="1:4" x14ac:dyDescent="0.2">
      <c r="A1515" s="23" t="s">
        <v>3324</v>
      </c>
      <c r="B1515" t="s">
        <v>4481</v>
      </c>
      <c r="C1515" s="22">
        <v>-13027051.689999999</v>
      </c>
      <c r="D1515" s="22">
        <v>-165001126.53</v>
      </c>
    </row>
    <row r="1516" spans="1:4" x14ac:dyDescent="0.2">
      <c r="A1516" s="23" t="s">
        <v>3325</v>
      </c>
      <c r="B1516" s="23" t="s">
        <v>3326</v>
      </c>
      <c r="C1516" s="22">
        <v>-321274.01</v>
      </c>
      <c r="D1516" s="22">
        <v>-5203214.29</v>
      </c>
    </row>
    <row r="1517" spans="1:4" x14ac:dyDescent="0.2">
      <c r="A1517" s="23" t="s">
        <v>3327</v>
      </c>
      <c r="B1517" s="23" t="s">
        <v>3328</v>
      </c>
      <c r="C1517" s="22">
        <v>-15803.9</v>
      </c>
      <c r="D1517" s="22">
        <v>-195283.4</v>
      </c>
    </row>
    <row r="1518" spans="1:4" x14ac:dyDescent="0.2">
      <c r="A1518" s="23" t="s">
        <v>3329</v>
      </c>
      <c r="B1518" s="23" t="s">
        <v>3326</v>
      </c>
      <c r="C1518" s="22">
        <v>-7942.46</v>
      </c>
      <c r="D1518" s="22">
        <v>-138791.01999999999</v>
      </c>
    </row>
    <row r="1519" spans="1:4" x14ac:dyDescent="0.2">
      <c r="A1519" s="23" t="s">
        <v>3330</v>
      </c>
      <c r="B1519" s="23" t="s">
        <v>3328</v>
      </c>
      <c r="C1519" s="22">
        <v>-2869.69</v>
      </c>
      <c r="D1519" s="22">
        <v>-48703.519999999997</v>
      </c>
    </row>
    <row r="1520" spans="1:4" x14ac:dyDescent="0.2">
      <c r="A1520" s="23" t="s">
        <v>3331</v>
      </c>
      <c r="B1520" s="23" t="s">
        <v>3332</v>
      </c>
      <c r="C1520" s="22">
        <v>-16679.04</v>
      </c>
      <c r="D1520" s="22">
        <v>-190609.04</v>
      </c>
    </row>
    <row r="1521" spans="1:4" x14ac:dyDescent="0.2">
      <c r="A1521" s="23" t="s">
        <v>3333</v>
      </c>
      <c r="B1521" s="23" t="s">
        <v>3334</v>
      </c>
      <c r="C1521" s="22">
        <v>-304.02999999999997</v>
      </c>
      <c r="D1521" s="22">
        <v>-4142.3500000000004</v>
      </c>
    </row>
    <row r="1522" spans="1:4" x14ac:dyDescent="0.2">
      <c r="A1522" s="23" t="s">
        <v>3335</v>
      </c>
      <c r="B1522" s="23" t="s">
        <v>3336</v>
      </c>
      <c r="C1522" s="22">
        <v>-942.63</v>
      </c>
      <c r="D1522" s="22">
        <v>-14684.18</v>
      </c>
    </row>
    <row r="1523" spans="1:4" x14ac:dyDescent="0.2">
      <c r="A1523" s="23" t="s">
        <v>3337</v>
      </c>
      <c r="B1523" s="23" t="s">
        <v>3338</v>
      </c>
      <c r="C1523" s="22">
        <v>0</v>
      </c>
      <c r="D1523" s="22">
        <v>0</v>
      </c>
    </row>
    <row r="1524" spans="1:4" x14ac:dyDescent="0.2">
      <c r="A1524" s="23" t="s">
        <v>3339</v>
      </c>
      <c r="B1524" s="23" t="s">
        <v>3340</v>
      </c>
      <c r="C1524" s="22">
        <v>0</v>
      </c>
      <c r="D1524" s="22">
        <v>0</v>
      </c>
    </row>
    <row r="1525" spans="1:4" x14ac:dyDescent="0.2">
      <c r="A1525" s="23" t="s">
        <v>3341</v>
      </c>
      <c r="B1525" s="23" t="s">
        <v>3342</v>
      </c>
      <c r="C1525" s="22">
        <v>0</v>
      </c>
      <c r="D1525" s="22">
        <v>0</v>
      </c>
    </row>
    <row r="1526" spans="1:4" x14ac:dyDescent="0.2">
      <c r="A1526" s="23" t="s">
        <v>3343</v>
      </c>
      <c r="B1526" s="23" t="s">
        <v>3344</v>
      </c>
      <c r="C1526" s="22">
        <v>0</v>
      </c>
      <c r="D1526" s="22">
        <v>0</v>
      </c>
    </row>
    <row r="1527" spans="1:4" x14ac:dyDescent="0.2">
      <c r="A1527" s="23" t="s">
        <v>3345</v>
      </c>
      <c r="B1527" s="23" t="s">
        <v>3346</v>
      </c>
      <c r="C1527" s="22">
        <v>0</v>
      </c>
      <c r="D1527" s="22">
        <v>0</v>
      </c>
    </row>
    <row r="1528" spans="1:4" x14ac:dyDescent="0.2">
      <c r="A1528" s="23" t="s">
        <v>3347</v>
      </c>
      <c r="B1528" s="23" t="s">
        <v>3348</v>
      </c>
      <c r="C1528" s="22">
        <v>0</v>
      </c>
      <c r="D1528" s="22">
        <v>0</v>
      </c>
    </row>
    <row r="1529" spans="1:4" x14ac:dyDescent="0.2">
      <c r="A1529" s="23" t="s">
        <v>3349</v>
      </c>
      <c r="B1529" s="23" t="s">
        <v>3350</v>
      </c>
      <c r="C1529" s="22">
        <v>-4002092.49</v>
      </c>
      <c r="D1529" s="22">
        <v>-58127825.039999999</v>
      </c>
    </row>
    <row r="1530" spans="1:4" x14ac:dyDescent="0.2">
      <c r="A1530" s="23" t="s">
        <v>3351</v>
      </c>
      <c r="B1530" s="23" t="s">
        <v>3352</v>
      </c>
      <c r="C1530" s="22">
        <v>0</v>
      </c>
      <c r="D1530" s="22">
        <v>0</v>
      </c>
    </row>
    <row r="1531" spans="1:4" x14ac:dyDescent="0.2">
      <c r="A1531" s="23" t="s">
        <v>3353</v>
      </c>
      <c r="B1531" s="23" t="s">
        <v>3354</v>
      </c>
      <c r="C1531" s="22">
        <v>0</v>
      </c>
      <c r="D1531" s="22">
        <v>0</v>
      </c>
    </row>
    <row r="1532" spans="1:4" x14ac:dyDescent="0.2">
      <c r="A1532" s="23" t="s">
        <v>3355</v>
      </c>
      <c r="B1532" s="23" t="s">
        <v>3356</v>
      </c>
      <c r="C1532" s="22">
        <v>0</v>
      </c>
      <c r="D1532" s="22">
        <v>0</v>
      </c>
    </row>
    <row r="1533" spans="1:4" x14ac:dyDescent="0.2">
      <c r="A1533" s="23" t="s">
        <v>3357</v>
      </c>
      <c r="B1533" s="23" t="s">
        <v>3358</v>
      </c>
      <c r="C1533" s="22">
        <v>0</v>
      </c>
      <c r="D1533" s="22">
        <v>0</v>
      </c>
    </row>
    <row r="1534" spans="1:4" x14ac:dyDescent="0.2">
      <c r="A1534" s="23" t="s">
        <v>3359</v>
      </c>
      <c r="B1534" s="23" t="s">
        <v>3360</v>
      </c>
      <c r="C1534" s="22">
        <v>0</v>
      </c>
      <c r="D1534" s="22">
        <v>0</v>
      </c>
    </row>
    <row r="1535" spans="1:4" x14ac:dyDescent="0.2">
      <c r="A1535" s="23" t="s">
        <v>3361</v>
      </c>
      <c r="B1535" s="23" t="s">
        <v>3362</v>
      </c>
      <c r="C1535" s="22">
        <v>-289695.96999999997</v>
      </c>
      <c r="D1535" s="22">
        <v>-4125577.89</v>
      </c>
    </row>
    <row r="1536" spans="1:4" x14ac:dyDescent="0.2">
      <c r="A1536" s="23" t="s">
        <v>3363</v>
      </c>
      <c r="B1536" s="23" t="s">
        <v>3364</v>
      </c>
      <c r="C1536" s="22">
        <v>-9226.6299999999992</v>
      </c>
      <c r="D1536" s="22">
        <v>-151285.54999999999</v>
      </c>
    </row>
    <row r="1537" spans="1:4" x14ac:dyDescent="0.2">
      <c r="A1537" s="23" t="s">
        <v>3365</v>
      </c>
      <c r="B1537" s="23" t="s">
        <v>3366</v>
      </c>
      <c r="C1537" s="22">
        <v>-44640</v>
      </c>
      <c r="D1537" s="22">
        <v>-525432</v>
      </c>
    </row>
    <row r="1538" spans="1:4" x14ac:dyDescent="0.2">
      <c r="A1538" s="23" t="s">
        <v>3367</v>
      </c>
      <c r="B1538" s="23" t="s">
        <v>3368</v>
      </c>
      <c r="C1538" s="22">
        <v>-145000</v>
      </c>
      <c r="D1538" s="22">
        <v>-1740000</v>
      </c>
    </row>
    <row r="1539" spans="1:4" x14ac:dyDescent="0.2">
      <c r="A1539" s="23" t="s">
        <v>3369</v>
      </c>
      <c r="B1539" s="23" t="s">
        <v>3370</v>
      </c>
      <c r="C1539" s="22">
        <v>-11770</v>
      </c>
      <c r="D1539" s="22">
        <v>-155210</v>
      </c>
    </row>
    <row r="1540" spans="1:4" x14ac:dyDescent="0.2">
      <c r="A1540" s="23" t="s">
        <v>3371</v>
      </c>
      <c r="B1540" s="23" t="s">
        <v>3372</v>
      </c>
      <c r="C1540" s="22">
        <v>-818.4</v>
      </c>
      <c r="D1540" s="22">
        <v>-4655.2</v>
      </c>
    </row>
    <row r="1541" spans="1:4" x14ac:dyDescent="0.2">
      <c r="A1541" s="23" t="s">
        <v>3373</v>
      </c>
      <c r="B1541" s="23" t="s">
        <v>3374</v>
      </c>
      <c r="C1541" s="22">
        <v>-407</v>
      </c>
      <c r="D1541" s="22">
        <v>-12309</v>
      </c>
    </row>
    <row r="1542" spans="1:4" x14ac:dyDescent="0.2">
      <c r="A1542" s="23" t="s">
        <v>3375</v>
      </c>
      <c r="B1542" s="23" t="s">
        <v>3376</v>
      </c>
      <c r="C1542" s="22">
        <v>0</v>
      </c>
      <c r="D1542" s="22">
        <v>0</v>
      </c>
    </row>
    <row r="1543" spans="1:4" x14ac:dyDescent="0.2">
      <c r="A1543" s="23" t="s">
        <v>3377</v>
      </c>
      <c r="B1543" s="23" t="s">
        <v>3378</v>
      </c>
      <c r="C1543" s="22">
        <v>0</v>
      </c>
      <c r="D1543" s="22">
        <v>0</v>
      </c>
    </row>
    <row r="1544" spans="1:4" x14ac:dyDescent="0.2">
      <c r="A1544" s="23" t="s">
        <v>3379</v>
      </c>
      <c r="B1544" s="23" t="s">
        <v>3372</v>
      </c>
      <c r="C1544" s="22">
        <v>0</v>
      </c>
      <c r="D1544" s="22">
        <v>0</v>
      </c>
    </row>
    <row r="1545" spans="1:4" x14ac:dyDescent="0.2">
      <c r="A1545" s="23" t="s">
        <v>3380</v>
      </c>
      <c r="B1545" s="23" t="s">
        <v>3381</v>
      </c>
      <c r="C1545" s="22">
        <v>0</v>
      </c>
      <c r="D1545" s="22">
        <v>0</v>
      </c>
    </row>
    <row r="1546" spans="1:4" x14ac:dyDescent="0.2">
      <c r="A1546" s="23" t="s">
        <v>3382</v>
      </c>
      <c r="B1546" t="s">
        <v>4481</v>
      </c>
      <c r="C1546" s="22">
        <v>-4869466.25</v>
      </c>
      <c r="D1546" s="22">
        <v>-70637722.480000004</v>
      </c>
    </row>
    <row r="1547" spans="1:4" x14ac:dyDescent="0.2">
      <c r="A1547" s="23" t="s">
        <v>3383</v>
      </c>
      <c r="B1547" s="23" t="s">
        <v>3384</v>
      </c>
      <c r="C1547" s="22">
        <v>0</v>
      </c>
      <c r="D1547" s="22">
        <v>0</v>
      </c>
    </row>
    <row r="1548" spans="1:4" x14ac:dyDescent="0.2">
      <c r="A1548" s="23" t="s">
        <v>3385</v>
      </c>
      <c r="B1548" t="s">
        <v>4481</v>
      </c>
      <c r="C1548" s="22">
        <v>0</v>
      </c>
      <c r="D1548" s="22">
        <v>0</v>
      </c>
    </row>
    <row r="1549" spans="1:4" x14ac:dyDescent="0.2">
      <c r="A1549" s="23" t="s">
        <v>3386</v>
      </c>
      <c r="B1549" s="23" t="s">
        <v>3387</v>
      </c>
      <c r="C1549" s="22">
        <v>-1025781.96</v>
      </c>
      <c r="D1549" s="22">
        <v>-12142015.92</v>
      </c>
    </row>
    <row r="1550" spans="1:4" x14ac:dyDescent="0.2">
      <c r="A1550" s="23" t="s">
        <v>3388</v>
      </c>
      <c r="B1550" t="s">
        <v>4481</v>
      </c>
      <c r="C1550" s="22">
        <v>-1025781.96</v>
      </c>
      <c r="D1550" s="22">
        <v>-12142015.92</v>
      </c>
    </row>
    <row r="1551" spans="1:4" x14ac:dyDescent="0.2">
      <c r="A1551" s="23" t="s">
        <v>3389</v>
      </c>
      <c r="B1551" s="23" t="s">
        <v>3390</v>
      </c>
      <c r="C1551" s="22">
        <v>-24646.68</v>
      </c>
      <c r="D1551" s="22">
        <v>-596513.91</v>
      </c>
    </row>
    <row r="1552" spans="1:4" x14ac:dyDescent="0.2">
      <c r="A1552" s="23" t="s">
        <v>3391</v>
      </c>
      <c r="B1552" s="23" t="s">
        <v>3392</v>
      </c>
      <c r="C1552" s="22">
        <v>-12445.7</v>
      </c>
      <c r="D1552" s="22">
        <v>-155373.20000000001</v>
      </c>
    </row>
    <row r="1553" spans="1:4" x14ac:dyDescent="0.2">
      <c r="A1553" s="23" t="s">
        <v>3393</v>
      </c>
      <c r="B1553" s="23" t="s">
        <v>3394</v>
      </c>
      <c r="C1553" s="22">
        <v>-805</v>
      </c>
      <c r="D1553" s="22">
        <v>-31298.63</v>
      </c>
    </row>
    <row r="1554" spans="1:4" x14ac:dyDescent="0.2">
      <c r="A1554" s="23" t="s">
        <v>3395</v>
      </c>
      <c r="B1554" s="23" t="s">
        <v>3396</v>
      </c>
      <c r="C1554" s="22">
        <v>-411457.96</v>
      </c>
      <c r="D1554" s="22">
        <v>-6004187.5800000001</v>
      </c>
    </row>
    <row r="1555" spans="1:4" x14ac:dyDescent="0.2">
      <c r="A1555" s="23" t="s">
        <v>3397</v>
      </c>
      <c r="B1555" s="23" t="s">
        <v>3398</v>
      </c>
      <c r="C1555" s="22">
        <v>0</v>
      </c>
      <c r="D1555" s="22">
        <v>0</v>
      </c>
    </row>
    <row r="1556" spans="1:4" x14ac:dyDescent="0.2">
      <c r="A1556" s="23" t="s">
        <v>3399</v>
      </c>
      <c r="B1556" s="23" t="s">
        <v>3400</v>
      </c>
      <c r="C1556" s="22">
        <v>-217365.11</v>
      </c>
      <c r="D1556" s="22">
        <v>-3029134</v>
      </c>
    </row>
    <row r="1557" spans="1:4" x14ac:dyDescent="0.2">
      <c r="A1557" s="23" t="s">
        <v>3401</v>
      </c>
      <c r="B1557" s="23" t="s">
        <v>3402</v>
      </c>
      <c r="C1557" s="22">
        <v>-693.89</v>
      </c>
      <c r="D1557" s="22">
        <v>-14076.4</v>
      </c>
    </row>
    <row r="1558" spans="1:4" x14ac:dyDescent="0.2">
      <c r="A1558" s="23" t="s">
        <v>3403</v>
      </c>
      <c r="B1558" s="23" t="s">
        <v>3404</v>
      </c>
      <c r="C1558" s="22">
        <v>-19250</v>
      </c>
      <c r="D1558" s="22">
        <v>-19250</v>
      </c>
    </row>
    <row r="1559" spans="1:4" x14ac:dyDescent="0.2">
      <c r="A1559" s="23" t="s">
        <v>3405</v>
      </c>
      <c r="B1559" s="23" t="s">
        <v>3406</v>
      </c>
      <c r="C1559" s="22">
        <v>-74061</v>
      </c>
      <c r="D1559" s="22">
        <v>-1054871</v>
      </c>
    </row>
    <row r="1560" spans="1:4" x14ac:dyDescent="0.2">
      <c r="A1560" s="23" t="s">
        <v>3407</v>
      </c>
      <c r="B1560" t="s">
        <v>4481</v>
      </c>
      <c r="C1560" s="22">
        <v>-760725.34</v>
      </c>
      <c r="D1560" s="22">
        <v>-10904704.720000001</v>
      </c>
    </row>
    <row r="1561" spans="1:4" x14ac:dyDescent="0.2">
      <c r="A1561" s="23" t="s">
        <v>3408</v>
      </c>
      <c r="B1561" s="23" t="s">
        <v>3409</v>
      </c>
      <c r="C1561" s="22">
        <v>-35445</v>
      </c>
      <c r="D1561" s="22">
        <v>-425340</v>
      </c>
    </row>
    <row r="1562" spans="1:4" x14ac:dyDescent="0.2">
      <c r="A1562" s="23" t="s">
        <v>3410</v>
      </c>
      <c r="B1562" t="s">
        <v>4481</v>
      </c>
      <c r="C1562" s="22">
        <v>-35445</v>
      </c>
      <c r="D1562" s="22">
        <v>-425340</v>
      </c>
    </row>
    <row r="1563" spans="1:4" x14ac:dyDescent="0.2">
      <c r="A1563" s="23" t="s">
        <v>3411</v>
      </c>
      <c r="B1563" s="23" t="s">
        <v>3412</v>
      </c>
      <c r="C1563" s="22">
        <v>-20087.87</v>
      </c>
      <c r="D1563" s="22">
        <v>-69246.289999999994</v>
      </c>
    </row>
    <row r="1564" spans="1:4" x14ac:dyDescent="0.2">
      <c r="A1564" s="23" t="s">
        <v>3413</v>
      </c>
      <c r="B1564" s="23" t="s">
        <v>3414</v>
      </c>
      <c r="C1564" s="22">
        <v>0</v>
      </c>
      <c r="D1564" s="22">
        <v>0</v>
      </c>
    </row>
    <row r="1565" spans="1:4" x14ac:dyDescent="0.2">
      <c r="A1565" s="23" t="s">
        <v>3415</v>
      </c>
      <c r="B1565" s="23" t="s">
        <v>3416</v>
      </c>
      <c r="C1565" s="22">
        <v>0</v>
      </c>
      <c r="D1565" s="22">
        <v>-83439.19</v>
      </c>
    </row>
    <row r="1566" spans="1:4" x14ac:dyDescent="0.2">
      <c r="A1566" s="23" t="s">
        <v>3417</v>
      </c>
      <c r="B1566" s="23" t="s">
        <v>3418</v>
      </c>
      <c r="C1566" s="22">
        <v>-4151.1499999999996</v>
      </c>
      <c r="D1566" s="22">
        <v>-57038.34</v>
      </c>
    </row>
    <row r="1567" spans="1:4" x14ac:dyDescent="0.2">
      <c r="A1567" s="23" t="s">
        <v>3419</v>
      </c>
      <c r="B1567" s="23" t="s">
        <v>3420</v>
      </c>
      <c r="C1567" s="22">
        <v>-15716.67</v>
      </c>
      <c r="D1567" s="22">
        <v>-188600.04</v>
      </c>
    </row>
    <row r="1568" spans="1:4" x14ac:dyDescent="0.2">
      <c r="A1568" s="23" t="s">
        <v>3421</v>
      </c>
      <c r="B1568" s="23" t="s">
        <v>3422</v>
      </c>
      <c r="C1568" s="22">
        <v>-9316.67</v>
      </c>
      <c r="D1568" s="22">
        <v>-165144.04</v>
      </c>
    </row>
    <row r="1569" spans="1:4" x14ac:dyDescent="0.2">
      <c r="A1569" s="23" t="s">
        <v>3423</v>
      </c>
      <c r="B1569" s="23" t="s">
        <v>3424</v>
      </c>
      <c r="C1569" s="22">
        <v>0</v>
      </c>
      <c r="D1569" s="22">
        <v>0</v>
      </c>
    </row>
    <row r="1570" spans="1:4" x14ac:dyDescent="0.2">
      <c r="A1570" s="23" t="s">
        <v>3425</v>
      </c>
      <c r="B1570" s="23" t="s">
        <v>3426</v>
      </c>
      <c r="C1570" s="22">
        <v>0</v>
      </c>
      <c r="D1570" s="22">
        <v>0</v>
      </c>
    </row>
    <row r="1571" spans="1:4" x14ac:dyDescent="0.2">
      <c r="A1571" s="23" t="s">
        <v>3427</v>
      </c>
      <c r="B1571" s="23" t="s">
        <v>3428</v>
      </c>
      <c r="C1571" s="22">
        <v>-3865.4</v>
      </c>
      <c r="D1571" s="22">
        <v>-56055.41</v>
      </c>
    </row>
    <row r="1572" spans="1:4" x14ac:dyDescent="0.2">
      <c r="A1572" s="23" t="s">
        <v>3429</v>
      </c>
      <c r="B1572" s="23" t="s">
        <v>3430</v>
      </c>
      <c r="C1572" s="22">
        <v>-366629.62</v>
      </c>
      <c r="D1572" s="22">
        <v>-379525.62</v>
      </c>
    </row>
    <row r="1573" spans="1:4" x14ac:dyDescent="0.2">
      <c r="A1573" s="23" t="s">
        <v>3431</v>
      </c>
      <c r="B1573" s="23" t="s">
        <v>765</v>
      </c>
      <c r="C1573" s="22">
        <v>0</v>
      </c>
      <c r="D1573" s="22">
        <v>0</v>
      </c>
    </row>
    <row r="1574" spans="1:4" x14ac:dyDescent="0.2">
      <c r="A1574" s="23" t="s">
        <v>766</v>
      </c>
      <c r="B1574" s="23" t="s">
        <v>767</v>
      </c>
      <c r="C1574" s="22">
        <v>-264486.96999999997</v>
      </c>
      <c r="D1574" s="22">
        <v>-2808462</v>
      </c>
    </row>
    <row r="1575" spans="1:4" x14ac:dyDescent="0.2">
      <c r="A1575" s="23" t="s">
        <v>768</v>
      </c>
      <c r="B1575" s="23" t="s">
        <v>769</v>
      </c>
      <c r="C1575" s="22">
        <v>-52642.65</v>
      </c>
      <c r="D1575" s="22">
        <v>-626500.30000000005</v>
      </c>
    </row>
    <row r="1576" spans="1:4" x14ac:dyDescent="0.2">
      <c r="A1576" s="23" t="s">
        <v>770</v>
      </c>
      <c r="B1576" s="23" t="s">
        <v>771</v>
      </c>
      <c r="C1576" s="22">
        <v>0</v>
      </c>
      <c r="D1576" s="22">
        <v>0</v>
      </c>
    </row>
    <row r="1577" spans="1:4" x14ac:dyDescent="0.2">
      <c r="A1577" s="23" t="s">
        <v>772</v>
      </c>
      <c r="B1577" s="23" t="s">
        <v>773</v>
      </c>
      <c r="C1577" s="22">
        <v>0</v>
      </c>
      <c r="D1577" s="22">
        <v>-42173.71</v>
      </c>
    </row>
    <row r="1578" spans="1:4" x14ac:dyDescent="0.2">
      <c r="A1578" s="23" t="s">
        <v>774</v>
      </c>
      <c r="B1578" s="23" t="s">
        <v>775</v>
      </c>
      <c r="C1578" s="22">
        <v>-94988.27</v>
      </c>
      <c r="D1578" s="22">
        <v>-1840564.71</v>
      </c>
    </row>
    <row r="1579" spans="1:4" x14ac:dyDescent="0.2">
      <c r="A1579" s="23" t="s">
        <v>776</v>
      </c>
      <c r="B1579" s="23" t="s">
        <v>777</v>
      </c>
      <c r="C1579" s="22">
        <v>-115666.57</v>
      </c>
      <c r="D1579" s="22">
        <v>-1319142.4099999999</v>
      </c>
    </row>
    <row r="1580" spans="1:4" x14ac:dyDescent="0.2">
      <c r="A1580" s="23" t="s">
        <v>778</v>
      </c>
      <c r="B1580" s="23" t="s">
        <v>779</v>
      </c>
      <c r="C1580" s="22">
        <v>-18052</v>
      </c>
      <c r="D1580" s="22">
        <v>-92685</v>
      </c>
    </row>
    <row r="1581" spans="1:4" x14ac:dyDescent="0.2">
      <c r="A1581" s="23" t="s">
        <v>780</v>
      </c>
      <c r="B1581" s="23" t="s">
        <v>781</v>
      </c>
      <c r="C1581" s="22">
        <v>0</v>
      </c>
      <c r="D1581" s="22">
        <v>6221.7</v>
      </c>
    </row>
    <row r="1582" spans="1:4" x14ac:dyDescent="0.2">
      <c r="A1582" s="23" t="s">
        <v>782</v>
      </c>
      <c r="B1582" s="23" t="s">
        <v>783</v>
      </c>
      <c r="C1582" s="22">
        <v>0</v>
      </c>
      <c r="D1582" s="22">
        <v>0</v>
      </c>
    </row>
    <row r="1583" spans="1:4" x14ac:dyDescent="0.2">
      <c r="A1583" s="23" t="s">
        <v>784</v>
      </c>
      <c r="B1583" s="23" t="s">
        <v>785</v>
      </c>
      <c r="C1583" s="22">
        <v>0</v>
      </c>
      <c r="D1583" s="22">
        <v>0</v>
      </c>
    </row>
    <row r="1584" spans="1:4" x14ac:dyDescent="0.2">
      <c r="A1584" s="23" t="s">
        <v>786</v>
      </c>
      <c r="B1584" s="23" t="s">
        <v>787</v>
      </c>
      <c r="C1584" s="22">
        <v>0</v>
      </c>
      <c r="D1584" s="22">
        <v>0</v>
      </c>
    </row>
    <row r="1585" spans="1:4" x14ac:dyDescent="0.2">
      <c r="A1585" s="23" t="s">
        <v>788</v>
      </c>
      <c r="B1585" s="23" t="s">
        <v>3370</v>
      </c>
      <c r="C1585" s="22">
        <v>-763951.58</v>
      </c>
      <c r="D1585" s="22">
        <v>-6996337.1799999997</v>
      </c>
    </row>
    <row r="1586" spans="1:4" x14ac:dyDescent="0.2">
      <c r="A1586" s="23" t="s">
        <v>789</v>
      </c>
      <c r="B1586" s="23" t="s">
        <v>3372</v>
      </c>
      <c r="C1586" s="22">
        <v>-25772.98</v>
      </c>
      <c r="D1586" s="22">
        <v>-240477.01</v>
      </c>
    </row>
    <row r="1587" spans="1:4" x14ac:dyDescent="0.2">
      <c r="A1587" s="23" t="s">
        <v>790</v>
      </c>
      <c r="B1587" s="23" t="s">
        <v>3374</v>
      </c>
      <c r="C1587" s="22">
        <v>-53262.22</v>
      </c>
      <c r="D1587" s="22">
        <v>-485527.72</v>
      </c>
    </row>
    <row r="1588" spans="1:4" x14ac:dyDescent="0.2">
      <c r="A1588" s="23" t="s">
        <v>791</v>
      </c>
      <c r="B1588" s="23" t="s">
        <v>792</v>
      </c>
      <c r="C1588" s="22">
        <v>0</v>
      </c>
      <c r="D1588" s="22">
        <v>-6257.75</v>
      </c>
    </row>
    <row r="1589" spans="1:4" x14ac:dyDescent="0.2">
      <c r="A1589" s="23" t="s">
        <v>793</v>
      </c>
      <c r="B1589" s="23" t="s">
        <v>794</v>
      </c>
      <c r="C1589" s="22">
        <v>0</v>
      </c>
      <c r="D1589" s="22">
        <v>6257.75</v>
      </c>
    </row>
    <row r="1590" spans="1:4" x14ac:dyDescent="0.2">
      <c r="A1590" s="23" t="s">
        <v>795</v>
      </c>
      <c r="B1590" s="23" t="s">
        <v>796</v>
      </c>
      <c r="C1590" s="22">
        <v>0</v>
      </c>
      <c r="D1590" s="22">
        <v>0</v>
      </c>
    </row>
    <row r="1591" spans="1:4" x14ac:dyDescent="0.2">
      <c r="A1591" s="23" t="s">
        <v>797</v>
      </c>
      <c r="B1591" s="23" t="s">
        <v>798</v>
      </c>
      <c r="C1591" s="22">
        <v>0</v>
      </c>
      <c r="D1591" s="22">
        <v>-84522.25</v>
      </c>
    </row>
    <row r="1592" spans="1:4" x14ac:dyDescent="0.2">
      <c r="A1592" s="23" t="s">
        <v>799</v>
      </c>
      <c r="B1592" s="23" t="s">
        <v>800</v>
      </c>
      <c r="C1592" s="22">
        <v>0</v>
      </c>
      <c r="D1592" s="22">
        <v>8372.1200000000008</v>
      </c>
    </row>
    <row r="1593" spans="1:4" x14ac:dyDescent="0.2">
      <c r="A1593" s="23" t="s">
        <v>571</v>
      </c>
      <c r="B1593" s="23" t="s">
        <v>572</v>
      </c>
      <c r="C1593" s="22">
        <v>-312879</v>
      </c>
      <c r="D1593" s="22">
        <v>70348</v>
      </c>
    </row>
    <row r="1594" spans="1:4" x14ac:dyDescent="0.2">
      <c r="A1594" s="23" t="s">
        <v>573</v>
      </c>
      <c r="B1594" s="23" t="s">
        <v>574</v>
      </c>
      <c r="C1594" s="22">
        <v>0</v>
      </c>
      <c r="D1594" s="22">
        <v>0</v>
      </c>
    </row>
    <row r="1595" spans="1:4" x14ac:dyDescent="0.2">
      <c r="A1595" s="23" t="s">
        <v>575</v>
      </c>
      <c r="B1595" s="23" t="s">
        <v>576</v>
      </c>
      <c r="C1595" s="22">
        <v>0</v>
      </c>
      <c r="D1595" s="22">
        <v>0</v>
      </c>
    </row>
    <row r="1596" spans="1:4" x14ac:dyDescent="0.2">
      <c r="A1596" s="23" t="s">
        <v>577</v>
      </c>
      <c r="B1596" s="23" t="s">
        <v>578</v>
      </c>
      <c r="C1596" s="22">
        <v>0</v>
      </c>
      <c r="D1596" s="22">
        <v>0</v>
      </c>
    </row>
    <row r="1597" spans="1:4" x14ac:dyDescent="0.2">
      <c r="A1597" s="23" t="s">
        <v>579</v>
      </c>
      <c r="B1597" s="23" t="s">
        <v>580</v>
      </c>
      <c r="C1597" s="22">
        <v>0</v>
      </c>
      <c r="D1597" s="22">
        <v>0</v>
      </c>
    </row>
    <row r="1598" spans="1:4" x14ac:dyDescent="0.2">
      <c r="A1598" s="23" t="s">
        <v>581</v>
      </c>
      <c r="B1598" s="23" t="s">
        <v>582</v>
      </c>
      <c r="C1598" s="22">
        <v>0</v>
      </c>
      <c r="D1598" s="22">
        <v>0</v>
      </c>
    </row>
    <row r="1599" spans="1:4" x14ac:dyDescent="0.2">
      <c r="A1599" s="23" t="s">
        <v>583</v>
      </c>
      <c r="B1599" t="s">
        <v>4481</v>
      </c>
      <c r="C1599" s="22">
        <v>-2121469.62</v>
      </c>
      <c r="D1599" s="22">
        <v>-15450499.4</v>
      </c>
    </row>
    <row r="1600" spans="1:4" x14ac:dyDescent="0.2">
      <c r="A1600" s="23" t="s">
        <v>584</v>
      </c>
      <c r="B1600" s="23" t="s">
        <v>585</v>
      </c>
      <c r="C1600" s="22">
        <v>0</v>
      </c>
      <c r="D1600" s="22">
        <v>0</v>
      </c>
    </row>
    <row r="1601" spans="1:4" x14ac:dyDescent="0.2">
      <c r="A1601" s="23" t="s">
        <v>586</v>
      </c>
      <c r="B1601" s="23" t="s">
        <v>587</v>
      </c>
      <c r="C1601" s="22">
        <v>0</v>
      </c>
      <c r="D1601" s="22">
        <v>0</v>
      </c>
    </row>
    <row r="1602" spans="1:4" x14ac:dyDescent="0.2">
      <c r="A1602" s="23" t="s">
        <v>588</v>
      </c>
      <c r="B1602" s="23" t="s">
        <v>589</v>
      </c>
      <c r="C1602" s="22">
        <v>0</v>
      </c>
      <c r="D1602" s="22">
        <v>141.35</v>
      </c>
    </row>
    <row r="1603" spans="1:4" x14ac:dyDescent="0.2">
      <c r="A1603" s="23" t="s">
        <v>590</v>
      </c>
      <c r="B1603" s="23" t="s">
        <v>591</v>
      </c>
      <c r="C1603" s="22">
        <v>315914.46000000002</v>
      </c>
      <c r="D1603" s="22">
        <v>4076584.36</v>
      </c>
    </row>
    <row r="1604" spans="1:4" x14ac:dyDescent="0.2">
      <c r="A1604" s="23" t="s">
        <v>592</v>
      </c>
      <c r="B1604" s="23" t="s">
        <v>593</v>
      </c>
      <c r="C1604" s="22">
        <v>0</v>
      </c>
      <c r="D1604" s="22">
        <v>0</v>
      </c>
    </row>
    <row r="1605" spans="1:4" x14ac:dyDescent="0.2">
      <c r="A1605" s="23" t="s">
        <v>594</v>
      </c>
      <c r="B1605" s="23" t="s">
        <v>595</v>
      </c>
      <c r="C1605" s="22">
        <v>0</v>
      </c>
      <c r="D1605" s="22">
        <v>0</v>
      </c>
    </row>
    <row r="1606" spans="1:4" x14ac:dyDescent="0.2">
      <c r="A1606" s="23" t="s">
        <v>596</v>
      </c>
      <c r="B1606" s="23" t="s">
        <v>597</v>
      </c>
      <c r="C1606" s="22">
        <v>3325.93</v>
      </c>
      <c r="D1606" s="22">
        <v>15223.17</v>
      </c>
    </row>
    <row r="1607" spans="1:4" x14ac:dyDescent="0.2">
      <c r="A1607" s="23" t="s">
        <v>598</v>
      </c>
      <c r="B1607" s="23" t="s">
        <v>599</v>
      </c>
      <c r="C1607" s="22">
        <v>0</v>
      </c>
      <c r="D1607" s="22">
        <v>0</v>
      </c>
    </row>
    <row r="1608" spans="1:4" x14ac:dyDescent="0.2">
      <c r="A1608" s="23" t="s">
        <v>600</v>
      </c>
      <c r="B1608" s="23" t="s">
        <v>601</v>
      </c>
      <c r="C1608" s="22">
        <v>0</v>
      </c>
      <c r="D1608" s="22">
        <v>0</v>
      </c>
    </row>
    <row r="1609" spans="1:4" x14ac:dyDescent="0.2">
      <c r="A1609" s="23" t="s">
        <v>602</v>
      </c>
      <c r="B1609" s="23" t="s">
        <v>603</v>
      </c>
      <c r="C1609" s="22">
        <v>0</v>
      </c>
      <c r="D1609" s="22">
        <v>0</v>
      </c>
    </row>
    <row r="1610" spans="1:4" x14ac:dyDescent="0.2">
      <c r="A1610" s="23" t="s">
        <v>604</v>
      </c>
      <c r="B1610" s="23" t="s">
        <v>605</v>
      </c>
      <c r="C1610" s="22">
        <v>0</v>
      </c>
      <c r="D1610" s="22">
        <v>0</v>
      </c>
    </row>
    <row r="1611" spans="1:4" x14ac:dyDescent="0.2">
      <c r="A1611" s="23" t="s">
        <v>606</v>
      </c>
      <c r="B1611" s="23" t="s">
        <v>607</v>
      </c>
      <c r="C1611" s="22">
        <v>6507.12</v>
      </c>
      <c r="D1611" s="22">
        <v>91213.48</v>
      </c>
    </row>
    <row r="1612" spans="1:4" x14ac:dyDescent="0.2">
      <c r="A1612" s="23" t="s">
        <v>608</v>
      </c>
      <c r="B1612" t="s">
        <v>4481</v>
      </c>
      <c r="C1612" s="22">
        <v>325747.51</v>
      </c>
      <c r="D1612" s="22">
        <v>4183162.36</v>
      </c>
    </row>
    <row r="1613" spans="1:4" x14ac:dyDescent="0.2">
      <c r="A1613" s="23" t="s">
        <v>609</v>
      </c>
      <c r="B1613" s="23" t="s">
        <v>610</v>
      </c>
      <c r="C1613" s="22">
        <v>530342.15</v>
      </c>
      <c r="D1613" s="22">
        <v>8313124.0499999998</v>
      </c>
    </row>
    <row r="1614" spans="1:4" x14ac:dyDescent="0.2">
      <c r="A1614" s="23" t="s">
        <v>611</v>
      </c>
      <c r="B1614" s="23" t="s">
        <v>610</v>
      </c>
      <c r="C1614" s="22">
        <v>-530342.15</v>
      </c>
      <c r="D1614" s="22">
        <v>-8313124.0499999998</v>
      </c>
    </row>
    <row r="1615" spans="1:4" x14ac:dyDescent="0.2">
      <c r="A1615" s="23" t="s">
        <v>612</v>
      </c>
      <c r="B1615" s="23" t="s">
        <v>613</v>
      </c>
      <c r="C1615" s="22">
        <v>21400.73</v>
      </c>
      <c r="D1615" s="22">
        <v>248432.94</v>
      </c>
    </row>
    <row r="1616" spans="1:4" x14ac:dyDescent="0.2">
      <c r="A1616" s="23" t="s">
        <v>614</v>
      </c>
      <c r="B1616" s="23" t="s">
        <v>615</v>
      </c>
      <c r="C1616" s="22">
        <v>-21400.73</v>
      </c>
      <c r="D1616" s="22">
        <v>-248432.94</v>
      </c>
    </row>
    <row r="1617" spans="1:4" x14ac:dyDescent="0.2">
      <c r="A1617" s="23" t="s">
        <v>616</v>
      </c>
      <c r="B1617" s="23" t="s">
        <v>617</v>
      </c>
      <c r="C1617" s="22">
        <v>0</v>
      </c>
      <c r="D1617" s="22">
        <v>0</v>
      </c>
    </row>
    <row r="1618" spans="1:4" x14ac:dyDescent="0.2">
      <c r="A1618" s="23" t="s">
        <v>618</v>
      </c>
      <c r="B1618" s="23" t="s">
        <v>619</v>
      </c>
      <c r="C1618" s="22">
        <v>5068.74</v>
      </c>
      <c r="D1618" s="22">
        <v>2583670.44</v>
      </c>
    </row>
    <row r="1619" spans="1:4" x14ac:dyDescent="0.2">
      <c r="A1619" s="23" t="s">
        <v>620</v>
      </c>
      <c r="B1619" s="23" t="s">
        <v>621</v>
      </c>
      <c r="C1619" s="22">
        <v>0</v>
      </c>
      <c r="D1619" s="22">
        <v>0</v>
      </c>
    </row>
    <row r="1620" spans="1:4" x14ac:dyDescent="0.2">
      <c r="A1620" s="23" t="s">
        <v>622</v>
      </c>
      <c r="B1620" s="23" t="s">
        <v>623</v>
      </c>
      <c r="C1620" s="22">
        <v>0</v>
      </c>
      <c r="D1620" s="22">
        <v>0</v>
      </c>
    </row>
    <row r="1621" spans="1:4" x14ac:dyDescent="0.2">
      <c r="A1621" s="23" t="s">
        <v>624</v>
      </c>
      <c r="B1621" s="23" t="s">
        <v>625</v>
      </c>
      <c r="C1621" s="22">
        <v>0</v>
      </c>
      <c r="D1621" s="22">
        <v>0</v>
      </c>
    </row>
    <row r="1622" spans="1:4" x14ac:dyDescent="0.2">
      <c r="A1622" s="23" t="s">
        <v>3733</v>
      </c>
      <c r="B1622" s="23" t="s">
        <v>3734</v>
      </c>
      <c r="C1622" s="22">
        <v>0</v>
      </c>
      <c r="D1622" s="22">
        <v>0</v>
      </c>
    </row>
    <row r="1623" spans="1:4" x14ac:dyDescent="0.2">
      <c r="A1623" s="23" t="s">
        <v>3735</v>
      </c>
      <c r="B1623" s="23" t="s">
        <v>3736</v>
      </c>
      <c r="C1623" s="22">
        <v>0</v>
      </c>
      <c r="D1623" s="22">
        <v>0</v>
      </c>
    </row>
    <row r="1624" spans="1:4" x14ac:dyDescent="0.2">
      <c r="A1624" s="23" t="s">
        <v>3737</v>
      </c>
      <c r="B1624" s="23" t="s">
        <v>3738</v>
      </c>
      <c r="C1624" s="22">
        <v>17193082.870000001</v>
      </c>
      <c r="D1624" s="22">
        <v>238048296.68000001</v>
      </c>
    </row>
    <row r="1625" spans="1:4" x14ac:dyDescent="0.2">
      <c r="A1625" s="23" t="s">
        <v>3739</v>
      </c>
      <c r="B1625" s="23" t="s">
        <v>3740</v>
      </c>
      <c r="C1625" s="22">
        <v>0</v>
      </c>
      <c r="D1625" s="22">
        <v>0</v>
      </c>
    </row>
    <row r="1626" spans="1:4" x14ac:dyDescent="0.2">
      <c r="A1626" s="23" t="s">
        <v>3741</v>
      </c>
      <c r="B1626" s="23" t="s">
        <v>3742</v>
      </c>
      <c r="C1626" s="22">
        <v>0</v>
      </c>
      <c r="D1626" s="22">
        <v>0</v>
      </c>
    </row>
    <row r="1627" spans="1:4" x14ac:dyDescent="0.2">
      <c r="A1627" s="23" t="s">
        <v>3743</v>
      </c>
      <c r="B1627" s="23" t="s">
        <v>3744</v>
      </c>
      <c r="C1627" s="22">
        <v>0</v>
      </c>
      <c r="D1627" s="22">
        <v>0</v>
      </c>
    </row>
    <row r="1628" spans="1:4" x14ac:dyDescent="0.2">
      <c r="A1628" s="23" t="s">
        <v>3745</v>
      </c>
      <c r="B1628" s="23" t="s">
        <v>3746</v>
      </c>
      <c r="C1628" s="22">
        <v>0</v>
      </c>
      <c r="D1628" s="22">
        <v>0</v>
      </c>
    </row>
    <row r="1629" spans="1:4" x14ac:dyDescent="0.2">
      <c r="A1629" s="23" t="s">
        <v>3747</v>
      </c>
      <c r="B1629" t="s">
        <v>4481</v>
      </c>
      <c r="C1629" s="22">
        <v>17198151.609999999</v>
      </c>
      <c r="D1629" s="22">
        <v>240631967.12</v>
      </c>
    </row>
    <row r="1630" spans="1:4" x14ac:dyDescent="0.2">
      <c r="A1630" s="23" t="s">
        <v>3748</v>
      </c>
      <c r="B1630" s="23" t="s">
        <v>3749</v>
      </c>
      <c r="C1630" s="22">
        <v>0</v>
      </c>
      <c r="D1630" s="22">
        <v>0</v>
      </c>
    </row>
    <row r="1631" spans="1:4" x14ac:dyDescent="0.2">
      <c r="A1631" s="23" t="s">
        <v>3750</v>
      </c>
      <c r="B1631" s="23" t="s">
        <v>3751</v>
      </c>
      <c r="C1631" s="22">
        <v>9000</v>
      </c>
      <c r="D1631" s="22">
        <v>240790.06</v>
      </c>
    </row>
    <row r="1632" spans="1:4" x14ac:dyDescent="0.2">
      <c r="A1632" s="23" t="s">
        <v>3752</v>
      </c>
      <c r="B1632" s="23" t="s">
        <v>3753</v>
      </c>
      <c r="C1632" s="22">
        <v>75361.279999999999</v>
      </c>
      <c r="D1632" s="22">
        <v>306555.21999999997</v>
      </c>
    </row>
    <row r="1633" spans="1:4" x14ac:dyDescent="0.2">
      <c r="A1633" s="23" t="s">
        <v>3754</v>
      </c>
      <c r="B1633" s="23" t="s">
        <v>3755</v>
      </c>
      <c r="C1633" s="22">
        <v>0</v>
      </c>
      <c r="D1633" s="22">
        <v>0</v>
      </c>
    </row>
    <row r="1634" spans="1:4" x14ac:dyDescent="0.2">
      <c r="A1634" s="23" t="s">
        <v>3756</v>
      </c>
      <c r="B1634" s="23" t="s">
        <v>3757</v>
      </c>
      <c r="C1634" s="22">
        <v>376540.75</v>
      </c>
      <c r="D1634" s="22">
        <v>4175428.41</v>
      </c>
    </row>
    <row r="1635" spans="1:4" x14ac:dyDescent="0.2">
      <c r="A1635" s="23" t="s">
        <v>3758</v>
      </c>
      <c r="B1635" s="23" t="s">
        <v>3759</v>
      </c>
      <c r="C1635" s="22">
        <v>0</v>
      </c>
      <c r="D1635" s="22">
        <v>0</v>
      </c>
    </row>
    <row r="1636" spans="1:4" x14ac:dyDescent="0.2">
      <c r="A1636" s="23" t="s">
        <v>3760</v>
      </c>
      <c r="B1636" s="23" t="s">
        <v>3761</v>
      </c>
      <c r="C1636" s="22">
        <v>0</v>
      </c>
      <c r="D1636" s="22">
        <v>0</v>
      </c>
    </row>
    <row r="1637" spans="1:4" x14ac:dyDescent="0.2">
      <c r="A1637" s="23" t="s">
        <v>3762</v>
      </c>
      <c r="B1637" s="23" t="s">
        <v>3763</v>
      </c>
      <c r="C1637" s="22">
        <v>614.03</v>
      </c>
      <c r="D1637" s="22">
        <v>9938.0300000000007</v>
      </c>
    </row>
    <row r="1638" spans="1:4" x14ac:dyDescent="0.2">
      <c r="A1638" s="23" t="s">
        <v>3764</v>
      </c>
      <c r="B1638" s="23" t="s">
        <v>3765</v>
      </c>
      <c r="C1638" s="22">
        <v>0</v>
      </c>
      <c r="D1638" s="22">
        <v>0</v>
      </c>
    </row>
    <row r="1639" spans="1:4" x14ac:dyDescent="0.2">
      <c r="A1639" s="23" t="s">
        <v>3766</v>
      </c>
      <c r="B1639" s="23" t="s">
        <v>3767</v>
      </c>
      <c r="C1639" s="22">
        <v>0</v>
      </c>
      <c r="D1639" s="22">
        <v>0</v>
      </c>
    </row>
    <row r="1640" spans="1:4" x14ac:dyDescent="0.2">
      <c r="A1640" s="23" t="s">
        <v>3768</v>
      </c>
      <c r="B1640" s="23" t="s">
        <v>3769</v>
      </c>
      <c r="C1640" s="22">
        <v>-23296.959999999999</v>
      </c>
      <c r="D1640" s="22">
        <v>87131.44</v>
      </c>
    </row>
    <row r="1641" spans="1:4" x14ac:dyDescent="0.2">
      <c r="A1641" s="23" t="s">
        <v>3770</v>
      </c>
      <c r="B1641" s="23" t="s">
        <v>3771</v>
      </c>
      <c r="C1641" s="22">
        <v>0</v>
      </c>
      <c r="D1641" s="22">
        <v>0</v>
      </c>
    </row>
    <row r="1642" spans="1:4" x14ac:dyDescent="0.2">
      <c r="A1642" s="23" t="s">
        <v>3772</v>
      </c>
      <c r="B1642" s="23" t="s">
        <v>3773</v>
      </c>
      <c r="C1642" s="22">
        <v>27396.97</v>
      </c>
      <c r="D1642" s="22">
        <v>82502.87</v>
      </c>
    </row>
    <row r="1643" spans="1:4" x14ac:dyDescent="0.2">
      <c r="A1643" s="23" t="s">
        <v>3774</v>
      </c>
      <c r="B1643" s="23" t="s">
        <v>3775</v>
      </c>
      <c r="C1643" s="22">
        <v>884810.13</v>
      </c>
      <c r="D1643" s="22">
        <v>9967834.1400000006</v>
      </c>
    </row>
    <row r="1644" spans="1:4" x14ac:dyDescent="0.2">
      <c r="A1644" s="23" t="s">
        <v>3776</v>
      </c>
      <c r="B1644" s="23" t="s">
        <v>3777</v>
      </c>
      <c r="C1644" s="22">
        <v>0</v>
      </c>
      <c r="D1644" s="22">
        <v>0</v>
      </c>
    </row>
    <row r="1645" spans="1:4" x14ac:dyDescent="0.2">
      <c r="A1645" s="23" t="s">
        <v>4166</v>
      </c>
      <c r="B1645" t="s">
        <v>4481</v>
      </c>
      <c r="C1645" s="22">
        <v>1350426.2</v>
      </c>
      <c r="D1645" s="22">
        <v>14870180.17</v>
      </c>
    </row>
    <row r="1646" spans="1:4" x14ac:dyDescent="0.2">
      <c r="A1646" s="23" t="s">
        <v>4167</v>
      </c>
      <c r="B1646" s="23" t="s">
        <v>4168</v>
      </c>
      <c r="C1646" s="22">
        <v>0</v>
      </c>
      <c r="D1646" s="22">
        <v>0</v>
      </c>
    </row>
    <row r="1647" spans="1:4" x14ac:dyDescent="0.2">
      <c r="A1647" s="23" t="s">
        <v>4169</v>
      </c>
      <c r="B1647" s="23" t="s">
        <v>4170</v>
      </c>
      <c r="C1647" s="22">
        <v>0</v>
      </c>
      <c r="D1647" s="22">
        <v>0</v>
      </c>
    </row>
    <row r="1648" spans="1:4" x14ac:dyDescent="0.2">
      <c r="A1648" s="23" t="s">
        <v>4171</v>
      </c>
      <c r="B1648" s="23" t="s">
        <v>4172</v>
      </c>
      <c r="C1648" s="22">
        <v>0</v>
      </c>
      <c r="D1648" s="22">
        <v>0</v>
      </c>
    </row>
    <row r="1649" spans="1:4" x14ac:dyDescent="0.2">
      <c r="A1649" s="23" t="s">
        <v>4173</v>
      </c>
      <c r="B1649" s="23" t="s">
        <v>4174</v>
      </c>
      <c r="C1649" s="22">
        <v>0</v>
      </c>
      <c r="D1649" s="22">
        <v>0</v>
      </c>
    </row>
    <row r="1650" spans="1:4" x14ac:dyDescent="0.2">
      <c r="A1650" s="23" t="s">
        <v>4175</v>
      </c>
      <c r="B1650" s="23" t="s">
        <v>4176</v>
      </c>
      <c r="C1650" s="22">
        <v>0</v>
      </c>
      <c r="D1650" s="22">
        <v>0</v>
      </c>
    </row>
    <row r="1651" spans="1:4" x14ac:dyDescent="0.2">
      <c r="A1651" s="23" t="s">
        <v>4177</v>
      </c>
      <c r="B1651" s="23" t="s">
        <v>4178</v>
      </c>
      <c r="C1651" s="22">
        <v>0</v>
      </c>
      <c r="D1651" s="22">
        <v>0</v>
      </c>
    </row>
    <row r="1652" spans="1:4" x14ac:dyDescent="0.2">
      <c r="A1652" s="23" t="s">
        <v>4179</v>
      </c>
      <c r="B1652" s="23" t="s">
        <v>4180</v>
      </c>
      <c r="C1652" s="22">
        <v>0</v>
      </c>
      <c r="D1652" s="22">
        <v>0</v>
      </c>
    </row>
    <row r="1653" spans="1:4" x14ac:dyDescent="0.2">
      <c r="A1653" s="23" t="s">
        <v>4181</v>
      </c>
      <c r="B1653" t="s">
        <v>4481</v>
      </c>
      <c r="C1653" s="22">
        <v>0</v>
      </c>
      <c r="D1653" s="22">
        <v>0</v>
      </c>
    </row>
    <row r="1654" spans="1:4" x14ac:dyDescent="0.2">
      <c r="A1654" s="23" t="s">
        <v>4182</v>
      </c>
      <c r="B1654" s="23" t="s">
        <v>4183</v>
      </c>
      <c r="C1654" s="22">
        <v>0</v>
      </c>
      <c r="D1654" s="22">
        <v>0</v>
      </c>
    </row>
    <row r="1655" spans="1:4" x14ac:dyDescent="0.2">
      <c r="A1655" s="23" t="s">
        <v>4184</v>
      </c>
      <c r="B1655" s="23" t="s">
        <v>4185</v>
      </c>
      <c r="C1655" s="22">
        <v>0</v>
      </c>
      <c r="D1655" s="22">
        <v>0</v>
      </c>
    </row>
    <row r="1656" spans="1:4" x14ac:dyDescent="0.2">
      <c r="A1656" s="23" t="s">
        <v>4186</v>
      </c>
      <c r="B1656" s="23" t="s">
        <v>4187</v>
      </c>
      <c r="C1656" s="22">
        <v>280223.15000000002</v>
      </c>
      <c r="D1656" s="22">
        <v>2792361.47</v>
      </c>
    </row>
    <row r="1657" spans="1:4" x14ac:dyDescent="0.2">
      <c r="A1657" s="23" t="s">
        <v>4188</v>
      </c>
      <c r="B1657" s="23" t="s">
        <v>4189</v>
      </c>
      <c r="C1657" s="22">
        <v>0</v>
      </c>
      <c r="D1657" s="22">
        <v>0</v>
      </c>
    </row>
    <row r="1658" spans="1:4" x14ac:dyDescent="0.2">
      <c r="A1658" s="23" t="s">
        <v>4190</v>
      </c>
      <c r="B1658" s="23" t="s">
        <v>4191</v>
      </c>
      <c r="C1658" s="22">
        <v>0</v>
      </c>
      <c r="D1658" s="22">
        <v>0</v>
      </c>
    </row>
    <row r="1659" spans="1:4" x14ac:dyDescent="0.2">
      <c r="A1659" s="23" t="s">
        <v>4192</v>
      </c>
      <c r="B1659" s="23" t="s">
        <v>4193</v>
      </c>
      <c r="C1659" s="22">
        <v>0</v>
      </c>
      <c r="D1659" s="22">
        <v>0</v>
      </c>
    </row>
    <row r="1660" spans="1:4" x14ac:dyDescent="0.2">
      <c r="A1660" s="23" t="s">
        <v>4194</v>
      </c>
      <c r="B1660" t="s">
        <v>4481</v>
      </c>
      <c r="C1660" s="22">
        <v>280223.15000000002</v>
      </c>
      <c r="D1660" s="22">
        <v>2792361.47</v>
      </c>
    </row>
    <row r="1661" spans="1:4" x14ac:dyDescent="0.2">
      <c r="A1661" s="23" t="s">
        <v>4195</v>
      </c>
      <c r="B1661" s="23" t="s">
        <v>4196</v>
      </c>
      <c r="C1661" s="22">
        <v>0</v>
      </c>
      <c r="D1661" s="22">
        <v>0</v>
      </c>
    </row>
    <row r="1662" spans="1:4" x14ac:dyDescent="0.2">
      <c r="A1662" s="23" t="s">
        <v>4197</v>
      </c>
      <c r="B1662" s="23" t="s">
        <v>4198</v>
      </c>
      <c r="C1662" s="22">
        <v>0</v>
      </c>
      <c r="D1662" s="22">
        <v>0</v>
      </c>
    </row>
    <row r="1663" spans="1:4" x14ac:dyDescent="0.2">
      <c r="A1663" s="23" t="s">
        <v>4199</v>
      </c>
      <c r="B1663" s="23" t="s">
        <v>4200</v>
      </c>
      <c r="C1663" s="22">
        <v>0</v>
      </c>
      <c r="D1663" s="22">
        <v>0</v>
      </c>
    </row>
    <row r="1664" spans="1:4" x14ac:dyDescent="0.2">
      <c r="A1664" s="23" t="s">
        <v>4201</v>
      </c>
      <c r="B1664" s="23" t="s">
        <v>4202</v>
      </c>
      <c r="C1664" s="22">
        <v>0</v>
      </c>
      <c r="D1664" s="22">
        <v>5090.8</v>
      </c>
    </row>
    <row r="1665" spans="1:4" x14ac:dyDescent="0.2">
      <c r="A1665" s="23" t="s">
        <v>4203</v>
      </c>
      <c r="B1665" s="23" t="s">
        <v>4204</v>
      </c>
      <c r="C1665" s="22">
        <v>719225.34</v>
      </c>
      <c r="D1665" s="22">
        <v>9520295.4100000001</v>
      </c>
    </row>
    <row r="1666" spans="1:4" x14ac:dyDescent="0.2">
      <c r="A1666" s="23" t="s">
        <v>4205</v>
      </c>
      <c r="B1666" s="23" t="s">
        <v>4206</v>
      </c>
      <c r="C1666" s="22">
        <v>0</v>
      </c>
      <c r="D1666" s="22">
        <v>4193.57</v>
      </c>
    </row>
    <row r="1667" spans="1:4" x14ac:dyDescent="0.2">
      <c r="A1667" s="23" t="s">
        <v>4207</v>
      </c>
      <c r="B1667" s="23" t="s">
        <v>4208</v>
      </c>
      <c r="C1667" s="22">
        <v>20233.62</v>
      </c>
      <c r="D1667" s="22">
        <v>80262.66</v>
      </c>
    </row>
    <row r="1668" spans="1:4" x14ac:dyDescent="0.2">
      <c r="A1668" s="23" t="s">
        <v>4209</v>
      </c>
      <c r="B1668" s="23" t="s">
        <v>4170</v>
      </c>
      <c r="C1668" s="22">
        <v>0</v>
      </c>
      <c r="D1668" s="22">
        <v>0</v>
      </c>
    </row>
    <row r="1669" spans="1:4" x14ac:dyDescent="0.2">
      <c r="A1669" s="23" t="s">
        <v>4210</v>
      </c>
      <c r="B1669" s="23" t="s">
        <v>4211</v>
      </c>
      <c r="C1669" s="22">
        <v>0</v>
      </c>
      <c r="D1669" s="22">
        <v>0</v>
      </c>
    </row>
    <row r="1670" spans="1:4" x14ac:dyDescent="0.2">
      <c r="A1670" s="23" t="s">
        <v>4212</v>
      </c>
      <c r="B1670" s="23" t="s">
        <v>4174</v>
      </c>
      <c r="C1670" s="22">
        <v>0</v>
      </c>
      <c r="D1670" s="22">
        <v>0</v>
      </c>
    </row>
    <row r="1671" spans="1:4" x14ac:dyDescent="0.2">
      <c r="A1671" s="23" t="s">
        <v>4213</v>
      </c>
      <c r="B1671" s="23" t="s">
        <v>4176</v>
      </c>
      <c r="C1671" s="22">
        <v>0</v>
      </c>
      <c r="D1671" s="22">
        <v>0</v>
      </c>
    </row>
    <row r="1672" spans="1:4" x14ac:dyDescent="0.2">
      <c r="A1672" s="23" t="s">
        <v>4214</v>
      </c>
      <c r="B1672" s="23" t="s">
        <v>4215</v>
      </c>
      <c r="C1672" s="22">
        <v>2310.6</v>
      </c>
      <c r="D1672" s="22">
        <v>62362.89</v>
      </c>
    </row>
    <row r="1673" spans="1:4" x14ac:dyDescent="0.2">
      <c r="A1673" s="23" t="s">
        <v>4216</v>
      </c>
      <c r="B1673" s="23" t="s">
        <v>4217</v>
      </c>
      <c r="C1673" s="22">
        <v>0</v>
      </c>
      <c r="D1673" s="22">
        <v>0</v>
      </c>
    </row>
    <row r="1674" spans="1:4" x14ac:dyDescent="0.2">
      <c r="A1674" s="23" t="s">
        <v>4218</v>
      </c>
      <c r="B1674" s="23" t="s">
        <v>4219</v>
      </c>
      <c r="C1674" s="22">
        <v>0</v>
      </c>
      <c r="D1674" s="22">
        <v>0</v>
      </c>
    </row>
    <row r="1675" spans="1:4" x14ac:dyDescent="0.2">
      <c r="A1675" s="23" t="s">
        <v>4220</v>
      </c>
      <c r="B1675" s="23" t="s">
        <v>4221</v>
      </c>
      <c r="C1675" s="22">
        <v>0</v>
      </c>
      <c r="D1675" s="22">
        <v>0</v>
      </c>
    </row>
    <row r="1676" spans="1:4" x14ac:dyDescent="0.2">
      <c r="A1676" s="23" t="s">
        <v>4222</v>
      </c>
      <c r="B1676" s="23" t="s">
        <v>4223</v>
      </c>
      <c r="C1676" s="22">
        <v>0</v>
      </c>
      <c r="D1676" s="22">
        <v>0</v>
      </c>
    </row>
    <row r="1677" spans="1:4" x14ac:dyDescent="0.2">
      <c r="A1677" s="23" t="s">
        <v>4224</v>
      </c>
      <c r="B1677" s="23" t="s">
        <v>4225</v>
      </c>
      <c r="C1677" s="22">
        <v>0</v>
      </c>
      <c r="D1677" s="22">
        <v>0</v>
      </c>
    </row>
    <row r="1678" spans="1:4" x14ac:dyDescent="0.2">
      <c r="A1678" s="23" t="s">
        <v>4226</v>
      </c>
      <c r="B1678" s="23" t="s">
        <v>633</v>
      </c>
      <c r="C1678" s="22">
        <v>0</v>
      </c>
      <c r="D1678" s="22">
        <v>0</v>
      </c>
    </row>
    <row r="1679" spans="1:4" x14ac:dyDescent="0.2">
      <c r="A1679" s="23" t="s">
        <v>634</v>
      </c>
      <c r="B1679" s="23" t="s">
        <v>635</v>
      </c>
      <c r="C1679" s="22">
        <v>1400.02</v>
      </c>
      <c r="D1679" s="22">
        <v>46037.33</v>
      </c>
    </row>
    <row r="1680" spans="1:4" x14ac:dyDescent="0.2">
      <c r="A1680" s="23" t="s">
        <v>636</v>
      </c>
      <c r="B1680" s="23" t="s">
        <v>637</v>
      </c>
      <c r="C1680" s="22">
        <v>19971.169999999998</v>
      </c>
      <c r="D1680" s="22">
        <v>186270.32</v>
      </c>
    </row>
    <row r="1681" spans="1:4" x14ac:dyDescent="0.2">
      <c r="A1681" s="23" t="s">
        <v>638</v>
      </c>
      <c r="B1681" s="23" t="s">
        <v>639</v>
      </c>
      <c r="C1681" s="22">
        <v>0</v>
      </c>
      <c r="D1681" s="22">
        <v>0</v>
      </c>
    </row>
    <row r="1682" spans="1:4" x14ac:dyDescent="0.2">
      <c r="A1682" s="23" t="s">
        <v>640</v>
      </c>
      <c r="B1682" s="23" t="s">
        <v>641</v>
      </c>
      <c r="C1682" s="22">
        <v>0</v>
      </c>
      <c r="D1682" s="22">
        <v>0</v>
      </c>
    </row>
    <row r="1683" spans="1:4" x14ac:dyDescent="0.2">
      <c r="A1683" s="23" t="s">
        <v>642</v>
      </c>
      <c r="B1683" s="23" t="s">
        <v>643</v>
      </c>
      <c r="C1683" s="22">
        <v>0</v>
      </c>
      <c r="D1683" s="22">
        <v>0</v>
      </c>
    </row>
    <row r="1684" spans="1:4" x14ac:dyDescent="0.2">
      <c r="A1684" s="23" t="s">
        <v>644</v>
      </c>
      <c r="B1684" s="23" t="s">
        <v>645</v>
      </c>
      <c r="C1684" s="22">
        <v>0</v>
      </c>
      <c r="D1684" s="22">
        <v>0</v>
      </c>
    </row>
    <row r="1685" spans="1:4" x14ac:dyDescent="0.2">
      <c r="A1685" s="23" t="s">
        <v>646</v>
      </c>
      <c r="B1685" s="23" t="s">
        <v>647</v>
      </c>
      <c r="C1685" s="22">
        <v>0</v>
      </c>
      <c r="D1685" s="22">
        <v>0</v>
      </c>
    </row>
    <row r="1686" spans="1:4" x14ac:dyDescent="0.2">
      <c r="A1686" s="23" t="s">
        <v>648</v>
      </c>
      <c r="B1686" s="23" t="s">
        <v>649</v>
      </c>
      <c r="C1686" s="22">
        <v>0</v>
      </c>
      <c r="D1686" s="22">
        <v>0</v>
      </c>
    </row>
    <row r="1687" spans="1:4" x14ac:dyDescent="0.2">
      <c r="A1687" s="23" t="s">
        <v>650</v>
      </c>
      <c r="B1687" s="23" t="s">
        <v>651</v>
      </c>
      <c r="C1687" s="22">
        <v>0</v>
      </c>
      <c r="D1687" s="22">
        <v>0</v>
      </c>
    </row>
    <row r="1688" spans="1:4" x14ac:dyDescent="0.2">
      <c r="A1688" s="23" t="s">
        <v>652</v>
      </c>
      <c r="B1688" s="23" t="s">
        <v>653</v>
      </c>
      <c r="C1688" s="22">
        <v>0</v>
      </c>
      <c r="D1688" s="22">
        <v>0</v>
      </c>
    </row>
    <row r="1689" spans="1:4" x14ac:dyDescent="0.2">
      <c r="A1689" s="23" t="s">
        <v>654</v>
      </c>
      <c r="B1689" s="23" t="s">
        <v>655</v>
      </c>
      <c r="C1689" s="22">
        <v>0</v>
      </c>
      <c r="D1689" s="22">
        <v>0</v>
      </c>
    </row>
    <row r="1690" spans="1:4" x14ac:dyDescent="0.2">
      <c r="A1690" s="23" t="s">
        <v>656</v>
      </c>
      <c r="B1690" s="23" t="s">
        <v>490</v>
      </c>
      <c r="C1690" s="22">
        <v>0</v>
      </c>
      <c r="D1690" s="22">
        <v>0</v>
      </c>
    </row>
    <row r="1691" spans="1:4" x14ac:dyDescent="0.2">
      <c r="A1691" s="23" t="s">
        <v>491</v>
      </c>
      <c r="B1691" s="23" t="s">
        <v>492</v>
      </c>
      <c r="C1691" s="22">
        <v>0</v>
      </c>
      <c r="D1691" s="22">
        <v>0</v>
      </c>
    </row>
    <row r="1692" spans="1:4" x14ac:dyDescent="0.2">
      <c r="A1692" s="23" t="s">
        <v>493</v>
      </c>
      <c r="B1692" s="23" t="s">
        <v>494</v>
      </c>
      <c r="C1692" s="22">
        <v>0</v>
      </c>
      <c r="D1692" s="22">
        <v>0</v>
      </c>
    </row>
    <row r="1693" spans="1:4" x14ac:dyDescent="0.2">
      <c r="A1693" s="23" t="s">
        <v>495</v>
      </c>
      <c r="B1693" t="s">
        <v>4481</v>
      </c>
      <c r="C1693" s="22">
        <v>763140.75</v>
      </c>
      <c r="D1693" s="22">
        <v>9904512.9800000004</v>
      </c>
    </row>
    <row r="1694" spans="1:4" x14ac:dyDescent="0.2">
      <c r="A1694" s="23" t="s">
        <v>496</v>
      </c>
      <c r="B1694" s="23" t="s">
        <v>497</v>
      </c>
      <c r="C1694" s="22">
        <v>0</v>
      </c>
      <c r="D1694" s="22">
        <v>0</v>
      </c>
    </row>
    <row r="1695" spans="1:4" x14ac:dyDescent="0.2">
      <c r="A1695" s="23" t="s">
        <v>498</v>
      </c>
      <c r="B1695" s="23" t="s">
        <v>499</v>
      </c>
      <c r="C1695" s="22">
        <v>0</v>
      </c>
      <c r="D1695" s="22">
        <v>0</v>
      </c>
    </row>
    <row r="1696" spans="1:4" x14ac:dyDescent="0.2">
      <c r="A1696" s="23" t="s">
        <v>500</v>
      </c>
      <c r="B1696" s="23" t="s">
        <v>501</v>
      </c>
      <c r="C1696" s="22">
        <v>0</v>
      </c>
      <c r="D1696" s="22">
        <v>0</v>
      </c>
    </row>
    <row r="1697" spans="1:4" x14ac:dyDescent="0.2">
      <c r="A1697" s="23" t="s">
        <v>502</v>
      </c>
      <c r="B1697" s="23" t="s">
        <v>503</v>
      </c>
      <c r="C1697" s="22">
        <v>0</v>
      </c>
      <c r="D1697" s="22">
        <v>0</v>
      </c>
    </row>
    <row r="1698" spans="1:4" x14ac:dyDescent="0.2">
      <c r="A1698" s="23" t="s">
        <v>1765</v>
      </c>
      <c r="B1698" s="23" t="s">
        <v>1766</v>
      </c>
      <c r="C1698" s="22">
        <v>0</v>
      </c>
      <c r="D1698" s="22">
        <v>0</v>
      </c>
    </row>
    <row r="1699" spans="1:4" x14ac:dyDescent="0.2">
      <c r="A1699" s="23" t="s">
        <v>1767</v>
      </c>
      <c r="B1699" t="s">
        <v>4481</v>
      </c>
      <c r="C1699" s="22">
        <v>0</v>
      </c>
      <c r="D1699" s="22">
        <v>0</v>
      </c>
    </row>
    <row r="1700" spans="1:4" x14ac:dyDescent="0.2">
      <c r="A1700" s="23" t="s">
        <v>1768</v>
      </c>
      <c r="B1700" s="23" t="s">
        <v>1769</v>
      </c>
      <c r="C1700" s="22">
        <v>-86</v>
      </c>
      <c r="D1700" s="22">
        <v>-3983</v>
      </c>
    </row>
    <row r="1701" spans="1:4" x14ac:dyDescent="0.2">
      <c r="A1701" s="23" t="s">
        <v>1770</v>
      </c>
      <c r="B1701" s="23" t="s">
        <v>1771</v>
      </c>
      <c r="C1701" s="22">
        <v>86</v>
      </c>
      <c r="D1701" s="22">
        <v>3983</v>
      </c>
    </row>
    <row r="1702" spans="1:4" x14ac:dyDescent="0.2">
      <c r="A1702" s="23" t="s">
        <v>1772</v>
      </c>
      <c r="B1702" s="23" t="s">
        <v>1773</v>
      </c>
      <c r="C1702" s="22">
        <v>0</v>
      </c>
      <c r="D1702" s="22">
        <v>0</v>
      </c>
    </row>
    <row r="1703" spans="1:4" x14ac:dyDescent="0.2">
      <c r="A1703" s="23" t="s">
        <v>1774</v>
      </c>
      <c r="B1703" s="23" t="s">
        <v>1775</v>
      </c>
      <c r="C1703" s="22">
        <v>-2398.98</v>
      </c>
      <c r="D1703" s="22">
        <v>-109968.12</v>
      </c>
    </row>
    <row r="1704" spans="1:4" x14ac:dyDescent="0.2">
      <c r="A1704" s="23" t="s">
        <v>1776</v>
      </c>
      <c r="B1704" s="23" t="s">
        <v>1777</v>
      </c>
      <c r="C1704" s="22">
        <v>0</v>
      </c>
      <c r="D1704" s="22">
        <v>0</v>
      </c>
    </row>
    <row r="1705" spans="1:4" x14ac:dyDescent="0.2">
      <c r="A1705" s="23" t="s">
        <v>1778</v>
      </c>
      <c r="B1705" s="23" t="s">
        <v>4251</v>
      </c>
      <c r="C1705" s="22">
        <v>0</v>
      </c>
      <c r="D1705" s="22">
        <v>0</v>
      </c>
    </row>
    <row r="1706" spans="1:4" x14ac:dyDescent="0.2">
      <c r="A1706" s="23" t="s">
        <v>4252</v>
      </c>
      <c r="B1706" s="23" t="s">
        <v>4253</v>
      </c>
      <c r="C1706" s="22">
        <v>0</v>
      </c>
      <c r="D1706" s="22">
        <v>0</v>
      </c>
    </row>
    <row r="1707" spans="1:4" x14ac:dyDescent="0.2">
      <c r="A1707" s="23" t="s">
        <v>4254</v>
      </c>
      <c r="B1707" s="23" t="s">
        <v>4255</v>
      </c>
      <c r="C1707" s="22">
        <v>-379.19</v>
      </c>
      <c r="D1707" s="22">
        <v>-9694.0499999999993</v>
      </c>
    </row>
    <row r="1708" spans="1:4" x14ac:dyDescent="0.2">
      <c r="A1708" s="23" t="s">
        <v>4256</v>
      </c>
      <c r="B1708" t="s">
        <v>4481</v>
      </c>
      <c r="C1708" s="22">
        <v>-2778.17</v>
      </c>
      <c r="D1708" s="22">
        <v>-119662.17</v>
      </c>
    </row>
    <row r="1709" spans="1:4" x14ac:dyDescent="0.2">
      <c r="A1709" s="23" t="s">
        <v>4257</v>
      </c>
      <c r="B1709" s="23" t="s">
        <v>4258</v>
      </c>
      <c r="C1709" s="22">
        <v>0</v>
      </c>
      <c r="D1709" s="22">
        <v>0</v>
      </c>
    </row>
    <row r="1710" spans="1:4" x14ac:dyDescent="0.2">
      <c r="A1710" s="23" t="s">
        <v>4259</v>
      </c>
      <c r="B1710" s="23" t="s">
        <v>4260</v>
      </c>
      <c r="C1710" s="22">
        <v>27313.88</v>
      </c>
      <c r="D1710" s="22">
        <v>421382.55</v>
      </c>
    </row>
    <row r="1711" spans="1:4" x14ac:dyDescent="0.2">
      <c r="A1711" s="23" t="s">
        <v>4261</v>
      </c>
      <c r="B1711" s="23" t="s">
        <v>4262</v>
      </c>
      <c r="C1711" s="22">
        <v>0</v>
      </c>
      <c r="D1711" s="22">
        <v>0</v>
      </c>
    </row>
    <row r="1712" spans="1:4" x14ac:dyDescent="0.2">
      <c r="A1712" s="23" t="s">
        <v>4263</v>
      </c>
      <c r="B1712" s="23" t="s">
        <v>4264</v>
      </c>
      <c r="C1712" s="22">
        <v>0</v>
      </c>
      <c r="D1712" s="22">
        <v>0</v>
      </c>
    </row>
    <row r="1713" spans="1:4" x14ac:dyDescent="0.2">
      <c r="A1713" s="23" t="s">
        <v>4265</v>
      </c>
      <c r="B1713" s="23" t="s">
        <v>4266</v>
      </c>
      <c r="C1713" s="22">
        <v>0</v>
      </c>
      <c r="D1713" s="22">
        <v>0</v>
      </c>
    </row>
    <row r="1714" spans="1:4" x14ac:dyDescent="0.2">
      <c r="A1714" s="23" t="s">
        <v>4267</v>
      </c>
      <c r="B1714" s="23" t="s">
        <v>4268</v>
      </c>
      <c r="C1714" s="22">
        <v>0</v>
      </c>
      <c r="D1714" s="22">
        <v>0</v>
      </c>
    </row>
    <row r="1715" spans="1:4" x14ac:dyDescent="0.2">
      <c r="A1715" s="23" t="s">
        <v>4269</v>
      </c>
      <c r="B1715" s="23" t="s">
        <v>4270</v>
      </c>
      <c r="C1715" s="22">
        <v>0</v>
      </c>
      <c r="D1715" s="22">
        <v>0</v>
      </c>
    </row>
    <row r="1716" spans="1:4" x14ac:dyDescent="0.2">
      <c r="A1716" s="23" t="s">
        <v>4271</v>
      </c>
      <c r="B1716" s="23" t="s">
        <v>4272</v>
      </c>
      <c r="C1716" s="22">
        <v>0</v>
      </c>
      <c r="D1716" s="22">
        <v>0</v>
      </c>
    </row>
    <row r="1717" spans="1:4" x14ac:dyDescent="0.2">
      <c r="A1717" s="23" t="s">
        <v>4273</v>
      </c>
      <c r="B1717" s="23" t="s">
        <v>4274</v>
      </c>
      <c r="C1717" s="22">
        <v>0</v>
      </c>
      <c r="D1717" s="22">
        <v>4233.6400000000003</v>
      </c>
    </row>
    <row r="1718" spans="1:4" x14ac:dyDescent="0.2">
      <c r="A1718" s="23" t="s">
        <v>4275</v>
      </c>
      <c r="B1718" t="s">
        <v>4481</v>
      </c>
      <c r="C1718" s="22">
        <v>27313.88</v>
      </c>
      <c r="D1718" s="22">
        <v>425616.19</v>
      </c>
    </row>
    <row r="1719" spans="1:4" x14ac:dyDescent="0.2">
      <c r="A1719" s="23" t="s">
        <v>4276</v>
      </c>
      <c r="B1719" s="23" t="s">
        <v>4277</v>
      </c>
      <c r="C1719" s="22">
        <v>0</v>
      </c>
      <c r="D1719" s="22">
        <v>0</v>
      </c>
    </row>
    <row r="1720" spans="1:4" x14ac:dyDescent="0.2">
      <c r="A1720" s="23" t="s">
        <v>4278</v>
      </c>
      <c r="B1720" s="23" t="s">
        <v>4279</v>
      </c>
      <c r="C1720" s="22">
        <v>0</v>
      </c>
      <c r="D1720" s="22">
        <v>0</v>
      </c>
    </row>
    <row r="1721" spans="1:4" x14ac:dyDescent="0.2">
      <c r="A1721" s="23" t="s">
        <v>4280</v>
      </c>
      <c r="B1721" s="23" t="s">
        <v>4281</v>
      </c>
      <c r="C1721" s="22">
        <v>0</v>
      </c>
      <c r="D1721" s="22">
        <v>0</v>
      </c>
    </row>
    <row r="1722" spans="1:4" x14ac:dyDescent="0.2">
      <c r="A1722" s="23" t="s">
        <v>4282</v>
      </c>
      <c r="B1722" s="23" t="s">
        <v>4283</v>
      </c>
      <c r="C1722" s="22">
        <v>0</v>
      </c>
      <c r="D1722" s="22">
        <v>0</v>
      </c>
    </row>
    <row r="1723" spans="1:4" x14ac:dyDescent="0.2">
      <c r="A1723" s="23" t="s">
        <v>4284</v>
      </c>
      <c r="B1723" s="23" t="s">
        <v>4285</v>
      </c>
      <c r="C1723" s="22">
        <v>0</v>
      </c>
      <c r="D1723" s="22">
        <v>5385</v>
      </c>
    </row>
    <row r="1724" spans="1:4" x14ac:dyDescent="0.2">
      <c r="A1724" s="23" t="s">
        <v>4286</v>
      </c>
      <c r="B1724" s="23" t="s">
        <v>4287</v>
      </c>
      <c r="C1724" s="22">
        <v>0</v>
      </c>
      <c r="D1724" s="22">
        <v>0</v>
      </c>
    </row>
    <row r="1725" spans="1:4" x14ac:dyDescent="0.2">
      <c r="A1725" s="23" t="s">
        <v>4288</v>
      </c>
      <c r="B1725" s="23" t="s">
        <v>4289</v>
      </c>
      <c r="C1725" s="22">
        <v>0</v>
      </c>
      <c r="D1725" s="22">
        <v>0</v>
      </c>
    </row>
    <row r="1726" spans="1:4" x14ac:dyDescent="0.2">
      <c r="A1726" s="23" t="s">
        <v>4290</v>
      </c>
      <c r="B1726" s="23" t="s">
        <v>4291</v>
      </c>
      <c r="C1726" s="22">
        <v>-260318.48</v>
      </c>
      <c r="D1726" s="22">
        <v>4034049.88</v>
      </c>
    </row>
    <row r="1727" spans="1:4" x14ac:dyDescent="0.2">
      <c r="A1727" s="23" t="s">
        <v>4292</v>
      </c>
      <c r="B1727" s="23" t="s">
        <v>4293</v>
      </c>
      <c r="C1727" s="22">
        <v>0</v>
      </c>
      <c r="D1727" s="22">
        <v>0</v>
      </c>
    </row>
    <row r="1728" spans="1:4" x14ac:dyDescent="0.2">
      <c r="A1728" s="23" t="s">
        <v>4294</v>
      </c>
      <c r="B1728" s="23" t="s">
        <v>4295</v>
      </c>
      <c r="C1728" s="22">
        <v>29.59</v>
      </c>
      <c r="D1728" s="22">
        <v>1217.3699999999999</v>
      </c>
    </row>
    <row r="1729" spans="1:4" x14ac:dyDescent="0.2">
      <c r="A1729" s="23" t="s">
        <v>4296</v>
      </c>
      <c r="B1729" s="23" t="s">
        <v>4297</v>
      </c>
      <c r="C1729" s="22">
        <v>0</v>
      </c>
      <c r="D1729" s="22">
        <v>21.37</v>
      </c>
    </row>
    <row r="1730" spans="1:4" x14ac:dyDescent="0.2">
      <c r="A1730" s="23" t="s">
        <v>4298</v>
      </c>
      <c r="B1730" s="23" t="s">
        <v>4299</v>
      </c>
      <c r="C1730" s="22">
        <v>0</v>
      </c>
      <c r="D1730" s="22">
        <v>0</v>
      </c>
    </row>
    <row r="1731" spans="1:4" x14ac:dyDescent="0.2">
      <c r="A1731" s="23" t="s">
        <v>4300</v>
      </c>
      <c r="B1731" s="23" t="s">
        <v>4301</v>
      </c>
      <c r="C1731" s="22">
        <v>0</v>
      </c>
      <c r="D1731" s="22">
        <v>0</v>
      </c>
    </row>
    <row r="1732" spans="1:4" x14ac:dyDescent="0.2">
      <c r="A1732" s="23" t="s">
        <v>4302</v>
      </c>
      <c r="B1732" s="23" t="s">
        <v>4303</v>
      </c>
      <c r="C1732" s="22">
        <v>0</v>
      </c>
      <c r="D1732" s="22">
        <v>0</v>
      </c>
    </row>
    <row r="1733" spans="1:4" x14ac:dyDescent="0.2">
      <c r="A1733" s="23" t="s">
        <v>4304</v>
      </c>
      <c r="B1733" s="23" t="s">
        <v>4305</v>
      </c>
      <c r="C1733" s="22">
        <v>0</v>
      </c>
      <c r="D1733" s="22">
        <v>0</v>
      </c>
    </row>
    <row r="1734" spans="1:4" x14ac:dyDescent="0.2">
      <c r="A1734" s="23" t="s">
        <v>4306</v>
      </c>
      <c r="B1734" s="23" t="s">
        <v>4307</v>
      </c>
      <c r="C1734" s="22">
        <v>0</v>
      </c>
      <c r="D1734" s="22">
        <v>0</v>
      </c>
    </row>
    <row r="1735" spans="1:4" x14ac:dyDescent="0.2">
      <c r="A1735" s="23" t="s">
        <v>4308</v>
      </c>
      <c r="B1735" s="23" t="s">
        <v>4309</v>
      </c>
      <c r="C1735" s="22">
        <v>0</v>
      </c>
      <c r="D1735" s="22">
        <v>0</v>
      </c>
    </row>
    <row r="1736" spans="1:4" x14ac:dyDescent="0.2">
      <c r="A1736" s="23" t="s">
        <v>4310</v>
      </c>
      <c r="B1736" s="23" t="s">
        <v>4311</v>
      </c>
      <c r="C1736" s="22">
        <v>50998.77</v>
      </c>
      <c r="D1736" s="22">
        <v>1175440.48</v>
      </c>
    </row>
    <row r="1737" spans="1:4" x14ac:dyDescent="0.2">
      <c r="A1737" s="23" t="s">
        <v>4312</v>
      </c>
      <c r="B1737" s="23" t="s">
        <v>4313</v>
      </c>
      <c r="C1737" s="22">
        <v>0</v>
      </c>
      <c r="D1737" s="22">
        <v>0</v>
      </c>
    </row>
    <row r="1738" spans="1:4" x14ac:dyDescent="0.2">
      <c r="A1738" s="23" t="s">
        <v>4314</v>
      </c>
      <c r="B1738" s="23" t="s">
        <v>4315</v>
      </c>
      <c r="C1738" s="22">
        <v>0</v>
      </c>
      <c r="D1738" s="22">
        <v>0</v>
      </c>
    </row>
    <row r="1739" spans="1:4" x14ac:dyDescent="0.2">
      <c r="A1739" s="23" t="s">
        <v>4316</v>
      </c>
      <c r="B1739" s="23" t="s">
        <v>4317</v>
      </c>
      <c r="C1739" s="22">
        <v>0</v>
      </c>
      <c r="D1739" s="22">
        <v>0</v>
      </c>
    </row>
    <row r="1740" spans="1:4" x14ac:dyDescent="0.2">
      <c r="A1740" s="23" t="s">
        <v>4318</v>
      </c>
      <c r="B1740" s="23" t="s">
        <v>4319</v>
      </c>
      <c r="C1740" s="22">
        <v>0</v>
      </c>
      <c r="D1740" s="22">
        <v>0</v>
      </c>
    </row>
    <row r="1741" spans="1:4" x14ac:dyDescent="0.2">
      <c r="A1741" s="23" t="s">
        <v>4320</v>
      </c>
      <c r="B1741" s="23" t="s">
        <v>4321</v>
      </c>
      <c r="C1741" s="22">
        <v>0</v>
      </c>
      <c r="D1741" s="22">
        <v>0</v>
      </c>
    </row>
    <row r="1742" spans="1:4" x14ac:dyDescent="0.2">
      <c r="A1742" s="23" t="s">
        <v>4322</v>
      </c>
      <c r="B1742" s="23" t="s">
        <v>4323</v>
      </c>
      <c r="C1742" s="22">
        <v>0</v>
      </c>
      <c r="D1742" s="22">
        <v>0</v>
      </c>
    </row>
    <row r="1743" spans="1:4" x14ac:dyDescent="0.2">
      <c r="A1743" s="23" t="s">
        <v>4324</v>
      </c>
      <c r="B1743" s="23" t="s">
        <v>3453</v>
      </c>
      <c r="C1743" s="22">
        <v>0</v>
      </c>
      <c r="D1743" s="22">
        <v>0</v>
      </c>
    </row>
    <row r="1744" spans="1:4" x14ac:dyDescent="0.2">
      <c r="A1744" s="23" t="s">
        <v>3454</v>
      </c>
      <c r="B1744" s="23" t="s">
        <v>3455</v>
      </c>
      <c r="C1744" s="22">
        <v>0</v>
      </c>
      <c r="D1744" s="22">
        <v>0</v>
      </c>
    </row>
    <row r="1745" spans="1:4" x14ac:dyDescent="0.2">
      <c r="A1745" s="23" t="s">
        <v>3456</v>
      </c>
      <c r="B1745" s="23" t="s">
        <v>3457</v>
      </c>
      <c r="C1745" s="22">
        <v>0</v>
      </c>
      <c r="D1745" s="22">
        <v>0</v>
      </c>
    </row>
    <row r="1746" spans="1:4" x14ac:dyDescent="0.2">
      <c r="A1746" s="23" t="s">
        <v>3458</v>
      </c>
      <c r="B1746" s="23" t="s">
        <v>3459</v>
      </c>
      <c r="C1746" s="22">
        <v>0</v>
      </c>
      <c r="D1746" s="22">
        <v>0</v>
      </c>
    </row>
    <row r="1747" spans="1:4" x14ac:dyDescent="0.2">
      <c r="A1747" s="23" t="s">
        <v>3460</v>
      </c>
      <c r="B1747" s="23" t="s">
        <v>3461</v>
      </c>
      <c r="C1747" s="22">
        <v>0</v>
      </c>
      <c r="D1747" s="22">
        <v>0</v>
      </c>
    </row>
    <row r="1748" spans="1:4" x14ac:dyDescent="0.2">
      <c r="A1748" s="23" t="s">
        <v>3462</v>
      </c>
      <c r="B1748" s="23" t="s">
        <v>3463</v>
      </c>
      <c r="C1748" s="22">
        <v>0</v>
      </c>
      <c r="D1748" s="22">
        <v>0</v>
      </c>
    </row>
    <row r="1749" spans="1:4" x14ac:dyDescent="0.2">
      <c r="A1749" s="23" t="s">
        <v>3464</v>
      </c>
      <c r="B1749" t="s">
        <v>4481</v>
      </c>
      <c r="C1749" s="22">
        <v>-209290.12</v>
      </c>
      <c r="D1749" s="22">
        <v>5216114.0999999996</v>
      </c>
    </row>
    <row r="1750" spans="1:4" x14ac:dyDescent="0.2">
      <c r="A1750" s="23" t="s">
        <v>3465</v>
      </c>
      <c r="B1750" s="23" t="s">
        <v>3466</v>
      </c>
      <c r="C1750" s="22">
        <v>99.53</v>
      </c>
      <c r="D1750" s="22">
        <v>1139.8900000000001</v>
      </c>
    </row>
    <row r="1751" spans="1:4" x14ac:dyDescent="0.2">
      <c r="A1751" s="23" t="s">
        <v>3467</v>
      </c>
      <c r="B1751" s="23" t="s">
        <v>3468</v>
      </c>
      <c r="C1751" s="22">
        <v>11370.93</v>
      </c>
      <c r="D1751" s="22">
        <v>48003.29</v>
      </c>
    </row>
    <row r="1752" spans="1:4" x14ac:dyDescent="0.2">
      <c r="A1752" s="23" t="s">
        <v>3469</v>
      </c>
      <c r="B1752" s="23" t="s">
        <v>3470</v>
      </c>
      <c r="C1752" s="22">
        <v>385617.26</v>
      </c>
      <c r="D1752" s="22">
        <v>2921207.07</v>
      </c>
    </row>
    <row r="1753" spans="1:4" x14ac:dyDescent="0.2">
      <c r="A1753" s="23" t="s">
        <v>3471</v>
      </c>
      <c r="B1753" s="23" t="s">
        <v>3472</v>
      </c>
      <c r="C1753" s="22">
        <v>392756.32</v>
      </c>
      <c r="D1753" s="22">
        <v>3406140.11</v>
      </c>
    </row>
    <row r="1754" spans="1:4" x14ac:dyDescent="0.2">
      <c r="A1754" s="23" t="s">
        <v>3473</v>
      </c>
      <c r="B1754" s="23" t="s">
        <v>3474</v>
      </c>
      <c r="C1754" s="22">
        <v>385067.84</v>
      </c>
      <c r="D1754" s="22">
        <v>3590967</v>
      </c>
    </row>
    <row r="1755" spans="1:4" x14ac:dyDescent="0.2">
      <c r="A1755" s="23" t="s">
        <v>3475</v>
      </c>
      <c r="B1755" s="23" t="s">
        <v>3476</v>
      </c>
      <c r="C1755" s="22">
        <v>349345.29</v>
      </c>
      <c r="D1755" s="22">
        <v>6778927.8799999999</v>
      </c>
    </row>
    <row r="1756" spans="1:4" x14ac:dyDescent="0.2">
      <c r="A1756" s="23" t="s">
        <v>3477</v>
      </c>
      <c r="B1756" s="23" t="s">
        <v>3478</v>
      </c>
      <c r="C1756" s="22">
        <v>49303.02</v>
      </c>
      <c r="D1756" s="22">
        <v>459090.11</v>
      </c>
    </row>
    <row r="1757" spans="1:4" x14ac:dyDescent="0.2">
      <c r="A1757" s="23" t="s">
        <v>3479</v>
      </c>
      <c r="B1757" s="23" t="s">
        <v>3480</v>
      </c>
      <c r="C1757" s="22">
        <v>0</v>
      </c>
      <c r="D1757" s="22">
        <v>0</v>
      </c>
    </row>
    <row r="1758" spans="1:4" x14ac:dyDescent="0.2">
      <c r="A1758" s="23" t="s">
        <v>3481</v>
      </c>
      <c r="B1758" s="23" t="s">
        <v>3482</v>
      </c>
      <c r="C1758" s="22">
        <v>1023434.42</v>
      </c>
      <c r="D1758" s="22">
        <v>11994982.15</v>
      </c>
    </row>
    <row r="1759" spans="1:4" x14ac:dyDescent="0.2">
      <c r="A1759" s="23" t="s">
        <v>3483</v>
      </c>
      <c r="B1759" s="23" t="s">
        <v>3484</v>
      </c>
      <c r="C1759" s="22">
        <v>0</v>
      </c>
      <c r="D1759" s="22">
        <v>0</v>
      </c>
    </row>
    <row r="1760" spans="1:4" x14ac:dyDescent="0.2">
      <c r="A1760" s="23" t="s">
        <v>3485</v>
      </c>
      <c r="B1760" s="23" t="s">
        <v>3486</v>
      </c>
      <c r="C1760" s="22">
        <v>0</v>
      </c>
      <c r="D1760" s="22">
        <v>0</v>
      </c>
    </row>
    <row r="1761" spans="1:4" x14ac:dyDescent="0.2">
      <c r="A1761" s="23" t="s">
        <v>3487</v>
      </c>
      <c r="B1761" s="23" t="s">
        <v>3488</v>
      </c>
      <c r="C1761" s="22">
        <v>0</v>
      </c>
      <c r="D1761" s="22">
        <v>0</v>
      </c>
    </row>
    <row r="1762" spans="1:4" x14ac:dyDescent="0.2">
      <c r="A1762" s="23" t="s">
        <v>3489</v>
      </c>
      <c r="B1762" s="23" t="s">
        <v>3490</v>
      </c>
      <c r="C1762" s="22">
        <v>0</v>
      </c>
      <c r="D1762" s="22">
        <v>0</v>
      </c>
    </row>
    <row r="1763" spans="1:4" x14ac:dyDescent="0.2">
      <c r="A1763" s="23" t="s">
        <v>3491</v>
      </c>
      <c r="B1763" s="23" t="s">
        <v>3492</v>
      </c>
      <c r="C1763" s="22">
        <v>0</v>
      </c>
      <c r="D1763" s="22">
        <v>0</v>
      </c>
    </row>
    <row r="1764" spans="1:4" x14ac:dyDescent="0.2">
      <c r="A1764" s="23" t="s">
        <v>3493</v>
      </c>
      <c r="B1764" s="23" t="s">
        <v>3494</v>
      </c>
      <c r="C1764" s="22">
        <v>0</v>
      </c>
      <c r="D1764" s="22">
        <v>-21.84</v>
      </c>
    </row>
    <row r="1765" spans="1:4" x14ac:dyDescent="0.2">
      <c r="A1765" s="23" t="s">
        <v>3495</v>
      </c>
      <c r="B1765" s="23" t="s">
        <v>3496</v>
      </c>
      <c r="C1765" s="22">
        <v>0</v>
      </c>
      <c r="D1765" s="22">
        <v>0</v>
      </c>
    </row>
    <row r="1766" spans="1:4" x14ac:dyDescent="0.2">
      <c r="A1766" s="23" t="s">
        <v>3497</v>
      </c>
      <c r="B1766" s="23" t="s">
        <v>3498</v>
      </c>
      <c r="C1766" s="22">
        <v>0</v>
      </c>
      <c r="D1766" s="22">
        <v>0</v>
      </c>
    </row>
    <row r="1767" spans="1:4" x14ac:dyDescent="0.2">
      <c r="A1767" s="23" t="s">
        <v>3499</v>
      </c>
      <c r="B1767" s="23" t="s">
        <v>3500</v>
      </c>
      <c r="C1767" s="22">
        <v>0</v>
      </c>
      <c r="D1767" s="22">
        <v>0</v>
      </c>
    </row>
    <row r="1768" spans="1:4" x14ac:dyDescent="0.2">
      <c r="A1768" s="23" t="s">
        <v>3501</v>
      </c>
      <c r="B1768" s="23" t="s">
        <v>3502</v>
      </c>
      <c r="C1768" s="22">
        <v>0</v>
      </c>
      <c r="D1768" s="22">
        <v>1800.89</v>
      </c>
    </row>
    <row r="1769" spans="1:4" x14ac:dyDescent="0.2">
      <c r="A1769" s="23" t="s">
        <v>3503</v>
      </c>
      <c r="B1769" s="23" t="s">
        <v>3504</v>
      </c>
      <c r="C1769" s="22">
        <v>0</v>
      </c>
      <c r="D1769" s="22">
        <v>0</v>
      </c>
    </row>
    <row r="1770" spans="1:4" x14ac:dyDescent="0.2">
      <c r="A1770" s="23" t="s">
        <v>5542</v>
      </c>
      <c r="B1770" s="23" t="s">
        <v>5543</v>
      </c>
      <c r="C1770" s="22">
        <v>0</v>
      </c>
      <c r="D1770" s="22">
        <v>0</v>
      </c>
    </row>
    <row r="1771" spans="1:4" x14ac:dyDescent="0.2">
      <c r="A1771" s="23" t="s">
        <v>5544</v>
      </c>
      <c r="B1771" s="23" t="s">
        <v>3507</v>
      </c>
      <c r="C1771" s="22">
        <v>0</v>
      </c>
      <c r="D1771" s="22">
        <v>0</v>
      </c>
    </row>
    <row r="1772" spans="1:4" x14ac:dyDescent="0.2">
      <c r="A1772" s="23" t="s">
        <v>3508</v>
      </c>
      <c r="B1772" s="23" t="s">
        <v>3509</v>
      </c>
      <c r="C1772" s="22">
        <v>0</v>
      </c>
      <c r="D1772" s="22">
        <v>0</v>
      </c>
    </row>
    <row r="1773" spans="1:4" x14ac:dyDescent="0.2">
      <c r="A1773" s="23" t="s">
        <v>3510</v>
      </c>
      <c r="B1773" s="23" t="s">
        <v>3511</v>
      </c>
      <c r="C1773" s="22">
        <v>0</v>
      </c>
      <c r="D1773" s="22">
        <v>0</v>
      </c>
    </row>
    <row r="1774" spans="1:4" x14ac:dyDescent="0.2">
      <c r="A1774" s="23" t="s">
        <v>3512</v>
      </c>
      <c r="B1774" s="23" t="s">
        <v>3513</v>
      </c>
      <c r="C1774" s="22">
        <v>0</v>
      </c>
      <c r="D1774" s="22">
        <v>0</v>
      </c>
    </row>
    <row r="1775" spans="1:4" x14ac:dyDescent="0.2">
      <c r="A1775" s="23" t="s">
        <v>3514</v>
      </c>
      <c r="B1775" s="23" t="s">
        <v>3515</v>
      </c>
      <c r="C1775" s="22">
        <v>0</v>
      </c>
      <c r="D1775" s="22">
        <v>0</v>
      </c>
    </row>
    <row r="1776" spans="1:4" x14ac:dyDescent="0.2">
      <c r="A1776" s="23" t="s">
        <v>3516</v>
      </c>
      <c r="B1776" s="23" t="s">
        <v>3517</v>
      </c>
      <c r="C1776" s="22">
        <v>0</v>
      </c>
      <c r="D1776" s="22">
        <v>0</v>
      </c>
    </row>
    <row r="1777" spans="1:4" x14ac:dyDescent="0.2">
      <c r="A1777" s="23" t="s">
        <v>3518</v>
      </c>
      <c r="B1777" s="23" t="s">
        <v>3519</v>
      </c>
      <c r="C1777" s="22">
        <v>5932.56</v>
      </c>
      <c r="D1777" s="22">
        <v>45498.19</v>
      </c>
    </row>
    <row r="1778" spans="1:4" x14ac:dyDescent="0.2">
      <c r="A1778" s="23" t="s">
        <v>3520</v>
      </c>
      <c r="B1778" s="23" t="s">
        <v>3521</v>
      </c>
      <c r="C1778" s="22">
        <v>0</v>
      </c>
      <c r="D1778" s="22">
        <v>0</v>
      </c>
    </row>
    <row r="1779" spans="1:4" x14ac:dyDescent="0.2">
      <c r="A1779" s="23" t="s">
        <v>3522</v>
      </c>
      <c r="B1779" s="23" t="s">
        <v>3523</v>
      </c>
      <c r="C1779" s="22">
        <v>0</v>
      </c>
      <c r="D1779" s="22">
        <v>0</v>
      </c>
    </row>
    <row r="1780" spans="1:4" x14ac:dyDescent="0.2">
      <c r="A1780" s="23" t="s">
        <v>3524</v>
      </c>
      <c r="B1780" s="23" t="s">
        <v>3525</v>
      </c>
      <c r="C1780" s="22">
        <v>109717.97</v>
      </c>
      <c r="D1780" s="22">
        <v>744159.32</v>
      </c>
    </row>
    <row r="1781" spans="1:4" x14ac:dyDescent="0.2">
      <c r="A1781" s="23" t="s">
        <v>3526</v>
      </c>
      <c r="B1781" s="23" t="s">
        <v>3527</v>
      </c>
      <c r="C1781" s="22">
        <v>0</v>
      </c>
      <c r="D1781" s="22">
        <v>0</v>
      </c>
    </row>
    <row r="1782" spans="1:4" x14ac:dyDescent="0.2">
      <c r="A1782" s="23" t="s">
        <v>3528</v>
      </c>
      <c r="B1782" s="23" t="s">
        <v>3529</v>
      </c>
      <c r="C1782" s="22">
        <v>169853.06</v>
      </c>
      <c r="D1782" s="22">
        <v>3416976.91</v>
      </c>
    </row>
    <row r="1783" spans="1:4" x14ac:dyDescent="0.2">
      <c r="A1783" s="23" t="s">
        <v>3530</v>
      </c>
      <c r="B1783" s="23" t="s">
        <v>3531</v>
      </c>
      <c r="C1783" s="22">
        <v>154435.06</v>
      </c>
      <c r="D1783" s="22">
        <v>2659721.5499999998</v>
      </c>
    </row>
    <row r="1784" spans="1:4" x14ac:dyDescent="0.2">
      <c r="A1784" s="23" t="s">
        <v>3532</v>
      </c>
      <c r="B1784" s="23" t="s">
        <v>3533</v>
      </c>
      <c r="C1784" s="22">
        <v>0</v>
      </c>
      <c r="D1784" s="22">
        <v>0</v>
      </c>
    </row>
    <row r="1785" spans="1:4" x14ac:dyDescent="0.2">
      <c r="A1785" s="23" t="s">
        <v>3534</v>
      </c>
      <c r="B1785" s="23" t="s">
        <v>3535</v>
      </c>
      <c r="C1785" s="22">
        <v>0</v>
      </c>
      <c r="D1785" s="22">
        <v>0</v>
      </c>
    </row>
    <row r="1786" spans="1:4" x14ac:dyDescent="0.2">
      <c r="A1786" s="23" t="s">
        <v>3536</v>
      </c>
      <c r="B1786" s="23" t="s">
        <v>3537</v>
      </c>
      <c r="C1786" s="22">
        <v>17861.490000000002</v>
      </c>
      <c r="D1786" s="22">
        <v>440851.8</v>
      </c>
    </row>
    <row r="1787" spans="1:4" x14ac:dyDescent="0.2">
      <c r="A1787" s="23" t="s">
        <v>3538</v>
      </c>
      <c r="B1787" s="23" t="s">
        <v>3539</v>
      </c>
      <c r="C1787" s="22">
        <v>0</v>
      </c>
      <c r="D1787" s="22">
        <v>4585.8100000000004</v>
      </c>
    </row>
    <row r="1788" spans="1:4" x14ac:dyDescent="0.2">
      <c r="A1788" s="23" t="s">
        <v>3540</v>
      </c>
      <c r="B1788" s="23" t="s">
        <v>3539</v>
      </c>
      <c r="C1788" s="22">
        <v>1000</v>
      </c>
      <c r="D1788" s="22">
        <v>6634.26</v>
      </c>
    </row>
    <row r="1789" spans="1:4" x14ac:dyDescent="0.2">
      <c r="A1789" s="23" t="s">
        <v>3541</v>
      </c>
      <c r="B1789" s="23" t="s">
        <v>3539</v>
      </c>
      <c r="C1789" s="22">
        <v>19048.36</v>
      </c>
      <c r="D1789" s="22">
        <v>23995.38</v>
      </c>
    </row>
    <row r="1790" spans="1:4" x14ac:dyDescent="0.2">
      <c r="A1790" s="23" t="s">
        <v>3542</v>
      </c>
      <c r="B1790" s="23" t="s">
        <v>3539</v>
      </c>
      <c r="C1790" s="22">
        <v>0</v>
      </c>
      <c r="D1790" s="22">
        <v>262584.68</v>
      </c>
    </row>
    <row r="1791" spans="1:4" x14ac:dyDescent="0.2">
      <c r="A1791" s="23" t="s">
        <v>3543</v>
      </c>
      <c r="B1791" t="s">
        <v>4481</v>
      </c>
      <c r="C1791" s="22">
        <v>3074843.11</v>
      </c>
      <c r="D1791" s="22">
        <v>36807244.450000003</v>
      </c>
    </row>
    <row r="1792" spans="1:4" x14ac:dyDescent="0.2">
      <c r="A1792" s="23" t="s">
        <v>3544</v>
      </c>
      <c r="B1792" s="23" t="s">
        <v>3545</v>
      </c>
      <c r="C1792" s="22">
        <v>0</v>
      </c>
      <c r="D1792" s="22">
        <v>0</v>
      </c>
    </row>
    <row r="1793" spans="1:4" x14ac:dyDescent="0.2">
      <c r="A1793" s="23" t="s">
        <v>3546</v>
      </c>
      <c r="B1793" s="23" t="s">
        <v>3547</v>
      </c>
      <c r="C1793" s="22">
        <v>0</v>
      </c>
      <c r="D1793" s="22">
        <v>0</v>
      </c>
    </row>
    <row r="1794" spans="1:4" x14ac:dyDescent="0.2">
      <c r="A1794" s="23" t="s">
        <v>3548</v>
      </c>
      <c r="B1794" s="23" t="s">
        <v>3549</v>
      </c>
      <c r="C1794" s="22">
        <v>54939.79</v>
      </c>
      <c r="D1794" s="22">
        <v>613795.35</v>
      </c>
    </row>
    <row r="1795" spans="1:4" x14ac:dyDescent="0.2">
      <c r="A1795" s="23" t="s">
        <v>3550</v>
      </c>
      <c r="B1795" s="23" t="s">
        <v>3551</v>
      </c>
      <c r="C1795" s="22">
        <v>30454.83</v>
      </c>
      <c r="D1795" s="22">
        <v>446536.8</v>
      </c>
    </row>
    <row r="1796" spans="1:4" x14ac:dyDescent="0.2">
      <c r="A1796" s="23" t="s">
        <v>3552</v>
      </c>
      <c r="B1796" s="23" t="s">
        <v>3553</v>
      </c>
      <c r="C1796" s="22">
        <v>602621.16</v>
      </c>
      <c r="D1796" s="22">
        <v>1075481.1499999999</v>
      </c>
    </row>
    <row r="1797" spans="1:4" x14ac:dyDescent="0.2">
      <c r="A1797" s="23" t="s">
        <v>3554</v>
      </c>
      <c r="B1797" s="23" t="s">
        <v>3555</v>
      </c>
      <c r="C1797" s="22">
        <v>123924.07</v>
      </c>
      <c r="D1797" s="22">
        <v>4239649.18</v>
      </c>
    </row>
    <row r="1798" spans="1:4" x14ac:dyDescent="0.2">
      <c r="A1798" s="23" t="s">
        <v>3556</v>
      </c>
      <c r="B1798" s="23" t="s">
        <v>3557</v>
      </c>
      <c r="C1798" s="22">
        <v>94103.92</v>
      </c>
      <c r="D1798" s="22">
        <v>1633205.19</v>
      </c>
    </row>
    <row r="1799" spans="1:4" x14ac:dyDescent="0.2">
      <c r="A1799" s="23" t="s">
        <v>3558</v>
      </c>
      <c r="B1799" s="23" t="s">
        <v>3559</v>
      </c>
      <c r="C1799" s="22">
        <v>0</v>
      </c>
      <c r="D1799" s="22">
        <v>0</v>
      </c>
    </row>
    <row r="1800" spans="1:4" x14ac:dyDescent="0.2">
      <c r="A1800" s="23" t="s">
        <v>3560</v>
      </c>
      <c r="B1800" s="23" t="s">
        <v>3561</v>
      </c>
      <c r="C1800" s="22">
        <v>0</v>
      </c>
      <c r="D1800" s="22">
        <v>0</v>
      </c>
    </row>
    <row r="1801" spans="1:4" x14ac:dyDescent="0.2">
      <c r="A1801" s="23" t="s">
        <v>3562</v>
      </c>
      <c r="B1801" s="23" t="s">
        <v>3563</v>
      </c>
      <c r="C1801" s="22">
        <v>0</v>
      </c>
      <c r="D1801" s="22">
        <v>0</v>
      </c>
    </row>
    <row r="1802" spans="1:4" x14ac:dyDescent="0.2">
      <c r="A1802" s="23" t="s">
        <v>3564</v>
      </c>
      <c r="B1802" s="23" t="s">
        <v>3565</v>
      </c>
      <c r="C1802" s="22">
        <v>0</v>
      </c>
      <c r="D1802" s="22">
        <v>0</v>
      </c>
    </row>
    <row r="1803" spans="1:4" x14ac:dyDescent="0.2">
      <c r="A1803" s="23" t="s">
        <v>3566</v>
      </c>
      <c r="B1803" s="23" t="s">
        <v>3567</v>
      </c>
      <c r="C1803" s="22">
        <v>0</v>
      </c>
      <c r="D1803" s="22">
        <v>0</v>
      </c>
    </row>
    <row r="1804" spans="1:4" x14ac:dyDescent="0.2">
      <c r="A1804" s="23" t="s">
        <v>3568</v>
      </c>
      <c r="B1804" s="23" t="s">
        <v>3569</v>
      </c>
      <c r="C1804" s="22">
        <v>0</v>
      </c>
      <c r="D1804" s="22">
        <v>0</v>
      </c>
    </row>
    <row r="1805" spans="1:4" x14ac:dyDescent="0.2">
      <c r="A1805" s="23" t="s">
        <v>3570</v>
      </c>
      <c r="B1805" s="23" t="s">
        <v>3571</v>
      </c>
      <c r="C1805" s="22">
        <v>0</v>
      </c>
      <c r="D1805" s="22">
        <v>0</v>
      </c>
    </row>
    <row r="1806" spans="1:4" x14ac:dyDescent="0.2">
      <c r="A1806" s="23" t="s">
        <v>3572</v>
      </c>
      <c r="B1806" s="23" t="s">
        <v>3573</v>
      </c>
      <c r="C1806" s="22">
        <v>0</v>
      </c>
      <c r="D1806" s="22">
        <v>0</v>
      </c>
    </row>
    <row r="1807" spans="1:4" x14ac:dyDescent="0.2">
      <c r="A1807" s="23" t="s">
        <v>3574</v>
      </c>
      <c r="B1807" s="23" t="s">
        <v>3575</v>
      </c>
      <c r="C1807" s="22">
        <v>0</v>
      </c>
      <c r="D1807" s="22">
        <v>0</v>
      </c>
    </row>
    <row r="1808" spans="1:4" x14ac:dyDescent="0.2">
      <c r="A1808" s="23" t="s">
        <v>3576</v>
      </c>
      <c r="B1808" s="23" t="s">
        <v>3577</v>
      </c>
      <c r="C1808" s="22">
        <v>0</v>
      </c>
      <c r="D1808" s="22">
        <v>0</v>
      </c>
    </row>
    <row r="1809" spans="1:4" x14ac:dyDescent="0.2">
      <c r="A1809" s="23" t="s">
        <v>3578</v>
      </c>
      <c r="B1809" s="23" t="s">
        <v>3579</v>
      </c>
      <c r="C1809" s="22">
        <v>0</v>
      </c>
      <c r="D1809" s="22">
        <v>0</v>
      </c>
    </row>
    <row r="1810" spans="1:4" x14ac:dyDescent="0.2">
      <c r="A1810" s="23" t="s">
        <v>3580</v>
      </c>
      <c r="B1810" s="23" t="s">
        <v>3581</v>
      </c>
      <c r="C1810" s="22">
        <v>0</v>
      </c>
      <c r="D1810" s="22">
        <v>0</v>
      </c>
    </row>
    <row r="1811" spans="1:4" x14ac:dyDescent="0.2">
      <c r="A1811" s="23" t="s">
        <v>3582</v>
      </c>
      <c r="B1811" s="23" t="s">
        <v>3583</v>
      </c>
      <c r="C1811" s="22">
        <v>0</v>
      </c>
      <c r="D1811" s="22">
        <v>0</v>
      </c>
    </row>
    <row r="1812" spans="1:4" x14ac:dyDescent="0.2">
      <c r="A1812" s="23" t="s">
        <v>3584</v>
      </c>
      <c r="B1812" s="23" t="s">
        <v>3585</v>
      </c>
      <c r="C1812" s="22">
        <v>0</v>
      </c>
      <c r="D1812" s="22">
        <v>0</v>
      </c>
    </row>
    <row r="1813" spans="1:4" x14ac:dyDescent="0.2">
      <c r="A1813" s="23" t="s">
        <v>3586</v>
      </c>
      <c r="B1813" s="23" t="s">
        <v>3587</v>
      </c>
      <c r="C1813" s="22">
        <v>0</v>
      </c>
      <c r="D1813" s="22">
        <v>0</v>
      </c>
    </row>
    <row r="1814" spans="1:4" x14ac:dyDescent="0.2">
      <c r="A1814" s="23" t="s">
        <v>3588</v>
      </c>
      <c r="B1814" s="23" t="s">
        <v>3589</v>
      </c>
      <c r="C1814" s="22">
        <v>0</v>
      </c>
      <c r="D1814" s="22">
        <v>0</v>
      </c>
    </row>
    <row r="1815" spans="1:4" x14ac:dyDescent="0.2">
      <c r="A1815" s="23" t="s">
        <v>3590</v>
      </c>
      <c r="B1815" s="23" t="s">
        <v>3591</v>
      </c>
      <c r="C1815" s="22">
        <v>0</v>
      </c>
      <c r="D1815" s="22">
        <v>0</v>
      </c>
    </row>
    <row r="1816" spans="1:4" x14ac:dyDescent="0.2">
      <c r="A1816" s="23" t="s">
        <v>3592</v>
      </c>
      <c r="B1816" s="23" t="s">
        <v>3593</v>
      </c>
      <c r="C1816" s="22">
        <v>0</v>
      </c>
      <c r="D1816" s="22">
        <v>0</v>
      </c>
    </row>
    <row r="1817" spans="1:4" x14ac:dyDescent="0.2">
      <c r="A1817" s="23" t="s">
        <v>3594</v>
      </c>
      <c r="B1817" s="23" t="s">
        <v>3595</v>
      </c>
      <c r="C1817" s="22">
        <v>0</v>
      </c>
      <c r="D1817" s="22">
        <v>0</v>
      </c>
    </row>
    <row r="1818" spans="1:4" x14ac:dyDescent="0.2">
      <c r="A1818" s="23" t="s">
        <v>3837</v>
      </c>
      <c r="B1818" s="23" t="s">
        <v>3838</v>
      </c>
      <c r="C1818" s="22">
        <v>0</v>
      </c>
      <c r="D1818" s="22">
        <v>3915.85</v>
      </c>
    </row>
    <row r="1819" spans="1:4" x14ac:dyDescent="0.2">
      <c r="A1819" s="23" t="s">
        <v>3839</v>
      </c>
      <c r="B1819" s="23" t="s">
        <v>3840</v>
      </c>
      <c r="C1819" s="22">
        <v>0</v>
      </c>
      <c r="D1819" s="22">
        <v>0</v>
      </c>
    </row>
    <row r="1820" spans="1:4" x14ac:dyDescent="0.2">
      <c r="A1820" s="23" t="s">
        <v>3841</v>
      </c>
      <c r="B1820" s="23" t="s">
        <v>3842</v>
      </c>
      <c r="C1820" s="22">
        <v>0</v>
      </c>
      <c r="D1820" s="22">
        <v>0</v>
      </c>
    </row>
    <row r="1821" spans="1:4" x14ac:dyDescent="0.2">
      <c r="A1821" s="23" t="s">
        <v>3843</v>
      </c>
      <c r="B1821" s="23" t="s">
        <v>3844</v>
      </c>
      <c r="C1821" s="22">
        <v>0</v>
      </c>
      <c r="D1821" s="22">
        <v>0</v>
      </c>
    </row>
    <row r="1822" spans="1:4" x14ac:dyDescent="0.2">
      <c r="A1822" s="23" t="s">
        <v>3845</v>
      </c>
      <c r="B1822" s="23" t="s">
        <v>3846</v>
      </c>
      <c r="C1822" s="22">
        <v>23430.78</v>
      </c>
      <c r="D1822" s="22">
        <v>146189.48000000001</v>
      </c>
    </row>
    <row r="1823" spans="1:4" x14ac:dyDescent="0.2">
      <c r="A1823" s="23" t="s">
        <v>3847</v>
      </c>
      <c r="B1823" t="s">
        <v>4481</v>
      </c>
      <c r="C1823" s="22">
        <v>929474.55</v>
      </c>
      <c r="D1823" s="22">
        <v>8158773</v>
      </c>
    </row>
    <row r="1824" spans="1:4" x14ac:dyDescent="0.2">
      <c r="A1824" s="23" t="s">
        <v>2995</v>
      </c>
      <c r="B1824" s="23" t="s">
        <v>2996</v>
      </c>
      <c r="C1824" s="22">
        <v>0</v>
      </c>
      <c r="D1824" s="22">
        <v>271.01</v>
      </c>
    </row>
    <row r="1825" spans="1:4" x14ac:dyDescent="0.2">
      <c r="A1825" s="23" t="s">
        <v>2997</v>
      </c>
      <c r="B1825" s="23" t="s">
        <v>2998</v>
      </c>
      <c r="C1825" s="22">
        <v>108984.53</v>
      </c>
      <c r="D1825" s="22">
        <v>1700027.92</v>
      </c>
    </row>
    <row r="1826" spans="1:4" x14ac:dyDescent="0.2">
      <c r="A1826" s="23" t="s">
        <v>2999</v>
      </c>
      <c r="B1826" s="23" t="s">
        <v>3000</v>
      </c>
      <c r="C1826" s="22">
        <v>0</v>
      </c>
      <c r="D1826" s="22">
        <v>0</v>
      </c>
    </row>
    <row r="1827" spans="1:4" x14ac:dyDescent="0.2">
      <c r="A1827" s="23" t="s">
        <v>3001</v>
      </c>
      <c r="B1827" s="23" t="s">
        <v>3002</v>
      </c>
      <c r="C1827" s="22">
        <v>0</v>
      </c>
      <c r="D1827" s="22">
        <v>0</v>
      </c>
    </row>
    <row r="1828" spans="1:4" x14ac:dyDescent="0.2">
      <c r="A1828" s="23" t="s">
        <v>3003</v>
      </c>
      <c r="B1828" s="23" t="s">
        <v>3004</v>
      </c>
      <c r="C1828" s="22">
        <v>0</v>
      </c>
      <c r="D1828" s="22">
        <v>0</v>
      </c>
    </row>
    <row r="1829" spans="1:4" x14ac:dyDescent="0.2">
      <c r="A1829" s="23" t="s">
        <v>3005</v>
      </c>
      <c r="B1829" s="23" t="s">
        <v>3006</v>
      </c>
      <c r="C1829" s="22">
        <v>0</v>
      </c>
      <c r="D1829" s="22">
        <v>0</v>
      </c>
    </row>
    <row r="1830" spans="1:4" x14ac:dyDescent="0.2">
      <c r="A1830" s="23" t="s">
        <v>3859</v>
      </c>
      <c r="B1830" s="23" t="s">
        <v>3860</v>
      </c>
      <c r="C1830" s="22">
        <v>0</v>
      </c>
      <c r="D1830" s="22">
        <v>0</v>
      </c>
    </row>
    <row r="1831" spans="1:4" x14ac:dyDescent="0.2">
      <c r="A1831" s="23" t="s">
        <v>3861</v>
      </c>
      <c r="B1831" s="23" t="s">
        <v>3862</v>
      </c>
      <c r="C1831" s="22">
        <v>0</v>
      </c>
      <c r="D1831" s="22">
        <v>0</v>
      </c>
    </row>
    <row r="1832" spans="1:4" x14ac:dyDescent="0.2">
      <c r="A1832" s="23" t="s">
        <v>3863</v>
      </c>
      <c r="B1832" s="23" t="s">
        <v>3864</v>
      </c>
      <c r="C1832" s="22">
        <v>0</v>
      </c>
      <c r="D1832" s="22">
        <v>0</v>
      </c>
    </row>
    <row r="1833" spans="1:4" x14ac:dyDescent="0.2">
      <c r="A1833" s="23" t="s">
        <v>3865</v>
      </c>
      <c r="B1833" s="23" t="s">
        <v>3866</v>
      </c>
      <c r="C1833" s="22">
        <v>0</v>
      </c>
      <c r="D1833" s="22">
        <v>0</v>
      </c>
    </row>
    <row r="1834" spans="1:4" x14ac:dyDescent="0.2">
      <c r="A1834" s="23" t="s">
        <v>3867</v>
      </c>
      <c r="B1834" s="23" t="s">
        <v>3868</v>
      </c>
      <c r="C1834" s="22">
        <v>0</v>
      </c>
      <c r="D1834" s="22">
        <v>0</v>
      </c>
    </row>
    <row r="1835" spans="1:4" x14ac:dyDescent="0.2">
      <c r="A1835" s="23" t="s">
        <v>3869</v>
      </c>
      <c r="B1835" s="23" t="s">
        <v>3870</v>
      </c>
      <c r="C1835" s="22">
        <v>0</v>
      </c>
      <c r="D1835" s="22">
        <v>0</v>
      </c>
    </row>
    <row r="1836" spans="1:4" x14ac:dyDescent="0.2">
      <c r="A1836" s="23" t="s">
        <v>3871</v>
      </c>
      <c r="B1836" t="s">
        <v>4481</v>
      </c>
      <c r="C1836" s="22">
        <v>108984.53</v>
      </c>
      <c r="D1836" s="22">
        <v>1700298.93</v>
      </c>
    </row>
    <row r="1837" spans="1:4" x14ac:dyDescent="0.2">
      <c r="A1837" s="23" t="s">
        <v>3872</v>
      </c>
      <c r="B1837" s="23" t="s">
        <v>3873</v>
      </c>
      <c r="C1837" s="22">
        <v>4031.84</v>
      </c>
      <c r="D1837" s="22">
        <v>50986.09</v>
      </c>
    </row>
    <row r="1838" spans="1:4" x14ac:dyDescent="0.2">
      <c r="A1838" s="23" t="s">
        <v>3874</v>
      </c>
      <c r="B1838" s="23" t="s">
        <v>3875</v>
      </c>
      <c r="C1838" s="22">
        <v>0</v>
      </c>
      <c r="D1838" s="22">
        <v>0</v>
      </c>
    </row>
    <row r="1839" spans="1:4" x14ac:dyDescent="0.2">
      <c r="A1839" s="23" t="s">
        <v>3876</v>
      </c>
      <c r="B1839" s="23" t="s">
        <v>3877</v>
      </c>
      <c r="C1839" s="22">
        <v>0</v>
      </c>
      <c r="D1839" s="22">
        <v>0</v>
      </c>
    </row>
    <row r="1840" spans="1:4" x14ac:dyDescent="0.2">
      <c r="A1840" s="23" t="s">
        <v>3878</v>
      </c>
      <c r="B1840" s="23" t="s">
        <v>3879</v>
      </c>
      <c r="C1840" s="22">
        <v>204887.13</v>
      </c>
      <c r="D1840" s="22">
        <v>2526010.92</v>
      </c>
    </row>
    <row r="1841" spans="1:4" x14ac:dyDescent="0.2">
      <c r="A1841" s="23" t="s">
        <v>3880</v>
      </c>
      <c r="B1841" s="23" t="s">
        <v>3881</v>
      </c>
      <c r="C1841" s="22">
        <v>0</v>
      </c>
      <c r="D1841" s="22">
        <v>0</v>
      </c>
    </row>
    <row r="1842" spans="1:4" x14ac:dyDescent="0.2">
      <c r="A1842" s="23" t="s">
        <v>3882</v>
      </c>
      <c r="B1842" s="23" t="s">
        <v>3883</v>
      </c>
      <c r="C1842" s="22">
        <v>133884.21</v>
      </c>
      <c r="D1842" s="22">
        <v>1491021.16</v>
      </c>
    </row>
    <row r="1843" spans="1:4" x14ac:dyDescent="0.2">
      <c r="A1843" s="23" t="s">
        <v>3884</v>
      </c>
      <c r="B1843" s="23" t="s">
        <v>3885</v>
      </c>
      <c r="C1843" s="22">
        <v>0</v>
      </c>
      <c r="D1843" s="22">
        <v>1302.8399999999999</v>
      </c>
    </row>
    <row r="1844" spans="1:4" x14ac:dyDescent="0.2">
      <c r="A1844" s="23" t="s">
        <v>3886</v>
      </c>
      <c r="B1844" t="s">
        <v>4481</v>
      </c>
      <c r="C1844" s="22">
        <v>342803.18</v>
      </c>
      <c r="D1844" s="22">
        <v>4069321.01</v>
      </c>
    </row>
    <row r="1845" spans="1:4" x14ac:dyDescent="0.2">
      <c r="A1845" s="23" t="s">
        <v>3231</v>
      </c>
      <c r="B1845" s="23" t="s">
        <v>3232</v>
      </c>
      <c r="C1845" s="22">
        <v>1388867.75</v>
      </c>
      <c r="D1845" s="22">
        <v>22298095.190000001</v>
      </c>
    </row>
    <row r="1846" spans="1:4" x14ac:dyDescent="0.2">
      <c r="A1846" s="23" t="s">
        <v>3233</v>
      </c>
      <c r="B1846" s="23" t="s">
        <v>610</v>
      </c>
      <c r="C1846" s="22">
        <v>-1388867.75</v>
      </c>
      <c r="D1846" s="22">
        <v>-22298095.190000001</v>
      </c>
    </row>
    <row r="1847" spans="1:4" x14ac:dyDescent="0.2">
      <c r="A1847" s="23" t="s">
        <v>3234</v>
      </c>
      <c r="B1847" s="23" t="s">
        <v>615</v>
      </c>
      <c r="C1847" s="22">
        <v>14288.11</v>
      </c>
      <c r="D1847" s="22">
        <v>113373.26</v>
      </c>
    </row>
    <row r="1848" spans="1:4" x14ac:dyDescent="0.2">
      <c r="A1848" s="23" t="s">
        <v>3235</v>
      </c>
      <c r="B1848" s="23" t="s">
        <v>615</v>
      </c>
      <c r="C1848" s="22">
        <v>-14288.11</v>
      </c>
      <c r="D1848" s="22">
        <v>-113373.26</v>
      </c>
    </row>
    <row r="1849" spans="1:4" x14ac:dyDescent="0.2">
      <c r="A1849" s="23" t="s">
        <v>3236</v>
      </c>
      <c r="B1849" s="23" t="s">
        <v>3237</v>
      </c>
      <c r="C1849" s="22">
        <v>10793.85</v>
      </c>
      <c r="D1849" s="22">
        <v>84837.88</v>
      </c>
    </row>
    <row r="1850" spans="1:4" x14ac:dyDescent="0.2">
      <c r="A1850" s="23" t="s">
        <v>3238</v>
      </c>
      <c r="B1850" s="23" t="s">
        <v>3239</v>
      </c>
      <c r="C1850" s="22">
        <v>0</v>
      </c>
      <c r="D1850" s="22">
        <v>0</v>
      </c>
    </row>
    <row r="1851" spans="1:4" x14ac:dyDescent="0.2">
      <c r="A1851" s="23" t="s">
        <v>3240</v>
      </c>
      <c r="B1851" s="23" t="s">
        <v>3241</v>
      </c>
      <c r="C1851" s="22">
        <v>94181.7</v>
      </c>
      <c r="D1851" s="22">
        <v>1858275.5</v>
      </c>
    </row>
    <row r="1852" spans="1:4" x14ac:dyDescent="0.2">
      <c r="A1852" s="23" t="s">
        <v>3242</v>
      </c>
      <c r="B1852" s="23" t="s">
        <v>3243</v>
      </c>
      <c r="C1852" s="22">
        <v>5042.84</v>
      </c>
      <c r="D1852" s="22">
        <v>127931.07</v>
      </c>
    </row>
    <row r="1853" spans="1:4" x14ac:dyDescent="0.2">
      <c r="A1853" s="23" t="s">
        <v>3244</v>
      </c>
      <c r="B1853" s="23" t="s">
        <v>3245</v>
      </c>
      <c r="C1853" s="22">
        <v>0</v>
      </c>
      <c r="D1853" s="22">
        <v>0</v>
      </c>
    </row>
    <row r="1854" spans="1:4" x14ac:dyDescent="0.2">
      <c r="A1854" s="23" t="s">
        <v>3246</v>
      </c>
      <c r="B1854" s="23" t="s">
        <v>3247</v>
      </c>
      <c r="C1854" s="22">
        <v>0</v>
      </c>
      <c r="D1854" s="22">
        <v>0</v>
      </c>
    </row>
    <row r="1855" spans="1:4" x14ac:dyDescent="0.2">
      <c r="A1855" s="23" t="s">
        <v>3248</v>
      </c>
      <c r="B1855" s="23" t="s">
        <v>3249</v>
      </c>
      <c r="C1855" s="22">
        <v>0</v>
      </c>
      <c r="D1855" s="22">
        <v>0</v>
      </c>
    </row>
    <row r="1856" spans="1:4" x14ac:dyDescent="0.2">
      <c r="A1856" s="23" t="s">
        <v>3250</v>
      </c>
      <c r="B1856" s="23" t="s">
        <v>3251</v>
      </c>
      <c r="C1856" s="22">
        <v>6301</v>
      </c>
      <c r="D1856" s="22">
        <v>71474.48</v>
      </c>
    </row>
    <row r="1857" spans="1:4" x14ac:dyDescent="0.2">
      <c r="A1857" s="23" t="s">
        <v>3252</v>
      </c>
      <c r="B1857" s="23" t="s">
        <v>3253</v>
      </c>
      <c r="C1857" s="22">
        <v>7476.06</v>
      </c>
      <c r="D1857" s="22">
        <v>155770.15</v>
      </c>
    </row>
    <row r="1858" spans="1:4" x14ac:dyDescent="0.2">
      <c r="A1858" s="23" t="s">
        <v>3254</v>
      </c>
      <c r="B1858" s="23" t="s">
        <v>3255</v>
      </c>
      <c r="C1858" s="22">
        <v>0</v>
      </c>
      <c r="D1858" s="22">
        <v>0</v>
      </c>
    </row>
    <row r="1859" spans="1:4" x14ac:dyDescent="0.2">
      <c r="A1859" s="23" t="s">
        <v>3256</v>
      </c>
      <c r="B1859" s="23" t="s">
        <v>3257</v>
      </c>
      <c r="C1859" s="22">
        <v>0</v>
      </c>
      <c r="D1859" s="22">
        <v>0</v>
      </c>
    </row>
    <row r="1860" spans="1:4" x14ac:dyDescent="0.2">
      <c r="A1860" s="23" t="s">
        <v>3258</v>
      </c>
      <c r="B1860" s="23" t="s">
        <v>3259</v>
      </c>
      <c r="C1860" s="22">
        <v>406058.63</v>
      </c>
      <c r="D1860" s="22">
        <v>7020938.8600000003</v>
      </c>
    </row>
    <row r="1861" spans="1:4" x14ac:dyDescent="0.2">
      <c r="A1861" s="23" t="s">
        <v>3260</v>
      </c>
      <c r="B1861" s="23" t="s">
        <v>3261</v>
      </c>
      <c r="C1861" s="22">
        <v>170827.02</v>
      </c>
      <c r="D1861" s="22">
        <v>8744569.1999999993</v>
      </c>
    </row>
    <row r="1862" spans="1:4" x14ac:dyDescent="0.2">
      <c r="A1862" s="23" t="s">
        <v>3262</v>
      </c>
      <c r="B1862" s="23" t="s">
        <v>3263</v>
      </c>
      <c r="C1862" s="22">
        <v>13877.43</v>
      </c>
      <c r="D1862" s="22">
        <v>8378834.5899999999</v>
      </c>
    </row>
    <row r="1863" spans="1:4" x14ac:dyDescent="0.2">
      <c r="A1863" s="23" t="s">
        <v>3264</v>
      </c>
      <c r="B1863" s="23" t="s">
        <v>3265</v>
      </c>
      <c r="C1863" s="22">
        <v>131963.74</v>
      </c>
      <c r="D1863" s="22">
        <v>6857781.9500000002</v>
      </c>
    </row>
    <row r="1864" spans="1:4" x14ac:dyDescent="0.2">
      <c r="A1864" s="23" t="s">
        <v>3266</v>
      </c>
      <c r="B1864" s="23" t="s">
        <v>3267</v>
      </c>
      <c r="C1864" s="22">
        <v>0</v>
      </c>
      <c r="D1864" s="22">
        <v>91778.07</v>
      </c>
    </row>
    <row r="1865" spans="1:4" x14ac:dyDescent="0.2">
      <c r="A1865" s="23" t="s">
        <v>3268</v>
      </c>
      <c r="B1865" s="23" t="s">
        <v>3269</v>
      </c>
      <c r="C1865" s="22">
        <v>0</v>
      </c>
      <c r="D1865" s="22">
        <v>3349153.5</v>
      </c>
    </row>
    <row r="1866" spans="1:4" x14ac:dyDescent="0.2">
      <c r="A1866" s="23" t="s">
        <v>3270</v>
      </c>
      <c r="B1866" s="23" t="s">
        <v>3271</v>
      </c>
      <c r="C1866" s="22">
        <v>3527106.59</v>
      </c>
      <c r="D1866" s="22">
        <v>40350104.789999999</v>
      </c>
    </row>
    <row r="1867" spans="1:4" x14ac:dyDescent="0.2">
      <c r="A1867" s="23" t="s">
        <v>3272</v>
      </c>
      <c r="B1867" s="23" t="s">
        <v>3273</v>
      </c>
      <c r="C1867" s="22">
        <v>312384.02</v>
      </c>
      <c r="D1867" s="22">
        <v>5423375.9199999999</v>
      </c>
    </row>
    <row r="1868" spans="1:4" x14ac:dyDescent="0.2">
      <c r="A1868" s="23" t="s">
        <v>3274</v>
      </c>
      <c r="B1868" s="23" t="s">
        <v>3275</v>
      </c>
      <c r="C1868" s="22">
        <v>5641.29</v>
      </c>
      <c r="D1868" s="22">
        <v>236579.72</v>
      </c>
    </row>
    <row r="1869" spans="1:4" x14ac:dyDescent="0.2">
      <c r="A1869" s="23" t="s">
        <v>3276</v>
      </c>
      <c r="B1869" s="23" t="s">
        <v>3277</v>
      </c>
      <c r="C1869" s="22">
        <v>0</v>
      </c>
      <c r="D1869" s="22">
        <v>311384.86</v>
      </c>
    </row>
    <row r="1870" spans="1:4" x14ac:dyDescent="0.2">
      <c r="A1870" s="23" t="s">
        <v>3278</v>
      </c>
      <c r="B1870" s="23" t="s">
        <v>3279</v>
      </c>
      <c r="C1870" s="22">
        <v>0</v>
      </c>
      <c r="D1870" s="22">
        <v>0</v>
      </c>
    </row>
    <row r="1871" spans="1:4" x14ac:dyDescent="0.2">
      <c r="A1871" s="23" t="s">
        <v>3280</v>
      </c>
      <c r="B1871" s="23" t="s">
        <v>3281</v>
      </c>
      <c r="C1871" s="22">
        <v>0</v>
      </c>
      <c r="D1871" s="22">
        <v>0</v>
      </c>
    </row>
    <row r="1872" spans="1:4" x14ac:dyDescent="0.2">
      <c r="A1872" s="23" t="s">
        <v>3282</v>
      </c>
      <c r="B1872" s="23" t="s">
        <v>3283</v>
      </c>
      <c r="C1872" s="22">
        <v>12189331.359999999</v>
      </c>
      <c r="D1872" s="22">
        <v>199271377.99000001</v>
      </c>
    </row>
    <row r="1873" spans="1:4" x14ac:dyDescent="0.2">
      <c r="A1873" s="23" t="s">
        <v>3284</v>
      </c>
      <c r="B1873" s="23" t="s">
        <v>3285</v>
      </c>
      <c r="C1873" s="22">
        <v>28233833.690000001</v>
      </c>
      <c r="D1873" s="22">
        <v>333862708.48000002</v>
      </c>
    </row>
    <row r="1874" spans="1:4" x14ac:dyDescent="0.2">
      <c r="A1874" s="23" t="s">
        <v>3286</v>
      </c>
      <c r="B1874" s="23" t="s">
        <v>3287</v>
      </c>
      <c r="C1874" s="22">
        <v>0</v>
      </c>
      <c r="D1874" s="22">
        <v>0</v>
      </c>
    </row>
    <row r="1875" spans="1:4" x14ac:dyDescent="0.2">
      <c r="A1875" s="23" t="s">
        <v>3288</v>
      </c>
      <c r="B1875" s="23" t="s">
        <v>3289</v>
      </c>
      <c r="C1875" s="22">
        <v>59724.18</v>
      </c>
      <c r="D1875" s="22">
        <v>530823.21</v>
      </c>
    </row>
    <row r="1876" spans="1:4" x14ac:dyDescent="0.2">
      <c r="A1876" s="23" t="s">
        <v>3290</v>
      </c>
      <c r="B1876" s="23" t="s">
        <v>3291</v>
      </c>
      <c r="C1876" s="22">
        <v>10172.39</v>
      </c>
      <c r="D1876" s="22">
        <v>127959.38</v>
      </c>
    </row>
    <row r="1877" spans="1:4" x14ac:dyDescent="0.2">
      <c r="A1877" s="23" t="s">
        <v>3292</v>
      </c>
      <c r="B1877" t="s">
        <v>4481</v>
      </c>
      <c r="C1877" s="22">
        <v>45184715.789999999</v>
      </c>
      <c r="D1877" s="22">
        <v>616855659.60000002</v>
      </c>
    </row>
    <row r="1878" spans="1:4" x14ac:dyDescent="0.2">
      <c r="A1878" s="23" t="s">
        <v>3293</v>
      </c>
      <c r="B1878" s="23" t="s">
        <v>3294</v>
      </c>
      <c r="C1878" s="22">
        <v>5929.55</v>
      </c>
      <c r="D1878" s="22">
        <v>113446.7</v>
      </c>
    </row>
    <row r="1879" spans="1:4" x14ac:dyDescent="0.2">
      <c r="A1879" s="23" t="s">
        <v>3295</v>
      </c>
      <c r="B1879" s="23" t="s">
        <v>3296</v>
      </c>
      <c r="C1879" s="22">
        <v>0</v>
      </c>
      <c r="D1879" s="22">
        <v>0</v>
      </c>
    </row>
    <row r="1880" spans="1:4" x14ac:dyDescent="0.2">
      <c r="A1880" s="23" t="s">
        <v>3297</v>
      </c>
      <c r="B1880" s="23" t="s">
        <v>3298</v>
      </c>
      <c r="C1880" s="22">
        <v>3511.41</v>
      </c>
      <c r="D1880" s="22">
        <v>7862.87</v>
      </c>
    </row>
    <row r="1881" spans="1:4" x14ac:dyDescent="0.2">
      <c r="A1881" s="23" t="s">
        <v>3299</v>
      </c>
      <c r="B1881" s="23" t="s">
        <v>3300</v>
      </c>
      <c r="C1881" s="22">
        <v>425537.8</v>
      </c>
      <c r="D1881" s="22">
        <v>5748474.2699999996</v>
      </c>
    </row>
    <row r="1882" spans="1:4" x14ac:dyDescent="0.2">
      <c r="A1882" s="23" t="s">
        <v>3301</v>
      </c>
      <c r="B1882" s="23" t="s">
        <v>3302</v>
      </c>
      <c r="C1882" s="22">
        <v>0</v>
      </c>
      <c r="D1882" s="22">
        <v>11824.4</v>
      </c>
    </row>
    <row r="1883" spans="1:4" x14ac:dyDescent="0.2">
      <c r="A1883" s="23" t="s">
        <v>3303</v>
      </c>
      <c r="B1883" s="23" t="s">
        <v>4483</v>
      </c>
      <c r="C1883" s="22">
        <v>0</v>
      </c>
      <c r="D1883" s="22">
        <v>0</v>
      </c>
    </row>
    <row r="1884" spans="1:4" x14ac:dyDescent="0.2">
      <c r="A1884" s="23" t="s">
        <v>4484</v>
      </c>
      <c r="B1884" s="23" t="s">
        <v>4485</v>
      </c>
      <c r="C1884" s="22">
        <v>597929.93000000005</v>
      </c>
      <c r="D1884" s="22">
        <v>6338829.3499999996</v>
      </c>
    </row>
    <row r="1885" spans="1:4" x14ac:dyDescent="0.2">
      <c r="A1885" s="23" t="s">
        <v>4486</v>
      </c>
      <c r="B1885" s="23" t="s">
        <v>4487</v>
      </c>
      <c r="C1885" s="22">
        <v>0</v>
      </c>
      <c r="D1885" s="22">
        <v>0</v>
      </c>
    </row>
    <row r="1886" spans="1:4" x14ac:dyDescent="0.2">
      <c r="A1886" s="23" t="s">
        <v>4488</v>
      </c>
      <c r="B1886" t="s">
        <v>4481</v>
      </c>
      <c r="C1886" s="22">
        <v>1032908.69</v>
      </c>
      <c r="D1886" s="22">
        <v>12220437.59</v>
      </c>
    </row>
    <row r="1887" spans="1:4" x14ac:dyDescent="0.2">
      <c r="A1887" s="23" t="s">
        <v>4489</v>
      </c>
      <c r="B1887" s="23" t="s">
        <v>4490</v>
      </c>
      <c r="C1887" s="22">
        <v>26940.76</v>
      </c>
      <c r="D1887" s="22">
        <v>476545.56</v>
      </c>
    </row>
    <row r="1888" spans="1:4" x14ac:dyDescent="0.2">
      <c r="A1888" s="23" t="s">
        <v>4491</v>
      </c>
      <c r="B1888" s="23" t="s">
        <v>4492</v>
      </c>
      <c r="C1888" s="22">
        <v>0</v>
      </c>
      <c r="D1888" s="22">
        <v>0</v>
      </c>
    </row>
    <row r="1889" spans="1:4" x14ac:dyDescent="0.2">
      <c r="A1889" s="23" t="s">
        <v>4493</v>
      </c>
      <c r="B1889" s="23" t="s">
        <v>4494</v>
      </c>
      <c r="C1889" s="22">
        <v>36.86</v>
      </c>
      <c r="D1889" s="22">
        <v>36.86</v>
      </c>
    </row>
    <row r="1890" spans="1:4" x14ac:dyDescent="0.2">
      <c r="A1890" s="23" t="s">
        <v>4495</v>
      </c>
      <c r="B1890" s="23" t="s">
        <v>4496</v>
      </c>
      <c r="C1890" s="22">
        <v>97076.86</v>
      </c>
      <c r="D1890" s="22">
        <v>555152.42000000004</v>
      </c>
    </row>
    <row r="1891" spans="1:4" x14ac:dyDescent="0.2">
      <c r="A1891" s="23" t="s">
        <v>4497</v>
      </c>
      <c r="B1891" s="23" t="s">
        <v>4498</v>
      </c>
      <c r="C1891" s="22">
        <v>0</v>
      </c>
      <c r="D1891" s="22">
        <v>0</v>
      </c>
    </row>
    <row r="1892" spans="1:4" x14ac:dyDescent="0.2">
      <c r="A1892" s="23" t="s">
        <v>4499</v>
      </c>
      <c r="B1892" s="23" t="s">
        <v>4500</v>
      </c>
      <c r="C1892" s="22">
        <v>215650.37</v>
      </c>
      <c r="D1892" s="22">
        <v>2810531.5</v>
      </c>
    </row>
    <row r="1893" spans="1:4" x14ac:dyDescent="0.2">
      <c r="A1893" s="23" t="s">
        <v>4501</v>
      </c>
      <c r="B1893" s="23" t="s">
        <v>4502</v>
      </c>
      <c r="C1893" s="22">
        <v>0</v>
      </c>
      <c r="D1893" s="22">
        <v>0</v>
      </c>
    </row>
    <row r="1894" spans="1:4" x14ac:dyDescent="0.2">
      <c r="A1894" s="23" t="s">
        <v>4503</v>
      </c>
      <c r="B1894" t="s">
        <v>4481</v>
      </c>
      <c r="C1894" s="22">
        <v>339704.85</v>
      </c>
      <c r="D1894" s="22">
        <v>3842266.34</v>
      </c>
    </row>
    <row r="1895" spans="1:4" x14ac:dyDescent="0.2">
      <c r="A1895" s="23" t="s">
        <v>4504</v>
      </c>
      <c r="B1895" s="23" t="s">
        <v>4505</v>
      </c>
      <c r="C1895" s="22">
        <v>0</v>
      </c>
      <c r="D1895" s="22">
        <v>0</v>
      </c>
    </row>
    <row r="1896" spans="1:4" x14ac:dyDescent="0.2">
      <c r="A1896" s="23" t="s">
        <v>4506</v>
      </c>
      <c r="B1896" s="23" t="s">
        <v>4507</v>
      </c>
      <c r="C1896" s="22">
        <v>0</v>
      </c>
      <c r="D1896" s="22">
        <v>0</v>
      </c>
    </row>
    <row r="1897" spans="1:4" x14ac:dyDescent="0.2">
      <c r="A1897" s="23" t="s">
        <v>4508</v>
      </c>
      <c r="B1897" s="23" t="s">
        <v>4509</v>
      </c>
      <c r="C1897" s="22">
        <v>0</v>
      </c>
      <c r="D1897" s="22">
        <v>0</v>
      </c>
    </row>
    <row r="1898" spans="1:4" x14ac:dyDescent="0.2">
      <c r="A1898" s="23" t="s">
        <v>4510</v>
      </c>
      <c r="B1898" t="s">
        <v>4481</v>
      </c>
      <c r="C1898" s="22">
        <v>0</v>
      </c>
      <c r="D1898" s="22">
        <v>0</v>
      </c>
    </row>
    <row r="1899" spans="1:4" x14ac:dyDescent="0.2">
      <c r="A1899" s="23" t="s">
        <v>4511</v>
      </c>
      <c r="B1899" s="23" t="s">
        <v>4512</v>
      </c>
      <c r="C1899" s="22">
        <v>4413.82</v>
      </c>
      <c r="D1899" s="22">
        <v>47749.120000000003</v>
      </c>
    </row>
    <row r="1900" spans="1:4" x14ac:dyDescent="0.2">
      <c r="A1900" s="23" t="s">
        <v>4513</v>
      </c>
      <c r="B1900" s="23" t="s">
        <v>4514</v>
      </c>
      <c r="C1900" s="22">
        <v>75638.59</v>
      </c>
      <c r="D1900" s="22">
        <v>785799.99</v>
      </c>
    </row>
    <row r="1901" spans="1:4" x14ac:dyDescent="0.2">
      <c r="A1901" s="23" t="s">
        <v>4515</v>
      </c>
      <c r="B1901" t="s">
        <v>4481</v>
      </c>
      <c r="C1901" s="22">
        <v>80052.41</v>
      </c>
      <c r="D1901" s="22">
        <v>833549.11</v>
      </c>
    </row>
    <row r="1902" spans="1:4" x14ac:dyDescent="0.2">
      <c r="A1902" s="23" t="s">
        <v>4516</v>
      </c>
      <c r="B1902" s="23" t="s">
        <v>4517</v>
      </c>
      <c r="C1902" s="22">
        <v>6237.76</v>
      </c>
      <c r="D1902" s="22">
        <v>62491.68</v>
      </c>
    </row>
    <row r="1903" spans="1:4" x14ac:dyDescent="0.2">
      <c r="A1903" s="23" t="s">
        <v>4518</v>
      </c>
      <c r="B1903" s="23" t="s">
        <v>4519</v>
      </c>
      <c r="C1903" s="22">
        <v>0</v>
      </c>
      <c r="D1903" s="22">
        <v>10258.74</v>
      </c>
    </row>
    <row r="1904" spans="1:4" x14ac:dyDescent="0.2">
      <c r="A1904" s="23" t="s">
        <v>4520</v>
      </c>
      <c r="B1904" s="23" t="s">
        <v>4521</v>
      </c>
      <c r="C1904" s="22">
        <v>0</v>
      </c>
      <c r="D1904" s="22">
        <v>0</v>
      </c>
    </row>
    <row r="1905" spans="1:4" x14ac:dyDescent="0.2">
      <c r="A1905" s="23" t="s">
        <v>4522</v>
      </c>
      <c r="B1905" s="23" t="s">
        <v>4523</v>
      </c>
      <c r="C1905" s="22">
        <v>0</v>
      </c>
      <c r="D1905" s="22">
        <v>343.07</v>
      </c>
    </row>
    <row r="1906" spans="1:4" x14ac:dyDescent="0.2">
      <c r="A1906" s="23" t="s">
        <v>4524</v>
      </c>
      <c r="B1906" s="23" t="s">
        <v>4525</v>
      </c>
      <c r="C1906" s="22">
        <v>0</v>
      </c>
      <c r="D1906" s="22">
        <v>226.3</v>
      </c>
    </row>
    <row r="1907" spans="1:4" x14ac:dyDescent="0.2">
      <c r="A1907" s="23" t="s">
        <v>4526</v>
      </c>
      <c r="B1907" s="23" t="s">
        <v>4527</v>
      </c>
      <c r="C1907" s="22">
        <v>7595.44</v>
      </c>
      <c r="D1907" s="22">
        <v>118446.92</v>
      </c>
    </row>
    <row r="1908" spans="1:4" x14ac:dyDescent="0.2">
      <c r="A1908" s="23" t="s">
        <v>4528</v>
      </c>
      <c r="B1908" s="23" t="s">
        <v>4529</v>
      </c>
      <c r="C1908" s="22">
        <v>37848.57</v>
      </c>
      <c r="D1908" s="22">
        <v>201611.85</v>
      </c>
    </row>
    <row r="1909" spans="1:4" x14ac:dyDescent="0.2">
      <c r="A1909" s="23" t="s">
        <v>4530</v>
      </c>
      <c r="B1909" s="23" t="s">
        <v>4531</v>
      </c>
      <c r="C1909" s="22">
        <v>96275.48</v>
      </c>
      <c r="D1909" s="22">
        <v>1143073.8400000001</v>
      </c>
    </row>
    <row r="1910" spans="1:4" x14ac:dyDescent="0.2">
      <c r="A1910" s="23" t="s">
        <v>4532</v>
      </c>
      <c r="B1910" s="23" t="s">
        <v>4533</v>
      </c>
      <c r="C1910" s="22">
        <v>0</v>
      </c>
      <c r="D1910" s="22">
        <v>0</v>
      </c>
    </row>
    <row r="1911" spans="1:4" x14ac:dyDescent="0.2">
      <c r="A1911" s="23" t="s">
        <v>4534</v>
      </c>
      <c r="B1911" s="23" t="s">
        <v>4535</v>
      </c>
      <c r="C1911" s="22">
        <v>24706.45</v>
      </c>
      <c r="D1911" s="22">
        <v>936958.66</v>
      </c>
    </row>
    <row r="1912" spans="1:4" x14ac:dyDescent="0.2">
      <c r="A1912" s="23" t="s">
        <v>4536</v>
      </c>
      <c r="B1912" s="23" t="s">
        <v>4537</v>
      </c>
      <c r="C1912" s="22">
        <v>214791.67999999999</v>
      </c>
      <c r="D1912" s="22">
        <v>3648139.88</v>
      </c>
    </row>
    <row r="1913" spans="1:4" x14ac:dyDescent="0.2">
      <c r="A1913" s="23" t="s">
        <v>4538</v>
      </c>
      <c r="B1913" s="23" t="s">
        <v>4539</v>
      </c>
      <c r="C1913" s="22">
        <v>33906.39</v>
      </c>
      <c r="D1913" s="22">
        <v>622291.88</v>
      </c>
    </row>
    <row r="1914" spans="1:4" x14ac:dyDescent="0.2">
      <c r="A1914" s="23" t="s">
        <v>4540</v>
      </c>
      <c r="B1914" s="23" t="s">
        <v>4541</v>
      </c>
      <c r="C1914" s="22">
        <v>16958.3</v>
      </c>
      <c r="D1914" s="22">
        <v>497840.69</v>
      </c>
    </row>
    <row r="1915" spans="1:4" x14ac:dyDescent="0.2">
      <c r="A1915" s="23" t="s">
        <v>4542</v>
      </c>
      <c r="B1915" s="23" t="s">
        <v>4543</v>
      </c>
      <c r="C1915" s="22">
        <v>66516.47</v>
      </c>
      <c r="D1915" s="22">
        <v>803262.25</v>
      </c>
    </row>
    <row r="1916" spans="1:4" x14ac:dyDescent="0.2">
      <c r="A1916" s="23" t="s">
        <v>4544</v>
      </c>
      <c r="B1916" t="s">
        <v>4481</v>
      </c>
      <c r="C1916" s="22">
        <v>504836.54</v>
      </c>
      <c r="D1916" s="22">
        <v>8044945.7599999998</v>
      </c>
    </row>
    <row r="1917" spans="1:4" x14ac:dyDescent="0.2">
      <c r="A1917" s="23" t="s">
        <v>4545</v>
      </c>
      <c r="B1917" s="23" t="s">
        <v>4546</v>
      </c>
      <c r="C1917" s="22">
        <v>3060.89</v>
      </c>
      <c r="D1917" s="22">
        <v>57914.67</v>
      </c>
    </row>
    <row r="1918" spans="1:4" x14ac:dyDescent="0.2">
      <c r="A1918" s="23" t="s">
        <v>4547</v>
      </c>
      <c r="B1918" s="23" t="s">
        <v>4548</v>
      </c>
      <c r="C1918" s="22">
        <v>-299.86</v>
      </c>
      <c r="D1918" s="22">
        <v>39506.25</v>
      </c>
    </row>
    <row r="1919" spans="1:4" x14ac:dyDescent="0.2">
      <c r="A1919" s="23" t="s">
        <v>4549</v>
      </c>
      <c r="B1919" s="23" t="s">
        <v>4550</v>
      </c>
      <c r="C1919" s="22">
        <v>0</v>
      </c>
      <c r="D1919" s="22">
        <v>0</v>
      </c>
    </row>
    <row r="1920" spans="1:4" x14ac:dyDescent="0.2">
      <c r="A1920" s="23" t="s">
        <v>4551</v>
      </c>
      <c r="B1920" s="23" t="s">
        <v>4552</v>
      </c>
      <c r="C1920" s="22">
        <v>29933.42</v>
      </c>
      <c r="D1920" s="22">
        <v>215397.9</v>
      </c>
    </row>
    <row r="1921" spans="1:4" x14ac:dyDescent="0.2">
      <c r="A1921" s="23" t="s">
        <v>4553</v>
      </c>
      <c r="B1921" s="23" t="s">
        <v>4554</v>
      </c>
      <c r="C1921" s="22">
        <v>2491.73</v>
      </c>
      <c r="D1921" s="22">
        <v>38823.53</v>
      </c>
    </row>
    <row r="1922" spans="1:4" x14ac:dyDescent="0.2">
      <c r="A1922" s="23" t="s">
        <v>4555</v>
      </c>
      <c r="B1922" s="23" t="s">
        <v>4556</v>
      </c>
      <c r="C1922" s="22">
        <v>1421.91</v>
      </c>
      <c r="D1922" s="22">
        <v>26940.18</v>
      </c>
    </row>
    <row r="1923" spans="1:4" x14ac:dyDescent="0.2">
      <c r="A1923" s="23" t="s">
        <v>4557</v>
      </c>
      <c r="B1923" s="23" t="s">
        <v>4558</v>
      </c>
      <c r="C1923" s="22">
        <v>8874.7000000000007</v>
      </c>
      <c r="D1923" s="22">
        <v>20593.82</v>
      </c>
    </row>
    <row r="1924" spans="1:4" x14ac:dyDescent="0.2">
      <c r="A1924" s="23" t="s">
        <v>4559</v>
      </c>
      <c r="B1924" s="23" t="s">
        <v>4560</v>
      </c>
      <c r="C1924" s="22">
        <v>1439.69</v>
      </c>
      <c r="D1924" s="22">
        <v>10276.15</v>
      </c>
    </row>
    <row r="1925" spans="1:4" x14ac:dyDescent="0.2">
      <c r="A1925" s="23" t="s">
        <v>4561</v>
      </c>
      <c r="B1925" s="23" t="s">
        <v>4562</v>
      </c>
      <c r="C1925" s="22">
        <v>388979.64</v>
      </c>
      <c r="D1925" s="22">
        <v>2635955.48</v>
      </c>
    </row>
    <row r="1926" spans="1:4" x14ac:dyDescent="0.2">
      <c r="A1926" s="23" t="s">
        <v>4563</v>
      </c>
      <c r="B1926" s="23" t="s">
        <v>4564</v>
      </c>
      <c r="C1926" s="22">
        <v>9350</v>
      </c>
      <c r="D1926" s="22">
        <v>453944.75</v>
      </c>
    </row>
    <row r="1927" spans="1:4" x14ac:dyDescent="0.2">
      <c r="A1927" s="23" t="s">
        <v>4565</v>
      </c>
      <c r="B1927" s="23" t="s">
        <v>4566</v>
      </c>
      <c r="C1927" s="22">
        <v>6548.43</v>
      </c>
      <c r="D1927" s="22">
        <v>388955.36</v>
      </c>
    </row>
    <row r="1928" spans="1:4" x14ac:dyDescent="0.2">
      <c r="A1928" s="23" t="s">
        <v>4567</v>
      </c>
      <c r="B1928" s="23" t="s">
        <v>4568</v>
      </c>
      <c r="C1928" s="22">
        <v>39468.68</v>
      </c>
      <c r="D1928" s="22">
        <v>423070.98</v>
      </c>
    </row>
    <row r="1929" spans="1:4" x14ac:dyDescent="0.2">
      <c r="A1929" s="23" t="s">
        <v>4569</v>
      </c>
      <c r="B1929" s="23" t="s">
        <v>4570</v>
      </c>
      <c r="C1929" s="22">
        <v>-965.83</v>
      </c>
      <c r="D1929" s="22">
        <v>59337.58</v>
      </c>
    </row>
    <row r="1930" spans="1:4" x14ac:dyDescent="0.2">
      <c r="A1930" s="23" t="s">
        <v>4571</v>
      </c>
      <c r="B1930" s="23" t="s">
        <v>4572</v>
      </c>
      <c r="C1930" s="22">
        <v>1364.42</v>
      </c>
      <c r="D1930" s="22">
        <v>92162.33</v>
      </c>
    </row>
    <row r="1931" spans="1:4" x14ac:dyDescent="0.2">
      <c r="A1931" s="23" t="s">
        <v>4573</v>
      </c>
      <c r="B1931" s="23" t="s">
        <v>4574</v>
      </c>
      <c r="C1931" s="22">
        <v>-415.28</v>
      </c>
      <c r="D1931" s="22">
        <v>110594.15</v>
      </c>
    </row>
    <row r="1932" spans="1:4" x14ac:dyDescent="0.2">
      <c r="A1932" s="23" t="s">
        <v>4575</v>
      </c>
      <c r="B1932" s="23" t="s">
        <v>4576</v>
      </c>
      <c r="C1932" s="22">
        <v>9812.2199999999993</v>
      </c>
      <c r="D1932" s="22">
        <v>102550.66</v>
      </c>
    </row>
    <row r="1933" spans="1:4" x14ac:dyDescent="0.2">
      <c r="A1933" s="23" t="s">
        <v>4577</v>
      </c>
      <c r="B1933" s="23" t="s">
        <v>4578</v>
      </c>
      <c r="C1933" s="22">
        <v>8003.03</v>
      </c>
      <c r="D1933" s="22">
        <v>2146829</v>
      </c>
    </row>
    <row r="1934" spans="1:4" x14ac:dyDescent="0.2">
      <c r="A1934" s="23" t="s">
        <v>4579</v>
      </c>
      <c r="B1934" s="23" t="s">
        <v>4580</v>
      </c>
      <c r="C1934" s="22">
        <v>45493.54</v>
      </c>
      <c r="D1934" s="22">
        <v>1334357.8899999999</v>
      </c>
    </row>
    <row r="1935" spans="1:4" x14ac:dyDescent="0.2">
      <c r="A1935" s="23" t="s">
        <v>4581</v>
      </c>
      <c r="B1935" s="23" t="s">
        <v>4582</v>
      </c>
      <c r="C1935" s="22">
        <v>0</v>
      </c>
      <c r="D1935" s="22">
        <v>0</v>
      </c>
    </row>
    <row r="1936" spans="1:4" x14ac:dyDescent="0.2">
      <c r="A1936" s="23" t="s">
        <v>4583</v>
      </c>
      <c r="B1936" s="23" t="s">
        <v>4584</v>
      </c>
      <c r="C1936" s="22">
        <v>159999.54999999999</v>
      </c>
      <c r="D1936" s="22">
        <v>2004792.26</v>
      </c>
    </row>
    <row r="1937" spans="1:4" x14ac:dyDescent="0.2">
      <c r="A1937" s="23" t="s">
        <v>4585</v>
      </c>
      <c r="B1937" s="23" t="s">
        <v>4584</v>
      </c>
      <c r="C1937" s="22">
        <v>21878.240000000002</v>
      </c>
      <c r="D1937" s="22">
        <v>199174.89</v>
      </c>
    </row>
    <row r="1938" spans="1:4" x14ac:dyDescent="0.2">
      <c r="A1938" s="23" t="s">
        <v>4586</v>
      </c>
      <c r="B1938" s="23" t="s">
        <v>4584</v>
      </c>
      <c r="C1938" s="22">
        <v>14029.84</v>
      </c>
      <c r="D1938" s="22">
        <v>186554.27</v>
      </c>
    </row>
    <row r="1939" spans="1:4" x14ac:dyDescent="0.2">
      <c r="A1939" s="23" t="s">
        <v>4587</v>
      </c>
      <c r="B1939" s="23" t="s">
        <v>4588</v>
      </c>
      <c r="C1939" s="22">
        <v>11044.68</v>
      </c>
      <c r="D1939" s="22">
        <v>109809.66</v>
      </c>
    </row>
    <row r="1940" spans="1:4" x14ac:dyDescent="0.2">
      <c r="A1940" s="23" t="s">
        <v>4589</v>
      </c>
      <c r="B1940" s="23" t="s">
        <v>4584</v>
      </c>
      <c r="C1940" s="22">
        <v>8250.64</v>
      </c>
      <c r="D1940" s="22">
        <v>83112.11</v>
      </c>
    </row>
    <row r="1941" spans="1:4" x14ac:dyDescent="0.2">
      <c r="A1941" s="23" t="s">
        <v>4590</v>
      </c>
      <c r="B1941" t="s">
        <v>4481</v>
      </c>
      <c r="C1941" s="22">
        <v>769764.28</v>
      </c>
      <c r="D1941" s="22">
        <v>10740653.869999999</v>
      </c>
    </row>
    <row r="1942" spans="1:4" x14ac:dyDescent="0.2">
      <c r="A1942" s="23" t="s">
        <v>4098</v>
      </c>
      <c r="B1942" s="23" t="s">
        <v>4099</v>
      </c>
      <c r="C1942" s="22">
        <v>7255.91</v>
      </c>
      <c r="D1942" s="22">
        <v>37547</v>
      </c>
    </row>
    <row r="1943" spans="1:4" x14ac:dyDescent="0.2">
      <c r="A1943" s="23" t="s">
        <v>4100</v>
      </c>
      <c r="B1943" s="23" t="s">
        <v>4101</v>
      </c>
      <c r="C1943" s="22">
        <v>2133.12</v>
      </c>
      <c r="D1943" s="22">
        <v>2698.23</v>
      </c>
    </row>
    <row r="1944" spans="1:4" x14ac:dyDescent="0.2">
      <c r="A1944" s="23" t="s">
        <v>4102</v>
      </c>
      <c r="B1944" s="23" t="s">
        <v>504</v>
      </c>
      <c r="C1944" s="22">
        <v>0</v>
      </c>
      <c r="D1944" s="22">
        <v>0</v>
      </c>
    </row>
    <row r="1945" spans="1:4" x14ac:dyDescent="0.2">
      <c r="A1945" s="23" t="s">
        <v>505</v>
      </c>
      <c r="B1945" s="23" t="s">
        <v>506</v>
      </c>
      <c r="C1945" s="22">
        <v>-196.72</v>
      </c>
      <c r="D1945" s="22">
        <v>1159.3</v>
      </c>
    </row>
    <row r="1946" spans="1:4" x14ac:dyDescent="0.2">
      <c r="A1946" s="23" t="s">
        <v>507</v>
      </c>
      <c r="B1946" s="23" t="s">
        <v>508</v>
      </c>
      <c r="C1946" s="22">
        <v>0</v>
      </c>
      <c r="D1946" s="22">
        <v>0</v>
      </c>
    </row>
    <row r="1947" spans="1:4" x14ac:dyDescent="0.2">
      <c r="A1947" s="23" t="s">
        <v>509</v>
      </c>
      <c r="B1947" s="23" t="s">
        <v>510</v>
      </c>
      <c r="C1947" s="22">
        <v>0</v>
      </c>
      <c r="D1947" s="22">
        <v>0</v>
      </c>
    </row>
    <row r="1948" spans="1:4" x14ac:dyDescent="0.2">
      <c r="A1948" s="23" t="s">
        <v>511</v>
      </c>
      <c r="B1948" s="23" t="s">
        <v>512</v>
      </c>
      <c r="C1948" s="22">
        <v>30611.53</v>
      </c>
      <c r="D1948" s="22">
        <v>388859.91</v>
      </c>
    </row>
    <row r="1949" spans="1:4" x14ac:dyDescent="0.2">
      <c r="A1949" s="23" t="s">
        <v>513</v>
      </c>
      <c r="B1949" s="23" t="s">
        <v>514</v>
      </c>
      <c r="C1949" s="22">
        <v>0</v>
      </c>
      <c r="D1949" s="22">
        <v>0</v>
      </c>
    </row>
    <row r="1950" spans="1:4" x14ac:dyDescent="0.2">
      <c r="A1950" s="23" t="s">
        <v>515</v>
      </c>
      <c r="B1950" s="23" t="s">
        <v>4502</v>
      </c>
      <c r="C1950" s="22">
        <v>0</v>
      </c>
      <c r="D1950" s="22">
        <v>0</v>
      </c>
    </row>
    <row r="1951" spans="1:4" x14ac:dyDescent="0.2">
      <c r="A1951" s="23" t="s">
        <v>516</v>
      </c>
      <c r="B1951" t="s">
        <v>4481</v>
      </c>
      <c r="C1951" s="22">
        <v>39803.839999999997</v>
      </c>
      <c r="D1951" s="22">
        <v>430264.44</v>
      </c>
    </row>
    <row r="1952" spans="1:4" x14ac:dyDescent="0.2">
      <c r="A1952" s="23" t="s">
        <v>517</v>
      </c>
      <c r="B1952" s="23" t="s">
        <v>518</v>
      </c>
      <c r="C1952" s="22">
        <v>0</v>
      </c>
      <c r="D1952" s="22">
        <v>498486.5</v>
      </c>
    </row>
    <row r="1953" spans="1:4" x14ac:dyDescent="0.2">
      <c r="A1953" s="23" t="s">
        <v>519</v>
      </c>
      <c r="B1953" s="23" t="s">
        <v>520</v>
      </c>
      <c r="C1953" s="22">
        <v>6523763.21</v>
      </c>
      <c r="D1953" s="22">
        <v>48267360.259999998</v>
      </c>
    </row>
    <row r="1954" spans="1:4" x14ac:dyDescent="0.2">
      <c r="A1954" s="23" t="s">
        <v>521</v>
      </c>
      <c r="B1954" s="23" t="s">
        <v>522</v>
      </c>
      <c r="C1954" s="22">
        <v>754969</v>
      </c>
      <c r="D1954" s="22">
        <v>18795872.219999999</v>
      </c>
    </row>
    <row r="1955" spans="1:4" x14ac:dyDescent="0.2">
      <c r="A1955" s="23" t="s">
        <v>523</v>
      </c>
      <c r="B1955" s="23" t="s">
        <v>524</v>
      </c>
      <c r="C1955" s="22">
        <v>36225</v>
      </c>
      <c r="D1955" s="22">
        <v>3307196</v>
      </c>
    </row>
    <row r="1956" spans="1:4" x14ac:dyDescent="0.2">
      <c r="A1956" s="23" t="s">
        <v>525</v>
      </c>
      <c r="B1956" s="23" t="s">
        <v>526</v>
      </c>
      <c r="C1956" s="22">
        <v>0</v>
      </c>
      <c r="D1956" s="22">
        <v>0</v>
      </c>
    </row>
    <row r="1957" spans="1:4" x14ac:dyDescent="0.2">
      <c r="A1957" s="23" t="s">
        <v>527</v>
      </c>
      <c r="B1957" s="23" t="s">
        <v>528</v>
      </c>
      <c r="C1957" s="22">
        <v>0</v>
      </c>
      <c r="D1957" s="22">
        <v>0</v>
      </c>
    </row>
    <row r="1958" spans="1:4" x14ac:dyDescent="0.2">
      <c r="A1958" s="23" t="s">
        <v>529</v>
      </c>
      <c r="B1958" s="23" t="s">
        <v>530</v>
      </c>
      <c r="C1958" s="22">
        <v>0</v>
      </c>
      <c r="D1958" s="22">
        <v>0</v>
      </c>
    </row>
    <row r="1959" spans="1:4" x14ac:dyDescent="0.2">
      <c r="A1959" s="23" t="s">
        <v>531</v>
      </c>
      <c r="B1959" s="23" t="s">
        <v>532</v>
      </c>
      <c r="C1959" s="22">
        <v>477878</v>
      </c>
      <c r="D1959" s="22">
        <v>15412565</v>
      </c>
    </row>
    <row r="1960" spans="1:4" x14ac:dyDescent="0.2">
      <c r="A1960" s="23" t="s">
        <v>533</v>
      </c>
      <c r="B1960" s="23" t="s">
        <v>534</v>
      </c>
      <c r="C1960" s="22">
        <v>0</v>
      </c>
      <c r="D1960" s="22">
        <v>0</v>
      </c>
    </row>
    <row r="1961" spans="1:4" x14ac:dyDescent="0.2">
      <c r="A1961" s="23" t="s">
        <v>535</v>
      </c>
      <c r="B1961" s="23" t="s">
        <v>536</v>
      </c>
      <c r="C1961" s="22">
        <v>0</v>
      </c>
      <c r="D1961" s="22">
        <v>0</v>
      </c>
    </row>
    <row r="1962" spans="1:4" x14ac:dyDescent="0.2">
      <c r="A1962" s="23" t="s">
        <v>537</v>
      </c>
      <c r="B1962" s="23" t="s">
        <v>538</v>
      </c>
      <c r="C1962" s="22">
        <v>0</v>
      </c>
      <c r="D1962" s="22">
        <v>26852.639999999999</v>
      </c>
    </row>
    <row r="1963" spans="1:4" x14ac:dyDescent="0.2">
      <c r="A1963" s="23" t="s">
        <v>539</v>
      </c>
      <c r="B1963" s="23" t="s">
        <v>540</v>
      </c>
      <c r="C1963" s="22">
        <v>0</v>
      </c>
      <c r="D1963" s="22">
        <v>0</v>
      </c>
    </row>
    <row r="1964" spans="1:4" x14ac:dyDescent="0.2">
      <c r="A1964" s="23" t="s">
        <v>541</v>
      </c>
      <c r="B1964" s="23" t="s">
        <v>542</v>
      </c>
      <c r="C1964" s="22">
        <v>0</v>
      </c>
      <c r="D1964" s="22">
        <v>0</v>
      </c>
    </row>
    <row r="1965" spans="1:4" x14ac:dyDescent="0.2">
      <c r="A1965" s="23" t="s">
        <v>543</v>
      </c>
      <c r="B1965" s="23" t="s">
        <v>544</v>
      </c>
      <c r="C1965" s="22">
        <v>0</v>
      </c>
      <c r="D1965" s="22">
        <v>0</v>
      </c>
    </row>
    <row r="1966" spans="1:4" x14ac:dyDescent="0.2">
      <c r="A1966" s="23" t="s">
        <v>545</v>
      </c>
      <c r="B1966" s="23" t="s">
        <v>546</v>
      </c>
      <c r="C1966" s="22">
        <v>0</v>
      </c>
      <c r="D1966" s="22">
        <v>0</v>
      </c>
    </row>
    <row r="1967" spans="1:4" x14ac:dyDescent="0.2">
      <c r="A1967" s="23" t="s">
        <v>547</v>
      </c>
      <c r="B1967" s="23" t="s">
        <v>548</v>
      </c>
      <c r="C1967" s="22">
        <v>0</v>
      </c>
      <c r="D1967" s="22">
        <v>0</v>
      </c>
    </row>
    <row r="1968" spans="1:4" x14ac:dyDescent="0.2">
      <c r="A1968" s="23" t="s">
        <v>549</v>
      </c>
      <c r="B1968" s="23" t="s">
        <v>550</v>
      </c>
      <c r="C1968" s="22">
        <v>0</v>
      </c>
      <c r="D1968" s="22">
        <v>0</v>
      </c>
    </row>
    <row r="1969" spans="1:4" x14ac:dyDescent="0.2">
      <c r="A1969" s="23" t="s">
        <v>551</v>
      </c>
      <c r="B1969" s="23" t="s">
        <v>552</v>
      </c>
      <c r="C1969" s="22">
        <v>0</v>
      </c>
      <c r="D1969" s="22">
        <v>0</v>
      </c>
    </row>
    <row r="1970" spans="1:4" x14ac:dyDescent="0.2">
      <c r="A1970" s="23" t="s">
        <v>553</v>
      </c>
      <c r="B1970" s="23" t="s">
        <v>554</v>
      </c>
      <c r="C1970" s="22">
        <v>4182692.03</v>
      </c>
      <c r="D1970" s="22">
        <v>45948057.119999997</v>
      </c>
    </row>
    <row r="1971" spans="1:4" x14ac:dyDescent="0.2">
      <c r="A1971" s="23" t="s">
        <v>555</v>
      </c>
      <c r="B1971" s="23" t="s">
        <v>556</v>
      </c>
      <c r="C1971" s="22">
        <v>-80761.179999999993</v>
      </c>
      <c r="D1971" s="22">
        <v>-2275067.2999999998</v>
      </c>
    </row>
    <row r="1972" spans="1:4" x14ac:dyDescent="0.2">
      <c r="A1972" s="23" t="s">
        <v>557</v>
      </c>
      <c r="B1972" s="23" t="s">
        <v>3025</v>
      </c>
      <c r="C1972" s="22">
        <v>80761.179999999993</v>
      </c>
      <c r="D1972" s="22">
        <v>2275067.2999999998</v>
      </c>
    </row>
    <row r="1973" spans="1:4" x14ac:dyDescent="0.2">
      <c r="A1973" s="23" t="s">
        <v>3026</v>
      </c>
      <c r="B1973" s="23" t="s">
        <v>3027</v>
      </c>
      <c r="C1973" s="22">
        <v>67093.440000000002</v>
      </c>
      <c r="D1973" s="22">
        <v>800459.72</v>
      </c>
    </row>
    <row r="1974" spans="1:4" x14ac:dyDescent="0.2">
      <c r="A1974" s="23" t="s">
        <v>3028</v>
      </c>
      <c r="B1974" s="23" t="s">
        <v>3029</v>
      </c>
      <c r="C1974" s="22">
        <v>214355.88</v>
      </c>
      <c r="D1974" s="22">
        <v>2592410.46</v>
      </c>
    </row>
    <row r="1975" spans="1:4" x14ac:dyDescent="0.2">
      <c r="A1975" s="23" t="s">
        <v>3030</v>
      </c>
      <c r="B1975" s="23" t="s">
        <v>3031</v>
      </c>
      <c r="C1975" s="22">
        <v>-214355.88</v>
      </c>
      <c r="D1975" s="22">
        <v>-2592410.46</v>
      </c>
    </row>
    <row r="1976" spans="1:4" x14ac:dyDescent="0.2">
      <c r="A1976" s="23" t="s">
        <v>3032</v>
      </c>
      <c r="B1976" s="23" t="s">
        <v>3031</v>
      </c>
      <c r="C1976" s="22">
        <v>0</v>
      </c>
      <c r="D1976" s="22">
        <v>0</v>
      </c>
    </row>
    <row r="1977" spans="1:4" x14ac:dyDescent="0.2">
      <c r="A1977" s="23" t="s">
        <v>3033</v>
      </c>
      <c r="B1977" s="23" t="s">
        <v>3034</v>
      </c>
      <c r="C1977" s="22">
        <v>0</v>
      </c>
      <c r="D1977" s="22">
        <v>0</v>
      </c>
    </row>
    <row r="1978" spans="1:4" x14ac:dyDescent="0.2">
      <c r="A1978" s="23" t="s">
        <v>3035</v>
      </c>
      <c r="B1978" s="23" t="s">
        <v>3036</v>
      </c>
      <c r="C1978" s="22">
        <v>50875</v>
      </c>
      <c r="D1978" s="22">
        <v>1231394</v>
      </c>
    </row>
    <row r="1979" spans="1:4" x14ac:dyDescent="0.2">
      <c r="A1979" s="23" t="s">
        <v>3037</v>
      </c>
      <c r="B1979" s="23" t="s">
        <v>3038</v>
      </c>
      <c r="C1979" s="22">
        <v>0</v>
      </c>
      <c r="D1979" s="22">
        <v>0</v>
      </c>
    </row>
    <row r="1980" spans="1:4" x14ac:dyDescent="0.2">
      <c r="A1980" s="23" t="s">
        <v>3039</v>
      </c>
      <c r="B1980" s="23" t="s">
        <v>3040</v>
      </c>
      <c r="C1980" s="22">
        <v>0</v>
      </c>
      <c r="D1980" s="22">
        <v>107830</v>
      </c>
    </row>
    <row r="1981" spans="1:4" x14ac:dyDescent="0.2">
      <c r="A1981" s="23" t="s">
        <v>3041</v>
      </c>
      <c r="B1981" s="23" t="s">
        <v>3042</v>
      </c>
      <c r="C1981" s="22">
        <v>0</v>
      </c>
      <c r="D1981" s="22">
        <v>0</v>
      </c>
    </row>
    <row r="1982" spans="1:4" x14ac:dyDescent="0.2">
      <c r="A1982" s="23" t="s">
        <v>3043</v>
      </c>
      <c r="B1982" s="23" t="s">
        <v>3044</v>
      </c>
      <c r="C1982" s="22">
        <v>0</v>
      </c>
      <c r="D1982" s="22">
        <v>0</v>
      </c>
    </row>
    <row r="1983" spans="1:4" x14ac:dyDescent="0.2">
      <c r="A1983" s="23" t="s">
        <v>3045</v>
      </c>
      <c r="B1983" s="23" t="s">
        <v>3046</v>
      </c>
      <c r="C1983" s="22">
        <v>0</v>
      </c>
      <c r="D1983" s="22">
        <v>0</v>
      </c>
    </row>
    <row r="1984" spans="1:4" x14ac:dyDescent="0.2">
      <c r="A1984" s="23" t="s">
        <v>3047</v>
      </c>
      <c r="B1984" s="23" t="s">
        <v>3048</v>
      </c>
      <c r="C1984" s="22">
        <v>216928.07</v>
      </c>
      <c r="D1984" s="22">
        <v>2668912</v>
      </c>
    </row>
    <row r="1985" spans="1:4" x14ac:dyDescent="0.2">
      <c r="A1985" s="23" t="s">
        <v>3049</v>
      </c>
      <c r="B1985" s="23" t="s">
        <v>3050</v>
      </c>
      <c r="C1985" s="22">
        <v>-216928.07</v>
      </c>
      <c r="D1985" s="22">
        <v>-2668912</v>
      </c>
    </row>
    <row r="1986" spans="1:4" x14ac:dyDescent="0.2">
      <c r="A1986" s="23" t="s">
        <v>3051</v>
      </c>
      <c r="B1986" s="23" t="s">
        <v>3052</v>
      </c>
      <c r="C1986" s="22">
        <v>447368.98</v>
      </c>
      <c r="D1986" s="22">
        <v>7009201.79</v>
      </c>
    </row>
    <row r="1987" spans="1:4" x14ac:dyDescent="0.2">
      <c r="A1987" s="23" t="s">
        <v>3053</v>
      </c>
      <c r="B1987" s="23" t="s">
        <v>3052</v>
      </c>
      <c r="C1987" s="22">
        <v>-447368.98</v>
      </c>
      <c r="D1987" s="22">
        <v>-7009201.79</v>
      </c>
    </row>
    <row r="1988" spans="1:4" x14ac:dyDescent="0.2">
      <c r="A1988" s="23" t="s">
        <v>3054</v>
      </c>
      <c r="B1988" s="23" t="s">
        <v>3055</v>
      </c>
      <c r="C1988" s="22">
        <v>0</v>
      </c>
      <c r="D1988" s="22">
        <v>0</v>
      </c>
    </row>
    <row r="1989" spans="1:4" x14ac:dyDescent="0.2">
      <c r="A1989" s="23" t="s">
        <v>3056</v>
      </c>
      <c r="B1989" s="23" t="s">
        <v>3057</v>
      </c>
      <c r="C1989" s="22">
        <v>6450</v>
      </c>
      <c r="D1989" s="22">
        <v>3840279</v>
      </c>
    </row>
    <row r="1990" spans="1:4" x14ac:dyDescent="0.2">
      <c r="A1990" s="23" t="s">
        <v>3058</v>
      </c>
      <c r="B1990" s="23" t="s">
        <v>3059</v>
      </c>
      <c r="C1990" s="22">
        <v>0</v>
      </c>
      <c r="D1990" s="22">
        <v>0</v>
      </c>
    </row>
    <row r="1991" spans="1:4" x14ac:dyDescent="0.2">
      <c r="A1991" s="23" t="s">
        <v>3060</v>
      </c>
      <c r="B1991" s="23" t="s">
        <v>3061</v>
      </c>
      <c r="C1991" s="22">
        <v>2275400.46</v>
      </c>
      <c r="D1991" s="22">
        <v>30129243.350000001</v>
      </c>
    </row>
    <row r="1992" spans="1:4" x14ac:dyDescent="0.2">
      <c r="A1992" s="23" t="s">
        <v>3062</v>
      </c>
      <c r="B1992" s="23" t="s">
        <v>3063</v>
      </c>
      <c r="C1992" s="22">
        <v>333588.65000000002</v>
      </c>
      <c r="D1992" s="22">
        <v>4046327.22</v>
      </c>
    </row>
    <row r="1993" spans="1:4" x14ac:dyDescent="0.2">
      <c r="A1993" s="23" t="s">
        <v>3064</v>
      </c>
      <c r="B1993" s="23" t="s">
        <v>3065</v>
      </c>
      <c r="C1993" s="22">
        <v>1704317</v>
      </c>
      <c r="D1993" s="22">
        <v>20366298</v>
      </c>
    </row>
    <row r="1994" spans="1:4" x14ac:dyDescent="0.2">
      <c r="A1994" s="23" t="s">
        <v>3066</v>
      </c>
      <c r="B1994" s="23" t="s">
        <v>3067</v>
      </c>
      <c r="C1994" s="22">
        <v>0</v>
      </c>
      <c r="D1994" s="22">
        <v>0</v>
      </c>
    </row>
    <row r="1995" spans="1:4" x14ac:dyDescent="0.2">
      <c r="A1995" s="23" t="s">
        <v>3068</v>
      </c>
      <c r="B1995" s="23" t="s">
        <v>3069</v>
      </c>
      <c r="C1995" s="22">
        <v>0</v>
      </c>
      <c r="D1995" s="22">
        <v>0</v>
      </c>
    </row>
    <row r="1996" spans="1:4" x14ac:dyDescent="0.2">
      <c r="A1996" s="23" t="s">
        <v>3070</v>
      </c>
      <c r="B1996" s="23" t="s">
        <v>3071</v>
      </c>
      <c r="C1996" s="22">
        <v>0</v>
      </c>
      <c r="D1996" s="22">
        <v>0</v>
      </c>
    </row>
    <row r="1997" spans="1:4" x14ac:dyDescent="0.2">
      <c r="A1997" s="23" t="s">
        <v>3072</v>
      </c>
      <c r="B1997" s="23" t="s">
        <v>3073</v>
      </c>
      <c r="C1997" s="22">
        <v>0</v>
      </c>
      <c r="D1997" s="22">
        <v>0</v>
      </c>
    </row>
    <row r="1998" spans="1:4" x14ac:dyDescent="0.2">
      <c r="A1998" s="23" t="s">
        <v>3074</v>
      </c>
      <c r="B1998" s="23" t="s">
        <v>3075</v>
      </c>
      <c r="C1998" s="22">
        <v>0</v>
      </c>
      <c r="D1998" s="22">
        <v>0</v>
      </c>
    </row>
    <row r="1999" spans="1:4" x14ac:dyDescent="0.2">
      <c r="A1999" s="23" t="s">
        <v>3076</v>
      </c>
      <c r="B1999" s="23" t="s">
        <v>3077</v>
      </c>
      <c r="C1999" s="22">
        <v>0</v>
      </c>
      <c r="D1999" s="22">
        <v>0</v>
      </c>
    </row>
    <row r="2000" spans="1:4" x14ac:dyDescent="0.2">
      <c r="A2000" s="23" t="s">
        <v>3078</v>
      </c>
      <c r="B2000" s="23" t="s">
        <v>3079</v>
      </c>
      <c r="C2000" s="22">
        <v>0</v>
      </c>
      <c r="D2000" s="22">
        <v>0</v>
      </c>
    </row>
    <row r="2001" spans="1:4" x14ac:dyDescent="0.2">
      <c r="A2001" s="23" t="s">
        <v>3080</v>
      </c>
      <c r="B2001" s="23" t="s">
        <v>3081</v>
      </c>
      <c r="C2001" s="22">
        <v>0</v>
      </c>
      <c r="D2001" s="22">
        <v>26962322.469999999</v>
      </c>
    </row>
    <row r="2002" spans="1:4" x14ac:dyDescent="0.2">
      <c r="A2002" s="23" t="s">
        <v>1677</v>
      </c>
      <c r="B2002" s="23" t="s">
        <v>1678</v>
      </c>
      <c r="C2002" s="22">
        <v>0</v>
      </c>
      <c r="D2002" s="22">
        <v>0</v>
      </c>
    </row>
    <row r="2003" spans="1:4" x14ac:dyDescent="0.2">
      <c r="A2003" s="23" t="s">
        <v>1679</v>
      </c>
      <c r="B2003" s="23" t="s">
        <v>1680</v>
      </c>
      <c r="C2003" s="22">
        <v>0</v>
      </c>
      <c r="D2003" s="22">
        <v>0</v>
      </c>
    </row>
    <row r="2004" spans="1:4" x14ac:dyDescent="0.2">
      <c r="A2004" s="23" t="s">
        <v>1681</v>
      </c>
      <c r="B2004" s="23" t="s">
        <v>1682</v>
      </c>
      <c r="C2004" s="22">
        <v>0</v>
      </c>
      <c r="D2004" s="22">
        <v>0</v>
      </c>
    </row>
    <row r="2005" spans="1:4" x14ac:dyDescent="0.2">
      <c r="A2005" s="23" t="s">
        <v>1683</v>
      </c>
      <c r="B2005" s="23" t="s">
        <v>1684</v>
      </c>
      <c r="C2005" s="22">
        <v>0</v>
      </c>
      <c r="D2005" s="22">
        <v>0</v>
      </c>
    </row>
    <row r="2006" spans="1:4" x14ac:dyDescent="0.2">
      <c r="A2006" s="23" t="s">
        <v>1685</v>
      </c>
      <c r="B2006" s="23" t="s">
        <v>1686</v>
      </c>
      <c r="C2006" s="22">
        <v>3392360</v>
      </c>
      <c r="D2006" s="22">
        <v>25164186.5</v>
      </c>
    </row>
    <row r="2007" spans="1:4" x14ac:dyDescent="0.2">
      <c r="A2007" s="23" t="s">
        <v>1687</v>
      </c>
      <c r="B2007" s="23" t="s">
        <v>1688</v>
      </c>
      <c r="C2007" s="22">
        <v>0</v>
      </c>
      <c r="D2007" s="22">
        <v>0</v>
      </c>
    </row>
    <row r="2008" spans="1:4" x14ac:dyDescent="0.2">
      <c r="A2008" s="23" t="s">
        <v>1689</v>
      </c>
      <c r="B2008" s="23" t="s">
        <v>1690</v>
      </c>
      <c r="C2008" s="22">
        <v>0</v>
      </c>
      <c r="D2008" s="22">
        <v>0</v>
      </c>
    </row>
    <row r="2009" spans="1:4" x14ac:dyDescent="0.2">
      <c r="A2009" s="23" t="s">
        <v>1691</v>
      </c>
      <c r="B2009" s="23" t="s">
        <v>1692</v>
      </c>
      <c r="C2009" s="22">
        <v>0</v>
      </c>
      <c r="D2009" s="22">
        <v>462943</v>
      </c>
    </row>
    <row r="2010" spans="1:4" x14ac:dyDescent="0.2">
      <c r="A2010" s="23" t="s">
        <v>1693</v>
      </c>
      <c r="B2010" s="23" t="s">
        <v>1694</v>
      </c>
      <c r="C2010" s="22">
        <v>0</v>
      </c>
      <c r="D2010" s="22">
        <v>0</v>
      </c>
    </row>
    <row r="2011" spans="1:4" x14ac:dyDescent="0.2">
      <c r="A2011" s="23" t="s">
        <v>1695</v>
      </c>
      <c r="B2011" s="23" t="s">
        <v>1696</v>
      </c>
      <c r="C2011" s="22">
        <v>0</v>
      </c>
      <c r="D2011" s="22">
        <v>0</v>
      </c>
    </row>
    <row r="2012" spans="1:4" x14ac:dyDescent="0.2">
      <c r="A2012" s="23" t="s">
        <v>1697</v>
      </c>
      <c r="B2012" s="23" t="s">
        <v>1698</v>
      </c>
      <c r="C2012" s="22">
        <v>0</v>
      </c>
      <c r="D2012" s="22">
        <v>0</v>
      </c>
    </row>
    <row r="2013" spans="1:4" x14ac:dyDescent="0.2">
      <c r="A2013" s="23" t="s">
        <v>1699</v>
      </c>
      <c r="B2013" s="23" t="s">
        <v>1700</v>
      </c>
      <c r="C2013" s="22">
        <v>0</v>
      </c>
      <c r="D2013" s="22">
        <v>0</v>
      </c>
    </row>
    <row r="2014" spans="1:4" x14ac:dyDescent="0.2">
      <c r="A2014" s="23" t="s">
        <v>1701</v>
      </c>
      <c r="B2014" s="23" t="s">
        <v>1702</v>
      </c>
      <c r="C2014" s="22">
        <v>1194858.8</v>
      </c>
      <c r="D2014" s="22">
        <v>26071204.800000001</v>
      </c>
    </row>
    <row r="2015" spans="1:4" x14ac:dyDescent="0.2">
      <c r="A2015" s="23" t="s">
        <v>1703</v>
      </c>
      <c r="B2015" s="23" t="s">
        <v>1704</v>
      </c>
      <c r="C2015" s="22">
        <v>0</v>
      </c>
      <c r="D2015" s="22">
        <v>0</v>
      </c>
    </row>
    <row r="2016" spans="1:4" x14ac:dyDescent="0.2">
      <c r="A2016" s="23" t="s">
        <v>1705</v>
      </c>
      <c r="B2016" s="23" t="s">
        <v>1706</v>
      </c>
      <c r="C2016" s="22">
        <v>0</v>
      </c>
      <c r="D2016" s="22">
        <v>0</v>
      </c>
    </row>
    <row r="2017" spans="1:4" x14ac:dyDescent="0.2">
      <c r="A2017" s="23" t="s">
        <v>1707</v>
      </c>
      <c r="B2017" s="23" t="s">
        <v>1708</v>
      </c>
      <c r="C2017" s="22">
        <v>0</v>
      </c>
      <c r="D2017" s="22">
        <v>0</v>
      </c>
    </row>
    <row r="2018" spans="1:4" x14ac:dyDescent="0.2">
      <c r="A2018" s="23" t="s">
        <v>1709</v>
      </c>
      <c r="B2018" s="23" t="s">
        <v>1710</v>
      </c>
      <c r="C2018" s="22">
        <v>11375</v>
      </c>
      <c r="D2018" s="22">
        <v>391482</v>
      </c>
    </row>
    <row r="2019" spans="1:4" x14ac:dyDescent="0.2">
      <c r="A2019" s="23" t="s">
        <v>1711</v>
      </c>
      <c r="B2019" s="23" t="s">
        <v>1712</v>
      </c>
      <c r="C2019" s="22">
        <v>0</v>
      </c>
      <c r="D2019" s="22">
        <v>0</v>
      </c>
    </row>
    <row r="2020" spans="1:4" x14ac:dyDescent="0.2">
      <c r="A2020" s="23" t="s">
        <v>1713</v>
      </c>
      <c r="B2020" s="23" t="s">
        <v>1714</v>
      </c>
      <c r="C2020" s="22">
        <v>0</v>
      </c>
      <c r="D2020" s="22">
        <v>0</v>
      </c>
    </row>
    <row r="2021" spans="1:4" x14ac:dyDescent="0.2">
      <c r="A2021" s="23" t="s">
        <v>1715</v>
      </c>
      <c r="B2021" s="23" t="s">
        <v>1716</v>
      </c>
      <c r="C2021" s="22">
        <v>0</v>
      </c>
      <c r="D2021" s="22">
        <v>0</v>
      </c>
    </row>
    <row r="2022" spans="1:4" x14ac:dyDescent="0.2">
      <c r="A2022" s="23" t="s">
        <v>1717</v>
      </c>
      <c r="B2022" s="23" t="s">
        <v>1718</v>
      </c>
      <c r="C2022" s="22">
        <v>0</v>
      </c>
      <c r="D2022" s="22">
        <v>0</v>
      </c>
    </row>
    <row r="2023" spans="1:4" x14ac:dyDescent="0.2">
      <c r="A2023" s="23" t="s">
        <v>1719</v>
      </c>
      <c r="B2023" s="23" t="s">
        <v>1720</v>
      </c>
      <c r="C2023" s="22">
        <v>16800</v>
      </c>
      <c r="D2023" s="22">
        <v>106425</v>
      </c>
    </row>
    <row r="2024" spans="1:4" x14ac:dyDescent="0.2">
      <c r="A2024" s="23" t="s">
        <v>1721</v>
      </c>
      <c r="B2024" s="23" t="s">
        <v>1722</v>
      </c>
      <c r="C2024" s="22">
        <v>0</v>
      </c>
      <c r="D2024" s="22">
        <v>0</v>
      </c>
    </row>
    <row r="2025" spans="1:4" x14ac:dyDescent="0.2">
      <c r="A2025" s="23" t="s">
        <v>1723</v>
      </c>
      <c r="B2025" s="23" t="s">
        <v>1722</v>
      </c>
      <c r="C2025" s="22">
        <v>0</v>
      </c>
      <c r="D2025" s="22">
        <v>0</v>
      </c>
    </row>
    <row r="2026" spans="1:4" x14ac:dyDescent="0.2">
      <c r="A2026" s="23" t="s">
        <v>1724</v>
      </c>
      <c r="B2026" t="s">
        <v>4481</v>
      </c>
      <c r="C2026" s="22">
        <v>21028645.59</v>
      </c>
      <c r="D2026" s="22">
        <v>271936784.80000001</v>
      </c>
    </row>
    <row r="2027" spans="1:4" x14ac:dyDescent="0.2">
      <c r="A2027" s="23" t="s">
        <v>1725</v>
      </c>
      <c r="B2027" s="23" t="s">
        <v>1726</v>
      </c>
      <c r="C2027" s="22">
        <v>131799.28</v>
      </c>
      <c r="D2027" s="22">
        <v>1291537.19</v>
      </c>
    </row>
    <row r="2028" spans="1:4" x14ac:dyDescent="0.2">
      <c r="A2028" s="23" t="s">
        <v>1727</v>
      </c>
      <c r="B2028" t="s">
        <v>4481</v>
      </c>
      <c r="C2028" s="22">
        <v>131799.28</v>
      </c>
      <c r="D2028" s="22">
        <v>1291537.19</v>
      </c>
    </row>
    <row r="2029" spans="1:4" x14ac:dyDescent="0.2">
      <c r="A2029" s="23" t="s">
        <v>1728</v>
      </c>
      <c r="B2029" s="23" t="s">
        <v>1729</v>
      </c>
      <c r="C2029" s="22">
        <v>0</v>
      </c>
      <c r="D2029" s="22">
        <v>0</v>
      </c>
    </row>
    <row r="2030" spans="1:4" x14ac:dyDescent="0.2">
      <c r="A2030" s="23" t="s">
        <v>1730</v>
      </c>
      <c r="B2030" s="23" t="s">
        <v>1731</v>
      </c>
      <c r="C2030" s="22">
        <v>0</v>
      </c>
      <c r="D2030" s="22">
        <v>0</v>
      </c>
    </row>
    <row r="2031" spans="1:4" x14ac:dyDescent="0.2">
      <c r="A2031" s="23" t="s">
        <v>1732</v>
      </c>
      <c r="B2031" s="23" t="s">
        <v>1733</v>
      </c>
      <c r="C2031" s="22">
        <v>0</v>
      </c>
      <c r="D2031" s="22">
        <v>0</v>
      </c>
    </row>
    <row r="2032" spans="1:4" x14ac:dyDescent="0.2">
      <c r="A2032" s="23" t="s">
        <v>1734</v>
      </c>
      <c r="B2032" s="23" t="s">
        <v>1735</v>
      </c>
      <c r="C2032" s="22">
        <v>0</v>
      </c>
      <c r="D2032" s="22">
        <v>0</v>
      </c>
    </row>
    <row r="2033" spans="1:4" x14ac:dyDescent="0.2">
      <c r="A2033" s="23" t="s">
        <v>1736</v>
      </c>
      <c r="B2033" s="23" t="s">
        <v>1737</v>
      </c>
      <c r="C2033" s="22">
        <v>0</v>
      </c>
      <c r="D2033" s="22">
        <v>0</v>
      </c>
    </row>
    <row r="2034" spans="1:4" x14ac:dyDescent="0.2">
      <c r="A2034" s="23" t="s">
        <v>1738</v>
      </c>
      <c r="B2034" s="23" t="s">
        <v>1739</v>
      </c>
      <c r="C2034" s="22">
        <v>0</v>
      </c>
      <c r="D2034" s="22">
        <v>0</v>
      </c>
    </row>
    <row r="2035" spans="1:4" x14ac:dyDescent="0.2">
      <c r="A2035" s="23" t="s">
        <v>1740</v>
      </c>
      <c r="B2035" s="23" t="s">
        <v>1741</v>
      </c>
      <c r="C2035" s="22">
        <v>0</v>
      </c>
      <c r="D2035" s="22">
        <v>0</v>
      </c>
    </row>
    <row r="2036" spans="1:4" x14ac:dyDescent="0.2">
      <c r="A2036" s="23" t="s">
        <v>1742</v>
      </c>
      <c r="B2036" s="23" t="s">
        <v>1743</v>
      </c>
      <c r="C2036" s="22">
        <v>0</v>
      </c>
      <c r="D2036" s="22">
        <v>0</v>
      </c>
    </row>
    <row r="2037" spans="1:4" x14ac:dyDescent="0.2">
      <c r="A2037" s="23" t="s">
        <v>1744</v>
      </c>
      <c r="B2037" s="23" t="s">
        <v>1745</v>
      </c>
      <c r="C2037" s="22">
        <v>0</v>
      </c>
      <c r="D2037" s="22">
        <v>0</v>
      </c>
    </row>
    <row r="2038" spans="1:4" x14ac:dyDescent="0.2">
      <c r="A2038" s="23" t="s">
        <v>1746</v>
      </c>
      <c r="B2038" s="23" t="s">
        <v>1747</v>
      </c>
      <c r="C2038" s="22">
        <v>0</v>
      </c>
      <c r="D2038" s="22">
        <v>0</v>
      </c>
    </row>
    <row r="2039" spans="1:4" x14ac:dyDescent="0.2">
      <c r="A2039" s="23" t="s">
        <v>1748</v>
      </c>
      <c r="B2039" s="23" t="s">
        <v>1749</v>
      </c>
      <c r="C2039" s="22">
        <v>0</v>
      </c>
      <c r="D2039" s="22">
        <v>0</v>
      </c>
    </row>
    <row r="2040" spans="1:4" x14ac:dyDescent="0.2">
      <c r="A2040" s="23" t="s">
        <v>1750</v>
      </c>
      <c r="B2040" s="23" t="s">
        <v>1751</v>
      </c>
      <c r="C2040" s="22">
        <v>0</v>
      </c>
      <c r="D2040" s="22">
        <v>0</v>
      </c>
    </row>
    <row r="2041" spans="1:4" x14ac:dyDescent="0.2">
      <c r="A2041" s="23" t="s">
        <v>1752</v>
      </c>
      <c r="B2041" s="23" t="s">
        <v>1753</v>
      </c>
      <c r="C2041" s="22">
        <v>0</v>
      </c>
      <c r="D2041" s="22">
        <v>0</v>
      </c>
    </row>
    <row r="2042" spans="1:4" x14ac:dyDescent="0.2">
      <c r="A2042" s="23" t="s">
        <v>1754</v>
      </c>
      <c r="B2042" s="23" t="s">
        <v>1755</v>
      </c>
      <c r="C2042" s="22">
        <v>0</v>
      </c>
      <c r="D2042" s="22">
        <v>0</v>
      </c>
    </row>
    <row r="2043" spans="1:4" x14ac:dyDescent="0.2">
      <c r="A2043" s="23" t="s">
        <v>1756</v>
      </c>
      <c r="B2043" s="23" t="s">
        <v>1757</v>
      </c>
      <c r="C2043" s="22">
        <v>0</v>
      </c>
      <c r="D2043" s="22">
        <v>0</v>
      </c>
    </row>
    <row r="2044" spans="1:4" x14ac:dyDescent="0.2">
      <c r="A2044" s="23" t="s">
        <v>1758</v>
      </c>
      <c r="B2044" s="23" t="s">
        <v>1759</v>
      </c>
      <c r="C2044" s="22">
        <v>0</v>
      </c>
      <c r="D2044" s="22">
        <v>0</v>
      </c>
    </row>
    <row r="2045" spans="1:4" x14ac:dyDescent="0.2">
      <c r="A2045" s="23" t="s">
        <v>1760</v>
      </c>
      <c r="B2045" s="23" t="s">
        <v>1761</v>
      </c>
      <c r="C2045" s="22">
        <v>0</v>
      </c>
      <c r="D2045" s="22">
        <v>0</v>
      </c>
    </row>
    <row r="2046" spans="1:4" x14ac:dyDescent="0.2">
      <c r="A2046" s="23" t="s">
        <v>1762</v>
      </c>
      <c r="B2046" s="23" t="s">
        <v>1763</v>
      </c>
      <c r="C2046" s="22">
        <v>0</v>
      </c>
      <c r="D2046" s="22">
        <v>0</v>
      </c>
    </row>
    <row r="2047" spans="1:4" x14ac:dyDescent="0.2">
      <c r="A2047" s="23" t="s">
        <v>1764</v>
      </c>
      <c r="B2047" s="23" t="s">
        <v>4349</v>
      </c>
      <c r="C2047" s="22">
        <v>0</v>
      </c>
      <c r="D2047" s="22">
        <v>0</v>
      </c>
    </row>
    <row r="2048" spans="1:4" x14ac:dyDescent="0.2">
      <c r="A2048" s="23" t="s">
        <v>4350</v>
      </c>
      <c r="B2048" s="23" t="s">
        <v>4351</v>
      </c>
      <c r="C2048" s="22">
        <v>0</v>
      </c>
      <c r="D2048" s="22">
        <v>0</v>
      </c>
    </row>
    <row r="2049" spans="1:4" x14ac:dyDescent="0.2">
      <c r="A2049" s="23" t="s">
        <v>4352</v>
      </c>
      <c r="B2049" s="23" t="s">
        <v>4353</v>
      </c>
      <c r="C2049" s="22">
        <v>0</v>
      </c>
      <c r="D2049" s="22">
        <v>0</v>
      </c>
    </row>
    <row r="2050" spans="1:4" x14ac:dyDescent="0.2">
      <c r="A2050" s="23" t="s">
        <v>4354</v>
      </c>
      <c r="B2050" s="23" t="s">
        <v>4355</v>
      </c>
      <c r="C2050" s="22">
        <v>0</v>
      </c>
      <c r="D2050" s="22">
        <v>0</v>
      </c>
    </row>
    <row r="2051" spans="1:4" x14ac:dyDescent="0.2">
      <c r="A2051" s="23" t="s">
        <v>4356</v>
      </c>
      <c r="B2051" s="23" t="s">
        <v>4357</v>
      </c>
      <c r="C2051" s="22">
        <v>0</v>
      </c>
      <c r="D2051" s="22">
        <v>0</v>
      </c>
    </row>
    <row r="2052" spans="1:4" x14ac:dyDescent="0.2">
      <c r="A2052" s="23" t="s">
        <v>4358</v>
      </c>
      <c r="B2052" t="s">
        <v>4481</v>
      </c>
      <c r="C2052" s="22">
        <v>0</v>
      </c>
      <c r="D2052" s="22">
        <v>0</v>
      </c>
    </row>
    <row r="2053" spans="1:4" x14ac:dyDescent="0.2">
      <c r="A2053" s="23" t="s">
        <v>4359</v>
      </c>
      <c r="B2053" s="23" t="s">
        <v>4360</v>
      </c>
      <c r="C2053" s="22">
        <v>75999.509999999995</v>
      </c>
      <c r="D2053" s="22">
        <v>618586.67000000004</v>
      </c>
    </row>
    <row r="2054" spans="1:4" x14ac:dyDescent="0.2">
      <c r="A2054" s="23" t="s">
        <v>4361</v>
      </c>
      <c r="B2054" t="s">
        <v>4481</v>
      </c>
      <c r="C2054" s="22">
        <v>75999.509999999995</v>
      </c>
      <c r="D2054" s="22">
        <v>618586.67000000004</v>
      </c>
    </row>
    <row r="2055" spans="1:4" x14ac:dyDescent="0.2">
      <c r="A2055" s="23" t="s">
        <v>4362</v>
      </c>
      <c r="B2055" s="23" t="s">
        <v>4363</v>
      </c>
      <c r="C2055" s="22">
        <v>4326.38</v>
      </c>
      <c r="D2055" s="22">
        <v>61934.2</v>
      </c>
    </row>
    <row r="2056" spans="1:4" x14ac:dyDescent="0.2">
      <c r="A2056" s="23" t="s">
        <v>4364</v>
      </c>
      <c r="B2056" s="23" t="s">
        <v>4365</v>
      </c>
      <c r="C2056" s="22">
        <v>-8875</v>
      </c>
      <c r="D2056" s="22">
        <v>-106500</v>
      </c>
    </row>
    <row r="2057" spans="1:4" x14ac:dyDescent="0.2">
      <c r="A2057" s="23" t="s">
        <v>4366</v>
      </c>
      <c r="B2057" s="23" t="s">
        <v>4367</v>
      </c>
      <c r="C2057" s="22">
        <v>6413.21</v>
      </c>
      <c r="D2057" s="22">
        <v>57707.92</v>
      </c>
    </row>
    <row r="2058" spans="1:4" x14ac:dyDescent="0.2">
      <c r="A2058" s="23" t="s">
        <v>4368</v>
      </c>
      <c r="B2058" s="23" t="s">
        <v>4369</v>
      </c>
      <c r="C2058" s="22">
        <v>49403.39</v>
      </c>
      <c r="D2058" s="22">
        <v>585856.61</v>
      </c>
    </row>
    <row r="2059" spans="1:4" x14ac:dyDescent="0.2">
      <c r="A2059" s="23" t="s">
        <v>4370</v>
      </c>
      <c r="B2059" s="23" t="s">
        <v>4371</v>
      </c>
      <c r="C2059" s="22">
        <v>29651.119999999999</v>
      </c>
      <c r="D2059" s="22">
        <v>268367.65999999997</v>
      </c>
    </row>
    <row r="2060" spans="1:4" x14ac:dyDescent="0.2">
      <c r="A2060" s="23" t="s">
        <v>4372</v>
      </c>
      <c r="B2060" s="23" t="s">
        <v>4373</v>
      </c>
      <c r="C2060" s="22">
        <v>0</v>
      </c>
      <c r="D2060" s="22">
        <v>0</v>
      </c>
    </row>
    <row r="2061" spans="1:4" x14ac:dyDescent="0.2">
      <c r="A2061" s="23" t="s">
        <v>4374</v>
      </c>
      <c r="B2061" s="23" t="s">
        <v>4375</v>
      </c>
      <c r="C2061" s="22">
        <v>19595.86</v>
      </c>
      <c r="D2061" s="22">
        <v>189252.28</v>
      </c>
    </row>
    <row r="2062" spans="1:4" x14ac:dyDescent="0.2">
      <c r="A2062" s="23" t="s">
        <v>4376</v>
      </c>
      <c r="B2062" s="23" t="s">
        <v>4377</v>
      </c>
      <c r="C2062" s="22">
        <v>1719.64</v>
      </c>
      <c r="D2062" s="22">
        <v>36221.440000000002</v>
      </c>
    </row>
    <row r="2063" spans="1:4" x14ac:dyDescent="0.2">
      <c r="A2063" s="23" t="s">
        <v>4378</v>
      </c>
      <c r="B2063" s="23" t="s">
        <v>4379</v>
      </c>
      <c r="C2063" s="22">
        <v>6177.28</v>
      </c>
      <c r="D2063" s="22">
        <v>80744.600000000006</v>
      </c>
    </row>
    <row r="2064" spans="1:4" x14ac:dyDescent="0.2">
      <c r="A2064" s="23" t="s">
        <v>4380</v>
      </c>
      <c r="B2064" s="23" t="s">
        <v>4375</v>
      </c>
      <c r="C2064" s="22">
        <v>116249.34</v>
      </c>
      <c r="D2064" s="22">
        <v>552575.36</v>
      </c>
    </row>
    <row r="2065" spans="1:4" x14ac:dyDescent="0.2">
      <c r="A2065" s="23" t="s">
        <v>4381</v>
      </c>
      <c r="B2065" t="s">
        <v>4481</v>
      </c>
      <c r="C2065" s="22">
        <v>224661.22</v>
      </c>
      <c r="D2065" s="22">
        <v>1726160.07</v>
      </c>
    </row>
    <row r="2066" spans="1:4" x14ac:dyDescent="0.2">
      <c r="A2066" s="23" t="s">
        <v>4382</v>
      </c>
      <c r="B2066" s="23" t="s">
        <v>4383</v>
      </c>
      <c r="C2066" s="22">
        <v>16354.4</v>
      </c>
      <c r="D2066" s="22">
        <v>368402.68</v>
      </c>
    </row>
    <row r="2067" spans="1:4" x14ac:dyDescent="0.2">
      <c r="A2067" s="23" t="s">
        <v>4384</v>
      </c>
      <c r="B2067" s="23" t="s">
        <v>4385</v>
      </c>
      <c r="C2067" s="22">
        <v>0</v>
      </c>
      <c r="D2067" s="22">
        <v>0</v>
      </c>
    </row>
    <row r="2068" spans="1:4" x14ac:dyDescent="0.2">
      <c r="A2068" s="23" t="s">
        <v>4386</v>
      </c>
      <c r="B2068" s="23" t="s">
        <v>4387</v>
      </c>
      <c r="C2068" s="22">
        <v>530.89</v>
      </c>
      <c r="D2068" s="22">
        <v>19221.189999999999</v>
      </c>
    </row>
    <row r="2069" spans="1:4" x14ac:dyDescent="0.2">
      <c r="A2069" s="23" t="s">
        <v>4388</v>
      </c>
      <c r="B2069" s="23" t="s">
        <v>4389</v>
      </c>
      <c r="C2069" s="22">
        <v>3489.71</v>
      </c>
      <c r="D2069" s="22">
        <v>21203.32</v>
      </c>
    </row>
    <row r="2070" spans="1:4" x14ac:dyDescent="0.2">
      <c r="A2070" s="23" t="s">
        <v>4390</v>
      </c>
      <c r="B2070" s="23" t="s">
        <v>4391</v>
      </c>
      <c r="C2070" s="22">
        <v>0</v>
      </c>
      <c r="D2070" s="22">
        <v>2741.7</v>
      </c>
    </row>
    <row r="2071" spans="1:4" x14ac:dyDescent="0.2">
      <c r="A2071" s="23" t="s">
        <v>4392</v>
      </c>
      <c r="B2071" s="23" t="s">
        <v>803</v>
      </c>
      <c r="C2071" s="22">
        <v>1270.75</v>
      </c>
      <c r="D2071" s="22">
        <v>40270.870000000003</v>
      </c>
    </row>
    <row r="2072" spans="1:4" x14ac:dyDescent="0.2">
      <c r="A2072" s="23" t="s">
        <v>804</v>
      </c>
      <c r="B2072" s="23" t="s">
        <v>805</v>
      </c>
      <c r="C2072" s="22">
        <v>0</v>
      </c>
      <c r="D2072" s="22">
        <v>0</v>
      </c>
    </row>
    <row r="2073" spans="1:4" x14ac:dyDescent="0.2">
      <c r="A2073" s="23" t="s">
        <v>806</v>
      </c>
      <c r="B2073" s="23" t="s">
        <v>807</v>
      </c>
      <c r="C2073" s="22">
        <v>0</v>
      </c>
      <c r="D2073" s="22">
        <v>0</v>
      </c>
    </row>
    <row r="2074" spans="1:4" x14ac:dyDescent="0.2">
      <c r="A2074" s="23" t="s">
        <v>808</v>
      </c>
      <c r="B2074" s="23" t="s">
        <v>809</v>
      </c>
      <c r="C2074" s="22">
        <v>0</v>
      </c>
      <c r="D2074" s="22">
        <v>0</v>
      </c>
    </row>
    <row r="2075" spans="1:4" x14ac:dyDescent="0.2">
      <c r="A2075" s="23" t="s">
        <v>810</v>
      </c>
      <c r="B2075" s="23" t="s">
        <v>811</v>
      </c>
      <c r="C2075" s="22">
        <v>0</v>
      </c>
      <c r="D2075" s="22">
        <v>0</v>
      </c>
    </row>
    <row r="2076" spans="1:4" x14ac:dyDescent="0.2">
      <c r="A2076" s="23" t="s">
        <v>812</v>
      </c>
      <c r="B2076" s="23" t="s">
        <v>813</v>
      </c>
      <c r="C2076" s="22">
        <v>0</v>
      </c>
      <c r="D2076" s="22">
        <v>0</v>
      </c>
    </row>
    <row r="2077" spans="1:4" x14ac:dyDescent="0.2">
      <c r="A2077" s="23" t="s">
        <v>814</v>
      </c>
      <c r="B2077" s="23" t="s">
        <v>815</v>
      </c>
      <c r="C2077" s="22">
        <v>0</v>
      </c>
      <c r="D2077" s="22">
        <v>0</v>
      </c>
    </row>
    <row r="2078" spans="1:4" x14ac:dyDescent="0.2">
      <c r="A2078" s="23" t="s">
        <v>816</v>
      </c>
      <c r="B2078" s="23" t="s">
        <v>817</v>
      </c>
      <c r="C2078" s="22">
        <v>0</v>
      </c>
      <c r="D2078" s="22">
        <v>0</v>
      </c>
    </row>
    <row r="2079" spans="1:4" x14ac:dyDescent="0.2">
      <c r="A2079" s="23" t="s">
        <v>818</v>
      </c>
      <c r="B2079" s="23" t="s">
        <v>819</v>
      </c>
      <c r="C2079" s="22">
        <v>0</v>
      </c>
      <c r="D2079" s="22">
        <v>0</v>
      </c>
    </row>
    <row r="2080" spans="1:4" x14ac:dyDescent="0.2">
      <c r="A2080" s="23" t="s">
        <v>820</v>
      </c>
      <c r="B2080" s="23" t="s">
        <v>821</v>
      </c>
      <c r="C2080" s="22">
        <v>0</v>
      </c>
      <c r="D2080" s="22">
        <v>0</v>
      </c>
    </row>
    <row r="2081" spans="1:4" x14ac:dyDescent="0.2">
      <c r="A2081" s="23" t="s">
        <v>822</v>
      </c>
      <c r="B2081" s="23" t="s">
        <v>823</v>
      </c>
      <c r="C2081" s="22">
        <v>0</v>
      </c>
      <c r="D2081" s="22">
        <v>0</v>
      </c>
    </row>
    <row r="2082" spans="1:4" x14ac:dyDescent="0.2">
      <c r="A2082" s="23" t="s">
        <v>824</v>
      </c>
      <c r="B2082" s="23" t="s">
        <v>825</v>
      </c>
      <c r="C2082" s="22">
        <v>0</v>
      </c>
      <c r="D2082" s="22">
        <v>0</v>
      </c>
    </row>
    <row r="2083" spans="1:4" x14ac:dyDescent="0.2">
      <c r="A2083" s="23" t="s">
        <v>826</v>
      </c>
      <c r="B2083" s="23" t="s">
        <v>827</v>
      </c>
      <c r="C2083" s="22">
        <v>0</v>
      </c>
      <c r="D2083" s="22">
        <v>0</v>
      </c>
    </row>
    <row r="2084" spans="1:4" x14ac:dyDescent="0.2">
      <c r="A2084" s="23" t="s">
        <v>828</v>
      </c>
      <c r="B2084" s="23" t="s">
        <v>829</v>
      </c>
      <c r="C2084" s="22">
        <v>0</v>
      </c>
      <c r="D2084" s="22">
        <v>0</v>
      </c>
    </row>
    <row r="2085" spans="1:4" x14ac:dyDescent="0.2">
      <c r="A2085" s="23" t="s">
        <v>830</v>
      </c>
      <c r="B2085" s="23" t="s">
        <v>831</v>
      </c>
      <c r="C2085" s="22">
        <v>0</v>
      </c>
      <c r="D2085" s="22">
        <v>0</v>
      </c>
    </row>
    <row r="2086" spans="1:4" x14ac:dyDescent="0.2">
      <c r="A2086" s="23" t="s">
        <v>832</v>
      </c>
      <c r="B2086" s="23" t="s">
        <v>833</v>
      </c>
      <c r="C2086" s="22">
        <v>0</v>
      </c>
      <c r="D2086" s="22">
        <v>0</v>
      </c>
    </row>
    <row r="2087" spans="1:4" x14ac:dyDescent="0.2">
      <c r="A2087" s="23" t="s">
        <v>834</v>
      </c>
      <c r="B2087" s="23" t="s">
        <v>835</v>
      </c>
      <c r="C2087" s="22">
        <v>0</v>
      </c>
      <c r="D2087" s="22">
        <v>0</v>
      </c>
    </row>
    <row r="2088" spans="1:4" x14ac:dyDescent="0.2">
      <c r="A2088" s="23" t="s">
        <v>836</v>
      </c>
      <c r="B2088" s="23" t="s">
        <v>837</v>
      </c>
      <c r="C2088" s="22">
        <v>0</v>
      </c>
      <c r="D2088" s="22">
        <v>0</v>
      </c>
    </row>
    <row r="2089" spans="1:4" x14ac:dyDescent="0.2">
      <c r="A2089" s="23" t="s">
        <v>838</v>
      </c>
      <c r="B2089" t="s">
        <v>4481</v>
      </c>
      <c r="C2089" s="22">
        <v>21645.75</v>
      </c>
      <c r="D2089" s="22">
        <v>451839.76</v>
      </c>
    </row>
    <row r="2090" spans="1:4" x14ac:dyDescent="0.2">
      <c r="A2090" s="23" t="s">
        <v>839</v>
      </c>
      <c r="B2090" s="23" t="s">
        <v>840</v>
      </c>
      <c r="C2090" s="22">
        <v>0</v>
      </c>
      <c r="D2090" s="22">
        <v>-551.96</v>
      </c>
    </row>
    <row r="2091" spans="1:4" x14ac:dyDescent="0.2">
      <c r="A2091" s="23" t="s">
        <v>841</v>
      </c>
      <c r="B2091" s="23" t="s">
        <v>842</v>
      </c>
      <c r="C2091" s="22">
        <v>0</v>
      </c>
      <c r="D2091" s="22">
        <v>11391</v>
      </c>
    </row>
    <row r="2092" spans="1:4" x14ac:dyDescent="0.2">
      <c r="A2092" s="23" t="s">
        <v>843</v>
      </c>
      <c r="B2092" s="23" t="s">
        <v>844</v>
      </c>
      <c r="C2092" s="22">
        <v>0</v>
      </c>
      <c r="D2092" s="22">
        <v>49387.89</v>
      </c>
    </row>
    <row r="2093" spans="1:4" x14ac:dyDescent="0.2">
      <c r="A2093" s="23" t="s">
        <v>845</v>
      </c>
      <c r="B2093" t="s">
        <v>4481</v>
      </c>
      <c r="C2093" s="22">
        <v>0</v>
      </c>
      <c r="D2093" s="22">
        <v>60226.93</v>
      </c>
    </row>
    <row r="2094" spans="1:4" x14ac:dyDescent="0.2">
      <c r="A2094" s="23" t="s">
        <v>846</v>
      </c>
      <c r="B2094" s="23" t="s">
        <v>847</v>
      </c>
      <c r="C2094" s="22">
        <v>0</v>
      </c>
      <c r="D2094" s="22">
        <v>176.55</v>
      </c>
    </row>
    <row r="2095" spans="1:4" x14ac:dyDescent="0.2">
      <c r="A2095" s="23" t="s">
        <v>848</v>
      </c>
      <c r="B2095" t="s">
        <v>4481</v>
      </c>
      <c r="C2095" s="22">
        <v>0</v>
      </c>
      <c r="D2095" s="22">
        <v>176.55</v>
      </c>
    </row>
    <row r="2096" spans="1:4" x14ac:dyDescent="0.2">
      <c r="A2096" s="23" t="s">
        <v>849</v>
      </c>
      <c r="B2096" s="23" t="s">
        <v>850</v>
      </c>
      <c r="C2096" s="22">
        <v>0</v>
      </c>
      <c r="D2096" s="22">
        <v>0</v>
      </c>
    </row>
    <row r="2097" spans="1:4" x14ac:dyDescent="0.2">
      <c r="A2097" s="23" t="s">
        <v>851</v>
      </c>
      <c r="B2097" s="23" t="s">
        <v>852</v>
      </c>
      <c r="C2097" s="22">
        <v>21474</v>
      </c>
      <c r="D2097" s="22">
        <v>298250</v>
      </c>
    </row>
    <row r="2098" spans="1:4" x14ac:dyDescent="0.2">
      <c r="A2098" s="23" t="s">
        <v>853</v>
      </c>
      <c r="B2098" s="23" t="s">
        <v>854</v>
      </c>
      <c r="C2098" s="22">
        <v>0</v>
      </c>
      <c r="D2098" s="22">
        <v>0</v>
      </c>
    </row>
    <row r="2099" spans="1:4" x14ac:dyDescent="0.2">
      <c r="A2099" s="23" t="s">
        <v>855</v>
      </c>
      <c r="B2099" t="s">
        <v>4481</v>
      </c>
      <c r="C2099" s="22">
        <v>21474</v>
      </c>
      <c r="D2099" s="22">
        <v>298250</v>
      </c>
    </row>
    <row r="2100" spans="1:4" x14ac:dyDescent="0.2">
      <c r="A2100" s="23" t="s">
        <v>856</v>
      </c>
      <c r="B2100" s="23" t="s">
        <v>857</v>
      </c>
      <c r="C2100" s="22">
        <v>180010.14</v>
      </c>
      <c r="D2100" s="22">
        <v>1934004.09</v>
      </c>
    </row>
    <row r="2101" spans="1:4" x14ac:dyDescent="0.2">
      <c r="A2101" s="23" t="s">
        <v>858</v>
      </c>
      <c r="B2101" s="23" t="s">
        <v>859</v>
      </c>
      <c r="C2101" s="22">
        <v>857.12</v>
      </c>
      <c r="D2101" s="22">
        <v>26814.46</v>
      </c>
    </row>
    <row r="2102" spans="1:4" x14ac:dyDescent="0.2">
      <c r="A2102" s="23" t="s">
        <v>860</v>
      </c>
      <c r="B2102" s="23" t="s">
        <v>861</v>
      </c>
      <c r="C2102" s="22">
        <v>0</v>
      </c>
      <c r="D2102" s="22">
        <v>0</v>
      </c>
    </row>
    <row r="2103" spans="1:4" x14ac:dyDescent="0.2">
      <c r="A2103" s="23" t="s">
        <v>862</v>
      </c>
      <c r="B2103" s="23" t="s">
        <v>863</v>
      </c>
      <c r="C2103" s="22">
        <v>0</v>
      </c>
      <c r="D2103" s="22">
        <v>0</v>
      </c>
    </row>
    <row r="2104" spans="1:4" x14ac:dyDescent="0.2">
      <c r="A2104" s="23" t="s">
        <v>864</v>
      </c>
      <c r="B2104" s="23" t="s">
        <v>865</v>
      </c>
      <c r="C2104" s="22">
        <v>0</v>
      </c>
      <c r="D2104" s="22">
        <v>0</v>
      </c>
    </row>
    <row r="2105" spans="1:4" x14ac:dyDescent="0.2">
      <c r="A2105" s="23" t="s">
        <v>866</v>
      </c>
      <c r="B2105" s="23" t="s">
        <v>867</v>
      </c>
      <c r="C2105" s="22">
        <v>0</v>
      </c>
      <c r="D2105" s="22">
        <v>0</v>
      </c>
    </row>
    <row r="2106" spans="1:4" x14ac:dyDescent="0.2">
      <c r="A2106" s="23" t="s">
        <v>868</v>
      </c>
      <c r="B2106" s="23" t="s">
        <v>869</v>
      </c>
      <c r="C2106" s="22">
        <v>0</v>
      </c>
      <c r="D2106" s="22">
        <v>0</v>
      </c>
    </row>
    <row r="2107" spans="1:4" x14ac:dyDescent="0.2">
      <c r="A2107" s="23" t="s">
        <v>870</v>
      </c>
      <c r="B2107" t="s">
        <v>4481</v>
      </c>
      <c r="C2107" s="22">
        <v>180867.26</v>
      </c>
      <c r="D2107" s="22">
        <v>1960818.55</v>
      </c>
    </row>
    <row r="2108" spans="1:4" x14ac:dyDescent="0.2">
      <c r="A2108" s="23" t="s">
        <v>871</v>
      </c>
      <c r="B2108" s="23" t="s">
        <v>872</v>
      </c>
      <c r="C2108" s="22">
        <v>8480.11</v>
      </c>
      <c r="D2108" s="22">
        <v>42273.2</v>
      </c>
    </row>
    <row r="2109" spans="1:4" x14ac:dyDescent="0.2">
      <c r="A2109" s="23" t="s">
        <v>873</v>
      </c>
      <c r="B2109" t="s">
        <v>4481</v>
      </c>
      <c r="C2109" s="22">
        <v>8480.11</v>
      </c>
      <c r="D2109" s="22">
        <v>42273.2</v>
      </c>
    </row>
    <row r="2110" spans="1:4" x14ac:dyDescent="0.2">
      <c r="A2110" s="23" t="s">
        <v>874</v>
      </c>
      <c r="B2110" s="23" t="s">
        <v>875</v>
      </c>
      <c r="C2110" s="22">
        <v>0</v>
      </c>
      <c r="D2110" s="22">
        <v>0</v>
      </c>
    </row>
    <row r="2111" spans="1:4" x14ac:dyDescent="0.2">
      <c r="A2111" s="23" t="s">
        <v>876</v>
      </c>
      <c r="B2111" t="s">
        <v>4481</v>
      </c>
      <c r="C2111" s="22">
        <v>0</v>
      </c>
      <c r="D2111" s="22">
        <v>0</v>
      </c>
    </row>
    <row r="2112" spans="1:4" x14ac:dyDescent="0.2">
      <c r="A2112" s="23" t="s">
        <v>877</v>
      </c>
      <c r="B2112" s="23" t="s">
        <v>878</v>
      </c>
      <c r="C2112" s="22">
        <v>0</v>
      </c>
      <c r="D2112" s="22">
        <v>0</v>
      </c>
    </row>
    <row r="2113" spans="1:4" x14ac:dyDescent="0.2">
      <c r="A2113" s="23" t="s">
        <v>879</v>
      </c>
      <c r="B2113" s="23" t="s">
        <v>3787</v>
      </c>
      <c r="C2113" s="22">
        <v>64153</v>
      </c>
      <c r="D2113" s="22">
        <v>769836</v>
      </c>
    </row>
    <row r="2114" spans="1:4" x14ac:dyDescent="0.2">
      <c r="A2114" s="23" t="s">
        <v>3788</v>
      </c>
      <c r="B2114" s="23" t="s">
        <v>3789</v>
      </c>
      <c r="C2114" s="22">
        <v>81969.42</v>
      </c>
      <c r="D2114" s="22">
        <v>991743.58</v>
      </c>
    </row>
    <row r="2115" spans="1:4" x14ac:dyDescent="0.2">
      <c r="A2115" s="23" t="s">
        <v>3790</v>
      </c>
      <c r="B2115" s="23" t="s">
        <v>3791</v>
      </c>
      <c r="C2115" s="22">
        <v>68499.44</v>
      </c>
      <c r="D2115" s="22">
        <v>826883.89</v>
      </c>
    </row>
    <row r="2116" spans="1:4" x14ac:dyDescent="0.2">
      <c r="A2116" s="23" t="s">
        <v>3792</v>
      </c>
      <c r="B2116" t="s">
        <v>4481</v>
      </c>
      <c r="C2116" s="22">
        <v>214621.86</v>
      </c>
      <c r="D2116" s="22">
        <v>2588463.4700000002</v>
      </c>
    </row>
    <row r="2117" spans="1:4" x14ac:dyDescent="0.2">
      <c r="A2117" s="23" t="s">
        <v>3793</v>
      </c>
      <c r="B2117" s="23" t="s">
        <v>3794</v>
      </c>
      <c r="C2117" s="22">
        <v>362665.83</v>
      </c>
      <c r="D2117" s="22">
        <v>1796738.73</v>
      </c>
    </row>
    <row r="2118" spans="1:4" x14ac:dyDescent="0.2">
      <c r="A2118" s="23" t="s">
        <v>3795</v>
      </c>
      <c r="B2118" s="23" t="s">
        <v>3796</v>
      </c>
      <c r="C2118" s="22">
        <v>0</v>
      </c>
      <c r="D2118" s="22">
        <v>0</v>
      </c>
    </row>
    <row r="2119" spans="1:4" x14ac:dyDescent="0.2">
      <c r="A2119" s="23" t="s">
        <v>3797</v>
      </c>
      <c r="B2119" s="23" t="s">
        <v>3798</v>
      </c>
      <c r="C2119" s="22">
        <v>0</v>
      </c>
      <c r="D2119" s="22">
        <v>935.03</v>
      </c>
    </row>
    <row r="2120" spans="1:4" x14ac:dyDescent="0.2">
      <c r="A2120" s="23" t="s">
        <v>3799</v>
      </c>
      <c r="B2120" s="23" t="s">
        <v>3800</v>
      </c>
      <c r="C2120" s="22">
        <v>0</v>
      </c>
      <c r="D2120" s="22">
        <v>0</v>
      </c>
    </row>
    <row r="2121" spans="1:4" x14ac:dyDescent="0.2">
      <c r="A2121" s="23" t="s">
        <v>3801</v>
      </c>
      <c r="B2121" s="23" t="s">
        <v>3802</v>
      </c>
      <c r="C2121" s="22">
        <v>0</v>
      </c>
      <c r="D2121" s="22">
        <v>-557.87</v>
      </c>
    </row>
    <row r="2122" spans="1:4" x14ac:dyDescent="0.2">
      <c r="A2122" s="23" t="s">
        <v>3803</v>
      </c>
      <c r="B2122" t="s">
        <v>4481</v>
      </c>
      <c r="C2122" s="22">
        <v>362665.83</v>
      </c>
      <c r="D2122" s="22">
        <v>1797115.89</v>
      </c>
    </row>
    <row r="2123" spans="1:4" x14ac:dyDescent="0.2">
      <c r="A2123" s="23" t="s">
        <v>3804</v>
      </c>
      <c r="B2123" s="23" t="s">
        <v>3805</v>
      </c>
      <c r="C2123" s="22">
        <v>108245.73</v>
      </c>
      <c r="D2123" s="22">
        <v>1335597.8999999999</v>
      </c>
    </row>
    <row r="2124" spans="1:4" x14ac:dyDescent="0.2">
      <c r="A2124" s="23" t="s">
        <v>3806</v>
      </c>
      <c r="B2124" s="23" t="s">
        <v>3807</v>
      </c>
      <c r="C2124" s="22">
        <v>0</v>
      </c>
      <c r="D2124" s="22">
        <v>0</v>
      </c>
    </row>
    <row r="2125" spans="1:4" x14ac:dyDescent="0.2">
      <c r="A2125" s="23" t="s">
        <v>3808</v>
      </c>
      <c r="B2125" s="23" t="s">
        <v>3809</v>
      </c>
      <c r="C2125" s="22">
        <v>289.02999999999997</v>
      </c>
      <c r="D2125" s="22">
        <v>153319.29</v>
      </c>
    </row>
    <row r="2126" spans="1:4" x14ac:dyDescent="0.2">
      <c r="A2126" s="23" t="s">
        <v>3810</v>
      </c>
      <c r="B2126" s="23" t="s">
        <v>3811</v>
      </c>
      <c r="C2126" s="22">
        <v>27036.91</v>
      </c>
      <c r="D2126" s="22">
        <v>336298.5</v>
      </c>
    </row>
    <row r="2127" spans="1:4" x14ac:dyDescent="0.2">
      <c r="A2127" s="23" t="s">
        <v>3812</v>
      </c>
      <c r="B2127" s="23" t="s">
        <v>3813</v>
      </c>
      <c r="C2127" s="22">
        <v>0</v>
      </c>
      <c r="D2127" s="22">
        <v>0</v>
      </c>
    </row>
    <row r="2128" spans="1:4" x14ac:dyDescent="0.2">
      <c r="A2128" s="23" t="s">
        <v>3814</v>
      </c>
      <c r="B2128" s="23" t="s">
        <v>3815</v>
      </c>
      <c r="C2128" s="22">
        <v>0</v>
      </c>
      <c r="D2128" s="22">
        <v>0</v>
      </c>
    </row>
    <row r="2129" spans="1:4" x14ac:dyDescent="0.2">
      <c r="A2129" s="23" t="s">
        <v>3816</v>
      </c>
      <c r="B2129" s="23" t="s">
        <v>3817</v>
      </c>
      <c r="C2129" s="22">
        <v>0</v>
      </c>
      <c r="D2129" s="22">
        <v>0</v>
      </c>
    </row>
    <row r="2130" spans="1:4" x14ac:dyDescent="0.2">
      <c r="A2130" s="23" t="s">
        <v>3818</v>
      </c>
      <c r="B2130" s="23" t="s">
        <v>3819</v>
      </c>
      <c r="C2130" s="22">
        <v>0</v>
      </c>
      <c r="D2130" s="22">
        <v>0</v>
      </c>
    </row>
    <row r="2131" spans="1:4" x14ac:dyDescent="0.2">
      <c r="A2131" s="23" t="s">
        <v>3820</v>
      </c>
      <c r="B2131" s="23" t="s">
        <v>3821</v>
      </c>
      <c r="C2131" s="22">
        <v>17302.419999999998</v>
      </c>
      <c r="D2131" s="22">
        <v>167789.54</v>
      </c>
    </row>
    <row r="2132" spans="1:4" x14ac:dyDescent="0.2">
      <c r="A2132" s="23" t="s">
        <v>3822</v>
      </c>
      <c r="B2132" s="23" t="s">
        <v>3823</v>
      </c>
      <c r="C2132" s="22">
        <v>5613.18</v>
      </c>
      <c r="D2132" s="22">
        <v>27959.63</v>
      </c>
    </row>
    <row r="2133" spans="1:4" x14ac:dyDescent="0.2">
      <c r="A2133" s="23" t="s">
        <v>3824</v>
      </c>
      <c r="B2133" s="23" t="s">
        <v>3825</v>
      </c>
      <c r="C2133" s="22">
        <v>0</v>
      </c>
      <c r="D2133" s="22">
        <v>0</v>
      </c>
    </row>
    <row r="2134" spans="1:4" x14ac:dyDescent="0.2">
      <c r="A2134" s="23" t="s">
        <v>5401</v>
      </c>
      <c r="B2134" s="23" t="s">
        <v>5402</v>
      </c>
      <c r="C2134" s="22">
        <v>-2269.3200000000002</v>
      </c>
      <c r="D2134" s="22">
        <v>24984.28</v>
      </c>
    </row>
    <row r="2135" spans="1:4" x14ac:dyDescent="0.2">
      <c r="A2135" s="23" t="s">
        <v>5403</v>
      </c>
      <c r="B2135" s="23" t="s">
        <v>5404</v>
      </c>
      <c r="C2135" s="22">
        <v>0</v>
      </c>
      <c r="D2135" s="22">
        <v>0</v>
      </c>
    </row>
    <row r="2136" spans="1:4" x14ac:dyDescent="0.2">
      <c r="A2136" s="23" t="s">
        <v>5405</v>
      </c>
      <c r="B2136" s="23" t="s">
        <v>5404</v>
      </c>
      <c r="C2136" s="22">
        <v>0</v>
      </c>
      <c r="D2136" s="22">
        <v>0</v>
      </c>
    </row>
    <row r="2137" spans="1:4" x14ac:dyDescent="0.2">
      <c r="A2137" s="23" t="s">
        <v>5406</v>
      </c>
      <c r="B2137" t="s">
        <v>4481</v>
      </c>
      <c r="C2137" s="22">
        <v>156217.95000000001</v>
      </c>
      <c r="D2137" s="22">
        <v>2045949.14</v>
      </c>
    </row>
    <row r="2138" spans="1:4" x14ac:dyDescent="0.2">
      <c r="A2138" s="23" t="s">
        <v>5407</v>
      </c>
      <c r="B2138" s="23" t="s">
        <v>5408</v>
      </c>
      <c r="C2138" s="22">
        <v>0</v>
      </c>
      <c r="D2138" s="22">
        <v>1107.5</v>
      </c>
    </row>
    <row r="2139" spans="1:4" x14ac:dyDescent="0.2">
      <c r="A2139" s="23" t="s">
        <v>5409</v>
      </c>
      <c r="B2139" s="23" t="s">
        <v>5410</v>
      </c>
      <c r="C2139" s="22">
        <v>0</v>
      </c>
      <c r="D2139" s="22">
        <v>0</v>
      </c>
    </row>
    <row r="2140" spans="1:4" x14ac:dyDescent="0.2">
      <c r="A2140" s="23" t="s">
        <v>5411</v>
      </c>
      <c r="B2140" t="s">
        <v>4481</v>
      </c>
      <c r="C2140" s="22">
        <v>0</v>
      </c>
      <c r="D2140" s="22">
        <v>1107.5</v>
      </c>
    </row>
    <row r="2141" spans="1:4" x14ac:dyDescent="0.2">
      <c r="A2141" s="23" t="s">
        <v>5412</v>
      </c>
      <c r="B2141" s="23" t="s">
        <v>5413</v>
      </c>
      <c r="C2141" s="22">
        <v>8635.64</v>
      </c>
      <c r="D2141" s="22">
        <v>178880.08</v>
      </c>
    </row>
    <row r="2142" spans="1:4" x14ac:dyDescent="0.2">
      <c r="A2142" s="23" t="s">
        <v>5414</v>
      </c>
      <c r="B2142" t="s">
        <v>4481</v>
      </c>
      <c r="C2142" s="22">
        <v>8635.64</v>
      </c>
      <c r="D2142" s="22">
        <v>178880.08</v>
      </c>
    </row>
    <row r="2143" spans="1:4" x14ac:dyDescent="0.2">
      <c r="A2143" s="23" t="s">
        <v>5415</v>
      </c>
      <c r="B2143" s="23" t="s">
        <v>5416</v>
      </c>
      <c r="C2143" s="22">
        <v>0</v>
      </c>
      <c r="D2143" s="22">
        <v>0</v>
      </c>
    </row>
    <row r="2144" spans="1:4" x14ac:dyDescent="0.2">
      <c r="A2144" s="23" t="s">
        <v>5417</v>
      </c>
      <c r="B2144" t="s">
        <v>4481</v>
      </c>
      <c r="C2144" s="22">
        <v>0</v>
      </c>
      <c r="D2144" s="22">
        <v>0</v>
      </c>
    </row>
    <row r="2145" spans="1:4" x14ac:dyDescent="0.2">
      <c r="A2145" s="23" t="s">
        <v>5418</v>
      </c>
      <c r="B2145" s="23" t="s">
        <v>5419</v>
      </c>
      <c r="C2145" s="22">
        <v>12435.18</v>
      </c>
      <c r="D2145" s="22">
        <v>155292.70000000001</v>
      </c>
    </row>
    <row r="2146" spans="1:4" x14ac:dyDescent="0.2">
      <c r="A2146" s="23" t="s">
        <v>5420</v>
      </c>
      <c r="B2146" s="23" t="s">
        <v>5421</v>
      </c>
      <c r="C2146" s="22">
        <v>204955.06</v>
      </c>
      <c r="D2146" s="22">
        <v>882598.05</v>
      </c>
    </row>
    <row r="2147" spans="1:4" x14ac:dyDescent="0.2">
      <c r="A2147" s="23" t="s">
        <v>5422</v>
      </c>
      <c r="B2147" s="23" t="s">
        <v>5423</v>
      </c>
      <c r="C2147" s="22">
        <v>0</v>
      </c>
      <c r="D2147" s="22">
        <v>0</v>
      </c>
    </row>
    <row r="2148" spans="1:4" x14ac:dyDescent="0.2">
      <c r="A2148" s="23" t="s">
        <v>5424</v>
      </c>
      <c r="B2148" s="23" t="s">
        <v>5425</v>
      </c>
      <c r="C2148" s="22">
        <v>0</v>
      </c>
      <c r="D2148" s="22">
        <v>0</v>
      </c>
    </row>
    <row r="2149" spans="1:4" x14ac:dyDescent="0.2">
      <c r="A2149" s="23" t="s">
        <v>5426</v>
      </c>
      <c r="B2149" s="23" t="s">
        <v>5427</v>
      </c>
      <c r="C2149" s="22">
        <v>0</v>
      </c>
      <c r="D2149" s="22">
        <v>0</v>
      </c>
    </row>
    <row r="2150" spans="1:4" x14ac:dyDescent="0.2">
      <c r="A2150" s="23" t="s">
        <v>5428</v>
      </c>
      <c r="B2150" t="s">
        <v>4481</v>
      </c>
      <c r="C2150" s="22">
        <v>217390.24</v>
      </c>
      <c r="D2150" s="22">
        <v>1037890.75</v>
      </c>
    </row>
    <row r="2151" spans="1:4" x14ac:dyDescent="0.2">
      <c r="A2151" s="23" t="s">
        <v>5429</v>
      </c>
      <c r="B2151" s="23" t="s">
        <v>5430</v>
      </c>
      <c r="C2151" s="22">
        <v>42439.29</v>
      </c>
      <c r="D2151" s="22">
        <v>315686.38</v>
      </c>
    </row>
    <row r="2152" spans="1:4" x14ac:dyDescent="0.2">
      <c r="A2152" s="23" t="s">
        <v>5431</v>
      </c>
      <c r="B2152" s="23" t="s">
        <v>5432</v>
      </c>
      <c r="C2152" s="22">
        <v>251.04</v>
      </c>
      <c r="D2152" s="22">
        <v>29715</v>
      </c>
    </row>
    <row r="2153" spans="1:4" x14ac:dyDescent="0.2">
      <c r="A2153" s="23" t="s">
        <v>5433</v>
      </c>
      <c r="B2153" s="23" t="s">
        <v>5434</v>
      </c>
      <c r="C2153" s="22">
        <v>0</v>
      </c>
      <c r="D2153" s="22">
        <v>0</v>
      </c>
    </row>
    <row r="2154" spans="1:4" x14ac:dyDescent="0.2">
      <c r="A2154" s="23" t="s">
        <v>5435</v>
      </c>
      <c r="B2154" s="23" t="s">
        <v>5436</v>
      </c>
      <c r="C2154" s="22">
        <v>0</v>
      </c>
      <c r="D2154" s="22">
        <v>0</v>
      </c>
    </row>
    <row r="2155" spans="1:4" x14ac:dyDescent="0.2">
      <c r="A2155" s="23" t="s">
        <v>5437</v>
      </c>
      <c r="B2155" s="23" t="s">
        <v>5438</v>
      </c>
      <c r="C2155" s="22">
        <v>1884.33</v>
      </c>
      <c r="D2155" s="22">
        <v>18608.12</v>
      </c>
    </row>
    <row r="2156" spans="1:4" x14ac:dyDescent="0.2">
      <c r="A2156" s="23" t="s">
        <v>5439</v>
      </c>
      <c r="B2156" s="23" t="s">
        <v>5440</v>
      </c>
      <c r="C2156" s="22">
        <v>0</v>
      </c>
      <c r="D2156" s="22">
        <v>1742.54</v>
      </c>
    </row>
    <row r="2157" spans="1:4" x14ac:dyDescent="0.2">
      <c r="A2157" s="23" t="s">
        <v>5441</v>
      </c>
      <c r="B2157" s="23" t="s">
        <v>5442</v>
      </c>
      <c r="C2157" s="22">
        <v>24535.99</v>
      </c>
      <c r="D2157" s="22">
        <v>212020.99</v>
      </c>
    </row>
    <row r="2158" spans="1:4" x14ac:dyDescent="0.2">
      <c r="A2158" s="23" t="s">
        <v>5443</v>
      </c>
      <c r="B2158" s="23" t="s">
        <v>5444</v>
      </c>
      <c r="C2158" s="22">
        <v>0</v>
      </c>
      <c r="D2158" s="22">
        <v>0</v>
      </c>
    </row>
    <row r="2159" spans="1:4" x14ac:dyDescent="0.2">
      <c r="A2159" s="23" t="s">
        <v>5445</v>
      </c>
      <c r="B2159" s="23" t="s">
        <v>5446</v>
      </c>
      <c r="C2159" s="22">
        <v>0</v>
      </c>
      <c r="D2159" s="22">
        <v>0</v>
      </c>
    </row>
    <row r="2160" spans="1:4" x14ac:dyDescent="0.2">
      <c r="A2160" s="23" t="s">
        <v>5447</v>
      </c>
      <c r="B2160" s="23" t="s">
        <v>5448</v>
      </c>
      <c r="C2160" s="22">
        <v>0</v>
      </c>
      <c r="D2160" s="22">
        <v>0</v>
      </c>
    </row>
    <row r="2161" spans="1:4" x14ac:dyDescent="0.2">
      <c r="A2161" s="23" t="s">
        <v>5449</v>
      </c>
      <c r="B2161" s="23" t="s">
        <v>5450</v>
      </c>
      <c r="C2161" s="22">
        <v>0</v>
      </c>
      <c r="D2161" s="22">
        <v>0</v>
      </c>
    </row>
    <row r="2162" spans="1:4" x14ac:dyDescent="0.2">
      <c r="A2162" s="23" t="s">
        <v>5451</v>
      </c>
      <c r="B2162" s="23" t="s">
        <v>5452</v>
      </c>
      <c r="C2162" s="22">
        <v>5557.45</v>
      </c>
      <c r="D2162" s="22">
        <v>46314.06</v>
      </c>
    </row>
    <row r="2163" spans="1:4" x14ac:dyDescent="0.2">
      <c r="A2163" s="23" t="s">
        <v>5453</v>
      </c>
      <c r="B2163" s="23" t="s">
        <v>5454</v>
      </c>
      <c r="C2163" s="22">
        <v>0</v>
      </c>
      <c r="D2163" s="22">
        <v>0</v>
      </c>
    </row>
    <row r="2164" spans="1:4" x14ac:dyDescent="0.2">
      <c r="A2164" s="23" t="s">
        <v>5455</v>
      </c>
      <c r="B2164" s="23" t="s">
        <v>1779</v>
      </c>
      <c r="C2164" s="22">
        <v>0</v>
      </c>
      <c r="D2164" s="22">
        <v>0</v>
      </c>
    </row>
    <row r="2165" spans="1:4" x14ac:dyDescent="0.2">
      <c r="A2165" s="23" t="s">
        <v>1780</v>
      </c>
      <c r="B2165" s="23" t="s">
        <v>1781</v>
      </c>
      <c r="C2165" s="22">
        <v>0</v>
      </c>
      <c r="D2165" s="22">
        <v>0</v>
      </c>
    </row>
    <row r="2166" spans="1:4" x14ac:dyDescent="0.2">
      <c r="A2166" s="23" t="s">
        <v>1782</v>
      </c>
      <c r="B2166" s="23" t="s">
        <v>1783</v>
      </c>
      <c r="C2166" s="22">
        <v>0</v>
      </c>
      <c r="D2166" s="22">
        <v>0</v>
      </c>
    </row>
    <row r="2167" spans="1:4" x14ac:dyDescent="0.2">
      <c r="A2167" s="23" t="s">
        <v>1784</v>
      </c>
      <c r="B2167" s="23" t="s">
        <v>1785</v>
      </c>
      <c r="C2167" s="22">
        <v>0</v>
      </c>
      <c r="D2167" s="22">
        <v>0</v>
      </c>
    </row>
    <row r="2168" spans="1:4" x14ac:dyDescent="0.2">
      <c r="A2168" s="23" t="s">
        <v>1786</v>
      </c>
      <c r="B2168" s="23" t="s">
        <v>1787</v>
      </c>
      <c r="C2168" s="22">
        <v>0</v>
      </c>
      <c r="D2168" s="22">
        <v>0</v>
      </c>
    </row>
    <row r="2169" spans="1:4" x14ac:dyDescent="0.2">
      <c r="A2169" s="23" t="s">
        <v>1788</v>
      </c>
      <c r="B2169" s="23" t="s">
        <v>1789</v>
      </c>
      <c r="C2169" s="22">
        <v>0</v>
      </c>
      <c r="D2169" s="22">
        <v>0</v>
      </c>
    </row>
    <row r="2170" spans="1:4" x14ac:dyDescent="0.2">
      <c r="A2170" s="23" t="s">
        <v>1790</v>
      </c>
      <c r="B2170" s="23" t="s">
        <v>1791</v>
      </c>
      <c r="C2170" s="22">
        <v>0</v>
      </c>
      <c r="D2170" s="22">
        <v>0</v>
      </c>
    </row>
    <row r="2171" spans="1:4" x14ac:dyDescent="0.2">
      <c r="A2171" s="23" t="s">
        <v>1792</v>
      </c>
      <c r="B2171" s="23" t="s">
        <v>1793</v>
      </c>
      <c r="C2171" s="22">
        <v>0</v>
      </c>
      <c r="D2171" s="22">
        <v>0</v>
      </c>
    </row>
    <row r="2172" spans="1:4" x14ac:dyDescent="0.2">
      <c r="A2172" s="23" t="s">
        <v>1794</v>
      </c>
      <c r="B2172" s="23" t="s">
        <v>1795</v>
      </c>
      <c r="C2172" s="22">
        <v>0</v>
      </c>
      <c r="D2172" s="22">
        <v>0</v>
      </c>
    </row>
    <row r="2173" spans="1:4" x14ac:dyDescent="0.2">
      <c r="A2173" s="23" t="s">
        <v>1796</v>
      </c>
      <c r="B2173" s="23" t="s">
        <v>1797</v>
      </c>
      <c r="C2173" s="22">
        <v>0</v>
      </c>
      <c r="D2173" s="22">
        <v>0</v>
      </c>
    </row>
    <row r="2174" spans="1:4" x14ac:dyDescent="0.2">
      <c r="A2174" s="23" t="s">
        <v>1798</v>
      </c>
      <c r="B2174" s="23" t="s">
        <v>1799</v>
      </c>
      <c r="C2174" s="22">
        <v>0</v>
      </c>
      <c r="D2174" s="22">
        <v>0</v>
      </c>
    </row>
    <row r="2175" spans="1:4" x14ac:dyDescent="0.2">
      <c r="A2175" s="23" t="s">
        <v>1800</v>
      </c>
      <c r="B2175" t="s">
        <v>4481</v>
      </c>
      <c r="C2175" s="22">
        <v>74668.100000000006</v>
      </c>
      <c r="D2175" s="22">
        <v>624087.09</v>
      </c>
    </row>
    <row r="2176" spans="1:4" x14ac:dyDescent="0.2">
      <c r="A2176" s="23" t="s">
        <v>1801</v>
      </c>
      <c r="B2176" s="23" t="s">
        <v>1802</v>
      </c>
      <c r="C2176" s="22">
        <v>22167.45</v>
      </c>
      <c r="D2176" s="22">
        <v>316229.58</v>
      </c>
    </row>
    <row r="2177" spans="1:4" x14ac:dyDescent="0.2">
      <c r="A2177" s="23" t="s">
        <v>1803</v>
      </c>
      <c r="B2177" s="23" t="s">
        <v>1804</v>
      </c>
      <c r="C2177" s="22">
        <v>0</v>
      </c>
      <c r="D2177" s="22">
        <v>0</v>
      </c>
    </row>
    <row r="2178" spans="1:4" x14ac:dyDescent="0.2">
      <c r="A2178" s="23" t="s">
        <v>1805</v>
      </c>
      <c r="B2178" s="23" t="s">
        <v>1806</v>
      </c>
      <c r="C2178" s="22">
        <v>6.52</v>
      </c>
      <c r="D2178" s="22">
        <v>2391.33</v>
      </c>
    </row>
    <row r="2179" spans="1:4" x14ac:dyDescent="0.2">
      <c r="A2179" s="23" t="s">
        <v>1807</v>
      </c>
      <c r="B2179" s="23" t="s">
        <v>1808</v>
      </c>
      <c r="C2179" s="22">
        <v>0</v>
      </c>
      <c r="D2179" s="22">
        <v>0</v>
      </c>
    </row>
    <row r="2180" spans="1:4" x14ac:dyDescent="0.2">
      <c r="A2180" s="23" t="s">
        <v>1809</v>
      </c>
      <c r="B2180" s="23" t="s">
        <v>4678</v>
      </c>
      <c r="C2180" s="22">
        <v>0</v>
      </c>
      <c r="D2180" s="22">
        <v>157.32</v>
      </c>
    </row>
    <row r="2181" spans="1:4" x14ac:dyDescent="0.2">
      <c r="A2181" s="23" t="s">
        <v>4679</v>
      </c>
      <c r="B2181" s="23" t="s">
        <v>4680</v>
      </c>
      <c r="C2181" s="22">
        <v>0</v>
      </c>
      <c r="D2181" s="22">
        <v>0</v>
      </c>
    </row>
    <row r="2182" spans="1:4" x14ac:dyDescent="0.2">
      <c r="A2182" s="23" t="s">
        <v>4681</v>
      </c>
      <c r="B2182" s="23" t="s">
        <v>4682</v>
      </c>
      <c r="C2182" s="22">
        <v>0</v>
      </c>
      <c r="D2182" s="22">
        <v>0</v>
      </c>
    </row>
    <row r="2183" spans="1:4" x14ac:dyDescent="0.2">
      <c r="A2183" s="23" t="s">
        <v>4683</v>
      </c>
      <c r="B2183" s="23" t="s">
        <v>4684</v>
      </c>
      <c r="C2183" s="22">
        <v>0</v>
      </c>
      <c r="D2183" s="22">
        <v>0</v>
      </c>
    </row>
    <row r="2184" spans="1:4" x14ac:dyDescent="0.2">
      <c r="A2184" s="23" t="s">
        <v>4685</v>
      </c>
      <c r="B2184" s="23" t="s">
        <v>4686</v>
      </c>
      <c r="C2184" s="22">
        <v>0</v>
      </c>
      <c r="D2184" s="22">
        <v>0</v>
      </c>
    </row>
    <row r="2185" spans="1:4" x14ac:dyDescent="0.2">
      <c r="A2185" s="23" t="s">
        <v>4687</v>
      </c>
      <c r="B2185" t="s">
        <v>4481</v>
      </c>
      <c r="C2185" s="22">
        <v>22173.97</v>
      </c>
      <c r="D2185" s="22">
        <v>318778.23</v>
      </c>
    </row>
    <row r="2186" spans="1:4" x14ac:dyDescent="0.2">
      <c r="A2186" s="23" t="s">
        <v>4688</v>
      </c>
      <c r="B2186" s="23" t="s">
        <v>4689</v>
      </c>
      <c r="C2186" s="22">
        <v>0</v>
      </c>
      <c r="D2186" s="22">
        <v>0</v>
      </c>
    </row>
    <row r="2187" spans="1:4" x14ac:dyDescent="0.2">
      <c r="A2187" s="23" t="s">
        <v>4690</v>
      </c>
      <c r="B2187" s="23" t="s">
        <v>4691</v>
      </c>
      <c r="C2187" s="22">
        <v>0</v>
      </c>
      <c r="D2187" s="22">
        <v>-39.700000000000003</v>
      </c>
    </row>
    <row r="2188" spans="1:4" x14ac:dyDescent="0.2">
      <c r="A2188" s="23" t="s">
        <v>4692</v>
      </c>
      <c r="B2188" s="23" t="s">
        <v>4693</v>
      </c>
      <c r="C2188" s="22">
        <v>0</v>
      </c>
      <c r="D2188" s="22">
        <v>0</v>
      </c>
    </row>
    <row r="2189" spans="1:4" x14ac:dyDescent="0.2">
      <c r="A2189" s="23" t="s">
        <v>4694</v>
      </c>
      <c r="B2189" s="23" t="s">
        <v>4695</v>
      </c>
      <c r="C2189" s="22">
        <v>0</v>
      </c>
      <c r="D2189" s="22">
        <v>312</v>
      </c>
    </row>
    <row r="2190" spans="1:4" x14ac:dyDescent="0.2">
      <c r="A2190" s="23" t="s">
        <v>4696</v>
      </c>
      <c r="B2190" s="23" t="s">
        <v>4697</v>
      </c>
      <c r="C2190" s="22">
        <v>-129.59</v>
      </c>
      <c r="D2190" s="22">
        <v>1671.56</v>
      </c>
    </row>
    <row r="2191" spans="1:4" x14ac:dyDescent="0.2">
      <c r="A2191" s="23" t="s">
        <v>4698</v>
      </c>
      <c r="B2191" s="23" t="s">
        <v>4699</v>
      </c>
      <c r="C2191" s="22">
        <v>0</v>
      </c>
      <c r="D2191" s="22">
        <v>0</v>
      </c>
    </row>
    <row r="2192" spans="1:4" x14ac:dyDescent="0.2">
      <c r="A2192" s="23" t="s">
        <v>4700</v>
      </c>
      <c r="B2192" s="23" t="s">
        <v>4701</v>
      </c>
      <c r="C2192" s="22">
        <v>0</v>
      </c>
      <c r="D2192" s="22">
        <v>0</v>
      </c>
    </row>
    <row r="2193" spans="1:4" x14ac:dyDescent="0.2">
      <c r="A2193" s="23" t="s">
        <v>4702</v>
      </c>
      <c r="B2193" s="23" t="s">
        <v>4703</v>
      </c>
      <c r="C2193" s="22">
        <v>0</v>
      </c>
      <c r="D2193" s="22">
        <v>0</v>
      </c>
    </row>
    <row r="2194" spans="1:4" x14ac:dyDescent="0.2">
      <c r="A2194" s="23" t="s">
        <v>4704</v>
      </c>
      <c r="B2194" s="23" t="s">
        <v>4705</v>
      </c>
      <c r="C2194" s="22">
        <v>0</v>
      </c>
      <c r="D2194" s="22">
        <v>0</v>
      </c>
    </row>
    <row r="2195" spans="1:4" x14ac:dyDescent="0.2">
      <c r="A2195" s="23" t="s">
        <v>4706</v>
      </c>
      <c r="B2195" s="23" t="s">
        <v>4707</v>
      </c>
      <c r="C2195" s="22">
        <v>0</v>
      </c>
      <c r="D2195" s="22">
        <v>0</v>
      </c>
    </row>
    <row r="2196" spans="1:4" x14ac:dyDescent="0.2">
      <c r="A2196" s="23" t="s">
        <v>4708</v>
      </c>
      <c r="B2196" s="23" t="s">
        <v>4709</v>
      </c>
      <c r="C2196" s="22">
        <v>0</v>
      </c>
      <c r="D2196" s="22">
        <v>0</v>
      </c>
    </row>
    <row r="2197" spans="1:4" x14ac:dyDescent="0.2">
      <c r="A2197" s="23" t="s">
        <v>4710</v>
      </c>
      <c r="B2197" s="23" t="s">
        <v>4711</v>
      </c>
      <c r="C2197" s="22">
        <v>0</v>
      </c>
      <c r="D2197" s="22">
        <v>0</v>
      </c>
    </row>
    <row r="2198" spans="1:4" x14ac:dyDescent="0.2">
      <c r="A2198" s="23" t="s">
        <v>4712</v>
      </c>
      <c r="B2198" s="23" t="s">
        <v>4713</v>
      </c>
      <c r="C2198" s="22">
        <v>1486.98</v>
      </c>
      <c r="D2198" s="22">
        <v>1486.98</v>
      </c>
    </row>
    <row r="2199" spans="1:4" x14ac:dyDescent="0.2">
      <c r="A2199" s="23" t="s">
        <v>4714</v>
      </c>
      <c r="B2199" t="s">
        <v>4481</v>
      </c>
      <c r="C2199" s="22">
        <v>1357.39</v>
      </c>
      <c r="D2199" s="22">
        <v>3430.84</v>
      </c>
    </row>
    <row r="2200" spans="1:4" x14ac:dyDescent="0.2">
      <c r="A2200" s="23" t="s">
        <v>4715</v>
      </c>
      <c r="B2200" s="23" t="s">
        <v>4716</v>
      </c>
      <c r="C2200" s="22">
        <v>25739.17</v>
      </c>
      <c r="D2200" s="22">
        <v>128373.68</v>
      </c>
    </row>
    <row r="2201" spans="1:4" x14ac:dyDescent="0.2">
      <c r="A2201" s="23" t="s">
        <v>4717</v>
      </c>
      <c r="B2201" s="23" t="s">
        <v>4718</v>
      </c>
      <c r="C2201" s="22">
        <v>0</v>
      </c>
      <c r="D2201" s="22">
        <v>0</v>
      </c>
    </row>
    <row r="2202" spans="1:4" x14ac:dyDescent="0.2">
      <c r="A2202" s="23" t="s">
        <v>4719</v>
      </c>
      <c r="B2202" s="23" t="s">
        <v>4720</v>
      </c>
      <c r="C2202" s="22">
        <v>0</v>
      </c>
      <c r="D2202" s="22">
        <v>88.06</v>
      </c>
    </row>
    <row r="2203" spans="1:4" x14ac:dyDescent="0.2">
      <c r="A2203" s="23" t="s">
        <v>4721</v>
      </c>
      <c r="B2203" s="23" t="s">
        <v>4722</v>
      </c>
      <c r="C2203" s="22">
        <v>10237.6</v>
      </c>
      <c r="D2203" s="22">
        <v>149674.5</v>
      </c>
    </row>
    <row r="2204" spans="1:4" x14ac:dyDescent="0.2">
      <c r="A2204" s="23" t="s">
        <v>4723</v>
      </c>
      <c r="B2204" s="23" t="s">
        <v>4724</v>
      </c>
      <c r="C2204" s="22">
        <v>0</v>
      </c>
      <c r="D2204" s="22">
        <v>0</v>
      </c>
    </row>
    <row r="2205" spans="1:4" x14ac:dyDescent="0.2">
      <c r="A2205" s="23" t="s">
        <v>4725</v>
      </c>
      <c r="B2205" s="23" t="s">
        <v>4726</v>
      </c>
      <c r="C2205" s="22">
        <v>0</v>
      </c>
      <c r="D2205" s="22">
        <v>0</v>
      </c>
    </row>
    <row r="2206" spans="1:4" x14ac:dyDescent="0.2">
      <c r="A2206" s="23" t="s">
        <v>4727</v>
      </c>
      <c r="B2206" s="23" t="s">
        <v>4728</v>
      </c>
      <c r="C2206" s="22">
        <v>0</v>
      </c>
      <c r="D2206" s="22">
        <v>0</v>
      </c>
    </row>
    <row r="2207" spans="1:4" x14ac:dyDescent="0.2">
      <c r="A2207" s="23" t="s">
        <v>4729</v>
      </c>
      <c r="B2207" t="s">
        <v>4481</v>
      </c>
      <c r="C2207" s="22">
        <v>35976.769999999997</v>
      </c>
      <c r="D2207" s="22">
        <v>278136.24</v>
      </c>
    </row>
    <row r="2208" spans="1:4" x14ac:dyDescent="0.2">
      <c r="A2208" s="23" t="s">
        <v>4730</v>
      </c>
      <c r="B2208" s="23" t="s">
        <v>4731</v>
      </c>
      <c r="C2208" s="22">
        <v>420695.94</v>
      </c>
      <c r="D2208" s="22">
        <v>3826971.8</v>
      </c>
    </row>
    <row r="2209" spans="1:4" x14ac:dyDescent="0.2">
      <c r="A2209" s="23" t="s">
        <v>4732</v>
      </c>
      <c r="B2209" s="23" t="s">
        <v>4733</v>
      </c>
      <c r="C2209" s="22">
        <v>0</v>
      </c>
      <c r="D2209" s="22">
        <v>256.8</v>
      </c>
    </row>
    <row r="2210" spans="1:4" x14ac:dyDescent="0.2">
      <c r="A2210" s="23" t="s">
        <v>4734</v>
      </c>
      <c r="B2210" s="23" t="s">
        <v>4735</v>
      </c>
      <c r="C2210" s="22">
        <v>37614.75</v>
      </c>
      <c r="D2210" s="22">
        <v>65373.8</v>
      </c>
    </row>
    <row r="2211" spans="1:4" x14ac:dyDescent="0.2">
      <c r="A2211" s="23" t="s">
        <v>4736</v>
      </c>
      <c r="B2211" s="23" t="s">
        <v>4737</v>
      </c>
      <c r="C2211" s="22">
        <v>-530289.96</v>
      </c>
      <c r="D2211" s="22">
        <v>-5393465.8399999999</v>
      </c>
    </row>
    <row r="2212" spans="1:4" x14ac:dyDescent="0.2">
      <c r="A2212" s="23" t="s">
        <v>4738</v>
      </c>
      <c r="B2212" s="23" t="s">
        <v>4739</v>
      </c>
      <c r="C2212" s="22">
        <v>-281.12</v>
      </c>
      <c r="D2212" s="22">
        <v>-89.44</v>
      </c>
    </row>
    <row r="2213" spans="1:4" x14ac:dyDescent="0.2">
      <c r="A2213" s="23" t="s">
        <v>4740</v>
      </c>
      <c r="B2213" s="23" t="s">
        <v>4741</v>
      </c>
      <c r="C2213" s="22">
        <v>153.31</v>
      </c>
      <c r="D2213" s="22">
        <v>320.31</v>
      </c>
    </row>
    <row r="2214" spans="1:4" x14ac:dyDescent="0.2">
      <c r="A2214" s="23" t="s">
        <v>4742</v>
      </c>
      <c r="B2214" s="23" t="s">
        <v>4743</v>
      </c>
      <c r="C2214" s="22">
        <v>10781.57</v>
      </c>
      <c r="D2214" s="22">
        <v>242626.48</v>
      </c>
    </row>
    <row r="2215" spans="1:4" x14ac:dyDescent="0.2">
      <c r="A2215" s="23" t="s">
        <v>4744</v>
      </c>
      <c r="B2215" s="23" t="s">
        <v>4745</v>
      </c>
      <c r="C2215" s="22">
        <v>0</v>
      </c>
      <c r="D2215" s="22">
        <v>0</v>
      </c>
    </row>
    <row r="2216" spans="1:4" x14ac:dyDescent="0.2">
      <c r="A2216" s="23" t="s">
        <v>4746</v>
      </c>
      <c r="B2216" s="23" t="s">
        <v>4747</v>
      </c>
      <c r="C2216" s="22">
        <v>0</v>
      </c>
      <c r="D2216" s="22">
        <v>-169.06</v>
      </c>
    </row>
    <row r="2217" spans="1:4" x14ac:dyDescent="0.2">
      <c r="A2217" s="23" t="s">
        <v>4748</v>
      </c>
      <c r="B2217" s="23" t="s">
        <v>4749</v>
      </c>
      <c r="C2217" s="22">
        <v>39450.31</v>
      </c>
      <c r="D2217" s="22">
        <v>546926.04</v>
      </c>
    </row>
    <row r="2218" spans="1:4" x14ac:dyDescent="0.2">
      <c r="A2218" s="23" t="s">
        <v>4750</v>
      </c>
      <c r="B2218" s="23" t="s">
        <v>4751</v>
      </c>
      <c r="C2218" s="22">
        <v>101882.54</v>
      </c>
      <c r="D2218" s="22">
        <v>770561.47</v>
      </c>
    </row>
    <row r="2219" spans="1:4" x14ac:dyDescent="0.2">
      <c r="A2219" s="23" t="s">
        <v>4752</v>
      </c>
      <c r="B2219" t="s">
        <v>4481</v>
      </c>
      <c r="C2219" s="22">
        <v>80007.34</v>
      </c>
      <c r="D2219" s="22">
        <v>59312.36</v>
      </c>
    </row>
    <row r="2220" spans="1:4" x14ac:dyDescent="0.2">
      <c r="A2220" s="23" t="s">
        <v>4753</v>
      </c>
      <c r="B2220" s="23" t="s">
        <v>4754</v>
      </c>
      <c r="C2220" s="22">
        <v>253608.44</v>
      </c>
      <c r="D2220" s="22">
        <v>2753183.14</v>
      </c>
    </row>
    <row r="2221" spans="1:4" x14ac:dyDescent="0.2">
      <c r="A2221" s="23" t="s">
        <v>4755</v>
      </c>
      <c r="B2221" s="23" t="s">
        <v>4756</v>
      </c>
      <c r="C2221" s="22">
        <v>42775.96</v>
      </c>
      <c r="D2221" s="22">
        <v>415712.72</v>
      </c>
    </row>
    <row r="2222" spans="1:4" x14ac:dyDescent="0.2">
      <c r="A2222" s="23" t="s">
        <v>4757</v>
      </c>
      <c r="B2222" s="23" t="s">
        <v>4758</v>
      </c>
      <c r="C2222" s="22">
        <v>88824.11</v>
      </c>
      <c r="D2222" s="22">
        <v>1194894.8899999999</v>
      </c>
    </row>
    <row r="2223" spans="1:4" x14ac:dyDescent="0.2">
      <c r="A2223" s="23" t="s">
        <v>4759</v>
      </c>
      <c r="B2223" s="23" t="s">
        <v>4760</v>
      </c>
      <c r="C2223" s="22">
        <v>26525.17</v>
      </c>
      <c r="D2223" s="22">
        <v>400735.42</v>
      </c>
    </row>
    <row r="2224" spans="1:4" x14ac:dyDescent="0.2">
      <c r="A2224" s="23" t="s">
        <v>4761</v>
      </c>
      <c r="B2224" s="23" t="s">
        <v>4762</v>
      </c>
      <c r="C2224" s="22">
        <v>0</v>
      </c>
      <c r="D2224" s="22">
        <v>0</v>
      </c>
    </row>
    <row r="2225" spans="1:4" x14ac:dyDescent="0.2">
      <c r="A2225" s="23" t="s">
        <v>4763</v>
      </c>
      <c r="B2225" t="s">
        <v>4481</v>
      </c>
      <c r="C2225" s="22">
        <v>411733.68</v>
      </c>
      <c r="D2225" s="22">
        <v>4764526.17</v>
      </c>
    </row>
    <row r="2226" spans="1:4" x14ac:dyDescent="0.2">
      <c r="A2226" s="23" t="s">
        <v>4764</v>
      </c>
      <c r="B2226" s="23" t="s">
        <v>4765</v>
      </c>
      <c r="C2226" s="22">
        <v>1644307.3</v>
      </c>
      <c r="D2226" s="22">
        <v>12771481.279999999</v>
      </c>
    </row>
    <row r="2227" spans="1:4" x14ac:dyDescent="0.2">
      <c r="A2227" s="23" t="s">
        <v>4766</v>
      </c>
      <c r="B2227" s="23" t="s">
        <v>4767</v>
      </c>
      <c r="C2227" s="22">
        <v>3956.13</v>
      </c>
      <c r="D2227" s="22">
        <v>55162.36</v>
      </c>
    </row>
    <row r="2228" spans="1:4" x14ac:dyDescent="0.2">
      <c r="A2228" s="23" t="s">
        <v>4768</v>
      </c>
      <c r="B2228" s="23" t="s">
        <v>4769</v>
      </c>
      <c r="C2228" s="22">
        <v>0</v>
      </c>
      <c r="D2228" s="22">
        <v>0</v>
      </c>
    </row>
    <row r="2229" spans="1:4" x14ac:dyDescent="0.2">
      <c r="A2229" s="23" t="s">
        <v>4770</v>
      </c>
      <c r="B2229" s="23" t="s">
        <v>4771</v>
      </c>
      <c r="C2229" s="22">
        <v>0</v>
      </c>
      <c r="D2229" s="22">
        <v>0</v>
      </c>
    </row>
    <row r="2230" spans="1:4" x14ac:dyDescent="0.2">
      <c r="A2230" s="23" t="s">
        <v>4772</v>
      </c>
      <c r="B2230" s="23" t="s">
        <v>4773</v>
      </c>
      <c r="C2230" s="22">
        <v>0</v>
      </c>
      <c r="D2230" s="22">
        <v>0</v>
      </c>
    </row>
    <row r="2231" spans="1:4" x14ac:dyDescent="0.2">
      <c r="A2231" s="23" t="s">
        <v>4774</v>
      </c>
      <c r="B2231" s="23" t="s">
        <v>4775</v>
      </c>
      <c r="C2231" s="22">
        <v>0</v>
      </c>
      <c r="D2231" s="22">
        <v>0</v>
      </c>
    </row>
    <row r="2232" spans="1:4" x14ac:dyDescent="0.2">
      <c r="A2232" s="23" t="s">
        <v>4776</v>
      </c>
      <c r="B2232" s="23" t="s">
        <v>4777</v>
      </c>
      <c r="C2232" s="22">
        <v>0</v>
      </c>
      <c r="D2232" s="22">
        <v>0</v>
      </c>
    </row>
    <row r="2233" spans="1:4" x14ac:dyDescent="0.2">
      <c r="A2233" s="23" t="s">
        <v>4778</v>
      </c>
      <c r="B2233" s="23" t="s">
        <v>4779</v>
      </c>
      <c r="C2233" s="22">
        <v>0</v>
      </c>
      <c r="D2233" s="22">
        <v>0</v>
      </c>
    </row>
    <row r="2234" spans="1:4" x14ac:dyDescent="0.2">
      <c r="A2234" s="23" t="s">
        <v>4780</v>
      </c>
      <c r="B2234" s="23" t="s">
        <v>4781</v>
      </c>
      <c r="C2234" s="22">
        <v>0</v>
      </c>
      <c r="D2234" s="22">
        <v>0</v>
      </c>
    </row>
    <row r="2235" spans="1:4" x14ac:dyDescent="0.2">
      <c r="A2235" s="23" t="s">
        <v>4782</v>
      </c>
      <c r="B2235" s="23" t="s">
        <v>4783</v>
      </c>
      <c r="C2235" s="22">
        <v>0</v>
      </c>
      <c r="D2235" s="22">
        <v>0</v>
      </c>
    </row>
    <row r="2236" spans="1:4" x14ac:dyDescent="0.2">
      <c r="A2236" s="23" t="s">
        <v>4784</v>
      </c>
      <c r="B2236" s="23" t="s">
        <v>4785</v>
      </c>
      <c r="C2236" s="22">
        <v>0</v>
      </c>
      <c r="D2236" s="22">
        <v>0</v>
      </c>
    </row>
    <row r="2237" spans="1:4" x14ac:dyDescent="0.2">
      <c r="A2237" s="23" t="s">
        <v>4786</v>
      </c>
      <c r="B2237" s="23" t="s">
        <v>4787</v>
      </c>
      <c r="C2237" s="22">
        <v>0</v>
      </c>
      <c r="D2237" s="22">
        <v>0</v>
      </c>
    </row>
    <row r="2238" spans="1:4" x14ac:dyDescent="0.2">
      <c r="A2238" s="23" t="s">
        <v>4788</v>
      </c>
      <c r="B2238" s="23" t="s">
        <v>4789</v>
      </c>
      <c r="C2238" s="22">
        <v>380.99</v>
      </c>
      <c r="D2238" s="22">
        <v>5509.37</v>
      </c>
    </row>
    <row r="2239" spans="1:4" x14ac:dyDescent="0.2">
      <c r="A2239" s="23" t="s">
        <v>4790</v>
      </c>
      <c r="B2239" s="23" t="s">
        <v>4791</v>
      </c>
      <c r="C2239" s="22">
        <v>0</v>
      </c>
      <c r="D2239" s="22">
        <v>0</v>
      </c>
    </row>
    <row r="2240" spans="1:4" x14ac:dyDescent="0.2">
      <c r="A2240" s="23" t="s">
        <v>4792</v>
      </c>
      <c r="B2240" s="23" t="s">
        <v>4793</v>
      </c>
      <c r="C2240" s="22">
        <v>0</v>
      </c>
      <c r="D2240" s="22">
        <v>0</v>
      </c>
    </row>
    <row r="2241" spans="1:4" x14ac:dyDescent="0.2">
      <c r="A2241" s="23" t="s">
        <v>4794</v>
      </c>
      <c r="B2241" s="23" t="s">
        <v>4795</v>
      </c>
      <c r="C2241" s="22">
        <v>0</v>
      </c>
      <c r="D2241" s="22">
        <v>0</v>
      </c>
    </row>
    <row r="2242" spans="1:4" x14ac:dyDescent="0.2">
      <c r="A2242" s="23" t="s">
        <v>4796</v>
      </c>
      <c r="B2242" s="23" t="s">
        <v>4797</v>
      </c>
      <c r="C2242" s="22">
        <v>0</v>
      </c>
      <c r="D2242" s="22">
        <v>0</v>
      </c>
    </row>
    <row r="2243" spans="1:4" x14ac:dyDescent="0.2">
      <c r="A2243" s="23" t="s">
        <v>4798</v>
      </c>
      <c r="B2243" s="23" t="s">
        <v>4799</v>
      </c>
      <c r="C2243" s="22">
        <v>60.14</v>
      </c>
      <c r="D2243" s="22">
        <v>708.49</v>
      </c>
    </row>
    <row r="2244" spans="1:4" x14ac:dyDescent="0.2">
      <c r="A2244" s="23" t="s">
        <v>4800</v>
      </c>
      <c r="B2244" s="23" t="s">
        <v>4801</v>
      </c>
      <c r="C2244" s="22">
        <v>0</v>
      </c>
      <c r="D2244" s="22">
        <v>0</v>
      </c>
    </row>
    <row r="2245" spans="1:4" x14ac:dyDescent="0.2">
      <c r="A2245" s="23" t="s">
        <v>4802</v>
      </c>
      <c r="B2245" t="s">
        <v>4481</v>
      </c>
      <c r="C2245" s="22">
        <v>1648704.56</v>
      </c>
      <c r="D2245" s="22">
        <v>12832861.5</v>
      </c>
    </row>
    <row r="2246" spans="1:4" x14ac:dyDescent="0.2">
      <c r="A2246" s="23" t="s">
        <v>4803</v>
      </c>
      <c r="B2246" s="23" t="s">
        <v>4804</v>
      </c>
      <c r="C2246" s="22">
        <v>2853.34</v>
      </c>
      <c r="D2246" s="22">
        <v>34240.080000000002</v>
      </c>
    </row>
    <row r="2247" spans="1:4" x14ac:dyDescent="0.2">
      <c r="A2247" s="23" t="s">
        <v>4805</v>
      </c>
      <c r="B2247" s="23" t="s">
        <v>4806</v>
      </c>
      <c r="C2247" s="22">
        <v>22756.59</v>
      </c>
      <c r="D2247" s="22">
        <v>55609.17</v>
      </c>
    </row>
    <row r="2248" spans="1:4" x14ac:dyDescent="0.2">
      <c r="A2248" s="23" t="s">
        <v>4807</v>
      </c>
      <c r="B2248" s="23" t="s">
        <v>4808</v>
      </c>
      <c r="C2248" s="22">
        <v>35427.71</v>
      </c>
      <c r="D2248" s="22">
        <v>425132.44</v>
      </c>
    </row>
    <row r="2249" spans="1:4" x14ac:dyDescent="0.2">
      <c r="A2249" s="23" t="s">
        <v>4809</v>
      </c>
      <c r="B2249" t="s">
        <v>4481</v>
      </c>
      <c r="C2249" s="22">
        <v>61037.64</v>
      </c>
      <c r="D2249" s="22">
        <v>514981.69</v>
      </c>
    </row>
    <row r="2250" spans="1:4" x14ac:dyDescent="0.2">
      <c r="A2250" s="23" t="s">
        <v>4810</v>
      </c>
      <c r="B2250" s="23" t="s">
        <v>4811</v>
      </c>
      <c r="C2250" s="22">
        <v>5514.28</v>
      </c>
      <c r="D2250" s="22">
        <v>81525.48</v>
      </c>
    </row>
    <row r="2251" spans="1:4" x14ac:dyDescent="0.2">
      <c r="A2251" s="23" t="s">
        <v>4812</v>
      </c>
      <c r="B2251" s="23" t="s">
        <v>4813</v>
      </c>
      <c r="C2251" s="22">
        <v>0</v>
      </c>
      <c r="D2251" s="22">
        <v>0</v>
      </c>
    </row>
    <row r="2252" spans="1:4" x14ac:dyDescent="0.2">
      <c r="A2252" s="23" t="s">
        <v>4814</v>
      </c>
      <c r="B2252" t="s">
        <v>4481</v>
      </c>
      <c r="C2252" s="22">
        <v>5514.28</v>
      </c>
      <c r="D2252" s="22">
        <v>81525.48</v>
      </c>
    </row>
    <row r="2253" spans="1:4" x14ac:dyDescent="0.2">
      <c r="A2253" s="23" t="s">
        <v>4815</v>
      </c>
      <c r="B2253" s="23" t="s">
        <v>4816</v>
      </c>
      <c r="C2253" s="22">
        <v>0</v>
      </c>
      <c r="D2253" s="22">
        <v>0</v>
      </c>
    </row>
    <row r="2254" spans="1:4" x14ac:dyDescent="0.2">
      <c r="A2254" s="23" t="s">
        <v>4817</v>
      </c>
      <c r="B2254" s="23" t="s">
        <v>4818</v>
      </c>
      <c r="C2254" s="22">
        <v>0</v>
      </c>
      <c r="D2254" s="22">
        <v>0</v>
      </c>
    </row>
    <row r="2255" spans="1:4" x14ac:dyDescent="0.2">
      <c r="A2255" s="23" t="s">
        <v>1449</v>
      </c>
      <c r="B2255" s="23" t="s">
        <v>1450</v>
      </c>
      <c r="C2255" s="22">
        <v>0</v>
      </c>
      <c r="D2255" s="22">
        <v>0</v>
      </c>
    </row>
    <row r="2256" spans="1:4" x14ac:dyDescent="0.2">
      <c r="A2256" s="23" t="s">
        <v>1451</v>
      </c>
      <c r="B2256" s="23" t="s">
        <v>1452</v>
      </c>
      <c r="C2256" s="22">
        <v>0</v>
      </c>
      <c r="D2256" s="22">
        <v>0</v>
      </c>
    </row>
    <row r="2257" spans="1:4" x14ac:dyDescent="0.2">
      <c r="A2257" s="23" t="s">
        <v>1453</v>
      </c>
      <c r="B2257" s="23" t="s">
        <v>1454</v>
      </c>
      <c r="C2257" s="22">
        <v>0</v>
      </c>
      <c r="D2257" s="22">
        <v>0</v>
      </c>
    </row>
    <row r="2258" spans="1:4" x14ac:dyDescent="0.2">
      <c r="A2258" s="23" t="s">
        <v>1455</v>
      </c>
      <c r="B2258" s="23" t="s">
        <v>1456</v>
      </c>
      <c r="C2258" s="22">
        <v>0</v>
      </c>
      <c r="D2258" s="22">
        <v>0</v>
      </c>
    </row>
    <row r="2259" spans="1:4" x14ac:dyDescent="0.2">
      <c r="A2259" s="23" t="s">
        <v>1457</v>
      </c>
      <c r="B2259" s="23" t="s">
        <v>1458</v>
      </c>
      <c r="C2259" s="22">
        <v>0</v>
      </c>
      <c r="D2259" s="22">
        <v>0</v>
      </c>
    </row>
    <row r="2260" spans="1:4" x14ac:dyDescent="0.2">
      <c r="A2260" s="23" t="s">
        <v>1459</v>
      </c>
      <c r="B2260" s="23" t="s">
        <v>1460</v>
      </c>
      <c r="C2260" s="22">
        <v>0</v>
      </c>
      <c r="D2260" s="22">
        <v>0</v>
      </c>
    </row>
    <row r="2261" spans="1:4" x14ac:dyDescent="0.2">
      <c r="A2261" s="23" t="s">
        <v>1461</v>
      </c>
      <c r="B2261" s="23" t="s">
        <v>1462</v>
      </c>
      <c r="C2261" s="22">
        <v>0</v>
      </c>
      <c r="D2261" s="22">
        <v>0</v>
      </c>
    </row>
    <row r="2262" spans="1:4" x14ac:dyDescent="0.2">
      <c r="A2262" s="23" t="s">
        <v>1463</v>
      </c>
      <c r="B2262" s="23" t="s">
        <v>1464</v>
      </c>
      <c r="C2262" s="22">
        <v>0</v>
      </c>
      <c r="D2262" s="22">
        <v>0</v>
      </c>
    </row>
    <row r="2263" spans="1:4" x14ac:dyDescent="0.2">
      <c r="A2263" s="23" t="s">
        <v>1465</v>
      </c>
      <c r="B2263" s="23" t="s">
        <v>1466</v>
      </c>
      <c r="C2263" s="22">
        <v>0</v>
      </c>
      <c r="D2263" s="22">
        <v>0</v>
      </c>
    </row>
    <row r="2264" spans="1:4" x14ac:dyDescent="0.2">
      <c r="A2264" s="23" t="s">
        <v>1467</v>
      </c>
      <c r="B2264" s="23" t="s">
        <v>1468</v>
      </c>
      <c r="C2264" s="22">
        <v>0</v>
      </c>
      <c r="D2264" s="22">
        <v>0</v>
      </c>
    </row>
    <row r="2265" spans="1:4" x14ac:dyDescent="0.2">
      <c r="A2265" s="23" t="s">
        <v>1469</v>
      </c>
      <c r="B2265" s="23" t="s">
        <v>1470</v>
      </c>
      <c r="C2265" s="22">
        <v>0</v>
      </c>
      <c r="D2265" s="22">
        <v>0</v>
      </c>
    </row>
    <row r="2266" spans="1:4" x14ac:dyDescent="0.2">
      <c r="A2266" s="23" t="s">
        <v>1471</v>
      </c>
      <c r="B2266" s="23" t="s">
        <v>1472</v>
      </c>
      <c r="C2266" s="22">
        <v>0</v>
      </c>
      <c r="D2266" s="22">
        <v>0</v>
      </c>
    </row>
    <row r="2267" spans="1:4" x14ac:dyDescent="0.2">
      <c r="A2267" s="23" t="s">
        <v>1473</v>
      </c>
      <c r="B2267" s="23" t="s">
        <v>1474</v>
      </c>
      <c r="C2267" s="22">
        <v>0</v>
      </c>
      <c r="D2267" s="22">
        <v>0</v>
      </c>
    </row>
    <row r="2268" spans="1:4" x14ac:dyDescent="0.2">
      <c r="A2268" s="23" t="s">
        <v>1475</v>
      </c>
      <c r="B2268" s="23" t="s">
        <v>1476</v>
      </c>
      <c r="C2268" s="22">
        <v>0</v>
      </c>
      <c r="D2268" s="22">
        <v>0</v>
      </c>
    </row>
    <row r="2269" spans="1:4" x14ac:dyDescent="0.2">
      <c r="A2269" s="23" t="s">
        <v>1477</v>
      </c>
      <c r="B2269" s="23" t="s">
        <v>1478</v>
      </c>
      <c r="C2269" s="22">
        <v>0</v>
      </c>
      <c r="D2269" s="22">
        <v>0</v>
      </c>
    </row>
    <row r="2270" spans="1:4" x14ac:dyDescent="0.2">
      <c r="A2270" s="23" t="s">
        <v>1479</v>
      </c>
      <c r="B2270" t="s">
        <v>4481</v>
      </c>
      <c r="C2270" s="22">
        <v>0</v>
      </c>
      <c r="D2270" s="22">
        <v>0</v>
      </c>
    </row>
    <row r="2271" spans="1:4" x14ac:dyDescent="0.2">
      <c r="A2271" s="23" t="s">
        <v>1480</v>
      </c>
      <c r="B2271" s="23" t="s">
        <v>1481</v>
      </c>
      <c r="C2271" s="22">
        <v>187860.05</v>
      </c>
      <c r="D2271" s="22">
        <v>2038465.48</v>
      </c>
    </row>
    <row r="2272" spans="1:4" x14ac:dyDescent="0.2">
      <c r="A2272" s="23" t="s">
        <v>1482</v>
      </c>
      <c r="B2272" s="23" t="s">
        <v>3082</v>
      </c>
      <c r="C2272" s="22">
        <v>0</v>
      </c>
      <c r="D2272" s="22">
        <v>132.77000000000001</v>
      </c>
    </row>
    <row r="2273" spans="1:4" x14ac:dyDescent="0.2">
      <c r="A2273" s="23" t="s">
        <v>3083</v>
      </c>
      <c r="B2273" s="23" t="s">
        <v>3084</v>
      </c>
      <c r="C2273" s="22">
        <v>0</v>
      </c>
      <c r="D2273" s="22">
        <v>0</v>
      </c>
    </row>
    <row r="2274" spans="1:4" x14ac:dyDescent="0.2">
      <c r="A2274" s="23" t="s">
        <v>3085</v>
      </c>
      <c r="B2274" s="23" t="s">
        <v>3086</v>
      </c>
      <c r="C2274" s="22">
        <v>631.67999999999995</v>
      </c>
      <c r="D2274" s="22">
        <v>25259.25</v>
      </c>
    </row>
    <row r="2275" spans="1:4" x14ac:dyDescent="0.2">
      <c r="A2275" s="23" t="s">
        <v>3087</v>
      </c>
      <c r="B2275" s="23" t="s">
        <v>3088</v>
      </c>
      <c r="C2275" s="22">
        <v>0</v>
      </c>
      <c r="D2275" s="22">
        <v>0</v>
      </c>
    </row>
    <row r="2276" spans="1:4" x14ac:dyDescent="0.2">
      <c r="A2276" s="23" t="s">
        <v>3089</v>
      </c>
      <c r="B2276" s="23" t="s">
        <v>3090</v>
      </c>
      <c r="C2276" s="22">
        <v>0</v>
      </c>
      <c r="D2276" s="22">
        <v>3738.8</v>
      </c>
    </row>
    <row r="2277" spans="1:4" x14ac:dyDescent="0.2">
      <c r="A2277" s="23" t="s">
        <v>3091</v>
      </c>
      <c r="B2277" t="s">
        <v>4481</v>
      </c>
      <c r="C2277" s="22">
        <v>188491.73</v>
      </c>
      <c r="D2277" s="22">
        <v>2067596.3</v>
      </c>
    </row>
    <row r="2278" spans="1:4" x14ac:dyDescent="0.2">
      <c r="A2278" s="23" t="s">
        <v>3092</v>
      </c>
      <c r="B2278" s="23" t="s">
        <v>3093</v>
      </c>
      <c r="C2278" s="22">
        <v>1382198.73</v>
      </c>
      <c r="D2278" s="22">
        <v>13347403.640000001</v>
      </c>
    </row>
    <row r="2279" spans="1:4" x14ac:dyDescent="0.2">
      <c r="A2279" s="23" t="s">
        <v>3094</v>
      </c>
      <c r="B2279" s="23" t="s">
        <v>3095</v>
      </c>
      <c r="C2279" s="22">
        <v>-121.01</v>
      </c>
      <c r="D2279" s="22">
        <v>12456.32</v>
      </c>
    </row>
    <row r="2280" spans="1:4" x14ac:dyDescent="0.2">
      <c r="A2280" s="23" t="s">
        <v>3096</v>
      </c>
      <c r="B2280" s="23" t="s">
        <v>3097</v>
      </c>
      <c r="C2280" s="22">
        <v>5766.22</v>
      </c>
      <c r="D2280" s="22">
        <v>91006.54</v>
      </c>
    </row>
    <row r="2281" spans="1:4" x14ac:dyDescent="0.2">
      <c r="A2281" s="23" t="s">
        <v>1183</v>
      </c>
      <c r="B2281" s="23" t="s">
        <v>1184</v>
      </c>
      <c r="C2281" s="22">
        <v>2844.68</v>
      </c>
      <c r="D2281" s="22">
        <v>10363.36</v>
      </c>
    </row>
    <row r="2282" spans="1:4" x14ac:dyDescent="0.2">
      <c r="A2282" s="23" t="s">
        <v>1185</v>
      </c>
      <c r="B2282" s="23" t="s">
        <v>1186</v>
      </c>
      <c r="C2282" s="22">
        <v>56343.18</v>
      </c>
      <c r="D2282" s="22">
        <v>1583569.56</v>
      </c>
    </row>
    <row r="2283" spans="1:4" x14ac:dyDescent="0.2">
      <c r="A2283" s="23" t="s">
        <v>1187</v>
      </c>
      <c r="B2283" s="23" t="s">
        <v>1188</v>
      </c>
      <c r="C2283" s="22">
        <v>171513.16</v>
      </c>
      <c r="D2283" s="22">
        <v>2211656.62</v>
      </c>
    </row>
    <row r="2284" spans="1:4" x14ac:dyDescent="0.2">
      <c r="A2284" s="23" t="s">
        <v>1189</v>
      </c>
      <c r="B2284" s="23" t="s">
        <v>1190</v>
      </c>
      <c r="C2284" s="22">
        <v>4926.93</v>
      </c>
      <c r="D2284" s="22">
        <v>35058.14</v>
      </c>
    </row>
    <row r="2285" spans="1:4" x14ac:dyDescent="0.2">
      <c r="A2285" s="23" t="s">
        <v>1191</v>
      </c>
      <c r="B2285" s="23" t="s">
        <v>1192</v>
      </c>
      <c r="C2285" s="22">
        <v>17910.62</v>
      </c>
      <c r="D2285" s="22">
        <v>89532.49</v>
      </c>
    </row>
    <row r="2286" spans="1:4" x14ac:dyDescent="0.2">
      <c r="A2286" s="23" t="s">
        <v>1193</v>
      </c>
      <c r="B2286" s="23" t="s">
        <v>1194</v>
      </c>
      <c r="C2286" s="22">
        <v>10394.81</v>
      </c>
      <c r="D2286" s="22">
        <v>57251.47</v>
      </c>
    </row>
    <row r="2287" spans="1:4" x14ac:dyDescent="0.2">
      <c r="A2287" s="23" t="s">
        <v>1195</v>
      </c>
      <c r="B2287" s="23" t="s">
        <v>1196</v>
      </c>
      <c r="C2287" s="22">
        <v>-81.37</v>
      </c>
      <c r="D2287" s="22">
        <v>159.99</v>
      </c>
    </row>
    <row r="2288" spans="1:4" x14ac:dyDescent="0.2">
      <c r="A2288" s="23" t="s">
        <v>1197</v>
      </c>
      <c r="B2288" s="23" t="s">
        <v>1198</v>
      </c>
      <c r="C2288" s="22">
        <v>6060.15</v>
      </c>
      <c r="D2288" s="22">
        <v>37248.1</v>
      </c>
    </row>
    <row r="2289" spans="1:4" x14ac:dyDescent="0.2">
      <c r="A2289" s="23" t="s">
        <v>1199</v>
      </c>
      <c r="B2289" s="23" t="s">
        <v>1200</v>
      </c>
      <c r="C2289" s="22">
        <v>2192.67</v>
      </c>
      <c r="D2289" s="22">
        <v>52564.3</v>
      </c>
    </row>
    <row r="2290" spans="1:4" x14ac:dyDescent="0.2">
      <c r="A2290" s="23" t="s">
        <v>1201</v>
      </c>
      <c r="B2290" s="23" t="s">
        <v>1202</v>
      </c>
      <c r="C2290" s="22">
        <v>345.98</v>
      </c>
      <c r="D2290" s="22">
        <v>1792.88</v>
      </c>
    </row>
    <row r="2291" spans="1:4" x14ac:dyDescent="0.2">
      <c r="A2291" s="23" t="s">
        <v>1203</v>
      </c>
      <c r="B2291" s="23" t="s">
        <v>4684</v>
      </c>
      <c r="C2291" s="22">
        <v>7565.5</v>
      </c>
      <c r="D2291" s="22">
        <v>74534.48</v>
      </c>
    </row>
    <row r="2292" spans="1:4" x14ac:dyDescent="0.2">
      <c r="A2292" s="23" t="s">
        <v>1204</v>
      </c>
      <c r="B2292" s="23" t="s">
        <v>1205</v>
      </c>
      <c r="C2292" s="22">
        <v>0</v>
      </c>
      <c r="D2292" s="22">
        <v>1056.27</v>
      </c>
    </row>
    <row r="2293" spans="1:4" x14ac:dyDescent="0.2">
      <c r="A2293" s="23" t="s">
        <v>1206</v>
      </c>
      <c r="B2293" s="23" t="s">
        <v>1207</v>
      </c>
      <c r="C2293" s="22">
        <v>12517.21</v>
      </c>
      <c r="D2293" s="22">
        <v>34807.599999999999</v>
      </c>
    </row>
    <row r="2294" spans="1:4" x14ac:dyDescent="0.2">
      <c r="A2294" s="23" t="s">
        <v>1208</v>
      </c>
      <c r="B2294" s="23" t="s">
        <v>1209</v>
      </c>
      <c r="C2294" s="22">
        <v>0</v>
      </c>
      <c r="D2294" s="22">
        <v>0</v>
      </c>
    </row>
    <row r="2295" spans="1:4" x14ac:dyDescent="0.2">
      <c r="A2295" s="23" t="s">
        <v>1210</v>
      </c>
      <c r="B2295" s="23" t="s">
        <v>1211</v>
      </c>
      <c r="C2295" s="22">
        <v>45568.92</v>
      </c>
      <c r="D2295" s="22">
        <v>644755.86</v>
      </c>
    </row>
    <row r="2296" spans="1:4" x14ac:dyDescent="0.2">
      <c r="A2296" s="23" t="s">
        <v>1212</v>
      </c>
      <c r="B2296" s="23" t="s">
        <v>1213</v>
      </c>
      <c r="C2296" s="22">
        <v>0</v>
      </c>
      <c r="D2296" s="22">
        <v>0</v>
      </c>
    </row>
    <row r="2297" spans="1:4" x14ac:dyDescent="0.2">
      <c r="A2297" s="23" t="s">
        <v>1214</v>
      </c>
      <c r="B2297" s="23" t="s">
        <v>1215</v>
      </c>
      <c r="C2297" s="22">
        <v>0</v>
      </c>
      <c r="D2297" s="22">
        <v>0</v>
      </c>
    </row>
    <row r="2298" spans="1:4" x14ac:dyDescent="0.2">
      <c r="A2298" s="23" t="s">
        <v>1216</v>
      </c>
      <c r="B2298" s="23" t="s">
        <v>1217</v>
      </c>
      <c r="C2298" s="22">
        <v>0</v>
      </c>
      <c r="D2298" s="22">
        <v>1729.78</v>
      </c>
    </row>
    <row r="2299" spans="1:4" x14ac:dyDescent="0.2">
      <c r="A2299" s="23" t="s">
        <v>1218</v>
      </c>
      <c r="B2299" t="s">
        <v>4481</v>
      </c>
      <c r="C2299" s="22">
        <v>1725946.38</v>
      </c>
      <c r="D2299" s="22">
        <v>18286947.399999999</v>
      </c>
    </row>
    <row r="2300" spans="1:4" x14ac:dyDescent="0.2">
      <c r="A2300" s="23" t="s">
        <v>1219</v>
      </c>
      <c r="B2300" s="23" t="s">
        <v>1220</v>
      </c>
      <c r="C2300" s="22">
        <v>472.2</v>
      </c>
      <c r="D2300" s="22">
        <v>42057.07</v>
      </c>
    </row>
    <row r="2301" spans="1:4" x14ac:dyDescent="0.2">
      <c r="A2301" s="23" t="s">
        <v>2037</v>
      </c>
      <c r="B2301" s="23" t="s">
        <v>2038</v>
      </c>
      <c r="C2301" s="22">
        <v>237832.35</v>
      </c>
      <c r="D2301" s="22">
        <v>2279175.54</v>
      </c>
    </row>
    <row r="2302" spans="1:4" x14ac:dyDescent="0.2">
      <c r="A2302" s="23" t="s">
        <v>2039</v>
      </c>
      <c r="B2302" s="23" t="s">
        <v>2040</v>
      </c>
      <c r="C2302" s="22">
        <v>11654.01</v>
      </c>
      <c r="D2302" s="22">
        <v>17067.509999999998</v>
      </c>
    </row>
    <row r="2303" spans="1:4" x14ac:dyDescent="0.2">
      <c r="A2303" s="23" t="s">
        <v>2041</v>
      </c>
      <c r="B2303" s="23" t="s">
        <v>2042</v>
      </c>
      <c r="C2303" s="22">
        <v>-300.07</v>
      </c>
      <c r="D2303" s="22">
        <v>7053.04</v>
      </c>
    </row>
    <row r="2304" spans="1:4" x14ac:dyDescent="0.2">
      <c r="A2304" s="23" t="s">
        <v>2043</v>
      </c>
      <c r="B2304" s="23" t="s">
        <v>2044</v>
      </c>
      <c r="C2304" s="22">
        <v>14621.81</v>
      </c>
      <c r="D2304" s="22">
        <v>298814.71999999997</v>
      </c>
    </row>
    <row r="2305" spans="1:4" x14ac:dyDescent="0.2">
      <c r="A2305" s="23" t="s">
        <v>2045</v>
      </c>
      <c r="B2305" s="23" t="s">
        <v>2046</v>
      </c>
      <c r="C2305" s="22">
        <v>0</v>
      </c>
      <c r="D2305" s="22">
        <v>444.22</v>
      </c>
    </row>
    <row r="2306" spans="1:4" x14ac:dyDescent="0.2">
      <c r="A2306" s="23" t="s">
        <v>2047</v>
      </c>
      <c r="B2306" s="23" t="s">
        <v>2048</v>
      </c>
      <c r="C2306" s="22">
        <v>-238.79</v>
      </c>
      <c r="D2306" s="22">
        <v>29761.18</v>
      </c>
    </row>
    <row r="2307" spans="1:4" x14ac:dyDescent="0.2">
      <c r="A2307" s="23" t="s">
        <v>2049</v>
      </c>
      <c r="B2307" s="23" t="s">
        <v>2050</v>
      </c>
      <c r="C2307" s="22">
        <v>0</v>
      </c>
      <c r="D2307" s="22">
        <v>0</v>
      </c>
    </row>
    <row r="2308" spans="1:4" x14ac:dyDescent="0.2">
      <c r="A2308" s="23" t="s">
        <v>2051</v>
      </c>
      <c r="B2308" s="23" t="s">
        <v>2052</v>
      </c>
      <c r="C2308" s="22">
        <v>0</v>
      </c>
      <c r="D2308" s="22">
        <v>2829.49</v>
      </c>
    </row>
    <row r="2309" spans="1:4" x14ac:dyDescent="0.2">
      <c r="A2309" s="23" t="s">
        <v>2053</v>
      </c>
      <c r="B2309" s="23" t="s">
        <v>2054</v>
      </c>
      <c r="C2309" s="22">
        <v>12568.9</v>
      </c>
      <c r="D2309" s="22">
        <v>12568.9</v>
      </c>
    </row>
    <row r="2310" spans="1:4" x14ac:dyDescent="0.2">
      <c r="A2310" s="23" t="s">
        <v>2055</v>
      </c>
      <c r="B2310" s="23" t="s">
        <v>2056</v>
      </c>
      <c r="C2310" s="22">
        <v>0</v>
      </c>
      <c r="D2310" s="22">
        <v>0</v>
      </c>
    </row>
    <row r="2311" spans="1:4" x14ac:dyDescent="0.2">
      <c r="A2311" s="23" t="s">
        <v>2057</v>
      </c>
      <c r="B2311" s="23" t="s">
        <v>2058</v>
      </c>
      <c r="C2311" s="22">
        <v>1572.58</v>
      </c>
      <c r="D2311" s="22">
        <v>18814.11</v>
      </c>
    </row>
    <row r="2312" spans="1:4" x14ac:dyDescent="0.2">
      <c r="A2312" s="23" t="s">
        <v>2059</v>
      </c>
      <c r="B2312" s="23" t="s">
        <v>2060</v>
      </c>
      <c r="C2312" s="22">
        <v>5753.48</v>
      </c>
      <c r="D2312" s="22">
        <v>51184.22</v>
      </c>
    </row>
    <row r="2313" spans="1:4" x14ac:dyDescent="0.2">
      <c r="A2313" s="23" t="s">
        <v>2061</v>
      </c>
      <c r="B2313" s="23" t="s">
        <v>2062</v>
      </c>
      <c r="C2313" s="22">
        <v>17688.580000000002</v>
      </c>
      <c r="D2313" s="22">
        <v>351852.38</v>
      </c>
    </row>
    <row r="2314" spans="1:4" x14ac:dyDescent="0.2">
      <c r="A2314" s="23" t="s">
        <v>2063</v>
      </c>
      <c r="B2314" s="23" t="s">
        <v>2064</v>
      </c>
      <c r="C2314" s="22">
        <v>688.02</v>
      </c>
      <c r="D2314" s="22">
        <v>4605.84</v>
      </c>
    </row>
    <row r="2315" spans="1:4" x14ac:dyDescent="0.2">
      <c r="A2315" s="23" t="s">
        <v>2065</v>
      </c>
      <c r="B2315" s="23" t="s">
        <v>2066</v>
      </c>
      <c r="C2315" s="22">
        <v>1197.32</v>
      </c>
      <c r="D2315" s="22">
        <v>9941.7000000000007</v>
      </c>
    </row>
    <row r="2316" spans="1:4" x14ac:dyDescent="0.2">
      <c r="A2316" s="23" t="s">
        <v>2067</v>
      </c>
      <c r="B2316" s="23" t="s">
        <v>2068</v>
      </c>
      <c r="C2316" s="22">
        <v>538.45000000000005</v>
      </c>
      <c r="D2316" s="22">
        <v>5051.6099999999997</v>
      </c>
    </row>
    <row r="2317" spans="1:4" x14ac:dyDescent="0.2">
      <c r="A2317" s="23" t="s">
        <v>2069</v>
      </c>
      <c r="B2317" s="23" t="s">
        <v>2070</v>
      </c>
      <c r="C2317" s="22">
        <v>31844.959999999999</v>
      </c>
      <c r="D2317" s="22">
        <v>318819.86</v>
      </c>
    </row>
    <row r="2318" spans="1:4" x14ac:dyDescent="0.2">
      <c r="A2318" s="23" t="s">
        <v>2071</v>
      </c>
      <c r="B2318" s="23" t="s">
        <v>2072</v>
      </c>
      <c r="C2318" s="22">
        <v>0</v>
      </c>
      <c r="D2318" s="22">
        <v>108.84</v>
      </c>
    </row>
    <row r="2319" spans="1:4" x14ac:dyDescent="0.2">
      <c r="A2319" s="23" t="s">
        <v>2073</v>
      </c>
      <c r="B2319" s="23" t="s">
        <v>2074</v>
      </c>
      <c r="C2319" s="22">
        <v>-1261.58</v>
      </c>
      <c r="D2319" s="22">
        <v>22066.080000000002</v>
      </c>
    </row>
    <row r="2320" spans="1:4" x14ac:dyDescent="0.2">
      <c r="A2320" s="23" t="s">
        <v>2075</v>
      </c>
      <c r="B2320" t="s">
        <v>4481</v>
      </c>
      <c r="C2320" s="22">
        <v>334632.21999999997</v>
      </c>
      <c r="D2320" s="22">
        <v>3472216.31</v>
      </c>
    </row>
    <row r="2321" spans="1:4" x14ac:dyDescent="0.2">
      <c r="A2321" s="23" t="s">
        <v>1052</v>
      </c>
      <c r="B2321" s="23" t="s">
        <v>1053</v>
      </c>
      <c r="C2321" s="22">
        <v>0</v>
      </c>
      <c r="D2321" s="22">
        <v>0</v>
      </c>
    </row>
    <row r="2322" spans="1:4" x14ac:dyDescent="0.2">
      <c r="A2322" s="23" t="s">
        <v>1054</v>
      </c>
      <c r="B2322" s="23" t="s">
        <v>1055</v>
      </c>
      <c r="C2322" s="22">
        <v>15664.69</v>
      </c>
      <c r="D2322" s="22">
        <v>164237.63</v>
      </c>
    </row>
    <row r="2323" spans="1:4" x14ac:dyDescent="0.2">
      <c r="A2323" s="23" t="s">
        <v>1056</v>
      </c>
      <c r="B2323" s="23" t="s">
        <v>1057</v>
      </c>
      <c r="C2323" s="22">
        <v>0</v>
      </c>
      <c r="D2323" s="22">
        <v>0</v>
      </c>
    </row>
    <row r="2324" spans="1:4" x14ac:dyDescent="0.2">
      <c r="A2324" s="23" t="s">
        <v>1058</v>
      </c>
      <c r="B2324" s="23" t="s">
        <v>1059</v>
      </c>
      <c r="C2324" s="22">
        <v>14886.67</v>
      </c>
      <c r="D2324" s="22">
        <v>157261.44</v>
      </c>
    </row>
    <row r="2325" spans="1:4" x14ac:dyDescent="0.2">
      <c r="A2325" s="23" t="s">
        <v>1060</v>
      </c>
      <c r="B2325" s="23" t="s">
        <v>1061</v>
      </c>
      <c r="C2325" s="22">
        <v>0</v>
      </c>
      <c r="D2325" s="22">
        <v>0</v>
      </c>
    </row>
    <row r="2326" spans="1:4" x14ac:dyDescent="0.2">
      <c r="A2326" s="23" t="s">
        <v>1062</v>
      </c>
      <c r="B2326" s="23" t="s">
        <v>1063</v>
      </c>
      <c r="C2326" s="22">
        <v>0</v>
      </c>
      <c r="D2326" s="22">
        <v>0</v>
      </c>
    </row>
    <row r="2327" spans="1:4" x14ac:dyDescent="0.2">
      <c r="A2327" s="23" t="s">
        <v>1064</v>
      </c>
      <c r="B2327" s="23" t="s">
        <v>1065</v>
      </c>
      <c r="C2327" s="22">
        <v>0</v>
      </c>
      <c r="D2327" s="22">
        <v>0</v>
      </c>
    </row>
    <row r="2328" spans="1:4" x14ac:dyDescent="0.2">
      <c r="A2328" s="23" t="s">
        <v>1066</v>
      </c>
      <c r="B2328" s="23" t="s">
        <v>1067</v>
      </c>
      <c r="C2328" s="22">
        <v>0</v>
      </c>
      <c r="D2328" s="22">
        <v>0</v>
      </c>
    </row>
    <row r="2329" spans="1:4" x14ac:dyDescent="0.2">
      <c r="A2329" s="23" t="s">
        <v>1068</v>
      </c>
      <c r="B2329" s="23" t="s">
        <v>1069</v>
      </c>
      <c r="C2329" s="22">
        <v>0</v>
      </c>
      <c r="D2329" s="22">
        <v>0</v>
      </c>
    </row>
    <row r="2330" spans="1:4" x14ac:dyDescent="0.2">
      <c r="A2330" s="23" t="s">
        <v>1070</v>
      </c>
      <c r="B2330" s="23" t="s">
        <v>1071</v>
      </c>
      <c r="C2330" s="22">
        <v>81.53</v>
      </c>
      <c r="D2330" s="22">
        <v>63015.34</v>
      </c>
    </row>
    <row r="2331" spans="1:4" x14ac:dyDescent="0.2">
      <c r="A2331" s="23" t="s">
        <v>1072</v>
      </c>
      <c r="B2331" t="s">
        <v>4481</v>
      </c>
      <c r="C2331" s="22">
        <v>30632.89</v>
      </c>
      <c r="D2331" s="22">
        <v>384514.41</v>
      </c>
    </row>
    <row r="2332" spans="1:4" x14ac:dyDescent="0.2">
      <c r="A2332" s="23" t="s">
        <v>1073</v>
      </c>
      <c r="B2332" s="23" t="s">
        <v>1074</v>
      </c>
      <c r="C2332" s="22">
        <v>62797.39</v>
      </c>
      <c r="D2332" s="22">
        <v>741532.98</v>
      </c>
    </row>
    <row r="2333" spans="1:4" x14ac:dyDescent="0.2">
      <c r="A2333" s="23" t="s">
        <v>1075</v>
      </c>
      <c r="B2333" s="23" t="s">
        <v>1076</v>
      </c>
      <c r="C2333" s="22">
        <v>28701.55</v>
      </c>
      <c r="D2333" s="22">
        <v>342165.91</v>
      </c>
    </row>
    <row r="2334" spans="1:4" x14ac:dyDescent="0.2">
      <c r="A2334" s="23" t="s">
        <v>1077</v>
      </c>
      <c r="B2334" s="23" t="s">
        <v>1078</v>
      </c>
      <c r="C2334" s="22">
        <v>43630.6</v>
      </c>
      <c r="D2334" s="22">
        <v>502669.45</v>
      </c>
    </row>
    <row r="2335" spans="1:4" x14ac:dyDescent="0.2">
      <c r="A2335" s="23" t="s">
        <v>1079</v>
      </c>
      <c r="B2335" s="23" t="s">
        <v>1080</v>
      </c>
      <c r="C2335" s="22">
        <v>17040.150000000001</v>
      </c>
      <c r="D2335" s="22">
        <v>168763.54</v>
      </c>
    </row>
    <row r="2336" spans="1:4" x14ac:dyDescent="0.2">
      <c r="A2336" s="23" t="s">
        <v>1081</v>
      </c>
      <c r="B2336" s="23" t="s">
        <v>1082</v>
      </c>
      <c r="C2336" s="22">
        <v>12584.45</v>
      </c>
      <c r="D2336" s="22">
        <v>152679.57</v>
      </c>
    </row>
    <row r="2337" spans="1:4" x14ac:dyDescent="0.2">
      <c r="A2337" s="23" t="s">
        <v>1083</v>
      </c>
      <c r="B2337" s="23" t="s">
        <v>1084</v>
      </c>
      <c r="C2337" s="22">
        <v>0</v>
      </c>
      <c r="D2337" s="22">
        <v>484.17</v>
      </c>
    </row>
    <row r="2338" spans="1:4" x14ac:dyDescent="0.2">
      <c r="A2338" s="23" t="s">
        <v>1085</v>
      </c>
      <c r="B2338" s="23" t="s">
        <v>1086</v>
      </c>
      <c r="C2338" s="22">
        <v>13258.51</v>
      </c>
      <c r="D2338" s="22">
        <v>146611.5</v>
      </c>
    </row>
    <row r="2339" spans="1:4" x14ac:dyDescent="0.2">
      <c r="A2339" s="23" t="s">
        <v>1087</v>
      </c>
      <c r="B2339" s="23" t="s">
        <v>1088</v>
      </c>
      <c r="C2339" s="22">
        <v>0</v>
      </c>
      <c r="D2339" s="22">
        <v>104.99</v>
      </c>
    </row>
    <row r="2340" spans="1:4" x14ac:dyDescent="0.2">
      <c r="A2340" s="23" t="s">
        <v>1089</v>
      </c>
      <c r="B2340" t="s">
        <v>4481</v>
      </c>
      <c r="C2340" s="22">
        <v>178012.65</v>
      </c>
      <c r="D2340" s="22">
        <v>2055012.11</v>
      </c>
    </row>
    <row r="2341" spans="1:4" x14ac:dyDescent="0.2">
      <c r="A2341" s="23" t="s">
        <v>1090</v>
      </c>
      <c r="B2341" s="23" t="s">
        <v>1091</v>
      </c>
      <c r="C2341" s="22">
        <v>40047.9</v>
      </c>
      <c r="D2341" s="22">
        <v>498487.68</v>
      </c>
    </row>
    <row r="2342" spans="1:4" x14ac:dyDescent="0.2">
      <c r="A2342" s="23" t="s">
        <v>1092</v>
      </c>
      <c r="B2342" s="23" t="s">
        <v>1093</v>
      </c>
      <c r="C2342" s="22">
        <v>0</v>
      </c>
      <c r="D2342" s="22">
        <v>0</v>
      </c>
    </row>
    <row r="2343" spans="1:4" x14ac:dyDescent="0.2">
      <c r="A2343" s="23" t="s">
        <v>1094</v>
      </c>
      <c r="B2343" s="23" t="s">
        <v>1095</v>
      </c>
      <c r="C2343" s="22">
        <v>0</v>
      </c>
      <c r="D2343" s="22">
        <v>0</v>
      </c>
    </row>
    <row r="2344" spans="1:4" x14ac:dyDescent="0.2">
      <c r="A2344" s="23" t="s">
        <v>1096</v>
      </c>
      <c r="B2344" t="s">
        <v>4481</v>
      </c>
      <c r="C2344" s="22">
        <v>40047.9</v>
      </c>
      <c r="D2344" s="22">
        <v>498487.68</v>
      </c>
    </row>
    <row r="2345" spans="1:4" x14ac:dyDescent="0.2">
      <c r="A2345" s="23" t="s">
        <v>1097</v>
      </c>
      <c r="B2345" s="23" t="s">
        <v>1098</v>
      </c>
      <c r="C2345" s="22">
        <v>0</v>
      </c>
      <c r="D2345" s="22">
        <v>0</v>
      </c>
    </row>
    <row r="2346" spans="1:4" x14ac:dyDescent="0.2">
      <c r="A2346" s="23" t="s">
        <v>1099</v>
      </c>
      <c r="B2346" s="23" t="s">
        <v>1100</v>
      </c>
      <c r="C2346" s="22">
        <v>0</v>
      </c>
      <c r="D2346" s="22">
        <v>0</v>
      </c>
    </row>
    <row r="2347" spans="1:4" x14ac:dyDescent="0.2">
      <c r="A2347" s="23" t="s">
        <v>1101</v>
      </c>
      <c r="B2347" t="s">
        <v>4481</v>
      </c>
      <c r="C2347" s="22">
        <v>0</v>
      </c>
      <c r="D2347" s="22">
        <v>0</v>
      </c>
    </row>
    <row r="2348" spans="1:4" x14ac:dyDescent="0.2">
      <c r="A2348" s="23" t="s">
        <v>1102</v>
      </c>
      <c r="B2348" s="23" t="s">
        <v>1103</v>
      </c>
      <c r="C2348" s="22">
        <v>491633</v>
      </c>
      <c r="D2348" s="22">
        <v>5899596</v>
      </c>
    </row>
    <row r="2349" spans="1:4" x14ac:dyDescent="0.2">
      <c r="A2349" s="23" t="s">
        <v>1104</v>
      </c>
      <c r="B2349" t="s">
        <v>4481</v>
      </c>
      <c r="C2349" s="22">
        <v>491633</v>
      </c>
      <c r="D2349" s="22">
        <v>5899596</v>
      </c>
    </row>
    <row r="2350" spans="1:4" x14ac:dyDescent="0.2">
      <c r="A2350" s="23" t="s">
        <v>1105</v>
      </c>
      <c r="B2350" s="23" t="s">
        <v>1106</v>
      </c>
      <c r="C2350" s="22">
        <v>391805.03</v>
      </c>
      <c r="D2350" s="22">
        <v>3340436.92</v>
      </c>
    </row>
    <row r="2351" spans="1:4" x14ac:dyDescent="0.2">
      <c r="A2351" s="23" t="s">
        <v>1107</v>
      </c>
      <c r="B2351" s="23" t="s">
        <v>1108</v>
      </c>
      <c r="C2351" s="22">
        <v>0</v>
      </c>
      <c r="D2351" s="22">
        <v>785.89</v>
      </c>
    </row>
    <row r="2352" spans="1:4" x14ac:dyDescent="0.2">
      <c r="A2352" s="23" t="s">
        <v>1109</v>
      </c>
      <c r="B2352" s="23" t="s">
        <v>1110</v>
      </c>
      <c r="C2352" s="22">
        <v>0</v>
      </c>
      <c r="D2352" s="22">
        <v>0</v>
      </c>
    </row>
    <row r="2353" spans="1:4" x14ac:dyDescent="0.2">
      <c r="A2353" s="23" t="s">
        <v>1111</v>
      </c>
      <c r="B2353" t="s">
        <v>4481</v>
      </c>
      <c r="C2353" s="22">
        <v>391805.03</v>
      </c>
      <c r="D2353" s="22">
        <v>3341222.81</v>
      </c>
    </row>
    <row r="2354" spans="1:4" x14ac:dyDescent="0.2">
      <c r="A2354" s="23" t="s">
        <v>1112</v>
      </c>
      <c r="B2354" s="23" t="s">
        <v>1113</v>
      </c>
      <c r="C2354" s="22">
        <v>631095.73</v>
      </c>
      <c r="D2354" s="22">
        <v>5994798.04</v>
      </c>
    </row>
    <row r="2355" spans="1:4" x14ac:dyDescent="0.2">
      <c r="A2355" s="23" t="s">
        <v>1114</v>
      </c>
      <c r="B2355" s="23" t="s">
        <v>1115</v>
      </c>
      <c r="C2355" s="22">
        <v>63633.58</v>
      </c>
      <c r="D2355" s="22">
        <v>795088.86</v>
      </c>
    </row>
    <row r="2356" spans="1:4" x14ac:dyDescent="0.2">
      <c r="A2356" s="23" t="s">
        <v>1116</v>
      </c>
      <c r="B2356" s="23" t="s">
        <v>1117</v>
      </c>
      <c r="C2356" s="22">
        <v>0</v>
      </c>
      <c r="D2356" s="22">
        <v>0</v>
      </c>
    </row>
    <row r="2357" spans="1:4" x14ac:dyDescent="0.2">
      <c r="A2357" s="23" t="s">
        <v>1118</v>
      </c>
      <c r="B2357" s="23" t="s">
        <v>1119</v>
      </c>
      <c r="C2357" s="22">
        <v>100337.95</v>
      </c>
      <c r="D2357" s="22">
        <v>900851.21</v>
      </c>
    </row>
    <row r="2358" spans="1:4" x14ac:dyDescent="0.2">
      <c r="A2358" s="23" t="s">
        <v>1120</v>
      </c>
      <c r="B2358" s="23" t="s">
        <v>1121</v>
      </c>
      <c r="C2358" s="22">
        <v>507928.99</v>
      </c>
      <c r="D2358" s="22">
        <v>5397806.7800000003</v>
      </c>
    </row>
    <row r="2359" spans="1:4" x14ac:dyDescent="0.2">
      <c r="A2359" s="23" t="s">
        <v>1122</v>
      </c>
      <c r="B2359" s="23" t="s">
        <v>1123</v>
      </c>
      <c r="C2359" s="22">
        <v>144.18</v>
      </c>
      <c r="D2359" s="22">
        <v>4821.18</v>
      </c>
    </row>
    <row r="2360" spans="1:4" x14ac:dyDescent="0.2">
      <c r="A2360" s="23" t="s">
        <v>1124</v>
      </c>
      <c r="B2360" s="23" t="s">
        <v>1125</v>
      </c>
      <c r="C2360" s="22">
        <v>94715.98</v>
      </c>
      <c r="D2360" s="22">
        <v>1143729.32</v>
      </c>
    </row>
    <row r="2361" spans="1:4" x14ac:dyDescent="0.2">
      <c r="A2361" s="23" t="s">
        <v>1126</v>
      </c>
      <c r="B2361" s="23" t="s">
        <v>1127</v>
      </c>
      <c r="C2361" s="22">
        <v>0</v>
      </c>
      <c r="D2361" s="22">
        <v>72.23</v>
      </c>
    </row>
    <row r="2362" spans="1:4" x14ac:dyDescent="0.2">
      <c r="A2362" s="23" t="s">
        <v>1128</v>
      </c>
      <c r="B2362" t="s">
        <v>4481</v>
      </c>
      <c r="C2362" s="22">
        <v>1397856.41</v>
      </c>
      <c r="D2362" s="22">
        <v>14237167.619999999</v>
      </c>
    </row>
    <row r="2363" spans="1:4" x14ac:dyDescent="0.2">
      <c r="A2363" s="23" t="s">
        <v>1129</v>
      </c>
      <c r="B2363" s="23" t="s">
        <v>1130</v>
      </c>
      <c r="C2363" s="22">
        <v>0</v>
      </c>
      <c r="D2363" s="22">
        <v>0</v>
      </c>
    </row>
    <row r="2364" spans="1:4" x14ac:dyDescent="0.2">
      <c r="A2364" s="23" t="s">
        <v>1131</v>
      </c>
      <c r="B2364" s="23" t="s">
        <v>1132</v>
      </c>
      <c r="C2364" s="22">
        <v>0</v>
      </c>
      <c r="D2364" s="22">
        <v>0</v>
      </c>
    </row>
    <row r="2365" spans="1:4" x14ac:dyDescent="0.2">
      <c r="A2365" s="23" t="s">
        <v>1133</v>
      </c>
      <c r="B2365" s="23" t="s">
        <v>1134</v>
      </c>
      <c r="C2365" s="22">
        <v>0</v>
      </c>
      <c r="D2365" s="22">
        <v>0</v>
      </c>
    </row>
    <row r="2366" spans="1:4" x14ac:dyDescent="0.2">
      <c r="A2366" s="23" t="s">
        <v>1135</v>
      </c>
      <c r="B2366" s="23" t="s">
        <v>1136</v>
      </c>
      <c r="C2366" s="22">
        <v>0</v>
      </c>
      <c r="D2366" s="22">
        <v>0</v>
      </c>
    </row>
    <row r="2367" spans="1:4" x14ac:dyDescent="0.2">
      <c r="A2367" s="23" t="s">
        <v>1137</v>
      </c>
      <c r="B2367" s="23" t="s">
        <v>1138</v>
      </c>
      <c r="C2367" s="22">
        <v>0</v>
      </c>
      <c r="D2367" s="22">
        <v>0</v>
      </c>
    </row>
    <row r="2368" spans="1:4" x14ac:dyDescent="0.2">
      <c r="A2368" s="23" t="s">
        <v>1139</v>
      </c>
      <c r="B2368" s="23" t="s">
        <v>4393</v>
      </c>
      <c r="C2368" s="22">
        <v>0</v>
      </c>
      <c r="D2368" s="22">
        <v>0</v>
      </c>
    </row>
    <row r="2369" spans="1:4" x14ac:dyDescent="0.2">
      <c r="A2369" s="23" t="s">
        <v>4394</v>
      </c>
      <c r="B2369" s="23" t="s">
        <v>4395</v>
      </c>
      <c r="C2369" s="22">
        <v>0</v>
      </c>
      <c r="D2369" s="22">
        <v>0</v>
      </c>
    </row>
    <row r="2370" spans="1:4" x14ac:dyDescent="0.2">
      <c r="A2370" s="23" t="s">
        <v>4396</v>
      </c>
      <c r="B2370" s="23" t="s">
        <v>4983</v>
      </c>
      <c r="C2370" s="22">
        <v>572292.18000000005</v>
      </c>
      <c r="D2370" s="22">
        <v>5527213.1799999997</v>
      </c>
    </row>
    <row r="2371" spans="1:4" x14ac:dyDescent="0.2">
      <c r="A2371" s="23" t="s">
        <v>4397</v>
      </c>
      <c r="B2371" s="23" t="s">
        <v>4983</v>
      </c>
      <c r="C2371" s="22">
        <v>0</v>
      </c>
      <c r="D2371" s="22">
        <v>0</v>
      </c>
    </row>
    <row r="2372" spans="1:4" x14ac:dyDescent="0.2">
      <c r="A2372" s="23" t="s">
        <v>4398</v>
      </c>
      <c r="B2372" t="s">
        <v>4481</v>
      </c>
      <c r="C2372" s="22">
        <v>572292.18000000005</v>
      </c>
      <c r="D2372" s="22">
        <v>5527213.1799999997</v>
      </c>
    </row>
    <row r="2373" spans="1:4" x14ac:dyDescent="0.2">
      <c r="A2373" s="23" t="s">
        <v>4399</v>
      </c>
      <c r="B2373" s="23" t="s">
        <v>558</v>
      </c>
      <c r="C2373" s="22">
        <v>23913.1</v>
      </c>
      <c r="D2373" s="22">
        <v>209287.7</v>
      </c>
    </row>
    <row r="2374" spans="1:4" x14ac:dyDescent="0.2">
      <c r="A2374" s="23" t="s">
        <v>559</v>
      </c>
      <c r="B2374" s="23" t="s">
        <v>560</v>
      </c>
      <c r="C2374" s="22">
        <v>64544.56</v>
      </c>
      <c r="D2374" s="22">
        <v>615751.27</v>
      </c>
    </row>
    <row r="2375" spans="1:4" x14ac:dyDescent="0.2">
      <c r="A2375" s="23" t="s">
        <v>561</v>
      </c>
      <c r="B2375" s="23" t="s">
        <v>562</v>
      </c>
      <c r="C2375" s="22">
        <v>0</v>
      </c>
      <c r="D2375" s="22">
        <v>0</v>
      </c>
    </row>
    <row r="2376" spans="1:4" x14ac:dyDescent="0.2">
      <c r="A2376" s="23" t="s">
        <v>563</v>
      </c>
      <c r="B2376" s="23" t="s">
        <v>564</v>
      </c>
      <c r="C2376" s="22">
        <v>0</v>
      </c>
      <c r="D2376" s="22">
        <v>0</v>
      </c>
    </row>
    <row r="2377" spans="1:4" x14ac:dyDescent="0.2">
      <c r="A2377" s="23" t="s">
        <v>565</v>
      </c>
      <c r="B2377" s="23" t="s">
        <v>566</v>
      </c>
      <c r="C2377" s="22">
        <v>-57191</v>
      </c>
      <c r="D2377" s="22">
        <v>-614205</v>
      </c>
    </row>
    <row r="2378" spans="1:4" x14ac:dyDescent="0.2">
      <c r="A2378" s="23" t="s">
        <v>567</v>
      </c>
      <c r="B2378" s="23" t="s">
        <v>566</v>
      </c>
      <c r="C2378" s="22">
        <v>57191</v>
      </c>
      <c r="D2378" s="22">
        <v>614205</v>
      </c>
    </row>
    <row r="2379" spans="1:4" x14ac:dyDescent="0.2">
      <c r="A2379" s="23" t="s">
        <v>568</v>
      </c>
      <c r="B2379" s="23" t="s">
        <v>3962</v>
      </c>
      <c r="C2379" s="22">
        <v>19277.919999999998</v>
      </c>
      <c r="D2379" s="22">
        <v>209567.92</v>
      </c>
    </row>
    <row r="2380" spans="1:4" x14ac:dyDescent="0.2">
      <c r="A2380" s="23" t="s">
        <v>3963</v>
      </c>
      <c r="B2380" s="23" t="s">
        <v>3964</v>
      </c>
      <c r="C2380" s="22">
        <v>15816.31</v>
      </c>
      <c r="D2380" s="22">
        <v>213839.34</v>
      </c>
    </row>
    <row r="2381" spans="1:4" x14ac:dyDescent="0.2">
      <c r="A2381" s="23" t="s">
        <v>3965</v>
      </c>
      <c r="B2381" s="23" t="s">
        <v>3966</v>
      </c>
      <c r="C2381" s="22">
        <v>645629.31999999995</v>
      </c>
      <c r="D2381" s="22">
        <v>7639345.96</v>
      </c>
    </row>
    <row r="2382" spans="1:4" x14ac:dyDescent="0.2">
      <c r="A2382" s="23" t="s">
        <v>3967</v>
      </c>
      <c r="B2382" s="23" t="s">
        <v>3968</v>
      </c>
      <c r="C2382" s="22">
        <v>4992.0200000000004</v>
      </c>
      <c r="D2382" s="22">
        <v>29553.040000000001</v>
      </c>
    </row>
    <row r="2383" spans="1:4" x14ac:dyDescent="0.2">
      <c r="A2383" s="23" t="s">
        <v>3969</v>
      </c>
      <c r="B2383" s="23" t="s">
        <v>3970</v>
      </c>
      <c r="C2383" s="22">
        <v>891.3</v>
      </c>
      <c r="D2383" s="22">
        <v>891.3</v>
      </c>
    </row>
    <row r="2384" spans="1:4" x14ac:dyDescent="0.2">
      <c r="A2384" s="23" t="s">
        <v>3971</v>
      </c>
      <c r="B2384" s="23" t="s">
        <v>3972</v>
      </c>
      <c r="C2384" s="22">
        <v>0</v>
      </c>
      <c r="D2384" s="22">
        <v>0</v>
      </c>
    </row>
    <row r="2385" spans="1:4" x14ac:dyDescent="0.2">
      <c r="A2385" s="23" t="s">
        <v>3973</v>
      </c>
      <c r="B2385" s="23" t="s">
        <v>3974</v>
      </c>
      <c r="C2385" s="22">
        <v>87308.02</v>
      </c>
      <c r="D2385" s="22">
        <v>980582.82</v>
      </c>
    </row>
    <row r="2386" spans="1:4" x14ac:dyDescent="0.2">
      <c r="A2386" s="23" t="s">
        <v>3975</v>
      </c>
      <c r="B2386" s="23" t="s">
        <v>3976</v>
      </c>
      <c r="C2386" s="22">
        <v>0</v>
      </c>
      <c r="D2386" s="22">
        <v>0</v>
      </c>
    </row>
    <row r="2387" spans="1:4" x14ac:dyDescent="0.2">
      <c r="A2387" s="23" t="s">
        <v>3977</v>
      </c>
      <c r="B2387" s="23" t="s">
        <v>3978</v>
      </c>
      <c r="C2387" s="22">
        <v>13819.84</v>
      </c>
      <c r="D2387" s="22">
        <v>141638.78</v>
      </c>
    </row>
    <row r="2388" spans="1:4" x14ac:dyDescent="0.2">
      <c r="A2388" s="23" t="s">
        <v>3979</v>
      </c>
      <c r="B2388" s="23" t="s">
        <v>3980</v>
      </c>
      <c r="C2388" s="22">
        <v>146.08000000000001</v>
      </c>
      <c r="D2388" s="22">
        <v>146.08000000000001</v>
      </c>
    </row>
    <row r="2389" spans="1:4" x14ac:dyDescent="0.2">
      <c r="A2389" s="23" t="s">
        <v>3981</v>
      </c>
      <c r="B2389" s="23" t="s">
        <v>3982</v>
      </c>
      <c r="C2389" s="22">
        <v>238.55</v>
      </c>
      <c r="D2389" s="22">
        <v>238.55</v>
      </c>
    </row>
    <row r="2390" spans="1:4" x14ac:dyDescent="0.2">
      <c r="A2390" s="23" t="s">
        <v>3983</v>
      </c>
      <c r="B2390" s="23" t="s">
        <v>3984</v>
      </c>
      <c r="C2390" s="22">
        <v>1354.57</v>
      </c>
      <c r="D2390" s="22">
        <v>4899.9399999999996</v>
      </c>
    </row>
    <row r="2391" spans="1:4" x14ac:dyDescent="0.2">
      <c r="A2391" s="23" t="s">
        <v>3985</v>
      </c>
      <c r="B2391" s="23" t="s">
        <v>554</v>
      </c>
      <c r="C2391" s="22">
        <v>8121.23</v>
      </c>
      <c r="D2391" s="22">
        <v>98026.9</v>
      </c>
    </row>
    <row r="2392" spans="1:4" x14ac:dyDescent="0.2">
      <c r="A2392" s="23" t="s">
        <v>3986</v>
      </c>
      <c r="B2392" s="23" t="s">
        <v>3987</v>
      </c>
      <c r="C2392" s="22">
        <v>238.55</v>
      </c>
      <c r="D2392" s="22">
        <v>238.55</v>
      </c>
    </row>
    <row r="2393" spans="1:4" x14ac:dyDescent="0.2">
      <c r="A2393" s="23" t="s">
        <v>3988</v>
      </c>
      <c r="B2393" s="23" t="s">
        <v>3989</v>
      </c>
      <c r="C2393" s="22">
        <v>123.29</v>
      </c>
      <c r="D2393" s="22">
        <v>123.29</v>
      </c>
    </row>
    <row r="2394" spans="1:4" x14ac:dyDescent="0.2">
      <c r="A2394" s="23" t="s">
        <v>3990</v>
      </c>
      <c r="B2394" s="23" t="s">
        <v>3991</v>
      </c>
      <c r="C2394" s="22">
        <v>420.29</v>
      </c>
      <c r="D2394" s="22">
        <v>420.29</v>
      </c>
    </row>
    <row r="2395" spans="1:4" x14ac:dyDescent="0.2">
      <c r="A2395" s="23" t="s">
        <v>3992</v>
      </c>
      <c r="B2395" s="23" t="s">
        <v>3993</v>
      </c>
      <c r="C2395" s="22">
        <v>0</v>
      </c>
      <c r="D2395" s="22">
        <v>79952.63</v>
      </c>
    </row>
    <row r="2396" spans="1:4" x14ac:dyDescent="0.2">
      <c r="A2396" s="23" t="s">
        <v>3994</v>
      </c>
      <c r="B2396" s="23" t="s">
        <v>3995</v>
      </c>
      <c r="C2396" s="22">
        <v>20797.7</v>
      </c>
      <c r="D2396" s="22">
        <v>249600.06</v>
      </c>
    </row>
    <row r="2397" spans="1:4" x14ac:dyDescent="0.2">
      <c r="A2397" s="23" t="s">
        <v>3996</v>
      </c>
      <c r="B2397" s="23" t="s">
        <v>3997</v>
      </c>
      <c r="C2397" s="22">
        <v>482.55</v>
      </c>
      <c r="D2397" s="22">
        <v>4869.25</v>
      </c>
    </row>
    <row r="2398" spans="1:4" x14ac:dyDescent="0.2">
      <c r="A2398" s="23" t="s">
        <v>3998</v>
      </c>
      <c r="B2398" s="23" t="s">
        <v>3999</v>
      </c>
      <c r="C2398" s="22">
        <v>20787.310000000001</v>
      </c>
      <c r="D2398" s="22">
        <v>132391.65</v>
      </c>
    </row>
    <row r="2399" spans="1:4" x14ac:dyDescent="0.2">
      <c r="A2399" s="23" t="s">
        <v>4000</v>
      </c>
      <c r="B2399" s="23" t="s">
        <v>4001</v>
      </c>
      <c r="C2399" s="22">
        <v>81014.320000000007</v>
      </c>
      <c r="D2399" s="22">
        <v>663919.5</v>
      </c>
    </row>
    <row r="2400" spans="1:4" x14ac:dyDescent="0.2">
      <c r="A2400" s="23" t="s">
        <v>4002</v>
      </c>
      <c r="B2400" s="23" t="s">
        <v>4003</v>
      </c>
      <c r="C2400" s="22">
        <v>303.04000000000002</v>
      </c>
      <c r="D2400" s="22">
        <v>130882.98</v>
      </c>
    </row>
    <row r="2401" spans="1:4" x14ac:dyDescent="0.2">
      <c r="A2401" s="23" t="s">
        <v>4004</v>
      </c>
      <c r="B2401" s="23" t="s">
        <v>4005</v>
      </c>
      <c r="C2401" s="22">
        <v>114025.28</v>
      </c>
      <c r="D2401" s="22">
        <v>1171962.3700000001</v>
      </c>
    </row>
    <row r="2402" spans="1:4" x14ac:dyDescent="0.2">
      <c r="A2402" s="23" t="s">
        <v>4006</v>
      </c>
      <c r="B2402" s="23" t="s">
        <v>4007</v>
      </c>
      <c r="C2402" s="22">
        <v>16977.189999999999</v>
      </c>
      <c r="D2402" s="22">
        <v>90276.73</v>
      </c>
    </row>
    <row r="2403" spans="1:4" x14ac:dyDescent="0.2">
      <c r="A2403" s="23" t="s">
        <v>4008</v>
      </c>
      <c r="B2403" s="23" t="s">
        <v>4009</v>
      </c>
      <c r="C2403" s="22">
        <v>0</v>
      </c>
      <c r="D2403" s="22">
        <v>0</v>
      </c>
    </row>
    <row r="2404" spans="1:4" x14ac:dyDescent="0.2">
      <c r="A2404" s="23" t="s">
        <v>4010</v>
      </c>
      <c r="B2404" s="23" t="s">
        <v>4011</v>
      </c>
      <c r="C2404" s="22">
        <v>415.39</v>
      </c>
      <c r="D2404" s="22">
        <v>415.39</v>
      </c>
    </row>
    <row r="2405" spans="1:4" x14ac:dyDescent="0.2">
      <c r="A2405" s="23" t="s">
        <v>4012</v>
      </c>
      <c r="B2405" s="23" t="s">
        <v>4013</v>
      </c>
      <c r="C2405" s="22">
        <v>0</v>
      </c>
      <c r="D2405" s="22">
        <v>0</v>
      </c>
    </row>
    <row r="2406" spans="1:4" x14ac:dyDescent="0.2">
      <c r="A2406" s="23" t="s">
        <v>4014</v>
      </c>
      <c r="B2406" s="23" t="s">
        <v>4015</v>
      </c>
      <c r="C2406" s="22">
        <v>415.39</v>
      </c>
      <c r="D2406" s="22">
        <v>415.39</v>
      </c>
    </row>
    <row r="2407" spans="1:4" x14ac:dyDescent="0.2">
      <c r="A2407" s="23" t="s">
        <v>4016</v>
      </c>
      <c r="B2407" s="23" t="s">
        <v>4017</v>
      </c>
      <c r="C2407" s="22">
        <v>0</v>
      </c>
      <c r="D2407" s="22">
        <v>0</v>
      </c>
    </row>
    <row r="2408" spans="1:4" x14ac:dyDescent="0.2">
      <c r="A2408" s="23" t="s">
        <v>4018</v>
      </c>
      <c r="B2408" s="23" t="s">
        <v>4019</v>
      </c>
      <c r="C2408" s="22">
        <v>0</v>
      </c>
      <c r="D2408" s="22">
        <v>0</v>
      </c>
    </row>
    <row r="2409" spans="1:4" x14ac:dyDescent="0.2">
      <c r="A2409" s="23" t="s">
        <v>4020</v>
      </c>
      <c r="B2409" s="23" t="s">
        <v>4021</v>
      </c>
      <c r="C2409" s="22">
        <v>0</v>
      </c>
      <c r="D2409" s="22">
        <v>0</v>
      </c>
    </row>
    <row r="2410" spans="1:4" x14ac:dyDescent="0.2">
      <c r="A2410" s="23" t="s">
        <v>4022</v>
      </c>
      <c r="B2410" s="23" t="s">
        <v>4023</v>
      </c>
      <c r="C2410" s="22">
        <v>3683.97</v>
      </c>
      <c r="D2410" s="22">
        <v>12089.65</v>
      </c>
    </row>
    <row r="2411" spans="1:4" x14ac:dyDescent="0.2">
      <c r="A2411" s="23" t="s">
        <v>4024</v>
      </c>
      <c r="B2411" s="23" t="s">
        <v>4025</v>
      </c>
      <c r="C2411" s="22">
        <v>415.39</v>
      </c>
      <c r="D2411" s="22">
        <v>415.39</v>
      </c>
    </row>
    <row r="2412" spans="1:4" x14ac:dyDescent="0.2">
      <c r="A2412" s="23" t="s">
        <v>4026</v>
      </c>
      <c r="B2412" s="23" t="s">
        <v>4027</v>
      </c>
      <c r="C2412" s="22">
        <v>415.39</v>
      </c>
      <c r="D2412" s="22">
        <v>415.39</v>
      </c>
    </row>
    <row r="2413" spans="1:4" x14ac:dyDescent="0.2">
      <c r="A2413" s="23" t="s">
        <v>4028</v>
      </c>
      <c r="B2413" s="23" t="s">
        <v>4029</v>
      </c>
      <c r="C2413" s="22">
        <v>415.39</v>
      </c>
      <c r="D2413" s="22">
        <v>415.39</v>
      </c>
    </row>
    <row r="2414" spans="1:4" x14ac:dyDescent="0.2">
      <c r="A2414" s="23" t="s">
        <v>4030</v>
      </c>
      <c r="B2414" s="23" t="s">
        <v>4031</v>
      </c>
      <c r="C2414" s="22">
        <v>166.35</v>
      </c>
      <c r="D2414" s="22">
        <v>166.35</v>
      </c>
    </row>
    <row r="2415" spans="1:4" x14ac:dyDescent="0.2">
      <c r="A2415" s="23" t="s">
        <v>4032</v>
      </c>
      <c r="B2415" s="23" t="s">
        <v>4033</v>
      </c>
      <c r="C2415" s="22">
        <v>0</v>
      </c>
      <c r="D2415" s="22">
        <v>0</v>
      </c>
    </row>
    <row r="2416" spans="1:4" x14ac:dyDescent="0.2">
      <c r="A2416" s="23" t="s">
        <v>4034</v>
      </c>
      <c r="B2416" s="23" t="s">
        <v>4035</v>
      </c>
      <c r="C2416" s="22">
        <v>0</v>
      </c>
      <c r="D2416" s="22">
        <v>60000</v>
      </c>
    </row>
    <row r="2417" spans="1:4" x14ac:dyDescent="0.2">
      <c r="A2417" s="23" t="s">
        <v>4036</v>
      </c>
      <c r="B2417" s="23" t="s">
        <v>4037</v>
      </c>
      <c r="C2417" s="22">
        <v>0</v>
      </c>
      <c r="D2417" s="22">
        <v>0</v>
      </c>
    </row>
    <row r="2418" spans="1:4" x14ac:dyDescent="0.2">
      <c r="A2418" s="23" t="s">
        <v>4038</v>
      </c>
      <c r="B2418" s="23" t="s">
        <v>4039</v>
      </c>
      <c r="C2418" s="22">
        <v>2092.9499999999998</v>
      </c>
      <c r="D2418" s="22">
        <v>2092.9499999999998</v>
      </c>
    </row>
    <row r="2419" spans="1:4" x14ac:dyDescent="0.2">
      <c r="A2419" s="23" t="s">
        <v>4040</v>
      </c>
      <c r="B2419" s="23" t="s">
        <v>4041</v>
      </c>
      <c r="C2419" s="22">
        <v>0</v>
      </c>
      <c r="D2419" s="22">
        <v>0</v>
      </c>
    </row>
    <row r="2420" spans="1:4" x14ac:dyDescent="0.2">
      <c r="A2420" s="23" t="s">
        <v>4042</v>
      </c>
      <c r="B2420" s="23" t="s">
        <v>4043</v>
      </c>
      <c r="C2420" s="22">
        <v>509.77</v>
      </c>
      <c r="D2420" s="22">
        <v>48793.3</v>
      </c>
    </row>
    <row r="2421" spans="1:4" x14ac:dyDescent="0.2">
      <c r="A2421" s="23" t="s">
        <v>4044</v>
      </c>
      <c r="B2421" s="23" t="s">
        <v>4045</v>
      </c>
      <c r="C2421" s="22">
        <v>28.55</v>
      </c>
      <c r="D2421" s="22">
        <v>5003.6099999999997</v>
      </c>
    </row>
    <row r="2422" spans="1:4" x14ac:dyDescent="0.2">
      <c r="A2422" s="23" t="s">
        <v>4046</v>
      </c>
      <c r="B2422" s="23" t="s">
        <v>4047</v>
      </c>
      <c r="C2422" s="22">
        <v>195444.26</v>
      </c>
      <c r="D2422" s="22">
        <v>1145161.1299999999</v>
      </c>
    </row>
    <row r="2423" spans="1:4" x14ac:dyDescent="0.2">
      <c r="A2423" s="23" t="s">
        <v>4048</v>
      </c>
      <c r="B2423" t="s">
        <v>4481</v>
      </c>
      <c r="C2423" s="22">
        <v>1345225.14</v>
      </c>
      <c r="D2423" s="22">
        <v>13943790.84</v>
      </c>
    </row>
    <row r="2424" spans="1:4" x14ac:dyDescent="0.2">
      <c r="A2424" s="23" t="s">
        <v>4049</v>
      </c>
      <c r="B2424" s="23" t="s">
        <v>4050</v>
      </c>
      <c r="C2424" s="22">
        <v>8354.6200000000008</v>
      </c>
      <c r="D2424" s="22">
        <v>82492.95</v>
      </c>
    </row>
    <row r="2425" spans="1:4" x14ac:dyDescent="0.2">
      <c r="A2425" s="23" t="s">
        <v>4051</v>
      </c>
      <c r="B2425" s="23" t="s">
        <v>4052</v>
      </c>
      <c r="C2425" s="22">
        <v>0</v>
      </c>
      <c r="D2425" s="22">
        <v>0</v>
      </c>
    </row>
    <row r="2426" spans="1:4" x14ac:dyDescent="0.2">
      <c r="A2426" s="23" t="s">
        <v>4053</v>
      </c>
      <c r="B2426" s="23" t="s">
        <v>4054</v>
      </c>
      <c r="C2426" s="22">
        <v>0</v>
      </c>
      <c r="D2426" s="22">
        <v>0</v>
      </c>
    </row>
    <row r="2427" spans="1:4" x14ac:dyDescent="0.2">
      <c r="A2427" s="23" t="s">
        <v>4055</v>
      </c>
      <c r="B2427" s="23" t="s">
        <v>4056</v>
      </c>
      <c r="C2427" s="22">
        <v>0</v>
      </c>
      <c r="D2427" s="22">
        <v>0</v>
      </c>
    </row>
    <row r="2428" spans="1:4" x14ac:dyDescent="0.2">
      <c r="A2428" s="23" t="s">
        <v>4057</v>
      </c>
      <c r="B2428" s="23" t="s">
        <v>4058</v>
      </c>
      <c r="C2428" s="22">
        <v>25472.240000000002</v>
      </c>
      <c r="D2428" s="22">
        <v>88523.32</v>
      </c>
    </row>
    <row r="2429" spans="1:4" x14ac:dyDescent="0.2">
      <c r="A2429" s="23" t="s">
        <v>4059</v>
      </c>
      <c r="B2429" s="23" t="s">
        <v>4060</v>
      </c>
      <c r="C2429" s="22">
        <v>0</v>
      </c>
      <c r="D2429" s="22">
        <v>0</v>
      </c>
    </row>
    <row r="2430" spans="1:4" x14ac:dyDescent="0.2">
      <c r="A2430" s="23" t="s">
        <v>4061</v>
      </c>
      <c r="B2430" s="23" t="s">
        <v>4062</v>
      </c>
      <c r="C2430" s="22">
        <v>49716.98</v>
      </c>
      <c r="D2430" s="22">
        <v>172515.55</v>
      </c>
    </row>
    <row r="2431" spans="1:4" x14ac:dyDescent="0.2">
      <c r="A2431" s="23" t="s">
        <v>4063</v>
      </c>
      <c r="B2431" s="23" t="s">
        <v>4064</v>
      </c>
      <c r="C2431" s="22">
        <v>17358</v>
      </c>
      <c r="D2431" s="22">
        <v>35457.379999999997</v>
      </c>
    </row>
    <row r="2432" spans="1:4" x14ac:dyDescent="0.2">
      <c r="A2432" s="23" t="s">
        <v>4065</v>
      </c>
      <c r="B2432" s="23" t="s">
        <v>4066</v>
      </c>
      <c r="C2432" s="22">
        <v>0</v>
      </c>
      <c r="D2432" s="22">
        <v>0</v>
      </c>
    </row>
    <row r="2433" spans="1:4" x14ac:dyDescent="0.2">
      <c r="A2433" s="23" t="s">
        <v>4067</v>
      </c>
      <c r="B2433" s="23" t="s">
        <v>4068</v>
      </c>
      <c r="C2433" s="22">
        <v>0</v>
      </c>
      <c r="D2433" s="22">
        <v>0</v>
      </c>
    </row>
    <row r="2434" spans="1:4" x14ac:dyDescent="0.2">
      <c r="A2434" s="23" t="s">
        <v>4069</v>
      </c>
      <c r="B2434" s="23" t="s">
        <v>4070</v>
      </c>
      <c r="C2434" s="22">
        <v>0</v>
      </c>
      <c r="D2434" s="22">
        <v>0</v>
      </c>
    </row>
    <row r="2435" spans="1:4" x14ac:dyDescent="0.2">
      <c r="A2435" s="23" t="s">
        <v>4071</v>
      </c>
      <c r="B2435" s="23" t="s">
        <v>4072</v>
      </c>
      <c r="C2435" s="22">
        <v>0</v>
      </c>
      <c r="D2435" s="22">
        <v>0</v>
      </c>
    </row>
    <row r="2436" spans="1:4" x14ac:dyDescent="0.2">
      <c r="A2436" s="23" t="s">
        <v>4073</v>
      </c>
      <c r="B2436" s="23" t="s">
        <v>666</v>
      </c>
      <c r="C2436" s="22">
        <v>0</v>
      </c>
      <c r="D2436" s="22">
        <v>0</v>
      </c>
    </row>
    <row r="2437" spans="1:4" x14ac:dyDescent="0.2">
      <c r="A2437" s="23" t="s">
        <v>667</v>
      </c>
      <c r="B2437" s="23" t="s">
        <v>668</v>
      </c>
      <c r="C2437" s="22">
        <v>0</v>
      </c>
      <c r="D2437" s="22">
        <v>0</v>
      </c>
    </row>
    <row r="2438" spans="1:4" x14ac:dyDescent="0.2">
      <c r="A2438" s="23" t="s">
        <v>669</v>
      </c>
      <c r="B2438" s="23" t="s">
        <v>670</v>
      </c>
      <c r="C2438" s="22">
        <v>36044.129999999997</v>
      </c>
      <c r="D2438" s="22">
        <v>125262.56</v>
      </c>
    </row>
    <row r="2439" spans="1:4" x14ac:dyDescent="0.2">
      <c r="A2439" s="23" t="s">
        <v>671</v>
      </c>
      <c r="B2439" s="23" t="s">
        <v>672</v>
      </c>
      <c r="C2439" s="22">
        <v>0</v>
      </c>
      <c r="D2439" s="22">
        <v>0</v>
      </c>
    </row>
    <row r="2440" spans="1:4" x14ac:dyDescent="0.2">
      <c r="A2440" s="23" t="s">
        <v>673</v>
      </c>
      <c r="B2440" s="23" t="s">
        <v>4898</v>
      </c>
      <c r="C2440" s="22">
        <v>0</v>
      </c>
      <c r="D2440" s="22">
        <v>0</v>
      </c>
    </row>
    <row r="2441" spans="1:4" x14ac:dyDescent="0.2">
      <c r="A2441" s="23" t="s">
        <v>4899</v>
      </c>
      <c r="B2441" s="23" t="s">
        <v>4900</v>
      </c>
      <c r="C2441" s="22">
        <v>0</v>
      </c>
      <c r="D2441" s="22">
        <v>0</v>
      </c>
    </row>
    <row r="2442" spans="1:4" x14ac:dyDescent="0.2">
      <c r="A2442" s="23" t="s">
        <v>4901</v>
      </c>
      <c r="B2442" s="23" t="s">
        <v>4902</v>
      </c>
      <c r="C2442" s="22">
        <v>0</v>
      </c>
      <c r="D2442" s="22">
        <v>0</v>
      </c>
    </row>
    <row r="2443" spans="1:4" x14ac:dyDescent="0.2">
      <c r="A2443" s="23" t="s">
        <v>4903</v>
      </c>
      <c r="B2443" t="s">
        <v>4481</v>
      </c>
      <c r="C2443" s="22">
        <v>136945.97</v>
      </c>
      <c r="D2443" s="22">
        <v>504251.76</v>
      </c>
    </row>
    <row r="2444" spans="1:4" x14ac:dyDescent="0.2">
      <c r="A2444" s="23" t="s">
        <v>4904</v>
      </c>
      <c r="B2444" s="23" t="s">
        <v>4905</v>
      </c>
      <c r="C2444" s="22">
        <v>0</v>
      </c>
      <c r="D2444" s="22">
        <v>0</v>
      </c>
    </row>
    <row r="2445" spans="1:4" x14ac:dyDescent="0.2">
      <c r="A2445" s="23" t="s">
        <v>4906</v>
      </c>
      <c r="B2445" t="s">
        <v>4481</v>
      </c>
      <c r="C2445" s="22">
        <v>0</v>
      </c>
      <c r="D2445" s="22">
        <v>0</v>
      </c>
    </row>
    <row r="2446" spans="1:4" x14ac:dyDescent="0.2">
      <c r="A2446" s="23" t="s">
        <v>4907</v>
      </c>
      <c r="B2446" s="23" t="s">
        <v>4908</v>
      </c>
      <c r="C2446" s="22">
        <v>117446.3</v>
      </c>
      <c r="D2446" s="22">
        <v>1094431.3500000001</v>
      </c>
    </row>
    <row r="2447" spans="1:4" x14ac:dyDescent="0.2">
      <c r="A2447" s="23" t="s">
        <v>4909</v>
      </c>
      <c r="B2447" s="23" t="s">
        <v>4910</v>
      </c>
      <c r="C2447" s="22">
        <v>0</v>
      </c>
      <c r="D2447" s="22">
        <v>250.2</v>
      </c>
    </row>
    <row r="2448" spans="1:4" x14ac:dyDescent="0.2">
      <c r="A2448" s="23" t="s">
        <v>4911</v>
      </c>
      <c r="B2448" s="23" t="s">
        <v>4912</v>
      </c>
      <c r="C2448" s="22">
        <v>0</v>
      </c>
      <c r="D2448" s="22">
        <v>0</v>
      </c>
    </row>
    <row r="2449" spans="1:4" x14ac:dyDescent="0.2">
      <c r="A2449" s="23" t="s">
        <v>4913</v>
      </c>
      <c r="B2449" s="23" t="s">
        <v>4914</v>
      </c>
      <c r="C2449" s="22">
        <v>0</v>
      </c>
      <c r="D2449" s="22">
        <v>0</v>
      </c>
    </row>
    <row r="2450" spans="1:4" x14ac:dyDescent="0.2">
      <c r="A2450" s="23" t="s">
        <v>4915</v>
      </c>
      <c r="B2450" s="23" t="s">
        <v>4916</v>
      </c>
      <c r="C2450" s="22">
        <v>0</v>
      </c>
      <c r="D2450" s="22">
        <v>0</v>
      </c>
    </row>
    <row r="2451" spans="1:4" x14ac:dyDescent="0.2">
      <c r="A2451" s="23" t="s">
        <v>4917</v>
      </c>
      <c r="B2451" s="23" t="s">
        <v>4918</v>
      </c>
      <c r="C2451" s="22">
        <v>64561.01</v>
      </c>
      <c r="D2451" s="22">
        <v>560033.18000000005</v>
      </c>
    </row>
    <row r="2452" spans="1:4" x14ac:dyDescent="0.2">
      <c r="A2452" s="23" t="s">
        <v>4919</v>
      </c>
      <c r="B2452" t="s">
        <v>4481</v>
      </c>
      <c r="C2452" s="22">
        <v>182007.31</v>
      </c>
      <c r="D2452" s="22">
        <v>1654714.73</v>
      </c>
    </row>
    <row r="2453" spans="1:4" x14ac:dyDescent="0.2">
      <c r="A2453" s="23" t="s">
        <v>4104</v>
      </c>
      <c r="B2453" s="23" t="s">
        <v>4105</v>
      </c>
      <c r="C2453" s="22">
        <v>724.5</v>
      </c>
      <c r="D2453" s="22">
        <v>4305.42</v>
      </c>
    </row>
    <row r="2454" spans="1:4" x14ac:dyDescent="0.2">
      <c r="A2454" s="23" t="s">
        <v>4106</v>
      </c>
      <c r="B2454" s="23" t="s">
        <v>4107</v>
      </c>
      <c r="C2454" s="22">
        <v>0</v>
      </c>
      <c r="D2454" s="22">
        <v>0</v>
      </c>
    </row>
    <row r="2455" spans="1:4" x14ac:dyDescent="0.2">
      <c r="A2455" s="23" t="s">
        <v>4108</v>
      </c>
      <c r="B2455" s="23" t="s">
        <v>4109</v>
      </c>
      <c r="C2455" s="22">
        <v>0</v>
      </c>
      <c r="D2455" s="22">
        <v>0</v>
      </c>
    </row>
    <row r="2456" spans="1:4" x14ac:dyDescent="0.2">
      <c r="A2456" s="23" t="s">
        <v>4110</v>
      </c>
      <c r="B2456" t="s">
        <v>4481</v>
      </c>
      <c r="C2456" s="22">
        <v>724.5</v>
      </c>
      <c r="D2456" s="22">
        <v>4305.42</v>
      </c>
    </row>
    <row r="2457" spans="1:4" x14ac:dyDescent="0.2">
      <c r="A2457" s="23" t="s">
        <v>4111</v>
      </c>
      <c r="B2457" s="23" t="s">
        <v>4112</v>
      </c>
      <c r="C2457" s="22">
        <v>10584.05</v>
      </c>
      <c r="D2457" s="22">
        <v>70817.77</v>
      </c>
    </row>
    <row r="2458" spans="1:4" x14ac:dyDescent="0.2">
      <c r="A2458" s="23" t="s">
        <v>4113</v>
      </c>
      <c r="B2458" s="23" t="s">
        <v>4114</v>
      </c>
      <c r="C2458" s="22">
        <v>11673.57</v>
      </c>
      <c r="D2458" s="22">
        <v>93246.26</v>
      </c>
    </row>
    <row r="2459" spans="1:4" x14ac:dyDescent="0.2">
      <c r="A2459" s="23" t="s">
        <v>4115</v>
      </c>
      <c r="B2459" s="23" t="s">
        <v>4116</v>
      </c>
      <c r="C2459" s="22">
        <v>0</v>
      </c>
      <c r="D2459" s="22">
        <v>0</v>
      </c>
    </row>
    <row r="2460" spans="1:4" x14ac:dyDescent="0.2">
      <c r="A2460" s="23" t="s">
        <v>4117</v>
      </c>
      <c r="B2460" s="23" t="s">
        <v>4118</v>
      </c>
      <c r="C2460" s="22">
        <v>0</v>
      </c>
      <c r="D2460" s="22">
        <v>0</v>
      </c>
    </row>
    <row r="2461" spans="1:4" x14ac:dyDescent="0.2">
      <c r="A2461" s="23" t="s">
        <v>4119</v>
      </c>
      <c r="B2461" t="s">
        <v>4481</v>
      </c>
      <c r="C2461" s="22">
        <v>22257.62</v>
      </c>
      <c r="D2461" s="22">
        <v>164064.03</v>
      </c>
    </row>
    <row r="2462" spans="1:4" x14ac:dyDescent="0.2">
      <c r="A2462" s="23" t="s">
        <v>4120</v>
      </c>
      <c r="B2462" s="23" t="s">
        <v>4121</v>
      </c>
      <c r="C2462" s="22">
        <v>4168677.17</v>
      </c>
      <c r="D2462" s="22">
        <v>16868734.989999998</v>
      </c>
    </row>
    <row r="2463" spans="1:4" x14ac:dyDescent="0.2">
      <c r="A2463" s="23" t="s">
        <v>4122</v>
      </c>
      <c r="B2463" s="23" t="s">
        <v>4123</v>
      </c>
      <c r="C2463" s="22">
        <v>0</v>
      </c>
      <c r="D2463" s="22">
        <v>102</v>
      </c>
    </row>
    <row r="2464" spans="1:4" x14ac:dyDescent="0.2">
      <c r="A2464" s="23" t="s">
        <v>4124</v>
      </c>
      <c r="B2464" s="23" t="s">
        <v>4125</v>
      </c>
      <c r="C2464" s="22">
        <v>0</v>
      </c>
      <c r="D2464" s="22">
        <v>0</v>
      </c>
    </row>
    <row r="2465" spans="1:4" x14ac:dyDescent="0.2">
      <c r="A2465" s="23" t="s">
        <v>4126</v>
      </c>
      <c r="B2465" s="23" t="s">
        <v>4127</v>
      </c>
      <c r="C2465" s="22">
        <v>0</v>
      </c>
      <c r="D2465" s="22">
        <v>0</v>
      </c>
    </row>
    <row r="2466" spans="1:4" x14ac:dyDescent="0.2">
      <c r="A2466" s="23" t="s">
        <v>4128</v>
      </c>
      <c r="B2466" s="23" t="s">
        <v>4129</v>
      </c>
      <c r="C2466" s="22">
        <v>0</v>
      </c>
      <c r="D2466" s="22">
        <v>0</v>
      </c>
    </row>
    <row r="2467" spans="1:4" x14ac:dyDescent="0.2">
      <c r="A2467" s="23" t="s">
        <v>4130</v>
      </c>
      <c r="B2467" s="23" t="s">
        <v>4131</v>
      </c>
      <c r="C2467" s="22">
        <v>0</v>
      </c>
      <c r="D2467" s="22">
        <v>0</v>
      </c>
    </row>
    <row r="2468" spans="1:4" x14ac:dyDescent="0.2">
      <c r="A2468" s="23" t="s">
        <v>4132</v>
      </c>
      <c r="B2468" s="23" t="s">
        <v>4133</v>
      </c>
      <c r="C2468" s="22">
        <v>0</v>
      </c>
      <c r="D2468" s="22">
        <v>0</v>
      </c>
    </row>
    <row r="2469" spans="1:4" x14ac:dyDescent="0.2">
      <c r="A2469" s="23" t="s">
        <v>4134</v>
      </c>
      <c r="B2469" s="23" t="s">
        <v>4135</v>
      </c>
      <c r="C2469" s="22">
        <v>0</v>
      </c>
      <c r="D2469" s="22">
        <v>0</v>
      </c>
    </row>
    <row r="2470" spans="1:4" x14ac:dyDescent="0.2">
      <c r="A2470" s="23" t="s">
        <v>4136</v>
      </c>
      <c r="B2470" s="23" t="s">
        <v>4137</v>
      </c>
      <c r="C2470" s="22">
        <v>0</v>
      </c>
      <c r="D2470" s="22">
        <v>0</v>
      </c>
    </row>
    <row r="2471" spans="1:4" x14ac:dyDescent="0.2">
      <c r="A2471" s="23" t="s">
        <v>4138</v>
      </c>
      <c r="B2471" s="23" t="s">
        <v>4139</v>
      </c>
      <c r="C2471" s="22">
        <v>0</v>
      </c>
      <c r="D2471" s="22">
        <v>0</v>
      </c>
    </row>
    <row r="2472" spans="1:4" x14ac:dyDescent="0.2">
      <c r="A2472" s="23" t="s">
        <v>4140</v>
      </c>
      <c r="B2472" s="23" t="s">
        <v>4141</v>
      </c>
      <c r="C2472" s="22">
        <v>0</v>
      </c>
      <c r="D2472" s="22">
        <v>763.45</v>
      </c>
    </row>
    <row r="2473" spans="1:4" x14ac:dyDescent="0.2">
      <c r="A2473" s="23" t="s">
        <v>4142</v>
      </c>
      <c r="B2473" s="23" t="s">
        <v>4143</v>
      </c>
      <c r="C2473" s="22">
        <v>0</v>
      </c>
      <c r="D2473" s="22">
        <v>0</v>
      </c>
    </row>
    <row r="2474" spans="1:4" x14ac:dyDescent="0.2">
      <c r="A2474" s="23" t="s">
        <v>4144</v>
      </c>
      <c r="B2474" s="23" t="s">
        <v>4145</v>
      </c>
      <c r="C2474" s="22">
        <v>0</v>
      </c>
      <c r="D2474" s="22">
        <v>0</v>
      </c>
    </row>
    <row r="2475" spans="1:4" x14ac:dyDescent="0.2">
      <c r="A2475" s="23" t="s">
        <v>4146</v>
      </c>
      <c r="B2475" t="s">
        <v>4481</v>
      </c>
      <c r="C2475" s="22">
        <v>4168677.17</v>
      </c>
      <c r="D2475" s="22">
        <v>16869600.440000001</v>
      </c>
    </row>
    <row r="2476" spans="1:4" x14ac:dyDescent="0.2">
      <c r="A2476" s="23" t="s">
        <v>4147</v>
      </c>
      <c r="B2476" s="23" t="s">
        <v>4654</v>
      </c>
      <c r="C2476" s="22">
        <v>681017.41</v>
      </c>
      <c r="D2476" s="22">
        <v>5499036.4800000004</v>
      </c>
    </row>
    <row r="2477" spans="1:4" x14ac:dyDescent="0.2">
      <c r="A2477" s="23" t="s">
        <v>4655</v>
      </c>
      <c r="B2477" s="23" t="s">
        <v>4656</v>
      </c>
      <c r="C2477" s="22">
        <v>4563.5</v>
      </c>
      <c r="D2477" s="22">
        <v>66030.3</v>
      </c>
    </row>
    <row r="2478" spans="1:4" x14ac:dyDescent="0.2">
      <c r="A2478" s="23" t="s">
        <v>4657</v>
      </c>
      <c r="B2478" s="23" t="s">
        <v>4658</v>
      </c>
      <c r="C2478" s="22">
        <v>0</v>
      </c>
      <c r="D2478" s="22">
        <v>498.35</v>
      </c>
    </row>
    <row r="2479" spans="1:4" x14ac:dyDescent="0.2">
      <c r="A2479" s="23" t="s">
        <v>4659</v>
      </c>
      <c r="B2479" s="23" t="s">
        <v>4660</v>
      </c>
      <c r="C2479" s="22">
        <v>0</v>
      </c>
      <c r="D2479" s="22">
        <v>0</v>
      </c>
    </row>
    <row r="2480" spans="1:4" x14ac:dyDescent="0.2">
      <c r="A2480" s="23" t="s">
        <v>4661</v>
      </c>
      <c r="B2480" s="23" t="s">
        <v>4662</v>
      </c>
      <c r="C2480" s="22">
        <v>0</v>
      </c>
      <c r="D2480" s="22">
        <v>0</v>
      </c>
    </row>
    <row r="2481" spans="1:4" x14ac:dyDescent="0.2">
      <c r="A2481" s="23" t="s">
        <v>4663</v>
      </c>
      <c r="B2481" s="23" t="s">
        <v>4664</v>
      </c>
      <c r="C2481" s="22">
        <v>0</v>
      </c>
      <c r="D2481" s="22">
        <v>177.7</v>
      </c>
    </row>
    <row r="2482" spans="1:4" x14ac:dyDescent="0.2">
      <c r="A2482" s="23" t="s">
        <v>4665</v>
      </c>
      <c r="B2482" s="23" t="s">
        <v>4666</v>
      </c>
      <c r="C2482" s="22">
        <v>0</v>
      </c>
      <c r="D2482" s="22">
        <v>14.42</v>
      </c>
    </row>
    <row r="2483" spans="1:4" x14ac:dyDescent="0.2">
      <c r="A2483" s="23" t="s">
        <v>4667</v>
      </c>
      <c r="B2483" s="23" t="s">
        <v>4668</v>
      </c>
      <c r="C2483" s="22">
        <v>3836.21</v>
      </c>
      <c r="D2483" s="22">
        <v>27849.57</v>
      </c>
    </row>
    <row r="2484" spans="1:4" x14ac:dyDescent="0.2">
      <c r="A2484" s="23" t="s">
        <v>4669</v>
      </c>
      <c r="B2484" s="23" t="s">
        <v>4670</v>
      </c>
      <c r="C2484" s="22">
        <v>0</v>
      </c>
      <c r="D2484" s="22">
        <v>7069.65</v>
      </c>
    </row>
    <row r="2485" spans="1:4" x14ac:dyDescent="0.2">
      <c r="A2485" s="23" t="s">
        <v>4671</v>
      </c>
      <c r="B2485" s="23" t="s">
        <v>4672</v>
      </c>
      <c r="C2485" s="22">
        <v>0</v>
      </c>
      <c r="D2485" s="22">
        <v>0</v>
      </c>
    </row>
    <row r="2486" spans="1:4" x14ac:dyDescent="0.2">
      <c r="A2486" s="23" t="s">
        <v>4673</v>
      </c>
      <c r="B2486" s="23" t="s">
        <v>4674</v>
      </c>
      <c r="C2486" s="22">
        <v>108518.48</v>
      </c>
      <c r="D2486" s="22">
        <v>1359340.11</v>
      </c>
    </row>
    <row r="2487" spans="1:4" x14ac:dyDescent="0.2">
      <c r="A2487" s="23" t="s">
        <v>4675</v>
      </c>
      <c r="B2487" s="23" t="s">
        <v>4676</v>
      </c>
      <c r="C2487" s="22">
        <v>0</v>
      </c>
      <c r="D2487" s="22">
        <v>0</v>
      </c>
    </row>
    <row r="2488" spans="1:4" x14ac:dyDescent="0.2">
      <c r="A2488" s="23" t="s">
        <v>4677</v>
      </c>
      <c r="B2488" s="23" t="s">
        <v>2079</v>
      </c>
      <c r="C2488" s="22">
        <v>92568</v>
      </c>
      <c r="D2488" s="22">
        <v>1141669.82</v>
      </c>
    </row>
    <row r="2489" spans="1:4" x14ac:dyDescent="0.2">
      <c r="A2489" s="23" t="s">
        <v>2080</v>
      </c>
      <c r="B2489" s="23" t="s">
        <v>4127</v>
      </c>
      <c r="C2489" s="22">
        <v>0</v>
      </c>
      <c r="D2489" s="22">
        <v>0</v>
      </c>
    </row>
    <row r="2490" spans="1:4" x14ac:dyDescent="0.2">
      <c r="A2490" s="23" t="s">
        <v>2081</v>
      </c>
      <c r="B2490" s="23" t="s">
        <v>2082</v>
      </c>
      <c r="C2490" s="22">
        <v>0</v>
      </c>
      <c r="D2490" s="22">
        <v>0</v>
      </c>
    </row>
    <row r="2491" spans="1:4" x14ac:dyDescent="0.2">
      <c r="A2491" s="23" t="s">
        <v>2083</v>
      </c>
      <c r="B2491" s="23" t="s">
        <v>2084</v>
      </c>
      <c r="C2491" s="22">
        <v>0</v>
      </c>
      <c r="D2491" s="22">
        <v>638</v>
      </c>
    </row>
    <row r="2492" spans="1:4" x14ac:dyDescent="0.2">
      <c r="A2492" s="23" t="s">
        <v>2085</v>
      </c>
      <c r="B2492" s="23" t="s">
        <v>2086</v>
      </c>
      <c r="C2492" s="22">
        <v>0</v>
      </c>
      <c r="D2492" s="22">
        <v>-254.3</v>
      </c>
    </row>
    <row r="2493" spans="1:4" x14ac:dyDescent="0.2">
      <c r="A2493" s="23" t="s">
        <v>2087</v>
      </c>
      <c r="B2493" s="23" t="s">
        <v>2088</v>
      </c>
      <c r="C2493" s="22">
        <v>0</v>
      </c>
      <c r="D2493" s="22">
        <v>0</v>
      </c>
    </row>
    <row r="2494" spans="1:4" x14ac:dyDescent="0.2">
      <c r="A2494" s="23" t="s">
        <v>2089</v>
      </c>
      <c r="B2494" s="23" t="s">
        <v>2090</v>
      </c>
      <c r="C2494" s="22">
        <v>0</v>
      </c>
      <c r="D2494" s="22">
        <v>0</v>
      </c>
    </row>
    <row r="2495" spans="1:4" x14ac:dyDescent="0.2">
      <c r="A2495" s="23" t="s">
        <v>2091</v>
      </c>
      <c r="B2495" s="23" t="s">
        <v>2727</v>
      </c>
      <c r="C2495" s="22">
        <v>-2324</v>
      </c>
      <c r="D2495" s="22">
        <v>-36197.42</v>
      </c>
    </row>
    <row r="2496" spans="1:4" x14ac:dyDescent="0.2">
      <c r="A2496" s="23" t="s">
        <v>2728</v>
      </c>
      <c r="B2496" s="23" t="s">
        <v>2729</v>
      </c>
      <c r="C2496" s="22">
        <v>0</v>
      </c>
      <c r="D2496" s="22">
        <v>0</v>
      </c>
    </row>
    <row r="2497" spans="1:4" x14ac:dyDescent="0.2">
      <c r="A2497" s="23" t="s">
        <v>2730</v>
      </c>
      <c r="B2497" s="23" t="s">
        <v>2731</v>
      </c>
      <c r="C2497" s="22">
        <v>0</v>
      </c>
      <c r="D2497" s="22">
        <v>723.47</v>
      </c>
    </row>
    <row r="2498" spans="1:4" x14ac:dyDescent="0.2">
      <c r="A2498" s="23" t="s">
        <v>2732</v>
      </c>
      <c r="B2498" s="23" t="s">
        <v>2733</v>
      </c>
      <c r="C2498" s="22">
        <v>0</v>
      </c>
      <c r="D2498" s="22">
        <v>0</v>
      </c>
    </row>
    <row r="2499" spans="1:4" x14ac:dyDescent="0.2">
      <c r="A2499" s="23" t="s">
        <v>2734</v>
      </c>
      <c r="B2499" s="23" t="s">
        <v>2735</v>
      </c>
      <c r="C2499" s="22">
        <v>0</v>
      </c>
      <c r="D2499" s="22">
        <v>0</v>
      </c>
    </row>
    <row r="2500" spans="1:4" x14ac:dyDescent="0.2">
      <c r="A2500" s="23" t="s">
        <v>2736</v>
      </c>
      <c r="B2500" s="23" t="s">
        <v>2737</v>
      </c>
      <c r="C2500" s="22">
        <v>0</v>
      </c>
      <c r="D2500" s="22">
        <v>0</v>
      </c>
    </row>
    <row r="2501" spans="1:4" x14ac:dyDescent="0.2">
      <c r="A2501" s="23" t="s">
        <v>2738</v>
      </c>
      <c r="B2501" s="23" t="s">
        <v>2739</v>
      </c>
      <c r="C2501" s="22">
        <v>0</v>
      </c>
      <c r="D2501" s="22">
        <v>0</v>
      </c>
    </row>
    <row r="2502" spans="1:4" x14ac:dyDescent="0.2">
      <c r="A2502" s="23" t="s">
        <v>2740</v>
      </c>
      <c r="B2502" s="23" t="s">
        <v>2741</v>
      </c>
      <c r="C2502" s="22">
        <v>0</v>
      </c>
      <c r="D2502" s="22">
        <v>0</v>
      </c>
    </row>
    <row r="2503" spans="1:4" x14ac:dyDescent="0.2">
      <c r="A2503" s="23" t="s">
        <v>2742</v>
      </c>
      <c r="B2503" s="23" t="s">
        <v>2743</v>
      </c>
      <c r="C2503" s="22">
        <v>0</v>
      </c>
      <c r="D2503" s="22">
        <v>0</v>
      </c>
    </row>
    <row r="2504" spans="1:4" x14ac:dyDescent="0.2">
      <c r="A2504" s="23" t="s">
        <v>2744</v>
      </c>
      <c r="B2504" t="s">
        <v>4481</v>
      </c>
      <c r="C2504" s="22">
        <v>888179.6</v>
      </c>
      <c r="D2504" s="22">
        <v>8066596.1500000004</v>
      </c>
    </row>
    <row r="2505" spans="1:4" x14ac:dyDescent="0.2">
      <c r="A2505" s="23" t="s">
        <v>2745</v>
      </c>
      <c r="B2505" s="23" t="s">
        <v>2746</v>
      </c>
      <c r="C2505" s="22">
        <v>-451893.04</v>
      </c>
      <c r="D2505" s="22">
        <v>-2134947.2200000002</v>
      </c>
    </row>
    <row r="2506" spans="1:4" x14ac:dyDescent="0.2">
      <c r="A2506" s="23" t="s">
        <v>2747</v>
      </c>
      <c r="B2506" t="s">
        <v>4481</v>
      </c>
      <c r="C2506" s="22">
        <v>-451893.04</v>
      </c>
      <c r="D2506" s="22">
        <v>-2134947.2200000002</v>
      </c>
    </row>
    <row r="2507" spans="1:4" x14ac:dyDescent="0.2">
      <c r="A2507" s="23" t="s">
        <v>2748</v>
      </c>
      <c r="B2507" s="23" t="s">
        <v>2749</v>
      </c>
      <c r="C2507" s="22">
        <v>8659.0400000000009</v>
      </c>
      <c r="D2507" s="22">
        <v>359847.45</v>
      </c>
    </row>
    <row r="2508" spans="1:4" x14ac:dyDescent="0.2">
      <c r="A2508" s="23" t="s">
        <v>2750</v>
      </c>
      <c r="B2508" s="23" t="s">
        <v>2751</v>
      </c>
      <c r="C2508" s="22">
        <v>45833</v>
      </c>
      <c r="D2508" s="22">
        <v>470572</v>
      </c>
    </row>
    <row r="2509" spans="1:4" x14ac:dyDescent="0.2">
      <c r="A2509" s="23" t="s">
        <v>2752</v>
      </c>
      <c r="B2509" s="23" t="s">
        <v>2753</v>
      </c>
      <c r="C2509" s="22">
        <v>58146.94</v>
      </c>
      <c r="D2509" s="22">
        <v>1184016.6100000001</v>
      </c>
    </row>
    <row r="2510" spans="1:4" x14ac:dyDescent="0.2">
      <c r="A2510" s="23" t="s">
        <v>2754</v>
      </c>
      <c r="B2510" s="23" t="s">
        <v>2755</v>
      </c>
      <c r="C2510" s="22">
        <v>0</v>
      </c>
      <c r="D2510" s="22">
        <v>0</v>
      </c>
    </row>
    <row r="2511" spans="1:4" x14ac:dyDescent="0.2">
      <c r="A2511" s="23" t="s">
        <v>2756</v>
      </c>
      <c r="B2511" s="23" t="s">
        <v>2757</v>
      </c>
      <c r="C2511" s="22">
        <v>39171.300000000003</v>
      </c>
      <c r="D2511" s="22">
        <v>40710.53</v>
      </c>
    </row>
    <row r="2512" spans="1:4" x14ac:dyDescent="0.2">
      <c r="A2512" s="23" t="s">
        <v>2758</v>
      </c>
      <c r="B2512" s="23" t="s">
        <v>2759</v>
      </c>
      <c r="C2512" s="22">
        <v>0</v>
      </c>
      <c r="D2512" s="22">
        <v>0</v>
      </c>
    </row>
    <row r="2513" spans="1:4" x14ac:dyDescent="0.2">
      <c r="A2513" s="23" t="s">
        <v>2760</v>
      </c>
      <c r="B2513" t="s">
        <v>4481</v>
      </c>
      <c r="C2513" s="22">
        <v>151810.28</v>
      </c>
      <c r="D2513" s="22">
        <v>2055146.59</v>
      </c>
    </row>
    <row r="2514" spans="1:4" x14ac:dyDescent="0.2">
      <c r="A2514" s="23" t="s">
        <v>2761</v>
      </c>
      <c r="B2514" s="23" t="s">
        <v>2762</v>
      </c>
      <c r="C2514" s="22">
        <v>746225.93</v>
      </c>
      <c r="D2514" s="22">
        <v>9464703.6899999995</v>
      </c>
    </row>
    <row r="2515" spans="1:4" x14ac:dyDescent="0.2">
      <c r="A2515" s="23" t="s">
        <v>2763</v>
      </c>
      <c r="B2515" s="23" t="s">
        <v>2764</v>
      </c>
      <c r="C2515" s="22">
        <v>2132.4899999999998</v>
      </c>
      <c r="D2515" s="22">
        <v>28054.91</v>
      </c>
    </row>
    <row r="2516" spans="1:4" x14ac:dyDescent="0.2">
      <c r="A2516" s="23" t="s">
        <v>2765</v>
      </c>
      <c r="B2516" s="23" t="s">
        <v>2766</v>
      </c>
      <c r="C2516" s="22">
        <v>333333</v>
      </c>
      <c r="D2516" s="22">
        <v>3999996</v>
      </c>
    </row>
    <row r="2517" spans="1:4" x14ac:dyDescent="0.2">
      <c r="A2517" s="23" t="s">
        <v>2767</v>
      </c>
      <c r="B2517" t="s">
        <v>4481</v>
      </c>
      <c r="C2517" s="22">
        <v>1081691.42</v>
      </c>
      <c r="D2517" s="22">
        <v>13492754.6</v>
      </c>
    </row>
    <row r="2518" spans="1:4" x14ac:dyDescent="0.2">
      <c r="A2518" s="23" t="s">
        <v>2768</v>
      </c>
      <c r="B2518" s="23" t="s">
        <v>2769</v>
      </c>
      <c r="C2518" s="22">
        <v>1356.84</v>
      </c>
      <c r="D2518" s="22">
        <v>17251.14</v>
      </c>
    </row>
    <row r="2519" spans="1:4" x14ac:dyDescent="0.2">
      <c r="A2519" s="23" t="s">
        <v>2770</v>
      </c>
      <c r="B2519" s="23" t="s">
        <v>2771</v>
      </c>
      <c r="C2519" s="22">
        <v>265.5</v>
      </c>
      <c r="D2519" s="22">
        <v>3571.16</v>
      </c>
    </row>
    <row r="2520" spans="1:4" x14ac:dyDescent="0.2">
      <c r="A2520" s="23" t="s">
        <v>2772</v>
      </c>
      <c r="B2520" s="23" t="s">
        <v>2773</v>
      </c>
      <c r="C2520" s="22">
        <v>470</v>
      </c>
      <c r="D2520" s="22">
        <v>5640</v>
      </c>
    </row>
    <row r="2521" spans="1:4" x14ac:dyDescent="0.2">
      <c r="A2521" s="23" t="s">
        <v>2774</v>
      </c>
      <c r="B2521" s="23" t="s">
        <v>2775</v>
      </c>
      <c r="C2521" s="22">
        <v>0</v>
      </c>
      <c r="D2521" s="22">
        <v>0</v>
      </c>
    </row>
    <row r="2522" spans="1:4" x14ac:dyDescent="0.2">
      <c r="A2522" s="23" t="s">
        <v>2776</v>
      </c>
      <c r="B2522" s="23" t="s">
        <v>2777</v>
      </c>
      <c r="C2522" s="22">
        <v>203740.7</v>
      </c>
      <c r="D2522" s="22">
        <v>2334164.12</v>
      </c>
    </row>
    <row r="2523" spans="1:4" x14ac:dyDescent="0.2">
      <c r="A2523" s="23" t="s">
        <v>2778</v>
      </c>
      <c r="B2523" s="23" t="s">
        <v>2779</v>
      </c>
      <c r="C2523" s="22">
        <v>31012.959999999999</v>
      </c>
      <c r="D2523" s="22">
        <v>290635.09999999998</v>
      </c>
    </row>
    <row r="2524" spans="1:4" x14ac:dyDescent="0.2">
      <c r="A2524" s="23" t="s">
        <v>2780</v>
      </c>
      <c r="B2524" s="23" t="s">
        <v>2781</v>
      </c>
      <c r="C2524" s="22">
        <v>0</v>
      </c>
      <c r="D2524" s="22">
        <v>0</v>
      </c>
    </row>
    <row r="2525" spans="1:4" x14ac:dyDescent="0.2">
      <c r="A2525" s="23" t="s">
        <v>2782</v>
      </c>
      <c r="B2525" s="23" t="s">
        <v>2783</v>
      </c>
      <c r="C2525" s="22">
        <v>0</v>
      </c>
      <c r="D2525" s="22">
        <v>0</v>
      </c>
    </row>
    <row r="2526" spans="1:4" x14ac:dyDescent="0.2">
      <c r="A2526" s="23" t="s">
        <v>2784</v>
      </c>
      <c r="B2526" s="23" t="s">
        <v>2785</v>
      </c>
      <c r="C2526" s="22">
        <v>0</v>
      </c>
      <c r="D2526" s="22">
        <v>0</v>
      </c>
    </row>
    <row r="2527" spans="1:4" x14ac:dyDescent="0.2">
      <c r="A2527" s="23" t="s">
        <v>2786</v>
      </c>
      <c r="B2527" s="23" t="s">
        <v>2787</v>
      </c>
      <c r="C2527" s="22">
        <v>0</v>
      </c>
      <c r="D2527" s="22">
        <v>0</v>
      </c>
    </row>
    <row r="2528" spans="1:4" x14ac:dyDescent="0.2">
      <c r="A2528" s="23" t="s">
        <v>2788</v>
      </c>
      <c r="B2528" s="23" t="s">
        <v>2789</v>
      </c>
      <c r="C2528" s="22">
        <v>0</v>
      </c>
      <c r="D2528" s="22">
        <v>0</v>
      </c>
    </row>
    <row r="2529" spans="1:4" x14ac:dyDescent="0.2">
      <c r="A2529" s="23" t="s">
        <v>2790</v>
      </c>
      <c r="B2529" s="23" t="s">
        <v>2791</v>
      </c>
      <c r="C2529" s="22">
        <v>0</v>
      </c>
      <c r="D2529" s="22">
        <v>0</v>
      </c>
    </row>
    <row r="2530" spans="1:4" x14ac:dyDescent="0.2">
      <c r="A2530" s="23" t="s">
        <v>2792</v>
      </c>
      <c r="B2530" s="23" t="s">
        <v>2793</v>
      </c>
      <c r="C2530" s="22">
        <v>0</v>
      </c>
      <c r="D2530" s="22">
        <v>0</v>
      </c>
    </row>
    <row r="2531" spans="1:4" x14ac:dyDescent="0.2">
      <c r="A2531" s="23" t="s">
        <v>2794</v>
      </c>
      <c r="B2531" s="23" t="s">
        <v>2795</v>
      </c>
      <c r="C2531" s="22">
        <v>-895445.84</v>
      </c>
      <c r="D2531" s="22">
        <v>2706040.78</v>
      </c>
    </row>
    <row r="2532" spans="1:4" x14ac:dyDescent="0.2">
      <c r="A2532" s="23" t="s">
        <v>2796</v>
      </c>
      <c r="B2532" s="23" t="s">
        <v>2797</v>
      </c>
      <c r="C2532" s="22">
        <v>126055.07</v>
      </c>
      <c r="D2532" s="22">
        <v>1837175.56</v>
      </c>
    </row>
    <row r="2533" spans="1:4" x14ac:dyDescent="0.2">
      <c r="A2533" s="23" t="s">
        <v>2798</v>
      </c>
      <c r="B2533" s="23" t="s">
        <v>2799</v>
      </c>
      <c r="C2533" s="22">
        <v>-671060.53</v>
      </c>
      <c r="D2533" s="22">
        <v>-268540.42</v>
      </c>
    </row>
    <row r="2534" spans="1:4" x14ac:dyDescent="0.2">
      <c r="A2534" s="23" t="s">
        <v>2800</v>
      </c>
      <c r="B2534" s="23" t="s">
        <v>2801</v>
      </c>
      <c r="C2534" s="22">
        <v>110611.32</v>
      </c>
      <c r="D2534" s="22">
        <v>-636493.62</v>
      </c>
    </row>
    <row r="2535" spans="1:4" x14ac:dyDescent="0.2">
      <c r="A2535" s="23" t="s">
        <v>2802</v>
      </c>
      <c r="B2535" t="s">
        <v>4481</v>
      </c>
      <c r="C2535" s="22">
        <v>-1092993.98</v>
      </c>
      <c r="D2535" s="22">
        <v>6289443.8200000003</v>
      </c>
    </row>
    <row r="2536" spans="1:4" x14ac:dyDescent="0.2">
      <c r="A2536" s="23" t="s">
        <v>2803</v>
      </c>
      <c r="B2536" s="23" t="s">
        <v>2804</v>
      </c>
      <c r="C2536" s="22">
        <v>0</v>
      </c>
      <c r="D2536" s="22">
        <v>0</v>
      </c>
    </row>
    <row r="2537" spans="1:4" x14ac:dyDescent="0.2">
      <c r="A2537" s="23" t="s">
        <v>2805</v>
      </c>
      <c r="B2537" s="23" t="s">
        <v>2806</v>
      </c>
      <c r="C2537" s="22">
        <v>-244.7</v>
      </c>
      <c r="D2537" s="22">
        <v>13742.71</v>
      </c>
    </row>
    <row r="2538" spans="1:4" x14ac:dyDescent="0.2">
      <c r="A2538" s="23" t="s">
        <v>2807</v>
      </c>
      <c r="B2538" s="23" t="s">
        <v>2808</v>
      </c>
      <c r="C2538" s="22">
        <v>884916.67</v>
      </c>
      <c r="D2538" s="22">
        <v>10619000.039999999</v>
      </c>
    </row>
    <row r="2539" spans="1:4" x14ac:dyDescent="0.2">
      <c r="A2539" s="23" t="s">
        <v>2809</v>
      </c>
      <c r="B2539" s="23" t="s">
        <v>2810</v>
      </c>
      <c r="C2539" s="22">
        <v>-790369.56</v>
      </c>
      <c r="D2539" s="22">
        <v>-9724126.9000000004</v>
      </c>
    </row>
    <row r="2540" spans="1:4" x14ac:dyDescent="0.2">
      <c r="A2540" s="23" t="s">
        <v>2811</v>
      </c>
      <c r="B2540" s="23" t="s">
        <v>2812</v>
      </c>
      <c r="C2540" s="22">
        <v>51539.3</v>
      </c>
      <c r="D2540" s="22">
        <v>242014.12</v>
      </c>
    </row>
    <row r="2541" spans="1:4" x14ac:dyDescent="0.2">
      <c r="A2541" s="23" t="s">
        <v>2813</v>
      </c>
      <c r="B2541" s="23" t="s">
        <v>2814</v>
      </c>
      <c r="C2541" s="22">
        <v>0</v>
      </c>
      <c r="D2541" s="22">
        <v>0</v>
      </c>
    </row>
    <row r="2542" spans="1:4" x14ac:dyDescent="0.2">
      <c r="A2542" s="23" t="s">
        <v>2815</v>
      </c>
      <c r="B2542" s="23" t="s">
        <v>2816</v>
      </c>
      <c r="C2542" s="22">
        <v>57116.84</v>
      </c>
      <c r="D2542" s="22">
        <v>677024.82</v>
      </c>
    </row>
    <row r="2543" spans="1:4" x14ac:dyDescent="0.2">
      <c r="A2543" s="23" t="s">
        <v>2817</v>
      </c>
      <c r="B2543" s="23" t="s">
        <v>2818</v>
      </c>
      <c r="C2543" s="22">
        <v>1467436.08</v>
      </c>
      <c r="D2543" s="22">
        <v>15859102.710000001</v>
      </c>
    </row>
    <row r="2544" spans="1:4" x14ac:dyDescent="0.2">
      <c r="A2544" s="23" t="s">
        <v>2819</v>
      </c>
      <c r="B2544" s="23" t="s">
        <v>2820</v>
      </c>
      <c r="C2544" s="22">
        <v>0</v>
      </c>
      <c r="D2544" s="22">
        <v>0</v>
      </c>
    </row>
    <row r="2545" spans="1:4" x14ac:dyDescent="0.2">
      <c r="A2545" s="23" t="s">
        <v>2821</v>
      </c>
      <c r="B2545" s="23" t="s">
        <v>2822</v>
      </c>
      <c r="C2545" s="22">
        <v>3864.78</v>
      </c>
      <c r="D2545" s="22">
        <v>22641.53</v>
      </c>
    </row>
    <row r="2546" spans="1:4" x14ac:dyDescent="0.2">
      <c r="A2546" s="23" t="s">
        <v>2823</v>
      </c>
      <c r="B2546" s="23" t="s">
        <v>2824</v>
      </c>
      <c r="C2546" s="22">
        <v>288410.14</v>
      </c>
      <c r="D2546" s="22">
        <v>995863.41</v>
      </c>
    </row>
    <row r="2547" spans="1:4" x14ac:dyDescent="0.2">
      <c r="A2547" s="23" t="s">
        <v>2825</v>
      </c>
      <c r="B2547" s="23" t="s">
        <v>2826</v>
      </c>
      <c r="C2547" s="22">
        <v>52166.67</v>
      </c>
      <c r="D2547" s="22">
        <v>626000.04</v>
      </c>
    </row>
    <row r="2548" spans="1:4" x14ac:dyDescent="0.2">
      <c r="A2548" s="23" t="s">
        <v>2827</v>
      </c>
      <c r="B2548" s="23" t="s">
        <v>366</v>
      </c>
      <c r="C2548" s="22">
        <v>4805.72</v>
      </c>
      <c r="D2548" s="22">
        <v>64221.93</v>
      </c>
    </row>
    <row r="2549" spans="1:4" x14ac:dyDescent="0.2">
      <c r="A2549" s="23" t="s">
        <v>367</v>
      </c>
      <c r="B2549" s="23" t="s">
        <v>368</v>
      </c>
      <c r="C2549" s="22">
        <v>37398.11</v>
      </c>
      <c r="D2549" s="22">
        <v>101635.75</v>
      </c>
    </row>
    <row r="2550" spans="1:4" x14ac:dyDescent="0.2">
      <c r="A2550" s="23" t="s">
        <v>369</v>
      </c>
      <c r="B2550" s="23" t="s">
        <v>370</v>
      </c>
      <c r="C2550" s="22">
        <v>25080.080000000002</v>
      </c>
      <c r="D2550" s="22">
        <v>373084.85</v>
      </c>
    </row>
    <row r="2551" spans="1:4" x14ac:dyDescent="0.2">
      <c r="A2551" s="23" t="s">
        <v>371</v>
      </c>
      <c r="B2551" s="23" t="s">
        <v>372</v>
      </c>
      <c r="C2551" s="22">
        <v>8003.9</v>
      </c>
      <c r="D2551" s="22">
        <v>94849.02</v>
      </c>
    </row>
    <row r="2552" spans="1:4" x14ac:dyDescent="0.2">
      <c r="A2552" s="23" t="s">
        <v>373</v>
      </c>
      <c r="B2552" s="23" t="s">
        <v>4878</v>
      </c>
      <c r="C2552" s="22">
        <v>314047.51</v>
      </c>
      <c r="D2552" s="22">
        <v>3669414.64</v>
      </c>
    </row>
    <row r="2553" spans="1:4" x14ac:dyDescent="0.2">
      <c r="A2553" s="23" t="s">
        <v>374</v>
      </c>
      <c r="B2553" s="23" t="s">
        <v>4878</v>
      </c>
      <c r="C2553" s="22">
        <v>1580261</v>
      </c>
      <c r="D2553" s="22">
        <v>1674636.78</v>
      </c>
    </row>
    <row r="2554" spans="1:4" x14ac:dyDescent="0.2">
      <c r="A2554" s="23" t="s">
        <v>375</v>
      </c>
      <c r="B2554" s="23" t="s">
        <v>376</v>
      </c>
      <c r="C2554" s="22">
        <v>0</v>
      </c>
      <c r="D2554" s="22">
        <v>10922.72</v>
      </c>
    </row>
    <row r="2555" spans="1:4" x14ac:dyDescent="0.2">
      <c r="A2555" s="23" t="s">
        <v>377</v>
      </c>
      <c r="B2555" s="23" t="s">
        <v>378</v>
      </c>
      <c r="C2555" s="22">
        <v>176154.85</v>
      </c>
      <c r="D2555" s="22">
        <v>1845576.5</v>
      </c>
    </row>
    <row r="2556" spans="1:4" x14ac:dyDescent="0.2">
      <c r="A2556" s="23" t="s">
        <v>379</v>
      </c>
      <c r="B2556" s="23" t="s">
        <v>380</v>
      </c>
      <c r="C2556" s="22">
        <v>35142.620000000003</v>
      </c>
      <c r="D2556" s="22">
        <v>625209.53</v>
      </c>
    </row>
    <row r="2557" spans="1:4" x14ac:dyDescent="0.2">
      <c r="A2557" s="23" t="s">
        <v>381</v>
      </c>
      <c r="B2557" s="23" t="s">
        <v>382</v>
      </c>
      <c r="C2557" s="22">
        <v>11021.22</v>
      </c>
      <c r="D2557" s="22">
        <v>119214.66</v>
      </c>
    </row>
    <row r="2558" spans="1:4" x14ac:dyDescent="0.2">
      <c r="A2558" s="23" t="s">
        <v>383</v>
      </c>
      <c r="B2558" s="23" t="s">
        <v>384</v>
      </c>
      <c r="C2558" s="22">
        <v>19371.25</v>
      </c>
      <c r="D2558" s="22">
        <v>262629.59999999998</v>
      </c>
    </row>
    <row r="2559" spans="1:4" x14ac:dyDescent="0.2">
      <c r="A2559" s="23" t="s">
        <v>385</v>
      </c>
      <c r="B2559" s="23" t="s">
        <v>386</v>
      </c>
      <c r="C2559" s="22">
        <v>9370</v>
      </c>
      <c r="D2559" s="22">
        <v>105031.31</v>
      </c>
    </row>
    <row r="2560" spans="1:4" x14ac:dyDescent="0.2">
      <c r="A2560" s="23" t="s">
        <v>387</v>
      </c>
      <c r="B2560" s="23" t="s">
        <v>388</v>
      </c>
      <c r="C2560" s="22">
        <v>0</v>
      </c>
      <c r="D2560" s="22">
        <v>0</v>
      </c>
    </row>
    <row r="2561" spans="1:4" x14ac:dyDescent="0.2">
      <c r="A2561" s="23" t="s">
        <v>389</v>
      </c>
      <c r="B2561" s="23" t="s">
        <v>390</v>
      </c>
      <c r="C2561" s="22">
        <v>554480.67000000004</v>
      </c>
      <c r="D2561" s="22">
        <v>6653768.04</v>
      </c>
    </row>
    <row r="2562" spans="1:4" x14ac:dyDescent="0.2">
      <c r="A2562" s="23" t="s">
        <v>391</v>
      </c>
      <c r="B2562" s="23" t="s">
        <v>392</v>
      </c>
      <c r="C2562" s="22">
        <v>523560.75</v>
      </c>
      <c r="D2562" s="22">
        <v>6282729</v>
      </c>
    </row>
    <row r="2563" spans="1:4" x14ac:dyDescent="0.2">
      <c r="A2563" s="23" t="s">
        <v>393</v>
      </c>
      <c r="B2563" s="23" t="s">
        <v>394</v>
      </c>
      <c r="C2563" s="22">
        <v>0</v>
      </c>
      <c r="D2563" s="22">
        <v>0</v>
      </c>
    </row>
    <row r="2564" spans="1:4" x14ac:dyDescent="0.2">
      <c r="A2564" s="23" t="s">
        <v>395</v>
      </c>
      <c r="B2564" s="23" t="s">
        <v>396</v>
      </c>
      <c r="C2564" s="22">
        <v>-85886.96</v>
      </c>
      <c r="D2564" s="22">
        <v>2791732.34</v>
      </c>
    </row>
    <row r="2565" spans="1:4" x14ac:dyDescent="0.2">
      <c r="A2565" s="23" t="s">
        <v>397</v>
      </c>
      <c r="B2565" s="23" t="s">
        <v>398</v>
      </c>
      <c r="C2565" s="22">
        <v>0</v>
      </c>
      <c r="D2565" s="22">
        <v>0</v>
      </c>
    </row>
    <row r="2566" spans="1:4" x14ac:dyDescent="0.2">
      <c r="A2566" s="23" t="s">
        <v>399</v>
      </c>
      <c r="B2566" s="23" t="s">
        <v>400</v>
      </c>
      <c r="C2566" s="22">
        <v>0</v>
      </c>
      <c r="D2566" s="22">
        <v>147.13</v>
      </c>
    </row>
    <row r="2567" spans="1:4" x14ac:dyDescent="0.2">
      <c r="A2567" s="23" t="s">
        <v>401</v>
      </c>
      <c r="B2567" s="23" t="s">
        <v>402</v>
      </c>
      <c r="C2567" s="22">
        <v>0</v>
      </c>
      <c r="D2567" s="22">
        <v>0</v>
      </c>
    </row>
    <row r="2568" spans="1:4" x14ac:dyDescent="0.2">
      <c r="A2568" s="23" t="s">
        <v>403</v>
      </c>
      <c r="B2568" t="s">
        <v>4481</v>
      </c>
      <c r="C2568" s="22">
        <v>5227646.9400000004</v>
      </c>
      <c r="D2568" s="22">
        <v>44006066.280000001</v>
      </c>
    </row>
    <row r="2569" spans="1:4" x14ac:dyDescent="0.2">
      <c r="A2569" s="23" t="s">
        <v>404</v>
      </c>
      <c r="B2569" s="23" t="s">
        <v>405</v>
      </c>
      <c r="C2569" s="22">
        <v>175854.56</v>
      </c>
      <c r="D2569" s="22">
        <v>1202291.8899999999</v>
      </c>
    </row>
    <row r="2570" spans="1:4" x14ac:dyDescent="0.2">
      <c r="A2570" s="23" t="s">
        <v>406</v>
      </c>
      <c r="B2570" s="23" t="s">
        <v>407</v>
      </c>
      <c r="C2570" s="22">
        <v>100794.37</v>
      </c>
      <c r="D2570" s="22">
        <v>922579.58</v>
      </c>
    </row>
    <row r="2571" spans="1:4" x14ac:dyDescent="0.2">
      <c r="A2571" s="23" t="s">
        <v>408</v>
      </c>
      <c r="B2571" s="23" t="s">
        <v>409</v>
      </c>
      <c r="C2571" s="22">
        <v>36003.29</v>
      </c>
      <c r="D2571" s="22">
        <v>126621.81</v>
      </c>
    </row>
    <row r="2572" spans="1:4" x14ac:dyDescent="0.2">
      <c r="A2572" s="23" t="s">
        <v>410</v>
      </c>
      <c r="B2572" s="23" t="s">
        <v>411</v>
      </c>
      <c r="C2572" s="22">
        <v>2110.34</v>
      </c>
      <c r="D2572" s="22">
        <v>5559.33</v>
      </c>
    </row>
    <row r="2573" spans="1:4" x14ac:dyDescent="0.2">
      <c r="A2573" s="23" t="s">
        <v>412</v>
      </c>
      <c r="B2573" s="23" t="s">
        <v>413</v>
      </c>
      <c r="C2573" s="22">
        <v>0</v>
      </c>
      <c r="D2573" s="22">
        <v>65.540000000000006</v>
      </c>
    </row>
    <row r="2574" spans="1:4" x14ac:dyDescent="0.2">
      <c r="A2574" s="23" t="s">
        <v>414</v>
      </c>
      <c r="B2574" s="23" t="s">
        <v>415</v>
      </c>
      <c r="C2574" s="22">
        <v>0</v>
      </c>
      <c r="D2574" s="22">
        <v>0</v>
      </c>
    </row>
    <row r="2575" spans="1:4" x14ac:dyDescent="0.2">
      <c r="A2575" s="23" t="s">
        <v>416</v>
      </c>
      <c r="B2575" s="23" t="s">
        <v>417</v>
      </c>
      <c r="C2575" s="22">
        <v>0</v>
      </c>
      <c r="D2575" s="22">
        <v>0</v>
      </c>
    </row>
    <row r="2576" spans="1:4" x14ac:dyDescent="0.2">
      <c r="A2576" s="23" t="s">
        <v>418</v>
      </c>
      <c r="B2576" s="23" t="s">
        <v>4078</v>
      </c>
      <c r="C2576" s="22">
        <v>1895.94</v>
      </c>
      <c r="D2576" s="22">
        <v>78986.45</v>
      </c>
    </row>
    <row r="2577" spans="1:4" x14ac:dyDescent="0.2">
      <c r="A2577" s="23" t="s">
        <v>4079</v>
      </c>
      <c r="B2577" s="23" t="s">
        <v>4080</v>
      </c>
      <c r="C2577" s="22">
        <v>0</v>
      </c>
      <c r="D2577" s="22">
        <v>0</v>
      </c>
    </row>
    <row r="2578" spans="1:4" x14ac:dyDescent="0.2">
      <c r="A2578" s="23" t="s">
        <v>4081</v>
      </c>
      <c r="B2578" s="23" t="s">
        <v>4082</v>
      </c>
      <c r="C2578" s="22">
        <v>0</v>
      </c>
      <c r="D2578" s="22">
        <v>30.46</v>
      </c>
    </row>
    <row r="2579" spans="1:4" x14ac:dyDescent="0.2">
      <c r="A2579" s="23" t="s">
        <v>4083</v>
      </c>
      <c r="B2579" s="23" t="s">
        <v>4084</v>
      </c>
      <c r="C2579" s="22">
        <v>0</v>
      </c>
      <c r="D2579" s="22">
        <v>0</v>
      </c>
    </row>
    <row r="2580" spans="1:4" x14ac:dyDescent="0.2">
      <c r="A2580" s="23" t="s">
        <v>4085</v>
      </c>
      <c r="B2580" s="23" t="s">
        <v>4086</v>
      </c>
      <c r="C2580" s="22">
        <v>0</v>
      </c>
      <c r="D2580" s="22">
        <v>0</v>
      </c>
    </row>
    <row r="2581" spans="1:4" x14ac:dyDescent="0.2">
      <c r="A2581" s="23" t="s">
        <v>4087</v>
      </c>
      <c r="B2581" s="23" t="s">
        <v>4088</v>
      </c>
      <c r="C2581" s="22">
        <v>0</v>
      </c>
      <c r="D2581" s="22">
        <v>0</v>
      </c>
    </row>
    <row r="2582" spans="1:4" x14ac:dyDescent="0.2">
      <c r="A2582" s="23" t="s">
        <v>4089</v>
      </c>
      <c r="B2582" t="s">
        <v>4481</v>
      </c>
      <c r="C2582" s="22">
        <v>316658.5</v>
      </c>
      <c r="D2582" s="22">
        <v>2336135.06</v>
      </c>
    </row>
    <row r="2583" spans="1:4" x14ac:dyDescent="0.2">
      <c r="A2583" s="23" t="s">
        <v>4090</v>
      </c>
      <c r="B2583" s="23" t="s">
        <v>4091</v>
      </c>
      <c r="C2583" s="22">
        <v>-1270245.3500000001</v>
      </c>
      <c r="D2583" s="22">
        <v>-10330180.060000001</v>
      </c>
    </row>
    <row r="2584" spans="1:4" x14ac:dyDescent="0.2">
      <c r="A2584" s="23" t="s">
        <v>4092</v>
      </c>
      <c r="B2584" t="s">
        <v>4481</v>
      </c>
      <c r="C2584" s="22">
        <v>-1270245.3500000001</v>
      </c>
      <c r="D2584" s="22">
        <v>-10330180.060000001</v>
      </c>
    </row>
    <row r="2585" spans="1:4" x14ac:dyDescent="0.2">
      <c r="A2585" s="23" t="s">
        <v>4093</v>
      </c>
      <c r="B2585" s="23" t="s">
        <v>4094</v>
      </c>
      <c r="C2585" s="22">
        <v>-1179556.99</v>
      </c>
      <c r="D2585" s="22">
        <v>-1111383.32</v>
      </c>
    </row>
    <row r="2586" spans="1:4" x14ac:dyDescent="0.2">
      <c r="A2586" s="23" t="s">
        <v>4095</v>
      </c>
      <c r="B2586" s="23" t="s">
        <v>4096</v>
      </c>
      <c r="C2586" s="22">
        <v>7792</v>
      </c>
      <c r="D2586" s="22">
        <v>647218.28</v>
      </c>
    </row>
    <row r="2587" spans="1:4" x14ac:dyDescent="0.2">
      <c r="A2587" s="23" t="s">
        <v>4097</v>
      </c>
      <c r="B2587" s="23" t="s">
        <v>2434</v>
      </c>
      <c r="C2587" s="22">
        <v>89472.23</v>
      </c>
      <c r="D2587" s="22">
        <v>192593.38</v>
      </c>
    </row>
    <row r="2588" spans="1:4" x14ac:dyDescent="0.2">
      <c r="A2588" s="23" t="s">
        <v>2435</v>
      </c>
      <c r="B2588" s="23" t="s">
        <v>2436</v>
      </c>
      <c r="C2588" s="22">
        <v>0</v>
      </c>
      <c r="D2588" s="22">
        <v>0</v>
      </c>
    </row>
    <row r="2589" spans="1:4" x14ac:dyDescent="0.2">
      <c r="A2589" s="23" t="s">
        <v>2437</v>
      </c>
      <c r="B2589" s="23" t="s">
        <v>2438</v>
      </c>
      <c r="C2589" s="22">
        <v>0</v>
      </c>
      <c r="D2589" s="22">
        <v>31337.89</v>
      </c>
    </row>
    <row r="2590" spans="1:4" x14ac:dyDescent="0.2">
      <c r="A2590" s="23" t="s">
        <v>2439</v>
      </c>
      <c r="B2590" s="23" t="s">
        <v>4819</v>
      </c>
      <c r="C2590" s="22">
        <v>0</v>
      </c>
      <c r="D2590" s="22">
        <v>1000</v>
      </c>
    </row>
    <row r="2591" spans="1:4" x14ac:dyDescent="0.2">
      <c r="A2591" s="23" t="s">
        <v>4820</v>
      </c>
      <c r="B2591" s="23" t="s">
        <v>4821</v>
      </c>
      <c r="C2591" s="22">
        <v>0</v>
      </c>
      <c r="D2591" s="22">
        <v>0</v>
      </c>
    </row>
    <row r="2592" spans="1:4" x14ac:dyDescent="0.2">
      <c r="A2592" s="23" t="s">
        <v>4822</v>
      </c>
      <c r="B2592" s="23" t="s">
        <v>4823</v>
      </c>
      <c r="C2592" s="22">
        <v>0</v>
      </c>
      <c r="D2592" s="22">
        <v>0</v>
      </c>
    </row>
    <row r="2593" spans="1:4" x14ac:dyDescent="0.2">
      <c r="A2593" s="23" t="s">
        <v>4824</v>
      </c>
      <c r="B2593" s="23" t="s">
        <v>4825</v>
      </c>
      <c r="C2593" s="22">
        <v>625.95000000000005</v>
      </c>
      <c r="D2593" s="22">
        <v>7229.83</v>
      </c>
    </row>
    <row r="2594" spans="1:4" x14ac:dyDescent="0.2">
      <c r="A2594" s="23" t="s">
        <v>4826</v>
      </c>
      <c r="B2594" s="23" t="s">
        <v>4827</v>
      </c>
      <c r="C2594" s="22">
        <v>8201.91</v>
      </c>
      <c r="D2594" s="22">
        <v>35348.720000000001</v>
      </c>
    </row>
    <row r="2595" spans="1:4" x14ac:dyDescent="0.2">
      <c r="A2595" s="23" t="s">
        <v>4828</v>
      </c>
      <c r="B2595" s="23" t="s">
        <v>4829</v>
      </c>
      <c r="C2595" s="22">
        <v>90330.92</v>
      </c>
      <c r="D2595" s="22">
        <v>638205.67000000004</v>
      </c>
    </row>
    <row r="2596" spans="1:4" x14ac:dyDescent="0.2">
      <c r="A2596" s="23" t="s">
        <v>4830</v>
      </c>
      <c r="B2596" s="23" t="s">
        <v>4831</v>
      </c>
      <c r="C2596" s="22">
        <v>0</v>
      </c>
      <c r="D2596" s="22">
        <v>3857.76</v>
      </c>
    </row>
    <row r="2597" spans="1:4" x14ac:dyDescent="0.2">
      <c r="A2597" s="23" t="s">
        <v>4832</v>
      </c>
      <c r="B2597" s="23" t="s">
        <v>4833</v>
      </c>
      <c r="C2597" s="22">
        <v>0</v>
      </c>
      <c r="D2597" s="22">
        <v>0</v>
      </c>
    </row>
    <row r="2598" spans="1:4" x14ac:dyDescent="0.2">
      <c r="A2598" s="23" t="s">
        <v>4834</v>
      </c>
      <c r="B2598" s="23" t="s">
        <v>4835</v>
      </c>
      <c r="C2598" s="22">
        <v>1277.78</v>
      </c>
      <c r="D2598" s="22">
        <v>7464.03</v>
      </c>
    </row>
    <row r="2599" spans="1:4" x14ac:dyDescent="0.2">
      <c r="A2599" s="23" t="s">
        <v>4836</v>
      </c>
      <c r="B2599" s="23" t="s">
        <v>4837</v>
      </c>
      <c r="C2599" s="22">
        <v>54612.54</v>
      </c>
      <c r="D2599" s="22">
        <v>257451.21</v>
      </c>
    </row>
    <row r="2600" spans="1:4" x14ac:dyDescent="0.2">
      <c r="A2600" s="23" t="s">
        <v>4838</v>
      </c>
      <c r="B2600" s="23" t="s">
        <v>4839</v>
      </c>
      <c r="C2600" s="22">
        <v>1859294.34</v>
      </c>
      <c r="D2600" s="22">
        <v>21509013.149999999</v>
      </c>
    </row>
    <row r="2601" spans="1:4" x14ac:dyDescent="0.2">
      <c r="A2601" s="23" t="s">
        <v>4840</v>
      </c>
      <c r="B2601" t="s">
        <v>4481</v>
      </c>
      <c r="C2601" s="22">
        <v>932050.68</v>
      </c>
      <c r="D2601" s="22">
        <v>22219336.600000001</v>
      </c>
    </row>
    <row r="2602" spans="1:4" x14ac:dyDescent="0.2">
      <c r="A2602" s="23" t="s">
        <v>4841</v>
      </c>
      <c r="B2602" s="23" t="s">
        <v>4842</v>
      </c>
      <c r="C2602" s="22">
        <v>87514.41</v>
      </c>
      <c r="D2602" s="22">
        <v>1051313.0900000001</v>
      </c>
    </row>
    <row r="2603" spans="1:4" x14ac:dyDescent="0.2">
      <c r="A2603" s="23" t="s">
        <v>4843</v>
      </c>
      <c r="B2603" t="s">
        <v>4481</v>
      </c>
      <c r="C2603" s="22">
        <v>87514.41</v>
      </c>
      <c r="D2603" s="22">
        <v>1051313.0900000001</v>
      </c>
    </row>
    <row r="2604" spans="1:4" x14ac:dyDescent="0.2">
      <c r="A2604" s="23" t="s">
        <v>4844</v>
      </c>
      <c r="B2604" s="23" t="s">
        <v>4845</v>
      </c>
      <c r="C2604" s="22">
        <v>1179.17</v>
      </c>
      <c r="D2604" s="22">
        <v>28836.26</v>
      </c>
    </row>
    <row r="2605" spans="1:4" x14ac:dyDescent="0.2">
      <c r="A2605" s="23" t="s">
        <v>4846</v>
      </c>
      <c r="B2605" s="23" t="s">
        <v>4847</v>
      </c>
      <c r="C2605" s="22">
        <v>0</v>
      </c>
      <c r="D2605" s="22">
        <v>7754.55</v>
      </c>
    </row>
    <row r="2606" spans="1:4" x14ac:dyDescent="0.2">
      <c r="A2606" s="23" t="s">
        <v>4848</v>
      </c>
      <c r="B2606" s="23" t="s">
        <v>4164</v>
      </c>
      <c r="C2606" s="22">
        <v>11383.03</v>
      </c>
      <c r="D2606" s="22">
        <v>160165.70000000001</v>
      </c>
    </row>
    <row r="2607" spans="1:4" x14ac:dyDescent="0.2">
      <c r="A2607" s="23" t="s">
        <v>4165</v>
      </c>
      <c r="B2607" s="23" t="s">
        <v>1175</v>
      </c>
      <c r="C2607" s="22">
        <v>-31.31</v>
      </c>
      <c r="D2607" s="22">
        <v>4704.8599999999997</v>
      </c>
    </row>
    <row r="2608" spans="1:4" x14ac:dyDescent="0.2">
      <c r="A2608" s="23" t="s">
        <v>1176</v>
      </c>
      <c r="B2608" s="23" t="s">
        <v>1177</v>
      </c>
      <c r="C2608" s="22">
        <v>80241.11</v>
      </c>
      <c r="D2608" s="22">
        <v>898845.07</v>
      </c>
    </row>
    <row r="2609" spans="1:4" x14ac:dyDescent="0.2">
      <c r="A2609" s="23" t="s">
        <v>1178</v>
      </c>
      <c r="B2609" s="23" t="s">
        <v>1179</v>
      </c>
      <c r="C2609" s="22">
        <v>0</v>
      </c>
      <c r="D2609" s="22">
        <v>0</v>
      </c>
    </row>
    <row r="2610" spans="1:4" x14ac:dyDescent="0.2">
      <c r="A2610" s="23" t="s">
        <v>1180</v>
      </c>
      <c r="B2610" s="23" t="s">
        <v>1181</v>
      </c>
      <c r="C2610" s="22">
        <v>167597.4</v>
      </c>
      <c r="D2610" s="22">
        <v>2014604.59</v>
      </c>
    </row>
    <row r="2611" spans="1:4" x14ac:dyDescent="0.2">
      <c r="A2611" s="23" t="s">
        <v>1182</v>
      </c>
      <c r="B2611" s="23" t="s">
        <v>2474</v>
      </c>
      <c r="C2611" s="22">
        <v>0</v>
      </c>
      <c r="D2611" s="22">
        <v>0</v>
      </c>
    </row>
    <row r="2612" spans="1:4" x14ac:dyDescent="0.2">
      <c r="A2612" s="23" t="s">
        <v>2475</v>
      </c>
      <c r="B2612" s="23" t="s">
        <v>2476</v>
      </c>
      <c r="C2612" s="22">
        <v>0</v>
      </c>
      <c r="D2612" s="22">
        <v>0</v>
      </c>
    </row>
    <row r="2613" spans="1:4" x14ac:dyDescent="0.2">
      <c r="A2613" s="23" t="s">
        <v>2477</v>
      </c>
      <c r="B2613" s="23" t="s">
        <v>2478</v>
      </c>
      <c r="C2613" s="22">
        <v>19878.849999999999</v>
      </c>
      <c r="D2613" s="22">
        <v>267591.14</v>
      </c>
    </row>
    <row r="2614" spans="1:4" x14ac:dyDescent="0.2">
      <c r="A2614" s="23" t="s">
        <v>2479</v>
      </c>
      <c r="B2614" s="23" t="s">
        <v>2480</v>
      </c>
      <c r="C2614" s="22">
        <v>0</v>
      </c>
      <c r="D2614" s="22">
        <v>0</v>
      </c>
    </row>
    <row r="2615" spans="1:4" x14ac:dyDescent="0.2">
      <c r="A2615" s="23" t="s">
        <v>2481</v>
      </c>
      <c r="B2615" s="23" t="s">
        <v>2482</v>
      </c>
      <c r="C2615" s="22">
        <v>0</v>
      </c>
      <c r="D2615" s="22">
        <v>0</v>
      </c>
    </row>
    <row r="2616" spans="1:4" x14ac:dyDescent="0.2">
      <c r="A2616" s="23" t="s">
        <v>2483</v>
      </c>
      <c r="B2616" s="23" t="s">
        <v>2484</v>
      </c>
      <c r="C2616" s="22">
        <v>0</v>
      </c>
      <c r="D2616" s="22">
        <v>0</v>
      </c>
    </row>
    <row r="2617" spans="1:4" x14ac:dyDescent="0.2">
      <c r="A2617" s="23" t="s">
        <v>2485</v>
      </c>
      <c r="B2617" s="23" t="s">
        <v>2486</v>
      </c>
      <c r="C2617" s="22">
        <v>0</v>
      </c>
      <c r="D2617" s="22">
        <v>0</v>
      </c>
    </row>
    <row r="2618" spans="1:4" x14ac:dyDescent="0.2">
      <c r="A2618" s="23" t="s">
        <v>2487</v>
      </c>
      <c r="B2618" s="23" t="s">
        <v>2488</v>
      </c>
      <c r="C2618" s="22">
        <v>0</v>
      </c>
      <c r="D2618" s="22">
        <v>0</v>
      </c>
    </row>
    <row r="2619" spans="1:4" x14ac:dyDescent="0.2">
      <c r="A2619" s="23" t="s">
        <v>2489</v>
      </c>
      <c r="B2619" s="23" t="s">
        <v>2490</v>
      </c>
      <c r="C2619" s="22">
        <v>0</v>
      </c>
      <c r="D2619" s="22">
        <v>0</v>
      </c>
    </row>
    <row r="2620" spans="1:4" x14ac:dyDescent="0.2">
      <c r="A2620" s="23" t="s">
        <v>2491</v>
      </c>
      <c r="B2620" s="23" t="s">
        <v>2492</v>
      </c>
      <c r="C2620" s="22">
        <v>21079.35</v>
      </c>
      <c r="D2620" s="22">
        <v>74546.009999999995</v>
      </c>
    </row>
    <row r="2621" spans="1:4" x14ac:dyDescent="0.2">
      <c r="A2621" s="23" t="s">
        <v>2493</v>
      </c>
      <c r="B2621" s="23" t="s">
        <v>2494</v>
      </c>
      <c r="C2621" s="22">
        <v>2956.5</v>
      </c>
      <c r="D2621" s="22">
        <v>49714.93</v>
      </c>
    </row>
    <row r="2622" spans="1:4" x14ac:dyDescent="0.2">
      <c r="A2622" s="23" t="s">
        <v>2495</v>
      </c>
      <c r="B2622" s="23" t="s">
        <v>2496</v>
      </c>
      <c r="C2622" s="22">
        <v>217.77</v>
      </c>
      <c r="D2622" s="22">
        <v>7464.9</v>
      </c>
    </row>
    <row r="2623" spans="1:4" x14ac:dyDescent="0.2">
      <c r="A2623" s="23" t="s">
        <v>2497</v>
      </c>
      <c r="B2623" s="23" t="s">
        <v>2498</v>
      </c>
      <c r="C2623" s="22">
        <v>0</v>
      </c>
      <c r="D2623" s="22">
        <v>0</v>
      </c>
    </row>
    <row r="2624" spans="1:4" x14ac:dyDescent="0.2">
      <c r="A2624" s="23" t="s">
        <v>2499</v>
      </c>
      <c r="B2624" s="23" t="s">
        <v>2500</v>
      </c>
      <c r="C2624" s="22">
        <v>0</v>
      </c>
      <c r="D2624" s="22">
        <v>0</v>
      </c>
    </row>
    <row r="2625" spans="1:4" x14ac:dyDescent="0.2">
      <c r="A2625" s="23" t="s">
        <v>2501</v>
      </c>
      <c r="B2625" s="23" t="s">
        <v>2502</v>
      </c>
      <c r="C2625" s="22">
        <v>0</v>
      </c>
      <c r="D2625" s="22">
        <v>0</v>
      </c>
    </row>
    <row r="2626" spans="1:4" x14ac:dyDescent="0.2">
      <c r="A2626" s="23" t="s">
        <v>2503</v>
      </c>
      <c r="B2626" s="23" t="s">
        <v>2504</v>
      </c>
      <c r="C2626" s="22">
        <v>0</v>
      </c>
      <c r="D2626" s="22">
        <v>0</v>
      </c>
    </row>
    <row r="2627" spans="1:4" x14ac:dyDescent="0.2">
      <c r="A2627" s="23" t="s">
        <v>2505</v>
      </c>
      <c r="B2627" s="23" t="s">
        <v>2506</v>
      </c>
      <c r="C2627" s="22">
        <v>0</v>
      </c>
      <c r="D2627" s="22">
        <v>0</v>
      </c>
    </row>
    <row r="2628" spans="1:4" x14ac:dyDescent="0.2">
      <c r="A2628" s="23" t="s">
        <v>2507</v>
      </c>
      <c r="B2628" s="23" t="s">
        <v>2508</v>
      </c>
      <c r="C2628" s="22">
        <v>0</v>
      </c>
      <c r="D2628" s="22">
        <v>0</v>
      </c>
    </row>
    <row r="2629" spans="1:4" x14ac:dyDescent="0.2">
      <c r="A2629" s="23" t="s">
        <v>2509</v>
      </c>
      <c r="B2629" t="s">
        <v>4481</v>
      </c>
      <c r="C2629" s="22">
        <v>304501.87</v>
      </c>
      <c r="D2629" s="22">
        <v>3514228.01</v>
      </c>
    </row>
    <row r="2630" spans="1:4" x14ac:dyDescent="0.2">
      <c r="A2630" s="23" t="s">
        <v>2510</v>
      </c>
      <c r="B2630" s="23" t="s">
        <v>2511</v>
      </c>
      <c r="C2630" s="22">
        <v>0</v>
      </c>
      <c r="D2630" s="22">
        <v>0</v>
      </c>
    </row>
    <row r="2631" spans="1:4" x14ac:dyDescent="0.2">
      <c r="A2631" s="23" t="s">
        <v>2512</v>
      </c>
      <c r="B2631" t="s">
        <v>4481</v>
      </c>
      <c r="C2631" s="22">
        <v>0</v>
      </c>
      <c r="D2631" s="22">
        <v>0</v>
      </c>
    </row>
  </sheetData>
  <phoneticPr fontId="5" type="noConversion"/>
  <pageMargins left="0.75" right="0.75" top="1" bottom="1" header="0.5" footer="0.5"/>
  <headerFooter alignWithMargins="0"/>
  <customProperties>
    <customPr name="_pios_id" r:id="rId1"/>
    <customPr name="EpmWorksheetKeyString_GU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</sheetPr>
  <dimension ref="B2:I189"/>
  <sheetViews>
    <sheetView workbookViewId="0">
      <selection activeCell="E189" sqref="E189"/>
    </sheetView>
  </sheetViews>
  <sheetFormatPr defaultRowHeight="12.75" x14ac:dyDescent="0.2"/>
  <cols>
    <col min="2" max="2" width="14.7109375" bestFit="1" customWidth="1"/>
    <col min="3" max="4" width="16.5703125" bestFit="1" customWidth="1"/>
    <col min="5" max="5" width="15.5703125" bestFit="1" customWidth="1"/>
    <col min="6" max="6" width="17.42578125" bestFit="1" customWidth="1"/>
    <col min="8" max="8" width="17.28515625" bestFit="1" customWidth="1"/>
    <col min="9" max="9" width="16" bestFit="1" customWidth="1"/>
  </cols>
  <sheetData>
    <row r="2" spans="2:6" x14ac:dyDescent="0.2">
      <c r="B2" s="395" t="s">
        <v>5565</v>
      </c>
      <c r="C2" s="395"/>
      <c r="D2" s="395"/>
      <c r="E2" s="395"/>
      <c r="F2" s="395"/>
    </row>
    <row r="3" spans="2:6" x14ac:dyDescent="0.2">
      <c r="B3" s="395" t="s">
        <v>5566</v>
      </c>
      <c r="C3" s="395"/>
      <c r="D3" s="395"/>
      <c r="E3" s="395"/>
      <c r="F3" s="395"/>
    </row>
    <row r="4" spans="2:6" x14ac:dyDescent="0.2">
      <c r="B4" s="395" t="s">
        <v>10591</v>
      </c>
      <c r="C4" s="395"/>
      <c r="D4" s="395"/>
      <c r="E4" s="395"/>
      <c r="F4" s="395"/>
    </row>
    <row r="5" spans="2:6" ht="13.5" thickBot="1" x14ac:dyDescent="0.25">
      <c r="B5" s="60"/>
    </row>
    <row r="6" spans="2:6" x14ac:dyDescent="0.2">
      <c r="B6" s="163" t="s">
        <v>5551</v>
      </c>
      <c r="C6" s="164" t="s">
        <v>5552</v>
      </c>
      <c r="D6" s="164" t="s">
        <v>5553</v>
      </c>
      <c r="E6" s="164" t="s">
        <v>5554</v>
      </c>
      <c r="F6" s="165" t="s">
        <v>5555</v>
      </c>
    </row>
    <row r="7" spans="2:6" x14ac:dyDescent="0.2">
      <c r="B7" s="166" t="s">
        <v>5556</v>
      </c>
      <c r="C7" s="167"/>
      <c r="D7" s="167"/>
      <c r="E7" s="167"/>
      <c r="F7" s="317">
        <v>-2291730320</v>
      </c>
    </row>
    <row r="8" spans="2:6" x14ac:dyDescent="0.2">
      <c r="B8" s="166" t="s">
        <v>5557</v>
      </c>
      <c r="C8" s="167"/>
      <c r="D8" s="167"/>
      <c r="E8" s="167"/>
      <c r="F8" s="168">
        <v>-2291730320</v>
      </c>
    </row>
    <row r="9" spans="2:6" x14ac:dyDescent="0.2">
      <c r="B9" s="166" t="s">
        <v>5558</v>
      </c>
      <c r="C9" s="167"/>
      <c r="D9" s="167"/>
      <c r="E9" s="167"/>
      <c r="F9" s="168">
        <v>-2291730320</v>
      </c>
    </row>
    <row r="10" spans="2:6" x14ac:dyDescent="0.2">
      <c r="B10" s="166" t="s">
        <v>5559</v>
      </c>
      <c r="C10" s="167"/>
      <c r="D10" s="167"/>
      <c r="E10" s="167"/>
      <c r="F10" s="168">
        <v>-2291730320</v>
      </c>
    </row>
    <row r="11" spans="2:6" x14ac:dyDescent="0.2">
      <c r="B11" s="166" t="s">
        <v>5560</v>
      </c>
      <c r="C11" s="167"/>
      <c r="D11" s="167"/>
      <c r="E11" s="167"/>
      <c r="F11" s="168">
        <v>-2291730320</v>
      </c>
    </row>
    <row r="12" spans="2:6" x14ac:dyDescent="0.2">
      <c r="B12" s="166" t="s">
        <v>5561</v>
      </c>
      <c r="C12" s="167"/>
      <c r="D12" s="167"/>
      <c r="E12" s="167"/>
      <c r="F12" s="168">
        <v>-2291730320</v>
      </c>
    </row>
    <row r="13" spans="2:6" x14ac:dyDescent="0.2">
      <c r="B13" s="166" t="s">
        <v>5562</v>
      </c>
      <c r="C13" s="167"/>
      <c r="D13" s="167"/>
      <c r="E13" s="167"/>
      <c r="F13" s="168">
        <v>-2291730320</v>
      </c>
    </row>
    <row r="14" spans="2:6" x14ac:dyDescent="0.2">
      <c r="B14" s="166" t="s">
        <v>5563</v>
      </c>
      <c r="C14" s="167"/>
      <c r="D14" s="167">
        <v>275000000</v>
      </c>
      <c r="E14" s="167">
        <v>-275000000</v>
      </c>
      <c r="F14" s="168">
        <v>-2566730320</v>
      </c>
    </row>
    <row r="15" spans="2:6" x14ac:dyDescent="0.2">
      <c r="B15" s="166" t="s">
        <v>252</v>
      </c>
      <c r="C15" s="167"/>
      <c r="D15" s="167"/>
      <c r="E15" s="167"/>
      <c r="F15" s="168">
        <v>-2566730320</v>
      </c>
    </row>
    <row r="16" spans="2:6" x14ac:dyDescent="0.2">
      <c r="B16" s="166" t="s">
        <v>254</v>
      </c>
      <c r="C16" s="167"/>
      <c r="D16" s="167"/>
      <c r="E16" s="167"/>
      <c r="F16" s="168">
        <v>-2566730320</v>
      </c>
    </row>
    <row r="17" spans="2:9" x14ac:dyDescent="0.2">
      <c r="B17" s="166" t="s">
        <v>5258</v>
      </c>
      <c r="C17" s="167"/>
      <c r="D17" s="167"/>
      <c r="E17" s="167"/>
      <c r="F17" s="168">
        <v>-2566730320</v>
      </c>
    </row>
    <row r="18" spans="2:9" x14ac:dyDescent="0.2">
      <c r="B18" s="166" t="s">
        <v>5259</v>
      </c>
      <c r="C18" s="167"/>
      <c r="D18" s="167"/>
      <c r="E18" s="167"/>
      <c r="F18" s="168">
        <v>-2566730320</v>
      </c>
    </row>
    <row r="19" spans="2:9" x14ac:dyDescent="0.2">
      <c r="B19" s="166" t="s">
        <v>229</v>
      </c>
      <c r="C19" s="254"/>
      <c r="D19" s="254"/>
      <c r="E19" s="254"/>
      <c r="F19" s="168">
        <v>-2566730320</v>
      </c>
      <c r="H19" s="214">
        <f>AVERAGE(F7:F19)</f>
        <v>-2418653396.9230771</v>
      </c>
      <c r="I19" s="215" t="s">
        <v>5621</v>
      </c>
    </row>
    <row r="20" spans="2:9" ht="13.5" thickBot="1" x14ac:dyDescent="0.25">
      <c r="B20" s="169" t="s">
        <v>3622</v>
      </c>
      <c r="C20" s="315">
        <f>SUM(C8:C19)</f>
        <v>0</v>
      </c>
      <c r="D20" s="315">
        <f>SUM(D8:D19)</f>
        <v>275000000</v>
      </c>
      <c r="E20" s="315">
        <f>SUM(E8:E19)</f>
        <v>-275000000</v>
      </c>
      <c r="F20" s="316">
        <f>+F19</f>
        <v>-2566730320</v>
      </c>
    </row>
    <row r="23" spans="2:9" x14ac:dyDescent="0.2">
      <c r="B23" s="395" t="s">
        <v>5567</v>
      </c>
      <c r="C23" s="395"/>
      <c r="D23" s="395"/>
      <c r="E23" s="395"/>
      <c r="F23" s="395"/>
    </row>
    <row r="24" spans="2:9" x14ac:dyDescent="0.2">
      <c r="B24" s="395" t="s">
        <v>5568</v>
      </c>
      <c r="C24" s="395"/>
      <c r="D24" s="395"/>
      <c r="E24" s="395"/>
      <c r="F24" s="395"/>
    </row>
    <row r="25" spans="2:9" x14ac:dyDescent="0.2">
      <c r="B25" s="395" t="s">
        <v>10591</v>
      </c>
      <c r="C25" s="395"/>
      <c r="D25" s="395"/>
      <c r="E25" s="395"/>
      <c r="F25" s="395"/>
    </row>
    <row r="27" spans="2:9" ht="13.5" thickBot="1" x14ac:dyDescent="0.25"/>
    <row r="28" spans="2:9" x14ac:dyDescent="0.2">
      <c r="B28" s="163" t="s">
        <v>5551</v>
      </c>
      <c r="C28" s="164" t="s">
        <v>5552</v>
      </c>
      <c r="D28" s="164" t="s">
        <v>5553</v>
      </c>
      <c r="E28" s="164" t="s">
        <v>5554</v>
      </c>
      <c r="F28" s="165" t="s">
        <v>5555</v>
      </c>
    </row>
    <row r="29" spans="2:9" x14ac:dyDescent="0.2">
      <c r="B29" s="166" t="s">
        <v>5556</v>
      </c>
      <c r="C29" s="167"/>
      <c r="D29" s="167"/>
      <c r="E29" s="167"/>
      <c r="F29" s="168">
        <v>5966645.4400000004</v>
      </c>
    </row>
    <row r="30" spans="2:9" x14ac:dyDescent="0.2">
      <c r="B30" s="166" t="s">
        <v>5557</v>
      </c>
      <c r="C30" s="167"/>
      <c r="D30" s="167">
        <v>22220.78</v>
      </c>
      <c r="E30" s="167">
        <v>-22220.78</v>
      </c>
      <c r="F30" s="168">
        <v>5944424.6600000001</v>
      </c>
    </row>
    <row r="31" spans="2:9" x14ac:dyDescent="0.2">
      <c r="B31" s="166" t="s">
        <v>5558</v>
      </c>
      <c r="C31" s="167"/>
      <c r="D31" s="167">
        <v>22220.78</v>
      </c>
      <c r="E31" s="167">
        <v>-22220.78</v>
      </c>
      <c r="F31" s="168">
        <v>5922203.8799999999</v>
      </c>
    </row>
    <row r="32" spans="2:9" x14ac:dyDescent="0.2">
      <c r="B32" s="166" t="s">
        <v>5559</v>
      </c>
      <c r="C32" s="167"/>
      <c r="D32" s="167">
        <v>22220.78</v>
      </c>
      <c r="E32" s="167">
        <v>-22220.78</v>
      </c>
      <c r="F32" s="168">
        <v>5899983.0999999996</v>
      </c>
    </row>
    <row r="33" spans="2:9" x14ac:dyDescent="0.2">
      <c r="B33" s="166" t="s">
        <v>5560</v>
      </c>
      <c r="C33" s="167"/>
      <c r="D33" s="167">
        <v>22220.78</v>
      </c>
      <c r="E33" s="167">
        <v>-22220.78</v>
      </c>
      <c r="F33" s="168">
        <v>5877762.3200000003</v>
      </c>
    </row>
    <row r="34" spans="2:9" x14ac:dyDescent="0.2">
      <c r="B34" s="166" t="s">
        <v>5561</v>
      </c>
      <c r="C34" s="167"/>
      <c r="D34" s="167">
        <v>22220.78</v>
      </c>
      <c r="E34" s="167">
        <v>-22220.78</v>
      </c>
      <c r="F34" s="168">
        <v>5855541.54</v>
      </c>
    </row>
    <row r="35" spans="2:9" x14ac:dyDescent="0.2">
      <c r="B35" s="166" t="s">
        <v>5562</v>
      </c>
      <c r="C35" s="167"/>
      <c r="D35" s="167">
        <v>22220.78</v>
      </c>
      <c r="E35" s="167">
        <v>-22220.78</v>
      </c>
      <c r="F35" s="168">
        <v>5833320.7599999998</v>
      </c>
    </row>
    <row r="36" spans="2:9" x14ac:dyDescent="0.2">
      <c r="B36" s="166" t="s">
        <v>5563</v>
      </c>
      <c r="C36" s="167">
        <v>3371500</v>
      </c>
      <c r="D36" s="167">
        <v>22220.78</v>
      </c>
      <c r="E36" s="167">
        <v>3349279.22</v>
      </c>
      <c r="F36" s="168">
        <v>9182599.9800000004</v>
      </c>
    </row>
    <row r="37" spans="2:9" x14ac:dyDescent="0.2">
      <c r="B37" s="166" t="s">
        <v>252</v>
      </c>
      <c r="C37" s="167"/>
      <c r="D37" s="167">
        <v>31308.78</v>
      </c>
      <c r="E37" s="167">
        <v>-31308.78</v>
      </c>
      <c r="F37" s="168">
        <v>9151291.1999999993</v>
      </c>
    </row>
    <row r="38" spans="2:9" x14ac:dyDescent="0.2">
      <c r="B38" s="166" t="s">
        <v>254</v>
      </c>
      <c r="C38" s="167"/>
      <c r="D38" s="167">
        <v>31308.38</v>
      </c>
      <c r="E38" s="167">
        <v>-31308.78</v>
      </c>
      <c r="F38" s="168">
        <v>9119982.8200000003</v>
      </c>
    </row>
    <row r="39" spans="2:9" x14ac:dyDescent="0.2">
      <c r="B39" s="166" t="s">
        <v>5258</v>
      </c>
      <c r="C39" s="167"/>
      <c r="D39" s="167">
        <v>31308.38</v>
      </c>
      <c r="E39" s="167">
        <v>-31308.78</v>
      </c>
      <c r="F39" s="168">
        <v>9088674.4399999995</v>
      </c>
    </row>
    <row r="40" spans="2:9" x14ac:dyDescent="0.2">
      <c r="B40" s="166" t="s">
        <v>5259</v>
      </c>
      <c r="C40" s="167"/>
      <c r="D40" s="167">
        <v>31308.38</v>
      </c>
      <c r="E40" s="167">
        <v>-31308.78</v>
      </c>
      <c r="F40" s="168">
        <v>9057366.0600000005</v>
      </c>
    </row>
    <row r="41" spans="2:9" x14ac:dyDescent="0.2">
      <c r="B41" s="166" t="s">
        <v>229</v>
      </c>
      <c r="C41" s="167"/>
      <c r="D41" s="167">
        <v>31308.38</v>
      </c>
      <c r="E41" s="167">
        <v>-31308.78</v>
      </c>
      <c r="F41" s="168">
        <v>9026057.6799999997</v>
      </c>
      <c r="H41" s="214">
        <f>AVERAGE(F29:F41)</f>
        <v>7378911.8369230768</v>
      </c>
      <c r="I41" s="215" t="s">
        <v>5621</v>
      </c>
    </row>
    <row r="42" spans="2:9" ht="13.5" thickBot="1" x14ac:dyDescent="0.25">
      <c r="B42" s="169" t="s">
        <v>3622</v>
      </c>
      <c r="C42" s="318">
        <f>SUM(C30:C41)</f>
        <v>3371500</v>
      </c>
      <c r="D42" s="318">
        <f>SUM(D30:D41)</f>
        <v>312087.76</v>
      </c>
      <c r="E42" s="318">
        <f>SUM(E30:E41)</f>
        <v>3059410.6400000011</v>
      </c>
      <c r="F42" s="319">
        <f>+F41</f>
        <v>9026057.6799999997</v>
      </c>
    </row>
    <row r="43" spans="2:9" x14ac:dyDescent="0.2">
      <c r="D43" s="46"/>
    </row>
    <row r="45" spans="2:9" x14ac:dyDescent="0.2">
      <c r="B45" s="395" t="s">
        <v>5569</v>
      </c>
      <c r="C45" s="395"/>
      <c r="D45" s="395"/>
      <c r="E45" s="395"/>
      <c r="F45" s="395"/>
    </row>
    <row r="46" spans="2:9" x14ac:dyDescent="0.2">
      <c r="B46" s="395" t="s">
        <v>5570</v>
      </c>
      <c r="C46" s="395"/>
      <c r="D46" s="395"/>
      <c r="E46" s="395"/>
      <c r="F46" s="395"/>
    </row>
    <row r="47" spans="2:9" x14ac:dyDescent="0.2">
      <c r="B47" s="395" t="s">
        <v>10591</v>
      </c>
      <c r="C47" s="395"/>
      <c r="D47" s="395"/>
      <c r="E47" s="395"/>
      <c r="F47" s="395"/>
    </row>
    <row r="48" spans="2:9" ht="13.5" thickBot="1" x14ac:dyDescent="0.25"/>
    <row r="49" spans="2:9" x14ac:dyDescent="0.2">
      <c r="B49" s="163" t="s">
        <v>5551</v>
      </c>
      <c r="C49" s="164" t="s">
        <v>5552</v>
      </c>
      <c r="D49" s="164" t="s">
        <v>5553</v>
      </c>
      <c r="E49" s="164" t="s">
        <v>5554</v>
      </c>
      <c r="F49" s="165" t="s">
        <v>5555</v>
      </c>
    </row>
    <row r="50" spans="2:9" x14ac:dyDescent="0.2">
      <c r="B50" s="166" t="s">
        <v>5556</v>
      </c>
      <c r="C50" s="167"/>
      <c r="D50" s="167"/>
      <c r="E50" s="167"/>
      <c r="F50" s="168">
        <v>4163717.19</v>
      </c>
    </row>
    <row r="51" spans="2:9" x14ac:dyDescent="0.2">
      <c r="B51" s="166" t="s">
        <v>5557</v>
      </c>
      <c r="C51" s="167"/>
      <c r="D51" s="167">
        <v>62273.27</v>
      </c>
      <c r="E51" s="167">
        <v>-62273.27</v>
      </c>
      <c r="F51" s="168">
        <v>4101443.92</v>
      </c>
    </row>
    <row r="52" spans="2:9" x14ac:dyDescent="0.2">
      <c r="B52" s="166" t="s">
        <v>5558</v>
      </c>
      <c r="C52" s="167"/>
      <c r="D52" s="167">
        <v>62273.27</v>
      </c>
      <c r="E52" s="167">
        <v>-62273.27</v>
      </c>
      <c r="F52" s="168">
        <v>4039170.65</v>
      </c>
    </row>
    <row r="53" spans="2:9" x14ac:dyDescent="0.2">
      <c r="B53" s="166" t="s">
        <v>5559</v>
      </c>
      <c r="C53" s="167"/>
      <c r="D53" s="167">
        <v>62273.27</v>
      </c>
      <c r="E53" s="167">
        <v>-62273.27</v>
      </c>
      <c r="F53" s="168">
        <v>3976897.38</v>
      </c>
    </row>
    <row r="54" spans="2:9" x14ac:dyDescent="0.2">
      <c r="B54" s="166" t="s">
        <v>5560</v>
      </c>
      <c r="C54" s="167"/>
      <c r="D54" s="167">
        <v>62273.27</v>
      </c>
      <c r="E54" s="167">
        <v>-62273.27</v>
      </c>
      <c r="F54" s="168">
        <v>3914624.11</v>
      </c>
    </row>
    <row r="55" spans="2:9" x14ac:dyDescent="0.2">
      <c r="B55" s="166" t="s">
        <v>5561</v>
      </c>
      <c r="C55" s="167"/>
      <c r="D55" s="167">
        <v>62273.27</v>
      </c>
      <c r="E55" s="167">
        <v>-62273.27</v>
      </c>
      <c r="F55" s="168">
        <v>3852350.84</v>
      </c>
    </row>
    <row r="56" spans="2:9" x14ac:dyDescent="0.2">
      <c r="B56" s="166" t="s">
        <v>5562</v>
      </c>
      <c r="C56" s="167"/>
      <c r="D56" s="167">
        <v>62273.27</v>
      </c>
      <c r="E56" s="167">
        <v>-62273.27</v>
      </c>
      <c r="F56" s="168">
        <v>3790077.57</v>
      </c>
    </row>
    <row r="57" spans="2:9" x14ac:dyDescent="0.2">
      <c r="B57" s="166" t="s">
        <v>5563</v>
      </c>
      <c r="C57" s="167"/>
      <c r="D57" s="167">
        <v>62273.27</v>
      </c>
      <c r="E57" s="167">
        <v>-62273.27</v>
      </c>
      <c r="F57" s="168">
        <v>3727804.3</v>
      </c>
    </row>
    <row r="58" spans="2:9" x14ac:dyDescent="0.2">
      <c r="B58" s="166" t="s">
        <v>252</v>
      </c>
      <c r="C58" s="167"/>
      <c r="D58" s="167">
        <v>62273.27</v>
      </c>
      <c r="E58" s="167">
        <v>-62273.27</v>
      </c>
      <c r="F58" s="168">
        <v>3665531.03</v>
      </c>
    </row>
    <row r="59" spans="2:9" x14ac:dyDescent="0.2">
      <c r="B59" s="166" t="s">
        <v>254</v>
      </c>
      <c r="C59" s="167"/>
      <c r="D59" s="167">
        <v>62273.27</v>
      </c>
      <c r="E59" s="167">
        <v>-62273.27</v>
      </c>
      <c r="F59" s="168">
        <v>3603257.76</v>
      </c>
    </row>
    <row r="60" spans="2:9" x14ac:dyDescent="0.2">
      <c r="B60" s="166" t="s">
        <v>5258</v>
      </c>
      <c r="C60" s="167"/>
      <c r="D60" s="167">
        <v>62273.27</v>
      </c>
      <c r="E60" s="167">
        <v>-62273.27</v>
      </c>
      <c r="F60" s="168">
        <v>3540984.49</v>
      </c>
    </row>
    <row r="61" spans="2:9" x14ac:dyDescent="0.2">
      <c r="B61" s="166" t="s">
        <v>5259</v>
      </c>
      <c r="C61" s="167"/>
      <c r="D61" s="167">
        <v>61415.7</v>
      </c>
      <c r="E61" s="167">
        <v>-61415.7</v>
      </c>
      <c r="F61" s="168">
        <v>3479568.79</v>
      </c>
    </row>
    <row r="62" spans="2:9" x14ac:dyDescent="0.2">
      <c r="B62" s="166" t="s">
        <v>229</v>
      </c>
      <c r="C62" s="167"/>
      <c r="D62" s="167">
        <v>61415.7</v>
      </c>
      <c r="E62" s="167">
        <v>-61415.7</v>
      </c>
      <c r="F62" s="168">
        <v>3418153.09</v>
      </c>
      <c r="H62" s="214">
        <f>AVERAGE(F50:F62)</f>
        <v>3790275.4707692312</v>
      </c>
      <c r="I62" s="215" t="s">
        <v>5621</v>
      </c>
    </row>
    <row r="63" spans="2:9" ht="13.5" thickBot="1" x14ac:dyDescent="0.25">
      <c r="B63" s="169" t="s">
        <v>3622</v>
      </c>
      <c r="C63" s="318">
        <f>SUM(C51:C62)</f>
        <v>0</v>
      </c>
      <c r="D63" s="318">
        <f>SUM(D51:D62)</f>
        <v>745564.1</v>
      </c>
      <c r="E63" s="318">
        <f>SUM(E51:E62)</f>
        <v>-745564.1</v>
      </c>
      <c r="F63" s="319">
        <f>+F62</f>
        <v>3418153.09</v>
      </c>
    </row>
    <row r="66" spans="2:6" x14ac:dyDescent="0.2">
      <c r="B66" s="395" t="s">
        <v>5571</v>
      </c>
      <c r="C66" s="395"/>
      <c r="D66" s="395"/>
      <c r="E66" s="395"/>
      <c r="F66" s="395"/>
    </row>
    <row r="67" spans="2:6" x14ac:dyDescent="0.2">
      <c r="B67" s="395" t="s">
        <v>5572</v>
      </c>
      <c r="C67" s="395"/>
      <c r="D67" s="395"/>
      <c r="E67" s="395"/>
      <c r="F67" s="395"/>
    </row>
    <row r="68" spans="2:6" x14ac:dyDescent="0.2">
      <c r="B68" s="395" t="s">
        <v>10591</v>
      </c>
      <c r="C68" s="395"/>
      <c r="D68" s="395"/>
      <c r="E68" s="395"/>
      <c r="F68" s="395"/>
    </row>
    <row r="69" spans="2:6" ht="13.5" thickBot="1" x14ac:dyDescent="0.25"/>
    <row r="70" spans="2:6" x14ac:dyDescent="0.2">
      <c r="B70" s="163" t="s">
        <v>5551</v>
      </c>
      <c r="C70" s="164" t="s">
        <v>5552</v>
      </c>
      <c r="D70" s="164" t="s">
        <v>5553</v>
      </c>
      <c r="E70" s="164" t="s">
        <v>5554</v>
      </c>
      <c r="F70" s="165" t="s">
        <v>5555</v>
      </c>
    </row>
    <row r="71" spans="2:6" x14ac:dyDescent="0.2">
      <c r="B71" s="166" t="s">
        <v>5556</v>
      </c>
      <c r="C71" s="167"/>
      <c r="D71" s="167"/>
      <c r="E71" s="167"/>
      <c r="F71" s="168">
        <v>19919935.870000001</v>
      </c>
    </row>
    <row r="72" spans="2:6" x14ac:dyDescent="0.2">
      <c r="B72" s="166" t="s">
        <v>5557</v>
      </c>
      <c r="C72" s="167"/>
      <c r="D72" s="167">
        <v>91392.35</v>
      </c>
      <c r="E72" s="167">
        <v>-91392.35</v>
      </c>
      <c r="F72" s="168">
        <v>19828543.52</v>
      </c>
    </row>
    <row r="73" spans="2:6" x14ac:dyDescent="0.2">
      <c r="B73" s="166" t="s">
        <v>5558</v>
      </c>
      <c r="C73" s="167">
        <v>493.13</v>
      </c>
      <c r="D73" s="167">
        <v>91647.42</v>
      </c>
      <c r="E73" s="167">
        <v>-91154.29</v>
      </c>
      <c r="F73" s="168">
        <v>19737389.23</v>
      </c>
    </row>
    <row r="74" spans="2:6" x14ac:dyDescent="0.2">
      <c r="B74" s="166" t="s">
        <v>5559</v>
      </c>
      <c r="C74" s="167">
        <v>196017.01</v>
      </c>
      <c r="D74" s="167">
        <v>94604.54</v>
      </c>
      <c r="E74" s="167">
        <v>101412.47</v>
      </c>
      <c r="F74" s="168">
        <v>19838801.699999999</v>
      </c>
    </row>
    <row r="75" spans="2:6" x14ac:dyDescent="0.2">
      <c r="B75" s="166" t="s">
        <v>5560</v>
      </c>
      <c r="C75" s="167">
        <v>9733.33</v>
      </c>
      <c r="D75" s="167">
        <v>101658.29</v>
      </c>
      <c r="E75" s="167">
        <v>-91924.96</v>
      </c>
      <c r="F75" s="168">
        <v>19746876.739999998</v>
      </c>
    </row>
    <row r="76" spans="2:6" x14ac:dyDescent="0.2">
      <c r="B76" s="166" t="s">
        <v>5561</v>
      </c>
      <c r="C76" s="167"/>
      <c r="D76" s="167">
        <v>91924.96</v>
      </c>
      <c r="E76" s="167">
        <v>-91924.96</v>
      </c>
      <c r="F76" s="168">
        <v>19654951.780000001</v>
      </c>
    </row>
    <row r="77" spans="2:6" x14ac:dyDescent="0.2">
      <c r="B77" s="166" t="s">
        <v>5562</v>
      </c>
      <c r="C77" s="167"/>
      <c r="D77" s="167">
        <v>91924.96</v>
      </c>
      <c r="E77" s="167">
        <v>-91924.96</v>
      </c>
      <c r="F77" s="168">
        <v>19563026.82</v>
      </c>
    </row>
    <row r="78" spans="2:6" x14ac:dyDescent="0.2">
      <c r="B78" s="166" t="s">
        <v>5563</v>
      </c>
      <c r="C78" s="167">
        <v>2412360.5</v>
      </c>
      <c r="D78" s="167">
        <v>91924.96</v>
      </c>
      <c r="E78" s="167">
        <v>2320435.54</v>
      </c>
      <c r="F78" s="168">
        <v>21883462.359999999</v>
      </c>
    </row>
    <row r="79" spans="2:6" x14ac:dyDescent="0.2">
      <c r="B79" s="166" t="s">
        <v>252</v>
      </c>
      <c r="C79" s="167">
        <v>741796.98</v>
      </c>
      <c r="D79" s="167">
        <v>100616.6</v>
      </c>
      <c r="E79" s="167">
        <v>641180.38</v>
      </c>
      <c r="F79" s="168">
        <v>22524642.739999998</v>
      </c>
    </row>
    <row r="80" spans="2:6" x14ac:dyDescent="0.2">
      <c r="B80" s="166" t="s">
        <v>254</v>
      </c>
      <c r="C80" s="167">
        <v>247738.41</v>
      </c>
      <c r="D80" s="167">
        <v>221435.05</v>
      </c>
      <c r="E80" s="167">
        <v>26303.360000000001</v>
      </c>
      <c r="F80" s="168">
        <v>22550946.100000001</v>
      </c>
    </row>
    <row r="81" spans="2:9" x14ac:dyDescent="0.2">
      <c r="B81" s="166" t="s">
        <v>5258</v>
      </c>
      <c r="C81" s="167">
        <v>26920</v>
      </c>
      <c r="D81" s="167">
        <v>100095.24</v>
      </c>
      <c r="E81" s="167">
        <v>-73175.240000000005</v>
      </c>
      <c r="F81" s="168">
        <v>22477770.859999999</v>
      </c>
    </row>
    <row r="82" spans="2:9" x14ac:dyDescent="0.2">
      <c r="B82" s="166" t="s">
        <v>5259</v>
      </c>
      <c r="C82" s="167">
        <v>15271.72</v>
      </c>
      <c r="D82" s="167">
        <v>100095.24</v>
      </c>
      <c r="E82" s="167">
        <v>-84823.52</v>
      </c>
      <c r="F82" s="168">
        <v>22392947.34</v>
      </c>
    </row>
    <row r="83" spans="2:9" x14ac:dyDescent="0.2">
      <c r="B83" s="166" t="s">
        <v>229</v>
      </c>
      <c r="C83" s="167">
        <v>163625</v>
      </c>
      <c r="D83" s="167">
        <v>102299.6</v>
      </c>
      <c r="E83" s="167">
        <v>61325.4</v>
      </c>
      <c r="F83" s="168">
        <v>22454272.739999998</v>
      </c>
      <c r="H83" s="214">
        <f>AVERAGE(F71:F83)</f>
        <v>20967197.523076918</v>
      </c>
      <c r="I83" s="215" t="s">
        <v>5621</v>
      </c>
    </row>
    <row r="84" spans="2:9" ht="13.5" thickBot="1" x14ac:dyDescent="0.25">
      <c r="B84" s="169" t="s">
        <v>3622</v>
      </c>
      <c r="C84" s="318">
        <f>SUM(C72:C83)</f>
        <v>3813956.0800000005</v>
      </c>
      <c r="D84" s="318">
        <f>SUM(D72:D83)</f>
        <v>1279619.21</v>
      </c>
      <c r="E84" s="318">
        <f>SUM(E72:E83)</f>
        <v>2534336.8699999996</v>
      </c>
      <c r="F84" s="319">
        <f>+F83</f>
        <v>22454272.739999998</v>
      </c>
    </row>
    <row r="87" spans="2:9" x14ac:dyDescent="0.2">
      <c r="B87" s="395" t="s">
        <v>5611</v>
      </c>
      <c r="C87" s="395"/>
      <c r="D87" s="395"/>
      <c r="E87" s="395"/>
      <c r="F87" s="395"/>
    </row>
    <row r="88" spans="2:9" x14ac:dyDescent="0.2">
      <c r="B88" s="395" t="s">
        <v>5612</v>
      </c>
      <c r="C88" s="395"/>
      <c r="D88" s="395"/>
      <c r="E88" s="395"/>
      <c r="F88" s="395"/>
    </row>
    <row r="89" spans="2:9" x14ac:dyDescent="0.2">
      <c r="B89" s="395" t="s">
        <v>10591</v>
      </c>
      <c r="C89" s="395"/>
      <c r="D89" s="395"/>
      <c r="E89" s="395"/>
      <c r="F89" s="395"/>
    </row>
    <row r="90" spans="2:9" ht="13.5" thickBot="1" x14ac:dyDescent="0.25"/>
    <row r="91" spans="2:9" x14ac:dyDescent="0.2">
      <c r="B91" s="163" t="s">
        <v>5551</v>
      </c>
      <c r="C91" s="164" t="s">
        <v>5552</v>
      </c>
      <c r="D91" s="164" t="s">
        <v>5553</v>
      </c>
      <c r="E91" s="164" t="s">
        <v>5554</v>
      </c>
      <c r="F91" s="165" t="s">
        <v>5555</v>
      </c>
    </row>
    <row r="92" spans="2:9" x14ac:dyDescent="0.2">
      <c r="B92" s="166" t="s">
        <v>5556</v>
      </c>
      <c r="C92" s="167"/>
      <c r="D92" s="167"/>
      <c r="E92" s="167"/>
      <c r="F92" s="168"/>
    </row>
    <row r="93" spans="2:9" x14ac:dyDescent="0.2">
      <c r="B93" s="166" t="s">
        <v>5557</v>
      </c>
      <c r="C93" s="167">
        <v>8862369.7799999993</v>
      </c>
      <c r="D93" s="167"/>
      <c r="E93" s="167">
        <v>8862369.7799999993</v>
      </c>
      <c r="F93" s="168">
        <v>8862369.7799999993</v>
      </c>
    </row>
    <row r="94" spans="2:9" x14ac:dyDescent="0.2">
      <c r="B94" s="166" t="s">
        <v>5558</v>
      </c>
      <c r="C94" s="167">
        <v>8862369.7799999993</v>
      </c>
      <c r="D94" s="167"/>
      <c r="E94" s="167">
        <v>8862369.7799999993</v>
      </c>
      <c r="F94" s="168">
        <v>17724739.559999999</v>
      </c>
    </row>
    <row r="95" spans="2:9" x14ac:dyDescent="0.2">
      <c r="B95" s="166" t="s">
        <v>5559</v>
      </c>
      <c r="C95" s="167">
        <v>8862369.7799999993</v>
      </c>
      <c r="D95" s="167"/>
      <c r="E95" s="167">
        <v>8862369.7799999993</v>
      </c>
      <c r="F95" s="168">
        <v>26587109.34</v>
      </c>
    </row>
    <row r="96" spans="2:9" x14ac:dyDescent="0.2">
      <c r="B96" s="166" t="s">
        <v>5560</v>
      </c>
      <c r="C96" s="167">
        <v>8862369.7799999993</v>
      </c>
      <c r="D96" s="167"/>
      <c r="E96" s="167">
        <v>8862369.7799999993</v>
      </c>
      <c r="F96" s="168">
        <v>35449479.119999997</v>
      </c>
    </row>
    <row r="97" spans="2:6" x14ac:dyDescent="0.2">
      <c r="B97" s="166" t="s">
        <v>5561</v>
      </c>
      <c r="C97" s="167">
        <v>8862369.7799999993</v>
      </c>
      <c r="D97" s="167"/>
      <c r="E97" s="167">
        <v>8862369.7799999993</v>
      </c>
      <c r="F97" s="168">
        <v>44311848.899999999</v>
      </c>
    </row>
    <row r="98" spans="2:6" x14ac:dyDescent="0.2">
      <c r="B98" s="166" t="s">
        <v>5562</v>
      </c>
      <c r="C98" s="167">
        <v>8862369.7799999993</v>
      </c>
      <c r="D98" s="167"/>
      <c r="E98" s="167">
        <v>8862369.7799999993</v>
      </c>
      <c r="F98" s="168">
        <v>53174218.68</v>
      </c>
    </row>
    <row r="99" spans="2:6" x14ac:dyDescent="0.2">
      <c r="B99" s="166" t="s">
        <v>5563</v>
      </c>
      <c r="C99" s="167">
        <v>9083897.5600000005</v>
      </c>
      <c r="D99" s="167"/>
      <c r="E99" s="167">
        <v>9083897.5600000005</v>
      </c>
      <c r="F99" s="168">
        <v>62258116.240000002</v>
      </c>
    </row>
    <row r="100" spans="2:6" x14ac:dyDescent="0.2">
      <c r="B100" s="166" t="s">
        <v>252</v>
      </c>
      <c r="C100" s="167">
        <v>9693098.9499999993</v>
      </c>
      <c r="D100" s="167"/>
      <c r="E100" s="167">
        <v>9693098.9499999993</v>
      </c>
      <c r="F100" s="168">
        <v>71951215.189999998</v>
      </c>
    </row>
    <row r="101" spans="2:6" x14ac:dyDescent="0.2">
      <c r="B101" s="166" t="s">
        <v>254</v>
      </c>
      <c r="C101" s="167">
        <v>9693098.9499999993</v>
      </c>
      <c r="D101" s="167"/>
      <c r="E101" s="167">
        <v>9693098.9499999993</v>
      </c>
      <c r="F101" s="168">
        <v>81644314.140000001</v>
      </c>
    </row>
    <row r="102" spans="2:6" x14ac:dyDescent="0.2">
      <c r="B102" s="166" t="s">
        <v>5258</v>
      </c>
      <c r="C102" s="167">
        <v>9693098.9499999993</v>
      </c>
      <c r="D102" s="167"/>
      <c r="E102" s="167">
        <v>9693098.9499999993</v>
      </c>
      <c r="F102" s="168">
        <v>91337413.090000004</v>
      </c>
    </row>
    <row r="103" spans="2:6" x14ac:dyDescent="0.2">
      <c r="B103" s="166" t="s">
        <v>5259</v>
      </c>
      <c r="C103" s="167">
        <v>9693098.9499999993</v>
      </c>
      <c r="D103" s="167"/>
      <c r="E103" s="167">
        <v>9693098.9499999993</v>
      </c>
      <c r="F103" s="168">
        <v>101030512.04000001</v>
      </c>
    </row>
    <row r="104" spans="2:6" x14ac:dyDescent="0.2">
      <c r="B104" s="166" t="s">
        <v>229</v>
      </c>
      <c r="C104" s="167">
        <v>9693098.9499999993</v>
      </c>
      <c r="D104" s="167"/>
      <c r="E104" s="167">
        <v>9693098.9499999993</v>
      </c>
      <c r="F104" s="168">
        <v>110723610.98999999</v>
      </c>
    </row>
    <row r="105" spans="2:6" ht="13.5" thickBot="1" x14ac:dyDescent="0.25">
      <c r="B105" s="169" t="s">
        <v>3622</v>
      </c>
      <c r="C105" s="318">
        <f>SUM(C93:C104)</f>
        <v>110723610.99000001</v>
      </c>
      <c r="D105" s="318">
        <f>SUM(D93:D104)</f>
        <v>0</v>
      </c>
      <c r="E105" s="318">
        <f>SUM(E93:E104)</f>
        <v>110723610.99000001</v>
      </c>
      <c r="F105" s="319">
        <f>+F104</f>
        <v>110723610.98999999</v>
      </c>
    </row>
    <row r="108" spans="2:6" x14ac:dyDescent="0.2">
      <c r="B108" s="395" t="s">
        <v>5613</v>
      </c>
      <c r="C108" s="395"/>
      <c r="D108" s="395"/>
      <c r="E108" s="395"/>
      <c r="F108" s="395"/>
    </row>
    <row r="109" spans="2:6" x14ac:dyDescent="0.2">
      <c r="B109" s="395" t="s">
        <v>5614</v>
      </c>
      <c r="C109" s="395"/>
      <c r="D109" s="395"/>
      <c r="E109" s="395"/>
      <c r="F109" s="395"/>
    </row>
    <row r="110" spans="2:6" x14ac:dyDescent="0.2">
      <c r="B110" s="395" t="s">
        <v>10591</v>
      </c>
      <c r="C110" s="395"/>
      <c r="D110" s="395"/>
      <c r="E110" s="395"/>
      <c r="F110" s="395"/>
    </row>
    <row r="111" spans="2:6" ht="13.5" thickBot="1" x14ac:dyDescent="0.25"/>
    <row r="112" spans="2:6" x14ac:dyDescent="0.2">
      <c r="B112" s="163" t="s">
        <v>5551</v>
      </c>
      <c r="C112" s="164" t="s">
        <v>5552</v>
      </c>
      <c r="D112" s="164" t="s">
        <v>5553</v>
      </c>
      <c r="E112" s="164" t="s">
        <v>5554</v>
      </c>
      <c r="F112" s="165" t="s">
        <v>5555</v>
      </c>
    </row>
    <row r="113" spans="2:6" x14ac:dyDescent="0.2">
      <c r="B113" s="166" t="s">
        <v>5556</v>
      </c>
      <c r="C113" s="167"/>
      <c r="D113" s="167"/>
      <c r="E113" s="167"/>
      <c r="F113" s="168"/>
    </row>
    <row r="114" spans="2:6" x14ac:dyDescent="0.2">
      <c r="B114" s="166" t="s">
        <v>5557</v>
      </c>
      <c r="C114" s="167">
        <v>110647.38</v>
      </c>
      <c r="D114" s="167">
        <v>11086</v>
      </c>
      <c r="E114" s="167">
        <v>99561.38</v>
      </c>
      <c r="F114" s="168">
        <v>99561.38</v>
      </c>
    </row>
    <row r="115" spans="2:6" x14ac:dyDescent="0.2">
      <c r="B115" s="166" t="s">
        <v>5558</v>
      </c>
      <c r="C115" s="167">
        <v>110647.38</v>
      </c>
      <c r="D115" s="167">
        <v>11086</v>
      </c>
      <c r="E115" s="167">
        <v>99561.38</v>
      </c>
      <c r="F115" s="168">
        <v>199122.76</v>
      </c>
    </row>
    <row r="116" spans="2:6" x14ac:dyDescent="0.2">
      <c r="B116" s="166" t="s">
        <v>5559</v>
      </c>
      <c r="C116" s="167">
        <v>113842.56</v>
      </c>
      <c r="D116" s="167">
        <v>11086</v>
      </c>
      <c r="E116" s="167">
        <v>102756.56</v>
      </c>
      <c r="F116" s="168">
        <v>301879.32</v>
      </c>
    </row>
    <row r="117" spans="2:6" x14ac:dyDescent="0.2">
      <c r="B117" s="166" t="s">
        <v>5560</v>
      </c>
      <c r="C117" s="167">
        <v>111179.99</v>
      </c>
      <c r="D117" s="167">
        <v>11086</v>
      </c>
      <c r="E117" s="167">
        <v>100093.99</v>
      </c>
      <c r="F117" s="168">
        <v>401973.31</v>
      </c>
    </row>
    <row r="118" spans="2:6" x14ac:dyDescent="0.2">
      <c r="B118" s="166" t="s">
        <v>5561</v>
      </c>
      <c r="C118" s="167">
        <v>111179.99</v>
      </c>
      <c r="D118" s="167">
        <v>11086</v>
      </c>
      <c r="E118" s="167">
        <v>100093.99</v>
      </c>
      <c r="F118" s="168">
        <v>502067.3</v>
      </c>
    </row>
    <row r="119" spans="2:6" x14ac:dyDescent="0.2">
      <c r="B119" s="166" t="s">
        <v>5562</v>
      </c>
      <c r="C119" s="167">
        <v>111179.99</v>
      </c>
      <c r="D119" s="167">
        <v>11086</v>
      </c>
      <c r="E119" s="167">
        <v>100093.99</v>
      </c>
      <c r="F119" s="168">
        <v>602161.29</v>
      </c>
    </row>
    <row r="120" spans="2:6" x14ac:dyDescent="0.2">
      <c r="B120" s="166" t="s">
        <v>5563</v>
      </c>
      <c r="C120" s="167">
        <v>111179.99</v>
      </c>
      <c r="D120" s="167">
        <v>11086</v>
      </c>
      <c r="E120" s="167">
        <v>100093.99</v>
      </c>
      <c r="F120" s="168">
        <v>702255.28</v>
      </c>
    </row>
    <row r="121" spans="2:6" x14ac:dyDescent="0.2">
      <c r="B121" s="166" t="s">
        <v>252</v>
      </c>
      <c r="C121" s="167">
        <v>119025.13</v>
      </c>
      <c r="D121" s="167">
        <v>11086</v>
      </c>
      <c r="E121" s="167">
        <v>107939.13</v>
      </c>
      <c r="F121" s="168">
        <v>810194.41</v>
      </c>
    </row>
    <row r="122" spans="2:6" x14ac:dyDescent="0.2">
      <c r="B122" s="166" t="s">
        <v>254</v>
      </c>
      <c r="C122" s="167">
        <v>119674.67</v>
      </c>
      <c r="D122" s="167">
        <v>11086</v>
      </c>
      <c r="E122" s="167">
        <v>108588.67</v>
      </c>
      <c r="F122" s="168">
        <v>918783.08</v>
      </c>
    </row>
    <row r="123" spans="2:6" x14ac:dyDescent="0.2">
      <c r="B123" s="166" t="s">
        <v>5258</v>
      </c>
      <c r="C123" s="167">
        <v>119350.27</v>
      </c>
      <c r="D123" s="167">
        <v>11086</v>
      </c>
      <c r="E123" s="167">
        <v>108264.27</v>
      </c>
      <c r="F123" s="168">
        <v>1027047.35</v>
      </c>
    </row>
    <row r="124" spans="2:6" x14ac:dyDescent="0.2">
      <c r="B124" s="166" t="s">
        <v>5259</v>
      </c>
      <c r="C124" s="167">
        <v>119350.27</v>
      </c>
      <c r="D124" s="167">
        <v>11086</v>
      </c>
      <c r="E124" s="167">
        <v>108264.27</v>
      </c>
      <c r="F124" s="168">
        <v>1135311.6200000001</v>
      </c>
    </row>
    <row r="125" spans="2:6" x14ac:dyDescent="0.2">
      <c r="B125" s="166" t="s">
        <v>229</v>
      </c>
      <c r="C125" s="167">
        <v>121554.63</v>
      </c>
      <c r="D125" s="167">
        <v>11086</v>
      </c>
      <c r="E125" s="167">
        <v>110468.63</v>
      </c>
      <c r="F125" s="168">
        <v>1245780.25</v>
      </c>
    </row>
    <row r="126" spans="2:6" ht="13.5" thickBot="1" x14ac:dyDescent="0.25">
      <c r="B126" s="169" t="s">
        <v>3622</v>
      </c>
      <c r="C126" s="318">
        <f>SUM(C114:C125)</f>
        <v>1378812.25</v>
      </c>
      <c r="D126" s="318">
        <f>SUM(D114:D125)</f>
        <v>133032</v>
      </c>
      <c r="E126" s="318">
        <f>SUM(E114:E125)</f>
        <v>1245780.25</v>
      </c>
      <c r="F126" s="319">
        <f>+F125</f>
        <v>1245780.25</v>
      </c>
    </row>
    <row r="129" spans="2:6" x14ac:dyDescent="0.2">
      <c r="B129" s="395" t="s">
        <v>5615</v>
      </c>
      <c r="C129" s="395"/>
      <c r="D129" s="395"/>
      <c r="E129" s="395"/>
      <c r="F129" s="395"/>
    </row>
    <row r="130" spans="2:6" x14ac:dyDescent="0.2">
      <c r="B130" s="395" t="s">
        <v>5616</v>
      </c>
      <c r="C130" s="395"/>
      <c r="D130" s="395"/>
      <c r="E130" s="395"/>
      <c r="F130" s="395"/>
    </row>
    <row r="131" spans="2:6" x14ac:dyDescent="0.2">
      <c r="B131" s="395" t="s">
        <v>10591</v>
      </c>
      <c r="C131" s="395"/>
      <c r="D131" s="395"/>
      <c r="E131" s="395"/>
      <c r="F131" s="395"/>
    </row>
    <row r="132" spans="2:6" ht="13.5" thickBot="1" x14ac:dyDescent="0.25"/>
    <row r="133" spans="2:6" x14ac:dyDescent="0.2">
      <c r="B133" s="163" t="s">
        <v>5551</v>
      </c>
      <c r="C133" s="164" t="s">
        <v>5552</v>
      </c>
      <c r="D133" s="164" t="s">
        <v>5553</v>
      </c>
      <c r="E133" s="164" t="s">
        <v>5554</v>
      </c>
      <c r="F133" s="165" t="s">
        <v>5555</v>
      </c>
    </row>
    <row r="134" spans="2:6" x14ac:dyDescent="0.2">
      <c r="B134" s="166" t="s">
        <v>5556</v>
      </c>
      <c r="C134" s="167">
        <v>0</v>
      </c>
      <c r="D134" s="167">
        <v>0</v>
      </c>
      <c r="E134" s="167">
        <v>0</v>
      </c>
      <c r="F134" s="168">
        <v>0</v>
      </c>
    </row>
    <row r="135" spans="2:6" x14ac:dyDescent="0.2">
      <c r="B135" s="166" t="s">
        <v>5557</v>
      </c>
      <c r="C135" s="167">
        <v>0</v>
      </c>
      <c r="D135" s="167">
        <v>0</v>
      </c>
      <c r="E135" s="167">
        <v>0</v>
      </c>
      <c r="F135" s="168">
        <v>0</v>
      </c>
    </row>
    <row r="136" spans="2:6" x14ac:dyDescent="0.2">
      <c r="B136" s="166" t="s">
        <v>5558</v>
      </c>
      <c r="C136" s="167">
        <v>0</v>
      </c>
      <c r="D136" s="167">
        <v>0</v>
      </c>
      <c r="E136" s="167">
        <v>0</v>
      </c>
      <c r="F136" s="168">
        <v>0</v>
      </c>
    </row>
    <row r="137" spans="2:6" x14ac:dyDescent="0.2">
      <c r="B137" s="166" t="s">
        <v>5559</v>
      </c>
      <c r="C137" s="167">
        <v>0</v>
      </c>
      <c r="D137" s="167">
        <v>0</v>
      </c>
      <c r="E137" s="167">
        <v>0</v>
      </c>
      <c r="F137" s="168">
        <v>0</v>
      </c>
    </row>
    <row r="138" spans="2:6" x14ac:dyDescent="0.2">
      <c r="B138" s="166" t="s">
        <v>5560</v>
      </c>
      <c r="C138" s="167">
        <v>0</v>
      </c>
      <c r="D138" s="167">
        <v>0</v>
      </c>
      <c r="E138" s="167">
        <v>0</v>
      </c>
      <c r="F138" s="168">
        <v>0</v>
      </c>
    </row>
    <row r="139" spans="2:6" x14ac:dyDescent="0.2">
      <c r="B139" s="166" t="s">
        <v>5561</v>
      </c>
      <c r="C139" s="167">
        <v>0</v>
      </c>
      <c r="D139" s="167">
        <v>0</v>
      </c>
      <c r="E139" s="167">
        <v>0</v>
      </c>
      <c r="F139" s="168">
        <v>0</v>
      </c>
    </row>
    <row r="140" spans="2:6" x14ac:dyDescent="0.2">
      <c r="B140" s="166" t="s">
        <v>5562</v>
      </c>
      <c r="C140" s="167">
        <v>0</v>
      </c>
      <c r="D140" s="167">
        <v>0</v>
      </c>
      <c r="E140" s="167">
        <v>0</v>
      </c>
      <c r="F140" s="168">
        <v>0</v>
      </c>
    </row>
    <row r="141" spans="2:6" x14ac:dyDescent="0.2">
      <c r="B141" s="166" t="s">
        <v>5563</v>
      </c>
      <c r="C141" s="167">
        <v>0</v>
      </c>
      <c r="D141" s="167">
        <v>0</v>
      </c>
      <c r="E141" s="167">
        <v>0</v>
      </c>
      <c r="F141" s="168">
        <v>0</v>
      </c>
    </row>
    <row r="142" spans="2:6" x14ac:dyDescent="0.2">
      <c r="B142" s="166" t="s">
        <v>252</v>
      </c>
      <c r="C142" s="167">
        <v>0</v>
      </c>
      <c r="D142" s="167">
        <v>0</v>
      </c>
      <c r="E142" s="167">
        <v>0</v>
      </c>
      <c r="F142" s="168">
        <v>0</v>
      </c>
    </row>
    <row r="143" spans="2:6" x14ac:dyDescent="0.2">
      <c r="B143" s="166" t="s">
        <v>254</v>
      </c>
      <c r="C143" s="167">
        <v>0</v>
      </c>
      <c r="D143" s="167">
        <v>0</v>
      </c>
      <c r="E143" s="167">
        <v>0</v>
      </c>
      <c r="F143" s="168">
        <v>0</v>
      </c>
    </row>
    <row r="144" spans="2:6" x14ac:dyDescent="0.2">
      <c r="B144" s="166" t="s">
        <v>5258</v>
      </c>
      <c r="C144" s="167">
        <v>0</v>
      </c>
      <c r="D144" s="167">
        <v>0</v>
      </c>
      <c r="E144" s="167">
        <v>0</v>
      </c>
      <c r="F144" s="168">
        <v>0</v>
      </c>
    </row>
    <row r="145" spans="2:6" x14ac:dyDescent="0.2">
      <c r="B145" s="166" t="s">
        <v>5259</v>
      </c>
      <c r="C145" s="167">
        <v>0</v>
      </c>
      <c r="D145" s="167">
        <v>0</v>
      </c>
      <c r="E145" s="167">
        <v>0</v>
      </c>
      <c r="F145" s="168">
        <v>0</v>
      </c>
    </row>
    <row r="146" spans="2:6" x14ac:dyDescent="0.2">
      <c r="B146" s="166" t="s">
        <v>229</v>
      </c>
      <c r="C146" s="167">
        <v>0</v>
      </c>
      <c r="D146" s="167">
        <v>0</v>
      </c>
      <c r="E146" s="167">
        <v>0</v>
      </c>
      <c r="F146" s="168">
        <v>0</v>
      </c>
    </row>
    <row r="147" spans="2:6" ht="13.5" thickBot="1" x14ac:dyDescent="0.25">
      <c r="B147" s="169" t="s">
        <v>3622</v>
      </c>
      <c r="C147" s="318">
        <f>SUM(C135:C146)</f>
        <v>0</v>
      </c>
      <c r="D147" s="318">
        <f>SUM(D135:D146)</f>
        <v>0</v>
      </c>
      <c r="E147" s="318">
        <f>SUM(E135:E146)</f>
        <v>0</v>
      </c>
      <c r="F147" s="319">
        <f>+F146</f>
        <v>0</v>
      </c>
    </row>
    <row r="148" spans="2:6" x14ac:dyDescent="0.2">
      <c r="B148" s="172"/>
      <c r="C148" s="167"/>
      <c r="D148" s="167"/>
      <c r="E148" s="167"/>
      <c r="F148" s="205"/>
    </row>
    <row r="149" spans="2:6" x14ac:dyDescent="0.2">
      <c r="B149" s="172"/>
      <c r="C149" s="167"/>
      <c r="D149" s="167"/>
      <c r="E149" s="167"/>
      <c r="F149" s="205"/>
    </row>
    <row r="150" spans="2:6" x14ac:dyDescent="0.2">
      <c r="B150" s="395" t="s">
        <v>5753</v>
      </c>
      <c r="C150" s="395"/>
      <c r="D150" s="395"/>
      <c r="E150" s="395"/>
      <c r="F150" s="395"/>
    </row>
    <row r="151" spans="2:6" x14ac:dyDescent="0.2">
      <c r="B151" s="395" t="s">
        <v>5752</v>
      </c>
      <c r="C151" s="395"/>
      <c r="D151" s="395"/>
      <c r="E151" s="395"/>
      <c r="F151" s="395"/>
    </row>
    <row r="152" spans="2:6" x14ac:dyDescent="0.2">
      <c r="B152" s="395" t="s">
        <v>10591</v>
      </c>
      <c r="C152" s="395"/>
      <c r="D152" s="395"/>
      <c r="E152" s="395"/>
      <c r="F152" s="395"/>
    </row>
    <row r="153" spans="2:6" ht="13.5" thickBot="1" x14ac:dyDescent="0.25"/>
    <row r="154" spans="2:6" x14ac:dyDescent="0.2">
      <c r="B154" s="163" t="s">
        <v>5551</v>
      </c>
      <c r="C154" s="164" t="s">
        <v>5552</v>
      </c>
      <c r="D154" s="164" t="s">
        <v>5553</v>
      </c>
      <c r="E154" s="164" t="s">
        <v>5554</v>
      </c>
      <c r="F154" s="165" t="s">
        <v>5555</v>
      </c>
    </row>
    <row r="155" spans="2:6" x14ac:dyDescent="0.2">
      <c r="B155" s="166" t="s">
        <v>5556</v>
      </c>
      <c r="C155" s="167">
        <v>0</v>
      </c>
      <c r="D155" s="167">
        <v>0</v>
      </c>
      <c r="E155" s="167">
        <v>0</v>
      </c>
      <c r="F155" s="168">
        <v>0</v>
      </c>
    </row>
    <row r="156" spans="2:6" x14ac:dyDescent="0.2">
      <c r="B156" s="166" t="s">
        <v>5557</v>
      </c>
      <c r="C156" s="167">
        <v>22220.78</v>
      </c>
      <c r="D156" s="167"/>
      <c r="E156" s="167">
        <v>22220.78</v>
      </c>
      <c r="F156" s="168">
        <v>22220.78</v>
      </c>
    </row>
    <row r="157" spans="2:6" x14ac:dyDescent="0.2">
      <c r="B157" s="166" t="s">
        <v>5558</v>
      </c>
      <c r="C157" s="167">
        <v>22220.78</v>
      </c>
      <c r="D157" s="167"/>
      <c r="E157" s="167">
        <v>22220.78</v>
      </c>
      <c r="F157" s="168">
        <v>44441.56</v>
      </c>
    </row>
    <row r="158" spans="2:6" x14ac:dyDescent="0.2">
      <c r="B158" s="166" t="s">
        <v>5559</v>
      </c>
      <c r="C158" s="167">
        <v>22220.78</v>
      </c>
      <c r="D158" s="167"/>
      <c r="E158" s="167">
        <v>22220.78</v>
      </c>
      <c r="F158" s="168">
        <v>66662.34</v>
      </c>
    </row>
    <row r="159" spans="2:6" x14ac:dyDescent="0.2">
      <c r="B159" s="166" t="s">
        <v>5560</v>
      </c>
      <c r="C159" s="167">
        <v>22220.78</v>
      </c>
      <c r="D159" s="167"/>
      <c r="E159" s="167">
        <v>22220.78</v>
      </c>
      <c r="F159" s="168">
        <v>88883.12</v>
      </c>
    </row>
    <row r="160" spans="2:6" x14ac:dyDescent="0.2">
      <c r="B160" s="166" t="s">
        <v>5561</v>
      </c>
      <c r="C160" s="167">
        <v>22220.78</v>
      </c>
      <c r="D160" s="167"/>
      <c r="E160" s="167">
        <v>22220.78</v>
      </c>
      <c r="F160" s="168">
        <v>111103.9</v>
      </c>
    </row>
    <row r="161" spans="2:6" x14ac:dyDescent="0.2">
      <c r="B161" s="166" t="s">
        <v>5562</v>
      </c>
      <c r="C161" s="167">
        <v>22220.78</v>
      </c>
      <c r="D161" s="167"/>
      <c r="E161" s="167">
        <v>22220.78</v>
      </c>
      <c r="F161" s="168">
        <v>133324.68</v>
      </c>
    </row>
    <row r="162" spans="2:6" x14ac:dyDescent="0.2">
      <c r="B162" s="166" t="s">
        <v>5563</v>
      </c>
      <c r="C162" s="167">
        <v>22220.78</v>
      </c>
      <c r="D162" s="167"/>
      <c r="E162" s="167">
        <v>22220.78</v>
      </c>
      <c r="F162" s="168">
        <v>155545.46</v>
      </c>
    </row>
    <row r="163" spans="2:6" x14ac:dyDescent="0.2">
      <c r="B163" s="166" t="s">
        <v>252</v>
      </c>
      <c r="C163" s="167">
        <v>31308.78</v>
      </c>
      <c r="D163" s="167"/>
      <c r="E163" s="167">
        <v>31308.78</v>
      </c>
      <c r="F163" s="168">
        <v>186854.24</v>
      </c>
    </row>
    <row r="164" spans="2:6" x14ac:dyDescent="0.2">
      <c r="B164" s="166" t="s">
        <v>254</v>
      </c>
      <c r="C164" s="167">
        <v>31308.38</v>
      </c>
      <c r="D164" s="167"/>
      <c r="E164" s="167">
        <v>31308.38</v>
      </c>
      <c r="F164" s="168">
        <v>218162.62</v>
      </c>
    </row>
    <row r="165" spans="2:6" x14ac:dyDescent="0.2">
      <c r="B165" s="166" t="s">
        <v>5258</v>
      </c>
      <c r="C165" s="167">
        <v>31308.38</v>
      </c>
      <c r="D165" s="167"/>
      <c r="E165" s="167">
        <v>31308.38</v>
      </c>
      <c r="F165" s="168">
        <v>249471</v>
      </c>
    </row>
    <row r="166" spans="2:6" x14ac:dyDescent="0.2">
      <c r="B166" s="166" t="s">
        <v>5259</v>
      </c>
      <c r="C166" s="167">
        <v>31308.38</v>
      </c>
      <c r="D166" s="167"/>
      <c r="E166" s="167">
        <v>31308.38</v>
      </c>
      <c r="F166" s="168">
        <v>280779.38</v>
      </c>
    </row>
    <row r="167" spans="2:6" x14ac:dyDescent="0.2">
      <c r="B167" s="166" t="s">
        <v>229</v>
      </c>
      <c r="C167" s="167">
        <v>31308.38</v>
      </c>
      <c r="D167" s="167"/>
      <c r="E167" s="167">
        <v>31308.38</v>
      </c>
      <c r="F167" s="168">
        <v>312087.76</v>
      </c>
    </row>
    <row r="168" spans="2:6" ht="13.5" thickBot="1" x14ac:dyDescent="0.25">
      <c r="B168" s="169" t="s">
        <v>3622</v>
      </c>
      <c r="C168" s="318">
        <f>SUM(C156:C167)</f>
        <v>312087.76</v>
      </c>
      <c r="D168" s="318">
        <f>SUM(D156:D167)</f>
        <v>0</v>
      </c>
      <c r="E168" s="318">
        <f>SUM(E156:E167)</f>
        <v>312087.76</v>
      </c>
      <c r="F168" s="319">
        <f>+F167</f>
        <v>312087.76</v>
      </c>
    </row>
    <row r="169" spans="2:6" x14ac:dyDescent="0.2">
      <c r="B169" s="172"/>
      <c r="C169" s="172"/>
      <c r="D169" s="172"/>
      <c r="E169" s="172"/>
      <c r="F169" s="172"/>
    </row>
    <row r="171" spans="2:6" x14ac:dyDescent="0.2">
      <c r="B171" s="395" t="s">
        <v>5623</v>
      </c>
      <c r="C171" s="395"/>
      <c r="D171" s="395"/>
      <c r="E171" s="395"/>
      <c r="F171" s="395"/>
    </row>
    <row r="172" spans="2:6" x14ac:dyDescent="0.2">
      <c r="B172" s="395" t="s">
        <v>5622</v>
      </c>
      <c r="C172" s="395"/>
      <c r="D172" s="395"/>
      <c r="E172" s="395"/>
      <c r="F172" s="395"/>
    </row>
    <row r="173" spans="2:6" x14ac:dyDescent="0.2">
      <c r="B173" s="395" t="s">
        <v>10591</v>
      </c>
      <c r="C173" s="395"/>
      <c r="D173" s="395"/>
      <c r="E173" s="395"/>
      <c r="F173" s="395"/>
    </row>
    <row r="174" spans="2:6" ht="13.5" thickBot="1" x14ac:dyDescent="0.25"/>
    <row r="175" spans="2:6" x14ac:dyDescent="0.2">
      <c r="B175" s="163" t="s">
        <v>5551</v>
      </c>
      <c r="C175" s="164" t="s">
        <v>5552</v>
      </c>
      <c r="D175" s="164" t="s">
        <v>5553</v>
      </c>
      <c r="E175" s="164" t="s">
        <v>5554</v>
      </c>
      <c r="F175" s="165" t="s">
        <v>5555</v>
      </c>
    </row>
    <row r="176" spans="2:6" x14ac:dyDescent="0.2">
      <c r="B176" s="166" t="s">
        <v>5556</v>
      </c>
      <c r="C176" s="167"/>
      <c r="D176" s="167"/>
      <c r="E176" s="167"/>
      <c r="F176" s="168">
        <v>1007305.58</v>
      </c>
    </row>
    <row r="177" spans="2:6" x14ac:dyDescent="0.2">
      <c r="B177" s="166" t="s">
        <v>5557</v>
      </c>
      <c r="C177" s="167">
        <v>15966.21</v>
      </c>
      <c r="D177" s="167">
        <v>22064.78</v>
      </c>
      <c r="E177" s="167">
        <v>-6098.57</v>
      </c>
      <c r="F177" s="168">
        <v>1001207.01</v>
      </c>
    </row>
    <row r="178" spans="2:6" x14ac:dyDescent="0.2">
      <c r="B178" s="166" t="s">
        <v>5558</v>
      </c>
      <c r="C178" s="167">
        <v>15966.16</v>
      </c>
      <c r="D178" s="167">
        <v>22064.76</v>
      </c>
      <c r="E178" s="167">
        <v>-6098.6</v>
      </c>
      <c r="F178" s="168">
        <v>995108.41</v>
      </c>
    </row>
    <row r="179" spans="2:6" x14ac:dyDescent="0.2">
      <c r="B179" s="166" t="s">
        <v>5559</v>
      </c>
      <c r="C179" s="167">
        <v>23656.1</v>
      </c>
      <c r="D179" s="167">
        <v>29754.69</v>
      </c>
      <c r="E179" s="167">
        <v>-6098.59</v>
      </c>
      <c r="F179" s="168">
        <v>989009.82</v>
      </c>
    </row>
    <row r="180" spans="2:6" x14ac:dyDescent="0.2">
      <c r="B180" s="166" t="s">
        <v>5560</v>
      </c>
      <c r="C180" s="167">
        <v>15966.21</v>
      </c>
      <c r="D180" s="167">
        <v>22064.78</v>
      </c>
      <c r="E180" s="167">
        <v>-6098.57</v>
      </c>
      <c r="F180" s="168">
        <v>982911.25</v>
      </c>
    </row>
    <row r="181" spans="2:6" x14ac:dyDescent="0.2">
      <c r="B181" s="166" t="s">
        <v>5561</v>
      </c>
      <c r="C181" s="167">
        <v>15966.16</v>
      </c>
      <c r="D181" s="167">
        <v>22064.76</v>
      </c>
      <c r="E181" s="167">
        <v>-6098.6</v>
      </c>
      <c r="F181" s="168">
        <v>976812.65</v>
      </c>
    </row>
    <row r="182" spans="2:6" x14ac:dyDescent="0.2">
      <c r="B182" s="166" t="s">
        <v>5562</v>
      </c>
      <c r="C182" s="167">
        <v>15966.21</v>
      </c>
      <c r="D182" s="167">
        <v>22064.78</v>
      </c>
      <c r="E182" s="167">
        <v>-6098.57</v>
      </c>
      <c r="F182" s="168">
        <v>970714.08</v>
      </c>
    </row>
    <row r="183" spans="2:6" x14ac:dyDescent="0.2">
      <c r="B183" s="166" t="s">
        <v>5563</v>
      </c>
      <c r="C183" s="167">
        <v>15966.16</v>
      </c>
      <c r="D183" s="167">
        <v>22064.76</v>
      </c>
      <c r="E183" s="167">
        <v>-6098.6</v>
      </c>
      <c r="F183" s="168">
        <v>964615.48</v>
      </c>
    </row>
    <row r="184" spans="2:6" x14ac:dyDescent="0.2">
      <c r="B184" s="166" t="s">
        <v>252</v>
      </c>
      <c r="C184" s="167">
        <v>15966.19</v>
      </c>
      <c r="D184" s="167">
        <v>22064.77</v>
      </c>
      <c r="E184" s="167">
        <v>-6098.58</v>
      </c>
      <c r="F184" s="168">
        <v>958516.9</v>
      </c>
    </row>
    <row r="185" spans="2:6" x14ac:dyDescent="0.2">
      <c r="B185" s="166" t="s">
        <v>254</v>
      </c>
      <c r="C185" s="167">
        <v>23656.17</v>
      </c>
      <c r="D185" s="167">
        <v>29754.74</v>
      </c>
      <c r="E185" s="167">
        <v>-6098.57</v>
      </c>
      <c r="F185" s="168">
        <v>952418.33</v>
      </c>
    </row>
    <row r="186" spans="2:6" x14ac:dyDescent="0.2">
      <c r="B186" s="166" t="s">
        <v>5258</v>
      </c>
      <c r="C186" s="167">
        <v>15966.18</v>
      </c>
      <c r="D186" s="167">
        <v>22064.77</v>
      </c>
      <c r="E186" s="167">
        <v>-6098.59</v>
      </c>
      <c r="F186" s="168">
        <v>946319.74</v>
      </c>
    </row>
    <row r="187" spans="2:6" x14ac:dyDescent="0.2">
      <c r="B187" s="166" t="s">
        <v>5259</v>
      </c>
      <c r="C187" s="167">
        <v>15966.16</v>
      </c>
      <c r="D187" s="167">
        <v>22064.76</v>
      </c>
      <c r="E187" s="167">
        <v>-6098.6</v>
      </c>
      <c r="F187" s="168">
        <v>940221.14</v>
      </c>
    </row>
    <row r="188" spans="2:6" x14ac:dyDescent="0.2">
      <c r="B188" s="166" t="s">
        <v>229</v>
      </c>
      <c r="C188" s="167">
        <v>23656.17</v>
      </c>
      <c r="D188" s="167">
        <v>29754.74</v>
      </c>
      <c r="E188" s="167">
        <v>-6098.57</v>
      </c>
      <c r="F188" s="168">
        <v>934122.57</v>
      </c>
    </row>
    <row r="189" spans="2:6" ht="13.5" thickBot="1" x14ac:dyDescent="0.25">
      <c r="B189" s="169" t="s">
        <v>3622</v>
      </c>
      <c r="C189" s="318">
        <f>SUM(C177:C188)</f>
        <v>214664.08000000002</v>
      </c>
      <c r="D189" s="318">
        <f>SUM(D177:D188)</f>
        <v>287847.08999999997</v>
      </c>
      <c r="E189" s="318">
        <f>SUM(E177:E188)</f>
        <v>-73183.010000000009</v>
      </c>
      <c r="F189" s="319">
        <f>+F188</f>
        <v>934122.57</v>
      </c>
    </row>
  </sheetData>
  <mergeCells count="27">
    <mergeCell ref="B110:F110"/>
    <mergeCell ref="B171:F171"/>
    <mergeCell ref="B172:F172"/>
    <mergeCell ref="B173:F173"/>
    <mergeCell ref="B129:F129"/>
    <mergeCell ref="B130:F130"/>
    <mergeCell ref="B131:F131"/>
    <mergeCell ref="B150:F150"/>
    <mergeCell ref="B151:F151"/>
    <mergeCell ref="B152:F152"/>
    <mergeCell ref="B87:F87"/>
    <mergeCell ref="B88:F88"/>
    <mergeCell ref="B89:F89"/>
    <mergeCell ref="B108:F108"/>
    <mergeCell ref="B109:F109"/>
    <mergeCell ref="B68:F68"/>
    <mergeCell ref="B2:F2"/>
    <mergeCell ref="B4:F4"/>
    <mergeCell ref="B3:F3"/>
    <mergeCell ref="B23:F23"/>
    <mergeCell ref="B24:F24"/>
    <mergeCell ref="B25:F25"/>
    <mergeCell ref="B45:F45"/>
    <mergeCell ref="B46:F46"/>
    <mergeCell ref="B47:F47"/>
    <mergeCell ref="B66:F66"/>
    <mergeCell ref="B67:F67"/>
  </mergeCells>
  <pageMargins left="0.7" right="0.7" top="0.75" bottom="0.75" header="0.3" footer="0.3"/>
  <pageSetup orientation="portrait" r:id="rId1"/>
  <customProperties>
    <customPr name="_pios_id" r:id="rId2"/>
    <customPr name="EpmWorksheetKeyString_GUID" r:id="rId3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00"/>
    <pageSetUpPr fitToPage="1"/>
  </sheetPr>
  <dimension ref="A1:AH128"/>
  <sheetViews>
    <sheetView topLeftCell="B70" zoomScale="80" zoomScaleNormal="80" workbookViewId="0">
      <selection activeCell="K43" sqref="C43:AG44"/>
    </sheetView>
  </sheetViews>
  <sheetFormatPr defaultRowHeight="12.75" x14ac:dyDescent="0.2"/>
  <cols>
    <col min="1" max="1" width="10" hidden="1" customWidth="1"/>
    <col min="2" max="2" width="1.7109375" customWidth="1"/>
    <col min="3" max="3" width="9.28515625" bestFit="1" customWidth="1"/>
    <col min="4" max="4" width="1.7109375" customWidth="1"/>
    <col min="5" max="5" width="20.85546875" customWidth="1"/>
    <col min="6" max="6" width="1.7109375" customWidth="1"/>
    <col min="7" max="7" width="17.5703125" customWidth="1"/>
    <col min="8" max="8" width="1.7109375" customWidth="1"/>
    <col min="9" max="9" width="16.5703125" customWidth="1"/>
    <col min="10" max="10" width="1.7109375" customWidth="1"/>
    <col min="11" max="11" width="17.28515625" customWidth="1"/>
    <col min="12" max="12" width="1.7109375" customWidth="1"/>
    <col min="13" max="13" width="16.42578125" customWidth="1"/>
    <col min="14" max="14" width="1.7109375" customWidth="1"/>
    <col min="15" max="15" width="19.7109375" customWidth="1"/>
    <col min="16" max="16" width="1.7109375" customWidth="1"/>
    <col min="17" max="17" width="16.140625" style="26" customWidth="1"/>
    <col min="18" max="18" width="1.7109375" customWidth="1"/>
    <col min="19" max="19" width="16.85546875" customWidth="1"/>
    <col min="20" max="20" width="1.7109375" style="29" customWidth="1"/>
    <col min="21" max="21" width="16.140625" customWidth="1"/>
    <col min="22" max="22" width="1.7109375" customWidth="1"/>
    <col min="23" max="23" width="16.42578125" customWidth="1"/>
    <col min="24" max="24" width="1.7109375" customWidth="1"/>
    <col min="25" max="25" width="15.85546875" customWidth="1"/>
    <col min="26" max="26" width="1.7109375" customWidth="1"/>
    <col min="27" max="27" width="16.140625" customWidth="1"/>
    <col min="28" max="28" width="1.7109375" customWidth="1"/>
    <col min="29" max="29" width="15.140625" customWidth="1"/>
    <col min="30" max="30" width="1.7109375" customWidth="1"/>
    <col min="31" max="31" width="15.5703125" customWidth="1"/>
    <col min="32" max="32" width="1.7109375" customWidth="1"/>
    <col min="33" max="33" width="16" customWidth="1"/>
    <col min="34" max="34" width="9.85546875" customWidth="1"/>
  </cols>
  <sheetData>
    <row r="1" spans="1:25" x14ac:dyDescent="0.2">
      <c r="C1" s="395" t="s">
        <v>355</v>
      </c>
      <c r="D1" s="395"/>
      <c r="E1" s="395"/>
      <c r="F1" s="395"/>
      <c r="G1" s="395"/>
      <c r="H1" s="395"/>
      <c r="I1" s="395"/>
      <c r="J1" s="395"/>
      <c r="K1" s="395"/>
      <c r="L1" s="395"/>
      <c r="M1" s="395"/>
      <c r="N1" s="395"/>
      <c r="O1" s="395"/>
      <c r="P1" s="157"/>
    </row>
    <row r="2" spans="1:25" x14ac:dyDescent="0.2">
      <c r="C2" s="395" t="s">
        <v>356</v>
      </c>
      <c r="D2" s="395"/>
      <c r="E2" s="395"/>
      <c r="F2" s="395"/>
      <c r="G2" s="395"/>
      <c r="H2" s="395"/>
      <c r="I2" s="395"/>
      <c r="J2" s="395"/>
      <c r="K2" s="395"/>
      <c r="L2" s="395"/>
      <c r="M2" s="395"/>
      <c r="N2" s="395"/>
      <c r="O2" s="395"/>
      <c r="P2" s="157"/>
    </row>
    <row r="3" spans="1:25" x14ac:dyDescent="0.2">
      <c r="C3" s="395" t="s">
        <v>5575</v>
      </c>
      <c r="D3" s="395"/>
      <c r="E3" s="395"/>
      <c r="F3" s="395"/>
      <c r="G3" s="395"/>
      <c r="H3" s="395"/>
      <c r="I3" s="395"/>
      <c r="J3" s="395"/>
      <c r="K3" s="395"/>
      <c r="L3" s="395"/>
      <c r="M3" s="395"/>
      <c r="N3" s="395"/>
      <c r="O3" s="395"/>
      <c r="P3" s="157"/>
    </row>
    <row r="4" spans="1:25" x14ac:dyDescent="0.2">
      <c r="C4" s="157"/>
      <c r="D4" s="157"/>
      <c r="E4" s="157"/>
      <c r="F4" s="157"/>
      <c r="G4" s="157"/>
      <c r="H4" s="157"/>
      <c r="I4" s="157"/>
    </row>
    <row r="5" spans="1:25" x14ac:dyDescent="0.2">
      <c r="C5" s="157"/>
      <c r="D5" s="157"/>
      <c r="E5" s="157"/>
      <c r="F5" s="157"/>
      <c r="G5" s="157"/>
      <c r="H5" s="157"/>
      <c r="I5" s="158" t="s">
        <v>3612</v>
      </c>
      <c r="K5" s="158" t="s">
        <v>3613</v>
      </c>
      <c r="M5" s="158" t="s">
        <v>3614</v>
      </c>
      <c r="O5" s="158" t="s">
        <v>3616</v>
      </c>
      <c r="P5" s="158"/>
    </row>
    <row r="6" spans="1:25" ht="12.75" customHeight="1" x14ac:dyDescent="0.2">
      <c r="C6" s="157"/>
      <c r="D6" s="157"/>
      <c r="E6" s="157"/>
      <c r="F6" s="157"/>
      <c r="G6" s="157"/>
      <c r="H6" s="157"/>
      <c r="I6" s="157"/>
      <c r="O6" s="397" t="s">
        <v>3448</v>
      </c>
      <c r="P6" s="203"/>
    </row>
    <row r="7" spans="1:25" ht="12.75" customHeight="1" x14ac:dyDescent="0.2">
      <c r="A7" s="157" t="s">
        <v>5609</v>
      </c>
      <c r="C7" s="157" t="s">
        <v>5607</v>
      </c>
      <c r="G7" s="397" t="s">
        <v>5574</v>
      </c>
      <c r="I7" s="397" t="s">
        <v>4866</v>
      </c>
      <c r="K7" s="397" t="s">
        <v>4867</v>
      </c>
      <c r="M7" s="397" t="s">
        <v>4868</v>
      </c>
      <c r="O7" s="397"/>
      <c r="P7" s="203"/>
      <c r="S7" s="399" t="s">
        <v>5619</v>
      </c>
      <c r="T7" s="400"/>
      <c r="U7" s="400"/>
      <c r="V7" s="400"/>
      <c r="W7" s="400"/>
      <c r="X7" s="400"/>
      <c r="Y7" s="401"/>
    </row>
    <row r="8" spans="1:25" ht="12.75" customHeight="1" x14ac:dyDescent="0.2">
      <c r="A8" s="56" t="s">
        <v>4865</v>
      </c>
      <c r="C8" s="56" t="s">
        <v>5608</v>
      </c>
      <c r="D8" s="174"/>
      <c r="E8" s="174" t="s">
        <v>2989</v>
      </c>
      <c r="F8" s="174"/>
      <c r="G8" s="398"/>
      <c r="H8" s="174"/>
      <c r="I8" s="398"/>
      <c r="K8" s="398"/>
      <c r="M8" s="398"/>
      <c r="O8" s="398"/>
      <c r="P8" s="203"/>
      <c r="S8" s="224"/>
      <c r="T8" s="225"/>
      <c r="U8" s="218"/>
      <c r="V8" s="218"/>
      <c r="W8" s="218"/>
      <c r="X8" s="218"/>
      <c r="Y8" s="226"/>
    </row>
    <row r="9" spans="1:25" ht="12.75" customHeight="1" x14ac:dyDescent="0.2">
      <c r="A9" s="60"/>
      <c r="C9" s="60" t="s">
        <v>5582</v>
      </c>
      <c r="E9" s="60" t="s">
        <v>3442</v>
      </c>
      <c r="G9" s="175">
        <v>4422.05</v>
      </c>
      <c r="I9" s="175">
        <f>G9*9</f>
        <v>39798.450000000004</v>
      </c>
      <c r="K9" s="175">
        <v>0</v>
      </c>
      <c r="M9" s="46">
        <f t="shared" ref="M9:M34" si="0">I9+K9</f>
        <v>39798.450000000004</v>
      </c>
      <c r="O9" s="175">
        <v>39798.83</v>
      </c>
      <c r="P9" s="175"/>
      <c r="S9" s="217" t="s">
        <v>5582</v>
      </c>
      <c r="T9" s="225"/>
      <c r="U9" s="220">
        <f>O9</f>
        <v>39798.83</v>
      </c>
      <c r="V9" s="218"/>
      <c r="W9" s="220">
        <f>'189 Rollfwd'!E12</f>
        <v>0</v>
      </c>
      <c r="X9" s="218"/>
      <c r="Y9" s="219">
        <f>U9+W9</f>
        <v>39798.83</v>
      </c>
    </row>
    <row r="10" spans="1:25" ht="12.75" customHeight="1" x14ac:dyDescent="0.2">
      <c r="A10" s="60"/>
      <c r="C10" s="60" t="s">
        <v>5582</v>
      </c>
      <c r="E10" s="60" t="s">
        <v>5618</v>
      </c>
      <c r="G10" s="175">
        <v>-7859.23</v>
      </c>
      <c r="I10" s="175">
        <f>G10*9</f>
        <v>-70733.069999999992</v>
      </c>
      <c r="K10" s="175"/>
      <c r="M10" s="46">
        <f t="shared" si="0"/>
        <v>-70733.069999999992</v>
      </c>
      <c r="O10" s="175">
        <v>-70733.070000000007</v>
      </c>
      <c r="P10" s="175"/>
      <c r="S10" s="217"/>
      <c r="T10" s="225"/>
      <c r="U10" s="220">
        <v>0</v>
      </c>
      <c r="V10" s="220"/>
      <c r="W10" s="220"/>
      <c r="X10" s="218"/>
      <c r="Y10" s="219"/>
    </row>
    <row r="11" spans="1:25" ht="12.75" customHeight="1" x14ac:dyDescent="0.2">
      <c r="A11" s="60">
        <v>182.81</v>
      </c>
      <c r="C11" s="60" t="s">
        <v>5577</v>
      </c>
      <c r="D11" s="170"/>
      <c r="E11" t="s">
        <v>2982</v>
      </c>
      <c r="G11" s="156">
        <v>1179.21</v>
      </c>
      <c r="I11" s="156">
        <v>14150.52</v>
      </c>
      <c r="K11" s="175">
        <v>0</v>
      </c>
      <c r="M11" s="46">
        <f t="shared" si="0"/>
        <v>14150.52</v>
      </c>
      <c r="O11" s="175">
        <v>76649.27</v>
      </c>
      <c r="P11" s="175"/>
      <c r="S11" s="217" t="s">
        <v>5577</v>
      </c>
      <c r="T11" s="225"/>
      <c r="U11" s="220">
        <f>O11</f>
        <v>76649.27</v>
      </c>
      <c r="V11" s="218"/>
      <c r="W11" s="220">
        <f>'189 Rollfwd'!I12</f>
        <v>69312.56</v>
      </c>
      <c r="X11" s="218"/>
      <c r="Y11" s="219">
        <f>U11-W11</f>
        <v>7336.7100000000064</v>
      </c>
    </row>
    <row r="12" spans="1:25" x14ac:dyDescent="0.2">
      <c r="A12" s="60"/>
      <c r="C12" s="60" t="s">
        <v>5576</v>
      </c>
      <c r="E12" s="171" t="s">
        <v>3443</v>
      </c>
      <c r="G12" s="175">
        <v>3340.78</v>
      </c>
      <c r="I12" s="175">
        <v>40089.360000000001</v>
      </c>
      <c r="K12" s="175">
        <v>0</v>
      </c>
      <c r="M12" s="46">
        <f t="shared" si="0"/>
        <v>40089.360000000001</v>
      </c>
      <c r="O12" s="175">
        <v>430960.58999999647</v>
      </c>
      <c r="P12" s="175"/>
      <c r="S12" s="217" t="s">
        <v>5576</v>
      </c>
      <c r="T12" s="225"/>
      <c r="U12" s="220">
        <f>O12</f>
        <v>430960.58999999647</v>
      </c>
      <c r="V12" s="218"/>
      <c r="W12" s="220">
        <f>'189 Rollfwd'!K12</f>
        <v>1533459.41</v>
      </c>
      <c r="X12" s="218"/>
      <c r="Y12" s="219">
        <f>U12+U13-W12</f>
        <v>-559749.92000000342</v>
      </c>
    </row>
    <row r="13" spans="1:25" x14ac:dyDescent="0.2">
      <c r="A13" s="60"/>
      <c r="C13" s="60" t="s">
        <v>5576</v>
      </c>
      <c r="E13" s="171" t="s">
        <v>5620</v>
      </c>
      <c r="G13" s="175">
        <v>4207.3500000000004</v>
      </c>
      <c r="I13" s="175">
        <f>G13*12</f>
        <v>50488.200000000004</v>
      </c>
      <c r="K13" s="175">
        <v>0</v>
      </c>
      <c r="M13" s="46">
        <f t="shared" si="0"/>
        <v>50488.200000000004</v>
      </c>
      <c r="O13" s="175">
        <v>542748.9</v>
      </c>
      <c r="P13" s="175"/>
      <c r="S13" s="217"/>
      <c r="T13" s="225"/>
      <c r="U13" s="220">
        <f>O13</f>
        <v>542748.9</v>
      </c>
      <c r="V13" s="218"/>
      <c r="W13" s="220"/>
      <c r="X13" s="218"/>
      <c r="Y13" s="219"/>
    </row>
    <row r="14" spans="1:25" x14ac:dyDescent="0.2">
      <c r="A14" s="60">
        <v>182.81</v>
      </c>
      <c r="C14" s="60" t="s">
        <v>5578</v>
      </c>
      <c r="D14" s="170"/>
      <c r="E14" s="176" t="s">
        <v>4869</v>
      </c>
      <c r="G14" s="156">
        <v>1019.33</v>
      </c>
      <c r="I14" s="156">
        <v>12231.960000000001</v>
      </c>
      <c r="K14" s="175">
        <v>0</v>
      </c>
      <c r="M14" s="46">
        <f t="shared" si="0"/>
        <v>12231.960000000001</v>
      </c>
      <c r="O14" s="175">
        <v>154936.28</v>
      </c>
      <c r="P14" s="175"/>
      <c r="Q14"/>
      <c r="S14" s="217" t="s">
        <v>5578</v>
      </c>
      <c r="T14" s="218"/>
      <c r="U14" s="220">
        <f>O14</f>
        <v>154936.28</v>
      </c>
      <c r="V14" s="218"/>
      <c r="W14" s="220">
        <f>'189 Rollfwd'!M12</f>
        <v>845070.22</v>
      </c>
      <c r="X14" s="218"/>
      <c r="Y14" s="219">
        <f>U14-W14</f>
        <v>-690133.94</v>
      </c>
    </row>
    <row r="15" spans="1:25" x14ac:dyDescent="0.2">
      <c r="A15" s="60">
        <v>182.83</v>
      </c>
      <c r="C15" s="60" t="s">
        <v>5573</v>
      </c>
      <c r="E15" s="172" t="s">
        <v>4849</v>
      </c>
      <c r="F15" s="172"/>
      <c r="G15" s="160">
        <v>3125.47</v>
      </c>
      <c r="H15" s="172"/>
      <c r="I15" s="160">
        <v>37505.64</v>
      </c>
      <c r="K15" s="175">
        <v>0</v>
      </c>
      <c r="M15" s="46">
        <f t="shared" si="0"/>
        <v>37505.64</v>
      </c>
      <c r="O15" s="175">
        <v>368807</v>
      </c>
      <c r="P15" s="175"/>
      <c r="S15" s="217"/>
      <c r="T15" s="225"/>
      <c r="U15" s="218"/>
      <c r="V15" s="218"/>
      <c r="W15" s="218"/>
      <c r="X15" s="218"/>
      <c r="Y15" s="219"/>
    </row>
    <row r="16" spans="1:25" x14ac:dyDescent="0.2">
      <c r="A16" s="60">
        <v>182.83</v>
      </c>
      <c r="C16" s="60" t="s">
        <v>5573</v>
      </c>
      <c r="E16" s="172" t="s">
        <v>4850</v>
      </c>
      <c r="F16" s="172"/>
      <c r="G16" s="160">
        <v>4451.78</v>
      </c>
      <c r="H16" s="172"/>
      <c r="I16" s="160">
        <v>53421.36</v>
      </c>
      <c r="K16" s="175">
        <v>0</v>
      </c>
      <c r="M16" s="46">
        <f t="shared" si="0"/>
        <v>53421.36</v>
      </c>
      <c r="O16" s="175">
        <v>525310.01</v>
      </c>
      <c r="P16" s="175"/>
      <c r="S16" s="217"/>
      <c r="T16" s="225"/>
      <c r="U16" s="218"/>
      <c r="V16" s="218"/>
      <c r="W16" s="220"/>
      <c r="X16" s="218"/>
      <c r="Y16" s="219"/>
    </row>
    <row r="17" spans="1:25" x14ac:dyDescent="0.2">
      <c r="A17" s="60">
        <v>182.83</v>
      </c>
      <c r="C17" s="60" t="s">
        <v>5573</v>
      </c>
      <c r="E17" s="172" t="s">
        <v>4851</v>
      </c>
      <c r="F17" s="172"/>
      <c r="G17" s="160">
        <v>10077.08</v>
      </c>
      <c r="H17" s="172"/>
      <c r="I17" s="160">
        <v>120924.96</v>
      </c>
      <c r="K17" s="175">
        <v>0</v>
      </c>
      <c r="M17" s="46">
        <f t="shared" si="0"/>
        <v>120924.96</v>
      </c>
      <c r="O17" s="175">
        <v>1189096.639999982</v>
      </c>
      <c r="P17" s="175"/>
      <c r="S17" s="217"/>
      <c r="T17" s="225"/>
      <c r="U17" s="218"/>
      <c r="V17" s="218"/>
      <c r="W17" s="218"/>
      <c r="X17" s="218"/>
      <c r="Y17" s="219"/>
    </row>
    <row r="18" spans="1:25" x14ac:dyDescent="0.2">
      <c r="A18" s="60">
        <v>182.93</v>
      </c>
      <c r="C18" s="60" t="s">
        <v>5573</v>
      </c>
      <c r="E18" t="s">
        <v>4849</v>
      </c>
      <c r="F18" s="32"/>
      <c r="G18" s="156">
        <v>1780.13</v>
      </c>
      <c r="H18" s="32"/>
      <c r="I18" s="156">
        <v>21361.56</v>
      </c>
      <c r="K18" s="175">
        <v>0</v>
      </c>
      <c r="M18" s="46">
        <f t="shared" si="0"/>
        <v>21361.56</v>
      </c>
      <c r="O18" s="175">
        <v>383617.68</v>
      </c>
      <c r="P18" s="175"/>
      <c r="S18" s="217" t="s">
        <v>5573</v>
      </c>
      <c r="T18" s="225"/>
      <c r="U18" s="220">
        <f>SUM(M15:M19)</f>
        <v>297255.24</v>
      </c>
      <c r="V18" s="218"/>
      <c r="W18" s="220">
        <f>'189 Rollfwd'!O11</f>
        <v>0</v>
      </c>
      <c r="X18" s="218"/>
      <c r="Y18" s="219">
        <f>U18+W18</f>
        <v>297255.24</v>
      </c>
    </row>
    <row r="19" spans="1:25" x14ac:dyDescent="0.2">
      <c r="A19" s="60">
        <v>182.93</v>
      </c>
      <c r="C19" s="60" t="s">
        <v>5573</v>
      </c>
      <c r="E19" s="172" t="s">
        <v>4850</v>
      </c>
      <c r="F19" s="172"/>
      <c r="G19" s="160">
        <v>5336.81</v>
      </c>
      <c r="H19" s="172"/>
      <c r="I19" s="160">
        <v>64041.72</v>
      </c>
      <c r="K19" s="175">
        <v>0</v>
      </c>
      <c r="M19" s="46">
        <f t="shared" si="0"/>
        <v>64041.72</v>
      </c>
      <c r="O19" s="175">
        <v>1147414.76</v>
      </c>
      <c r="P19" s="175"/>
      <c r="S19" s="217"/>
      <c r="T19" s="225"/>
      <c r="U19" s="220">
        <f>ROUND(SUM(O15:O19),2)</f>
        <v>3614246.09</v>
      </c>
      <c r="V19" s="218"/>
      <c r="W19" s="220">
        <f>'189 Rollfwd'!O12</f>
        <v>0</v>
      </c>
      <c r="X19" s="218"/>
      <c r="Y19" s="219">
        <f>U19-W19</f>
        <v>3614246.09</v>
      </c>
    </row>
    <row r="20" spans="1:25" x14ac:dyDescent="0.2">
      <c r="A20" s="60">
        <v>182.41</v>
      </c>
      <c r="C20" s="60" t="s">
        <v>5581</v>
      </c>
      <c r="E20" t="s">
        <v>4862</v>
      </c>
      <c r="G20" s="175">
        <v>18392</v>
      </c>
      <c r="I20" s="175">
        <v>0</v>
      </c>
      <c r="K20" s="175">
        <v>220704</v>
      </c>
      <c r="M20" s="46">
        <f t="shared" si="0"/>
        <v>220704</v>
      </c>
      <c r="O20" s="175">
        <v>239036</v>
      </c>
      <c r="P20" s="175"/>
      <c r="S20" s="217"/>
      <c r="T20" s="225"/>
      <c r="U20" s="218"/>
      <c r="V20" s="218"/>
      <c r="W20" s="218"/>
      <c r="X20" s="218"/>
      <c r="Y20" s="219"/>
    </row>
    <row r="21" spans="1:25" x14ac:dyDescent="0.2">
      <c r="A21" s="60">
        <v>182.96</v>
      </c>
      <c r="C21" s="60" t="s">
        <v>5581</v>
      </c>
      <c r="E21" s="172" t="s">
        <v>4860</v>
      </c>
      <c r="F21" s="172"/>
      <c r="G21" s="160">
        <v>2230.71</v>
      </c>
      <c r="H21" s="172"/>
      <c r="I21" s="160">
        <v>26768.52</v>
      </c>
      <c r="K21" s="175">
        <v>0</v>
      </c>
      <c r="M21" s="46">
        <f t="shared" si="0"/>
        <v>26768.52</v>
      </c>
      <c r="O21" s="175">
        <v>586678.34</v>
      </c>
      <c r="P21" s="175"/>
      <c r="S21" s="217"/>
      <c r="T21" s="225"/>
      <c r="U21" s="218"/>
      <c r="V21" s="218"/>
      <c r="W21" s="218"/>
      <c r="X21" s="218"/>
      <c r="Y21" s="219"/>
    </row>
    <row r="22" spans="1:25" x14ac:dyDescent="0.2">
      <c r="A22" s="60">
        <v>182.96</v>
      </c>
      <c r="C22" s="60" t="s">
        <v>5581</v>
      </c>
      <c r="E22" s="172" t="s">
        <v>4861</v>
      </c>
      <c r="F22" s="172"/>
      <c r="G22" s="160">
        <v>2490.34</v>
      </c>
      <c r="H22" s="172"/>
      <c r="I22" s="160">
        <v>29884.080000000002</v>
      </c>
      <c r="K22" s="175">
        <v>0</v>
      </c>
      <c r="M22" s="46">
        <f t="shared" si="0"/>
        <v>29884.080000000002</v>
      </c>
      <c r="O22" s="175">
        <v>654960.07999999996</v>
      </c>
      <c r="P22" s="175"/>
      <c r="S22" s="217"/>
      <c r="T22" s="225"/>
      <c r="U22" s="218"/>
      <c r="V22" s="218"/>
      <c r="W22" s="218"/>
      <c r="X22" s="218"/>
      <c r="Y22" s="219"/>
    </row>
    <row r="23" spans="1:25" x14ac:dyDescent="0.2">
      <c r="A23" s="60">
        <v>182.99</v>
      </c>
      <c r="C23" s="60" t="s">
        <v>5581</v>
      </c>
      <c r="E23" s="172" t="s">
        <v>4860</v>
      </c>
      <c r="F23" s="172"/>
      <c r="G23" s="160">
        <v>7091.09</v>
      </c>
      <c r="H23" s="172"/>
      <c r="I23" s="160">
        <v>85093.08</v>
      </c>
      <c r="K23" s="175">
        <v>0</v>
      </c>
      <c r="M23" s="46">
        <f t="shared" si="0"/>
        <v>85093.08</v>
      </c>
      <c r="O23" s="175">
        <v>99274.58</v>
      </c>
      <c r="P23" s="175"/>
      <c r="S23" s="217"/>
      <c r="T23" s="225"/>
      <c r="U23" s="218"/>
      <c r="V23" s="218"/>
      <c r="W23" s="218"/>
      <c r="X23" s="218"/>
      <c r="Y23" s="219"/>
    </row>
    <row r="24" spans="1:25" x14ac:dyDescent="0.2">
      <c r="A24" s="60">
        <v>182.99</v>
      </c>
      <c r="C24" s="60" t="s">
        <v>5581</v>
      </c>
      <c r="E24" s="172" t="s">
        <v>4862</v>
      </c>
      <c r="F24" s="172"/>
      <c r="G24" s="156">
        <v>9993</v>
      </c>
      <c r="H24" s="172"/>
      <c r="I24" s="156">
        <v>119916</v>
      </c>
      <c r="K24" s="175">
        <v>0</v>
      </c>
      <c r="M24" s="46">
        <f t="shared" si="0"/>
        <v>119916</v>
      </c>
      <c r="O24" s="175">
        <v>129945</v>
      </c>
      <c r="P24" s="175"/>
      <c r="S24" s="217" t="s">
        <v>5581</v>
      </c>
      <c r="T24" s="225"/>
      <c r="U24" s="220">
        <f>SUM(M20:M25)</f>
        <v>489603.24</v>
      </c>
      <c r="V24" s="218"/>
      <c r="W24" s="220">
        <f>'189 Rollfwd'!Q11</f>
        <v>0</v>
      </c>
      <c r="X24" s="218"/>
      <c r="Y24" s="219">
        <f>U24+W24</f>
        <v>489603.24</v>
      </c>
    </row>
    <row r="25" spans="1:25" x14ac:dyDescent="0.2">
      <c r="A25" s="60">
        <v>182.99</v>
      </c>
      <c r="C25" s="60" t="s">
        <v>5581</v>
      </c>
      <c r="E25" s="172" t="s">
        <v>4863</v>
      </c>
      <c r="F25" s="172"/>
      <c r="G25" s="156">
        <v>603.13</v>
      </c>
      <c r="H25" s="172"/>
      <c r="I25" s="156">
        <v>7237.56</v>
      </c>
      <c r="K25" s="177">
        <v>0</v>
      </c>
      <c r="M25" s="46">
        <f t="shared" si="0"/>
        <v>7237.56</v>
      </c>
      <c r="O25" s="177">
        <v>8443.7199999999993</v>
      </c>
      <c r="P25" s="177"/>
      <c r="S25" s="217"/>
      <c r="T25" s="225"/>
      <c r="U25" s="220">
        <f>ROUND(SUM(O20:O25),2)</f>
        <v>1718337.72</v>
      </c>
      <c r="V25" s="218"/>
      <c r="W25" s="220">
        <f>ROUND('189 Rollfwd'!Q14,2)</f>
        <v>0</v>
      </c>
      <c r="X25" s="218"/>
      <c r="Y25" s="219">
        <f>U25-W25</f>
        <v>1718337.72</v>
      </c>
    </row>
    <row r="26" spans="1:25" x14ac:dyDescent="0.2">
      <c r="A26" s="60">
        <v>182.81</v>
      </c>
      <c r="C26" s="60" t="s">
        <v>5579</v>
      </c>
      <c r="D26" s="170"/>
      <c r="E26" t="s">
        <v>4864</v>
      </c>
      <c r="G26" s="156">
        <v>857.57</v>
      </c>
      <c r="I26" s="156">
        <v>10290.84</v>
      </c>
      <c r="K26" s="175">
        <v>0</v>
      </c>
      <c r="M26" s="46">
        <f t="shared" si="0"/>
        <v>10290.84</v>
      </c>
      <c r="O26" s="175">
        <v>80611.3</v>
      </c>
      <c r="P26" s="175"/>
      <c r="S26" s="217"/>
      <c r="T26" s="225"/>
      <c r="U26" s="218"/>
      <c r="V26" s="218"/>
      <c r="W26" s="218"/>
      <c r="X26" s="218"/>
      <c r="Y26" s="219"/>
    </row>
    <row r="27" spans="1:25" x14ac:dyDescent="0.2">
      <c r="A27" s="60">
        <v>182.85</v>
      </c>
      <c r="C27" s="60" t="s">
        <v>5579</v>
      </c>
      <c r="E27" s="172" t="s">
        <v>4854</v>
      </c>
      <c r="F27" s="172"/>
      <c r="G27" s="160">
        <v>1407.2299999999998</v>
      </c>
      <c r="H27" s="172"/>
      <c r="I27" s="160">
        <v>16886.759999999998</v>
      </c>
      <c r="K27" s="175">
        <v>0</v>
      </c>
      <c r="M27" s="46">
        <f t="shared" si="0"/>
        <v>16886.759999999998</v>
      </c>
      <c r="O27" s="175">
        <v>157609.20000000001</v>
      </c>
      <c r="P27" s="175"/>
      <c r="S27" s="217"/>
      <c r="T27" s="225"/>
      <c r="U27" s="220"/>
      <c r="V27" s="218"/>
      <c r="W27" s="220"/>
      <c r="X27" s="218"/>
      <c r="Y27" s="219"/>
    </row>
    <row r="28" spans="1:25" x14ac:dyDescent="0.2">
      <c r="A28" s="60">
        <v>182.85</v>
      </c>
      <c r="C28" s="60" t="s">
        <v>5579</v>
      </c>
      <c r="E28" s="172" t="s">
        <v>4855</v>
      </c>
      <c r="F28" s="172"/>
      <c r="G28" s="160">
        <v>2524.9</v>
      </c>
      <c r="H28" s="172"/>
      <c r="I28" s="160">
        <v>30298.799999999999</v>
      </c>
      <c r="K28" s="175">
        <v>0</v>
      </c>
      <c r="M28" s="46">
        <f t="shared" si="0"/>
        <v>30298.799999999999</v>
      </c>
      <c r="O28" s="175">
        <v>282788.46000000002</v>
      </c>
      <c r="P28" s="175"/>
      <c r="S28" s="217" t="s">
        <v>5579</v>
      </c>
      <c r="T28" s="225"/>
      <c r="U28" s="220">
        <f>O28+O27+O26</f>
        <v>521008.96</v>
      </c>
      <c r="V28" s="218"/>
      <c r="W28" s="220">
        <f>'189 Rollfwd'!W12</f>
        <v>0</v>
      </c>
      <c r="X28" s="218"/>
      <c r="Y28" s="219">
        <f>U28-W28</f>
        <v>521008.96</v>
      </c>
    </row>
    <row r="29" spans="1:25" x14ac:dyDescent="0.2">
      <c r="A29" s="60">
        <v>182.84</v>
      </c>
      <c r="C29" s="60" t="s">
        <v>5580</v>
      </c>
      <c r="E29" s="172" t="s">
        <v>4852</v>
      </c>
      <c r="F29" s="172"/>
      <c r="G29" s="160">
        <v>5589.54</v>
      </c>
      <c r="H29" s="172"/>
      <c r="I29" s="160">
        <v>67074.48</v>
      </c>
      <c r="K29" s="175">
        <v>0</v>
      </c>
      <c r="M29" s="46">
        <f t="shared" si="0"/>
        <v>67074.48</v>
      </c>
      <c r="O29" s="175">
        <v>626027.16</v>
      </c>
      <c r="P29" s="175"/>
      <c r="S29" s="217"/>
      <c r="T29" s="225"/>
      <c r="U29" s="218"/>
      <c r="V29" s="218"/>
      <c r="W29" s="218"/>
      <c r="X29" s="218"/>
      <c r="Y29" s="219"/>
    </row>
    <row r="30" spans="1:25" x14ac:dyDescent="0.2">
      <c r="A30" s="60">
        <v>182.84</v>
      </c>
      <c r="C30" s="60" t="s">
        <v>5580</v>
      </c>
      <c r="E30" s="172" t="s">
        <v>4853</v>
      </c>
      <c r="F30" s="172"/>
      <c r="G30" s="160">
        <v>10099.59</v>
      </c>
      <c r="H30" s="172"/>
      <c r="I30" s="160">
        <v>121195.08</v>
      </c>
      <c r="K30" s="175">
        <v>0</v>
      </c>
      <c r="M30" s="46">
        <f t="shared" si="0"/>
        <v>121195.08</v>
      </c>
      <c r="O30" s="175">
        <v>1131154.8999999999</v>
      </c>
      <c r="P30" s="175"/>
      <c r="S30" s="217">
        <v>182.84</v>
      </c>
      <c r="T30" s="225"/>
      <c r="U30" s="220">
        <f>O29+O30</f>
        <v>1757182.06</v>
      </c>
      <c r="V30" s="218"/>
      <c r="W30" s="220">
        <f>'PD0900'!T10</f>
        <v>1945452</v>
      </c>
      <c r="X30" s="218"/>
      <c r="Y30" s="219">
        <f>U30-W30</f>
        <v>-188269.93999999994</v>
      </c>
    </row>
    <row r="31" spans="1:25" x14ac:dyDescent="0.2">
      <c r="A31" s="60">
        <v>182.87</v>
      </c>
      <c r="C31" s="60" t="s">
        <v>5580</v>
      </c>
      <c r="E31" s="172" t="s">
        <v>4856</v>
      </c>
      <c r="F31" s="172"/>
      <c r="G31" s="160">
        <v>193.73000000000002</v>
      </c>
      <c r="H31" s="172"/>
      <c r="I31" s="160">
        <v>2324.7600000000002</v>
      </c>
      <c r="K31" s="175">
        <v>0</v>
      </c>
      <c r="M31" s="46">
        <f t="shared" si="0"/>
        <v>2324.7600000000002</v>
      </c>
      <c r="O31" s="175">
        <v>19955.16</v>
      </c>
      <c r="P31" s="175"/>
      <c r="S31" s="217"/>
      <c r="T31" s="225"/>
      <c r="U31" s="218"/>
      <c r="V31" s="218"/>
      <c r="W31" s="218"/>
      <c r="X31" s="218"/>
      <c r="Y31" s="219"/>
    </row>
    <row r="32" spans="1:25" x14ac:dyDescent="0.2">
      <c r="A32" s="60">
        <v>182.87</v>
      </c>
      <c r="C32" s="60" t="s">
        <v>5580</v>
      </c>
      <c r="E32" s="172" t="s">
        <v>4857</v>
      </c>
      <c r="F32" s="172"/>
      <c r="G32" s="160">
        <v>274.12</v>
      </c>
      <c r="H32" s="172"/>
      <c r="I32" s="160">
        <v>3289.44</v>
      </c>
      <c r="K32" s="175">
        <v>0</v>
      </c>
      <c r="M32" s="46">
        <f t="shared" si="0"/>
        <v>3289.44</v>
      </c>
      <c r="O32" s="175">
        <v>28235</v>
      </c>
      <c r="P32" s="175"/>
      <c r="S32" s="217">
        <v>182.87</v>
      </c>
      <c r="T32" s="225"/>
      <c r="U32" s="220">
        <f>O31+O32</f>
        <v>48190.16</v>
      </c>
      <c r="V32" s="218"/>
      <c r="W32" s="220">
        <f>'PD0900'!V10</f>
        <v>50997</v>
      </c>
      <c r="X32" s="218"/>
      <c r="Y32" s="219">
        <f>U32-W32</f>
        <v>-2806.8399999999965</v>
      </c>
    </row>
    <row r="33" spans="1:33" x14ac:dyDescent="0.2">
      <c r="A33" s="60">
        <v>182.88</v>
      </c>
      <c r="C33" s="60" t="s">
        <v>5580</v>
      </c>
      <c r="E33" s="172" t="s">
        <v>4858</v>
      </c>
      <c r="F33" s="172"/>
      <c r="G33" s="160">
        <v>1347.95</v>
      </c>
      <c r="H33" s="172"/>
      <c r="I33" s="160">
        <v>16175.4</v>
      </c>
      <c r="K33" s="175">
        <v>0</v>
      </c>
      <c r="M33" s="46">
        <f t="shared" si="0"/>
        <v>16175.4</v>
      </c>
      <c r="O33" s="175">
        <v>138839.39000000001</v>
      </c>
      <c r="P33" s="175"/>
      <c r="S33" s="217"/>
      <c r="T33" s="225"/>
      <c r="U33" s="218"/>
      <c r="V33" s="218"/>
      <c r="W33" s="218"/>
      <c r="X33" s="218"/>
      <c r="Y33" s="219"/>
    </row>
    <row r="34" spans="1:33" x14ac:dyDescent="0.2">
      <c r="A34" s="60">
        <v>182.88</v>
      </c>
      <c r="C34" s="60" t="s">
        <v>5580</v>
      </c>
      <c r="E34" s="172" t="s">
        <v>4859</v>
      </c>
      <c r="F34" s="172"/>
      <c r="G34" s="160">
        <v>1918.86</v>
      </c>
      <c r="H34" s="172"/>
      <c r="I34" s="160">
        <v>23026.32</v>
      </c>
      <c r="K34" s="175">
        <v>0</v>
      </c>
      <c r="M34" s="46">
        <f t="shared" si="0"/>
        <v>23026.32</v>
      </c>
      <c r="O34" s="175">
        <v>197642.5</v>
      </c>
      <c r="P34" s="175"/>
      <c r="S34" s="217">
        <v>182.88</v>
      </c>
      <c r="T34" s="225"/>
      <c r="U34" s="220">
        <f>O33+O34</f>
        <v>336481.89</v>
      </c>
      <c r="V34" s="218"/>
      <c r="W34" s="220">
        <f>'PD0900'!X10</f>
        <v>356083</v>
      </c>
      <c r="X34" s="218"/>
      <c r="Y34" s="219">
        <f>U34-W34</f>
        <v>-19601.109999999986</v>
      </c>
    </row>
    <row r="35" spans="1:33" x14ac:dyDescent="0.2">
      <c r="A35" s="60"/>
      <c r="E35" s="172"/>
      <c r="F35" s="172"/>
      <c r="G35" s="160"/>
      <c r="H35" s="172"/>
      <c r="I35" s="160"/>
      <c r="K35" s="175"/>
      <c r="M35" s="46"/>
      <c r="O35" s="175"/>
      <c r="P35" s="175"/>
      <c r="S35" s="221"/>
      <c r="T35" s="227"/>
      <c r="U35" s="222"/>
      <c r="V35" s="228"/>
      <c r="W35" s="222"/>
      <c r="X35" s="228"/>
      <c r="Y35" s="223">
        <f>SUM(Y9:Y34)</f>
        <v>5227025.0399999963</v>
      </c>
    </row>
    <row r="36" spans="1:33" x14ac:dyDescent="0.2">
      <c r="A36" s="60"/>
      <c r="E36" s="172"/>
      <c r="F36" s="172"/>
      <c r="G36" s="160"/>
      <c r="H36" s="172"/>
      <c r="I36" s="160"/>
      <c r="K36" s="175"/>
      <c r="M36" s="46"/>
      <c r="O36" s="175"/>
      <c r="P36" s="175"/>
      <c r="R36" s="46"/>
      <c r="S36" s="46"/>
      <c r="T36" s="207"/>
    </row>
    <row r="37" spans="1:33" x14ac:dyDescent="0.2">
      <c r="A37" s="60"/>
      <c r="E37" s="171"/>
      <c r="F37" s="172"/>
      <c r="G37" s="156"/>
      <c r="H37" s="172"/>
      <c r="I37" s="156"/>
      <c r="K37" s="161"/>
      <c r="M37" s="46"/>
      <c r="O37" s="161"/>
      <c r="P37" s="161"/>
      <c r="T37" s="207"/>
    </row>
    <row r="38" spans="1:33" ht="13.5" thickBot="1" x14ac:dyDescent="0.25">
      <c r="G38" s="159">
        <f>SUM(G9:G37)</f>
        <v>96094.519999999975</v>
      </c>
      <c r="I38" s="211">
        <f>SUM(I9:I37)</f>
        <v>942741.78</v>
      </c>
      <c r="K38" s="211">
        <f>SUM(K9:K37)</f>
        <v>220704</v>
      </c>
      <c r="M38" s="211">
        <f>SUM(M9:M37)</f>
        <v>1163445.78</v>
      </c>
      <c r="O38" s="212">
        <f>SUM(O9:O37)</f>
        <v>9169807.6799999792</v>
      </c>
      <c r="P38" s="210"/>
      <c r="T38" s="207"/>
    </row>
    <row r="39" spans="1:33" ht="13.5" thickTop="1" x14ac:dyDescent="0.2">
      <c r="I39" s="24"/>
      <c r="T39" s="207"/>
    </row>
    <row r="40" spans="1:33" x14ac:dyDescent="0.2">
      <c r="M40" s="206">
        <v>1163446.1599999999</v>
      </c>
      <c r="O40" s="46">
        <f>FAGLB03!F63</f>
        <v>3418153.09</v>
      </c>
      <c r="P40" s="60" t="s">
        <v>5617</v>
      </c>
    </row>
    <row r="41" spans="1:33" x14ac:dyDescent="0.2">
      <c r="M41" s="208">
        <f>M38-M40</f>
        <v>-0.37999999988824129</v>
      </c>
      <c r="N41" s="209"/>
      <c r="O41" s="208">
        <f>O38-O40</f>
        <v>5751654.5899999794</v>
      </c>
      <c r="P41" s="60" t="s">
        <v>5550</v>
      </c>
    </row>
    <row r="43" spans="1:33" x14ac:dyDescent="0.2">
      <c r="A43" s="237"/>
      <c r="B43" s="237"/>
      <c r="C43" s="237"/>
      <c r="D43" s="237"/>
      <c r="E43" s="237"/>
      <c r="F43" s="237"/>
      <c r="G43" s="237"/>
      <c r="H43" s="237"/>
      <c r="I43" s="237"/>
      <c r="J43" s="237"/>
      <c r="K43" s="237"/>
      <c r="L43" s="237"/>
      <c r="M43" s="237"/>
      <c r="N43" s="237"/>
      <c r="O43" s="237"/>
      <c r="P43" s="237"/>
      <c r="Q43" s="238"/>
      <c r="R43" s="237"/>
      <c r="S43" s="237"/>
      <c r="T43" s="239"/>
      <c r="U43" s="237"/>
      <c r="V43" s="237"/>
      <c r="W43" s="237"/>
      <c r="X43" s="237"/>
      <c r="Y43" s="237"/>
      <c r="Z43" s="237"/>
      <c r="AA43" s="237"/>
      <c r="AB43" s="237"/>
      <c r="AC43" s="237"/>
      <c r="AD43" s="237"/>
      <c r="AE43" s="237"/>
      <c r="AF43" s="237"/>
      <c r="AG43" s="237"/>
    </row>
    <row r="44" spans="1:33" ht="15.75" x14ac:dyDescent="0.25">
      <c r="B44" s="243"/>
      <c r="C44" s="396" t="s">
        <v>5629</v>
      </c>
      <c r="D44" s="396"/>
      <c r="E44" s="396"/>
      <c r="F44" s="396"/>
      <c r="G44" s="396"/>
      <c r="H44" s="396"/>
      <c r="I44" s="396"/>
      <c r="J44" s="396"/>
      <c r="K44" s="396"/>
      <c r="L44" s="396"/>
      <c r="M44" s="396"/>
      <c r="N44" s="396"/>
      <c r="O44" s="396"/>
      <c r="P44" s="396"/>
      <c r="Q44" s="396"/>
      <c r="R44" s="396"/>
      <c r="S44" s="396"/>
      <c r="T44" s="396"/>
      <c r="U44" s="396"/>
      <c r="V44" s="396"/>
      <c r="W44" s="396"/>
      <c r="X44" s="396"/>
      <c r="Y44" s="396"/>
      <c r="Z44" s="396"/>
      <c r="AA44" s="396"/>
      <c r="AB44" s="396"/>
      <c r="AC44" s="396"/>
      <c r="AD44" s="396"/>
      <c r="AE44" s="396"/>
      <c r="AF44" s="396"/>
      <c r="AG44" s="396"/>
    </row>
    <row r="45" spans="1:33" ht="15.75" x14ac:dyDescent="0.25">
      <c r="B45" s="243"/>
      <c r="C45" s="396" t="s">
        <v>5628</v>
      </c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396"/>
      <c r="Q45" s="396"/>
      <c r="R45" s="396"/>
      <c r="S45" s="396"/>
      <c r="T45" s="396"/>
      <c r="U45" s="396"/>
      <c r="V45" s="396"/>
      <c r="W45" s="396"/>
      <c r="X45" s="396"/>
      <c r="Y45" s="396"/>
      <c r="Z45" s="396"/>
      <c r="AA45" s="396"/>
      <c r="AB45" s="396"/>
      <c r="AC45" s="396"/>
      <c r="AD45" s="396"/>
      <c r="AE45" s="396"/>
      <c r="AF45" s="396"/>
      <c r="AG45" s="396"/>
    </row>
    <row r="46" spans="1:33" ht="15.75" x14ac:dyDescent="0.25">
      <c r="C46" s="396" t="s">
        <v>5757</v>
      </c>
      <c r="D46" s="396"/>
      <c r="E46" s="396"/>
      <c r="F46" s="396"/>
      <c r="G46" s="396"/>
      <c r="H46" s="396"/>
      <c r="I46" s="396"/>
      <c r="J46" s="396"/>
      <c r="K46" s="396"/>
      <c r="L46" s="396"/>
      <c r="M46" s="396"/>
      <c r="N46" s="396"/>
      <c r="O46" s="396"/>
      <c r="P46" s="396"/>
      <c r="Q46" s="396"/>
      <c r="R46" s="396"/>
      <c r="S46" s="396"/>
      <c r="T46" s="396"/>
      <c r="U46" s="396"/>
      <c r="V46" s="396"/>
      <c r="W46" s="396"/>
      <c r="X46" s="396"/>
      <c r="Y46" s="396"/>
      <c r="Z46" s="396"/>
      <c r="AA46" s="396"/>
      <c r="AB46" s="396"/>
      <c r="AC46" s="396"/>
      <c r="AD46" s="396"/>
      <c r="AE46" s="396"/>
      <c r="AF46" s="396"/>
      <c r="AG46" s="396"/>
    </row>
    <row r="48" spans="1:33" x14ac:dyDescent="0.2">
      <c r="G48" s="46"/>
    </row>
    <row r="50" spans="1:34" x14ac:dyDescent="0.2">
      <c r="A50" s="157"/>
      <c r="C50" s="157" t="s">
        <v>5607</v>
      </c>
      <c r="G50" s="232">
        <v>40878</v>
      </c>
      <c r="H50" s="232"/>
      <c r="I50" s="232">
        <v>40909</v>
      </c>
      <c r="J50" s="232">
        <v>40881</v>
      </c>
      <c r="K50" s="232">
        <v>40940</v>
      </c>
      <c r="L50" s="232">
        <v>40883</v>
      </c>
      <c r="M50" s="232">
        <v>40969</v>
      </c>
      <c r="N50" s="232">
        <v>40885</v>
      </c>
      <c r="O50" s="232">
        <v>41000</v>
      </c>
      <c r="P50" s="232"/>
      <c r="Q50" s="232">
        <v>41030</v>
      </c>
      <c r="R50" s="232"/>
      <c r="S50" s="232">
        <v>41061</v>
      </c>
      <c r="T50" s="232"/>
      <c r="U50" s="232">
        <v>41091</v>
      </c>
      <c r="V50" s="232"/>
      <c r="W50" s="232">
        <v>41122</v>
      </c>
      <c r="X50" s="157"/>
      <c r="Y50" s="232">
        <v>41153</v>
      </c>
      <c r="Z50" s="157"/>
      <c r="AA50" s="232">
        <v>41183</v>
      </c>
      <c r="AB50" s="157"/>
      <c r="AC50" s="232">
        <v>41214</v>
      </c>
      <c r="AD50" s="157"/>
      <c r="AE50" s="232">
        <v>41244</v>
      </c>
      <c r="AF50" s="232"/>
      <c r="AG50" s="233" t="s">
        <v>3617</v>
      </c>
      <c r="AH50" s="216"/>
    </row>
    <row r="51" spans="1:34" x14ac:dyDescent="0.2">
      <c r="A51" s="157"/>
      <c r="C51" s="56" t="s">
        <v>5608</v>
      </c>
      <c r="D51" s="174"/>
      <c r="E51" s="174" t="s">
        <v>2989</v>
      </c>
      <c r="F51" s="33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23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56" t="s">
        <v>3626</v>
      </c>
    </row>
    <row r="52" spans="1:34" x14ac:dyDescent="0.2">
      <c r="C52" s="157"/>
      <c r="D52" s="26"/>
      <c r="E52" s="26"/>
    </row>
    <row r="53" spans="1:34" x14ac:dyDescent="0.2">
      <c r="C53" s="236" t="s">
        <v>5582</v>
      </c>
      <c r="E53" s="60" t="s">
        <v>3442</v>
      </c>
      <c r="G53" s="204">
        <v>0</v>
      </c>
      <c r="H53" s="204"/>
      <c r="I53" s="204">
        <v>0</v>
      </c>
      <c r="J53" s="204"/>
      <c r="K53" s="204">
        <v>0</v>
      </c>
      <c r="L53" s="204"/>
      <c r="M53" s="204">
        <v>0</v>
      </c>
      <c r="N53" s="204"/>
      <c r="O53" s="204">
        <v>0</v>
      </c>
      <c r="P53" s="204"/>
      <c r="Q53" s="204">
        <v>0</v>
      </c>
      <c r="R53" s="204"/>
      <c r="S53" s="204">
        <v>0</v>
      </c>
      <c r="T53" s="204"/>
      <c r="U53" s="204">
        <v>0</v>
      </c>
      <c r="V53" s="204"/>
      <c r="W53" s="204">
        <v>0</v>
      </c>
      <c r="X53" s="204"/>
      <c r="Y53" s="204">
        <v>0</v>
      </c>
      <c r="Z53" s="204"/>
      <c r="AA53" s="204">
        <v>-33386.550000000003</v>
      </c>
      <c r="AB53" s="204"/>
      <c r="AC53" s="204">
        <v>-34371.42</v>
      </c>
      <c r="AD53" s="204"/>
      <c r="AE53" s="204">
        <v>-30934.240000000002</v>
      </c>
      <c r="AF53" s="204"/>
      <c r="AG53" s="229">
        <f>AVERAGE(G53:AE53)</f>
        <v>-7591.708461538462</v>
      </c>
      <c r="AH53" s="204"/>
    </row>
    <row r="54" spans="1:34" x14ac:dyDescent="0.2">
      <c r="C54" s="236" t="s">
        <v>5577</v>
      </c>
      <c r="D54" s="170"/>
      <c r="E54" t="s">
        <v>2982</v>
      </c>
      <c r="G54" s="204">
        <v>0</v>
      </c>
      <c r="H54" s="204"/>
      <c r="I54" s="204">
        <v>0</v>
      </c>
      <c r="J54" s="204"/>
      <c r="K54" s="204">
        <v>0</v>
      </c>
      <c r="L54" s="204"/>
      <c r="M54" s="204">
        <v>0</v>
      </c>
      <c r="N54" s="204"/>
      <c r="O54" s="204">
        <v>0</v>
      </c>
      <c r="P54" s="204"/>
      <c r="Q54" s="204">
        <v>0</v>
      </c>
      <c r="R54" s="204"/>
      <c r="S54" s="204">
        <v>0</v>
      </c>
      <c r="T54" s="204"/>
      <c r="U54" s="204">
        <v>0</v>
      </c>
      <c r="V54" s="204"/>
      <c r="W54" s="204">
        <v>0</v>
      </c>
      <c r="X54" s="204"/>
      <c r="Y54" s="204">
        <v>0</v>
      </c>
      <c r="Z54" s="204"/>
      <c r="AA54" s="204">
        <v>79007.69</v>
      </c>
      <c r="AB54" s="204"/>
      <c r="AC54" s="204">
        <v>77828.479999999996</v>
      </c>
      <c r="AD54" s="204"/>
      <c r="AE54" s="204">
        <v>76649.27</v>
      </c>
      <c r="AF54" s="204"/>
      <c r="AG54" s="229">
        <f t="shared" ref="AG54:AG63" si="1">AVERAGE(G54:AE54)</f>
        <v>17960.418461538462</v>
      </c>
      <c r="AH54" s="204"/>
    </row>
    <row r="55" spans="1:34" x14ac:dyDescent="0.2">
      <c r="C55" s="236" t="s">
        <v>5576</v>
      </c>
      <c r="D55" s="170"/>
      <c r="E55" s="171" t="s">
        <v>3443</v>
      </c>
      <c r="G55" s="204">
        <v>0</v>
      </c>
      <c r="H55" s="204"/>
      <c r="I55" s="204">
        <v>0</v>
      </c>
      <c r="J55" s="204"/>
      <c r="K55" s="204">
        <v>0</v>
      </c>
      <c r="L55" s="204"/>
      <c r="M55" s="204">
        <v>0</v>
      </c>
      <c r="N55" s="204"/>
      <c r="O55" s="204">
        <v>0</v>
      </c>
      <c r="P55" s="204"/>
      <c r="Q55" s="204">
        <v>0</v>
      </c>
      <c r="R55" s="204"/>
      <c r="S55" s="204">
        <v>0</v>
      </c>
      <c r="T55" s="204"/>
      <c r="U55" s="204">
        <v>0</v>
      </c>
      <c r="V55" s="204"/>
      <c r="W55" s="204">
        <v>0</v>
      </c>
      <c r="X55" s="204"/>
      <c r="Y55" s="204">
        <v>0</v>
      </c>
      <c r="Z55" s="204"/>
      <c r="AA55" s="204">
        <v>988805.75</v>
      </c>
      <c r="AB55" s="204"/>
      <c r="AC55" s="204">
        <v>981257.62</v>
      </c>
      <c r="AD55" s="204"/>
      <c r="AE55" s="204">
        <v>973709.49</v>
      </c>
      <c r="AF55" s="204"/>
      <c r="AG55" s="229">
        <f t="shared" si="1"/>
        <v>226444.06615384619</v>
      </c>
      <c r="AH55" s="204"/>
    </row>
    <row r="56" spans="1:34" x14ac:dyDescent="0.2">
      <c r="C56" s="236" t="s">
        <v>5578</v>
      </c>
      <c r="D56" s="170"/>
      <c r="E56" s="176" t="s">
        <v>4869</v>
      </c>
      <c r="G56" s="204">
        <v>0</v>
      </c>
      <c r="H56" s="204"/>
      <c r="I56" s="204">
        <v>0</v>
      </c>
      <c r="J56" s="204"/>
      <c r="K56" s="204">
        <v>0</v>
      </c>
      <c r="L56" s="204"/>
      <c r="M56" s="204">
        <v>0</v>
      </c>
      <c r="N56" s="204"/>
      <c r="O56" s="204">
        <v>0</v>
      </c>
      <c r="P56" s="204"/>
      <c r="Q56" s="204">
        <v>0</v>
      </c>
      <c r="R56" s="204"/>
      <c r="S56" s="204">
        <v>0</v>
      </c>
      <c r="T56" s="204"/>
      <c r="U56" s="204">
        <v>0</v>
      </c>
      <c r="V56" s="204"/>
      <c r="W56" s="204">
        <v>0</v>
      </c>
      <c r="X56" s="204"/>
      <c r="Y56" s="204">
        <v>0</v>
      </c>
      <c r="Z56" s="204"/>
      <c r="AA56" s="204">
        <v>156974.94</v>
      </c>
      <c r="AB56" s="204"/>
      <c r="AC56" s="204">
        <v>155955.60999999999</v>
      </c>
      <c r="AD56" s="204"/>
      <c r="AE56" s="204">
        <v>154936.28</v>
      </c>
      <c r="AF56" s="204"/>
      <c r="AG56" s="229">
        <f t="shared" si="1"/>
        <v>35989.756153846152</v>
      </c>
      <c r="AH56" s="204"/>
    </row>
    <row r="57" spans="1:34" x14ac:dyDescent="0.2">
      <c r="C57" s="236" t="s">
        <v>5573</v>
      </c>
      <c r="E57" s="172" t="s">
        <v>4849</v>
      </c>
      <c r="G57" s="204">
        <v>3911501.33</v>
      </c>
      <c r="H57" s="204"/>
      <c r="I57" s="204">
        <v>3886730.06</v>
      </c>
      <c r="J57" s="204"/>
      <c r="K57" s="204">
        <v>3861958.79</v>
      </c>
      <c r="L57" s="204"/>
      <c r="M57" s="204">
        <v>3837187.52</v>
      </c>
      <c r="N57" s="204"/>
      <c r="O57" s="204">
        <v>3812416.25</v>
      </c>
      <c r="P57" s="204"/>
      <c r="Q57" s="204">
        <v>3787644.98</v>
      </c>
      <c r="R57" s="204"/>
      <c r="S57" s="204">
        <v>3762873.71</v>
      </c>
      <c r="T57" s="204"/>
      <c r="U57" s="204">
        <v>3738102.44</v>
      </c>
      <c r="V57" s="204"/>
      <c r="W57" s="204">
        <v>3713331.17</v>
      </c>
      <c r="X57" s="204"/>
      <c r="Y57" s="204">
        <v>3688559.9</v>
      </c>
      <c r="Z57" s="204"/>
      <c r="AA57" s="204">
        <v>3663788.63</v>
      </c>
      <c r="AB57" s="204"/>
      <c r="AC57" s="204">
        <v>3639017.36</v>
      </c>
      <c r="AD57" s="204"/>
      <c r="AE57" s="204">
        <v>3614246.09</v>
      </c>
      <c r="AF57" s="204"/>
      <c r="AG57" s="229">
        <f t="shared" si="1"/>
        <v>3762873.7100000004</v>
      </c>
      <c r="AH57" s="204"/>
    </row>
    <row r="58" spans="1:34" x14ac:dyDescent="0.2">
      <c r="C58" s="236" t="s">
        <v>5581</v>
      </c>
      <c r="E58" s="171" t="s">
        <v>5600</v>
      </c>
      <c r="G58" s="204">
        <v>2207940.96</v>
      </c>
      <c r="H58" s="204"/>
      <c r="I58" s="204">
        <v>2167140.69</v>
      </c>
      <c r="J58" s="204"/>
      <c r="K58" s="204">
        <v>2126340.42</v>
      </c>
      <c r="L58" s="204"/>
      <c r="M58" s="204">
        <v>2085540.15</v>
      </c>
      <c r="N58" s="204"/>
      <c r="O58" s="204">
        <v>2044739.88</v>
      </c>
      <c r="P58" s="204"/>
      <c r="Q58" s="204">
        <v>2003939.61</v>
      </c>
      <c r="R58" s="204"/>
      <c r="S58" s="204">
        <v>1963139.34</v>
      </c>
      <c r="T58" s="204"/>
      <c r="U58" s="204">
        <v>1922339.07</v>
      </c>
      <c r="V58" s="204"/>
      <c r="W58" s="204">
        <v>1881538.8</v>
      </c>
      <c r="X58" s="204"/>
      <c r="Y58" s="204">
        <v>1840738.53</v>
      </c>
      <c r="Z58" s="204"/>
      <c r="AA58" s="204">
        <v>1799938.26</v>
      </c>
      <c r="AB58" s="204"/>
      <c r="AC58" s="204">
        <v>1759137.99</v>
      </c>
      <c r="AD58" s="204"/>
      <c r="AE58" s="204">
        <v>1718337.72</v>
      </c>
      <c r="AF58" s="204"/>
      <c r="AG58" s="229">
        <f t="shared" si="1"/>
        <v>1963139.34</v>
      </c>
      <c r="AH58" s="204"/>
    </row>
    <row r="59" spans="1:34" x14ac:dyDescent="0.2">
      <c r="C59" s="236" t="s">
        <v>5587</v>
      </c>
      <c r="E59" s="171" t="s">
        <v>5624</v>
      </c>
      <c r="G59" s="204">
        <v>34786.01</v>
      </c>
      <c r="H59" s="204"/>
      <c r="I59" s="204">
        <v>28788.38</v>
      </c>
      <c r="J59" s="204"/>
      <c r="K59" s="204">
        <v>22790.75</v>
      </c>
      <c r="L59" s="204"/>
      <c r="M59" s="204">
        <v>16793.12</v>
      </c>
      <c r="N59" s="204"/>
      <c r="O59" s="204">
        <v>10795.49</v>
      </c>
      <c r="P59" s="204"/>
      <c r="Q59" s="204">
        <v>4797.8599999999997</v>
      </c>
      <c r="R59" s="204"/>
      <c r="S59" s="204">
        <v>0</v>
      </c>
      <c r="T59" s="204"/>
      <c r="U59" s="204">
        <v>0</v>
      </c>
      <c r="V59" s="204"/>
      <c r="W59" s="204">
        <v>0</v>
      </c>
      <c r="X59" s="204"/>
      <c r="Y59" s="204">
        <v>0</v>
      </c>
      <c r="Z59" s="204"/>
      <c r="AA59" s="204">
        <v>0</v>
      </c>
      <c r="AB59" s="204"/>
      <c r="AC59" s="204">
        <v>0</v>
      </c>
      <c r="AD59" s="204"/>
      <c r="AE59" s="204">
        <v>0</v>
      </c>
      <c r="AF59" s="204"/>
      <c r="AG59" s="229">
        <f t="shared" si="1"/>
        <v>9134.7392307692317</v>
      </c>
      <c r="AH59" s="204"/>
    </row>
    <row r="60" spans="1:34" x14ac:dyDescent="0.2">
      <c r="C60" s="236" t="s">
        <v>5588</v>
      </c>
      <c r="D60" s="170"/>
      <c r="E60" s="171" t="s">
        <v>5625</v>
      </c>
      <c r="G60" s="204">
        <v>1296131.6100000001</v>
      </c>
      <c r="H60" s="204"/>
      <c r="I60" s="204">
        <v>1122540.1599999999</v>
      </c>
      <c r="J60" s="204"/>
      <c r="K60" s="204">
        <v>948948.71</v>
      </c>
      <c r="L60" s="204"/>
      <c r="M60" s="204">
        <v>775357.26</v>
      </c>
      <c r="N60" s="204"/>
      <c r="O60" s="204">
        <v>601765.81000000006</v>
      </c>
      <c r="P60" s="204"/>
      <c r="Q60" s="204">
        <v>428174.36</v>
      </c>
      <c r="R60" s="204"/>
      <c r="S60" s="204">
        <v>254582.91</v>
      </c>
      <c r="T60" s="204"/>
      <c r="U60" s="204">
        <v>80991.460000000006</v>
      </c>
      <c r="V60" s="204"/>
      <c r="W60" s="204">
        <v>0</v>
      </c>
      <c r="X60" s="204"/>
      <c r="Y60" s="204">
        <v>0</v>
      </c>
      <c r="Z60" s="204"/>
      <c r="AA60" s="204">
        <v>0</v>
      </c>
      <c r="AB60" s="204"/>
      <c r="AC60" s="204">
        <v>0</v>
      </c>
      <c r="AD60" s="204"/>
      <c r="AE60" s="204">
        <v>0</v>
      </c>
      <c r="AF60" s="204"/>
      <c r="AG60" s="229">
        <f t="shared" si="1"/>
        <v>423730.17538461549</v>
      </c>
      <c r="AH60" s="204"/>
    </row>
    <row r="61" spans="1:34" x14ac:dyDescent="0.2">
      <c r="C61" s="236" t="s">
        <v>5591</v>
      </c>
      <c r="D61" s="170"/>
      <c r="E61" s="235" t="s">
        <v>5626</v>
      </c>
      <c r="G61" s="204">
        <v>0</v>
      </c>
      <c r="H61" s="204"/>
      <c r="I61" s="204">
        <v>0</v>
      </c>
      <c r="J61" s="204"/>
      <c r="K61" s="204">
        <v>0</v>
      </c>
      <c r="L61" s="204"/>
      <c r="M61" s="204">
        <v>0</v>
      </c>
      <c r="N61" s="204"/>
      <c r="O61" s="204">
        <v>0</v>
      </c>
      <c r="P61" s="204"/>
      <c r="Q61" s="204">
        <v>0</v>
      </c>
      <c r="R61" s="204"/>
      <c r="S61" s="204">
        <v>0</v>
      </c>
      <c r="T61" s="204"/>
      <c r="U61" s="204">
        <v>0</v>
      </c>
      <c r="V61" s="204"/>
      <c r="W61" s="204">
        <v>0</v>
      </c>
      <c r="X61" s="204"/>
      <c r="Y61" s="204">
        <v>0</v>
      </c>
      <c r="Z61" s="204"/>
      <c r="AA61" s="204">
        <v>-4422.05</v>
      </c>
      <c r="AB61" s="204"/>
      <c r="AC61" s="204">
        <v>0</v>
      </c>
      <c r="AD61" s="204"/>
      <c r="AE61" s="204">
        <v>0</v>
      </c>
      <c r="AF61" s="204"/>
      <c r="AG61" s="229">
        <f t="shared" si="1"/>
        <v>-340.15769230769234</v>
      </c>
      <c r="AH61" s="204"/>
    </row>
    <row r="62" spans="1:34" x14ac:dyDescent="0.2">
      <c r="C62" s="236" t="s">
        <v>5579</v>
      </c>
      <c r="E62" s="60" t="s">
        <v>4864</v>
      </c>
      <c r="G62" s="204">
        <v>487583.22</v>
      </c>
      <c r="H62" s="204"/>
      <c r="I62" s="204">
        <v>483651.09</v>
      </c>
      <c r="J62" s="204"/>
      <c r="K62" s="204">
        <v>479718.96</v>
      </c>
      <c r="L62" s="204"/>
      <c r="M62" s="204">
        <v>475786.83</v>
      </c>
      <c r="N62" s="204"/>
      <c r="O62" s="204">
        <v>471854.7</v>
      </c>
      <c r="P62" s="204"/>
      <c r="Q62" s="204">
        <v>467922.57</v>
      </c>
      <c r="R62" s="204"/>
      <c r="S62" s="204">
        <v>463990.44</v>
      </c>
      <c r="T62" s="204"/>
      <c r="U62" s="204">
        <v>460058.31</v>
      </c>
      <c r="V62" s="204"/>
      <c r="W62" s="204">
        <v>456126.18</v>
      </c>
      <c r="X62" s="204"/>
      <c r="Y62" s="204">
        <v>452194.05</v>
      </c>
      <c r="Z62" s="204"/>
      <c r="AA62" s="204">
        <v>530588.36</v>
      </c>
      <c r="AB62" s="204"/>
      <c r="AC62" s="204">
        <v>525798.66</v>
      </c>
      <c r="AD62" s="204"/>
      <c r="AE62" s="204">
        <v>521008.96</v>
      </c>
      <c r="AF62" s="204"/>
      <c r="AG62" s="229">
        <f t="shared" si="1"/>
        <v>482790.94846153847</v>
      </c>
      <c r="AH62" s="204"/>
    </row>
    <row r="63" spans="1:34" x14ac:dyDescent="0.2">
      <c r="C63" s="236" t="s">
        <v>5580</v>
      </c>
      <c r="E63" s="171" t="s">
        <v>5627</v>
      </c>
      <c r="G63" s="230">
        <v>2879436.24</v>
      </c>
      <c r="H63" s="204"/>
      <c r="I63" s="230">
        <v>2818052.66</v>
      </c>
      <c r="J63" s="204"/>
      <c r="K63" s="230">
        <v>2756669.08</v>
      </c>
      <c r="L63" s="204"/>
      <c r="M63" s="230">
        <v>2695285.5</v>
      </c>
      <c r="N63" s="204"/>
      <c r="O63" s="230">
        <v>2633890.16</v>
      </c>
      <c r="P63" s="204"/>
      <c r="Q63" s="230">
        <v>2611410.2599999998</v>
      </c>
      <c r="R63" s="204"/>
      <c r="S63" s="230">
        <v>2588930.36</v>
      </c>
      <c r="T63" s="204"/>
      <c r="U63" s="230">
        <v>2566450.46</v>
      </c>
      <c r="V63" s="204"/>
      <c r="W63" s="230">
        <v>2543970.56</v>
      </c>
      <c r="X63" s="204"/>
      <c r="Y63" s="230">
        <v>2521490.66</v>
      </c>
      <c r="Z63" s="204"/>
      <c r="AA63" s="230">
        <v>2180701.69</v>
      </c>
      <c r="AB63" s="204"/>
      <c r="AC63" s="230">
        <v>2161277.9</v>
      </c>
      <c r="AD63" s="204"/>
      <c r="AE63" s="230">
        <v>2141854.11</v>
      </c>
      <c r="AF63" s="204"/>
      <c r="AG63" s="231">
        <f t="shared" si="1"/>
        <v>2546109.2030769233</v>
      </c>
      <c r="AH63" s="204"/>
    </row>
    <row r="64" spans="1:34" x14ac:dyDescent="0.2">
      <c r="G64" s="229">
        <f>SUM(G53:G63)</f>
        <v>10817379.370000001</v>
      </c>
      <c r="H64" s="229"/>
      <c r="I64" s="229">
        <f>SUM(I53:I63)</f>
        <v>10506903.039999999</v>
      </c>
      <c r="J64" s="229"/>
      <c r="K64" s="229">
        <f>SUM(K53:K63)</f>
        <v>10196426.710000001</v>
      </c>
      <c r="L64" s="229"/>
      <c r="M64" s="229">
        <f>SUM(M53:M63)</f>
        <v>9885950.379999999</v>
      </c>
      <c r="N64" s="229"/>
      <c r="O64" s="229">
        <f>SUM(O53:O63)</f>
        <v>9575462.2899999991</v>
      </c>
      <c r="P64" s="229"/>
      <c r="Q64" s="229">
        <f>SUM(Q53:Q63)</f>
        <v>9303889.6400000006</v>
      </c>
      <c r="R64" s="229"/>
      <c r="S64" s="229">
        <f>SUM(S53:S63)</f>
        <v>9033516.7599999998</v>
      </c>
      <c r="T64" s="229"/>
      <c r="U64" s="229">
        <f>SUM(U53:U63)</f>
        <v>8767941.7399999984</v>
      </c>
      <c r="V64" s="229"/>
      <c r="W64" s="229">
        <f>SUM(W53:W63)</f>
        <v>8594966.709999999</v>
      </c>
      <c r="X64" s="229"/>
      <c r="Y64" s="229">
        <f>SUM(Y53:Y63)</f>
        <v>8502983.1400000006</v>
      </c>
      <c r="Z64" s="229"/>
      <c r="AA64" s="229">
        <f>SUM(AA53:AA63)</f>
        <v>9361996.7200000007</v>
      </c>
      <c r="AB64" s="229"/>
      <c r="AC64" s="229">
        <f>SUM(AC53:AC63)</f>
        <v>9265902.2000000011</v>
      </c>
      <c r="AD64" s="229"/>
      <c r="AE64" s="229">
        <f>SUM(AE53:AE63)</f>
        <v>9169807.6799999997</v>
      </c>
      <c r="AF64" s="229"/>
      <c r="AG64" s="229">
        <f>SUM(AG53:AG63)</f>
        <v>9460240.4907692317</v>
      </c>
      <c r="AH64" s="204"/>
    </row>
    <row r="65" spans="1:33" x14ac:dyDescent="0.2">
      <c r="G65" s="48">
        <f>10817379.37-G64</f>
        <v>0</v>
      </c>
      <c r="H65" s="26"/>
      <c r="I65" s="48">
        <f>10506903.04-I64</f>
        <v>0</v>
      </c>
      <c r="J65" s="26"/>
      <c r="K65" s="48">
        <f>10196426.71-K64</f>
        <v>0</v>
      </c>
      <c r="L65" s="26"/>
      <c r="M65" s="48">
        <f>9885950.38-M64</f>
        <v>0</v>
      </c>
      <c r="N65" s="26"/>
      <c r="O65" s="48">
        <f>9575462.29-O64</f>
        <v>0</v>
      </c>
      <c r="P65" s="26"/>
      <c r="Q65" s="48">
        <f>9303889.64-Q64</f>
        <v>0</v>
      </c>
      <c r="R65" s="26"/>
      <c r="S65" s="48">
        <f>9033516.76-S64</f>
        <v>0</v>
      </c>
      <c r="T65" s="128"/>
      <c r="U65" s="48">
        <f>8767941.74-U64</f>
        <v>0</v>
      </c>
      <c r="V65" s="26"/>
      <c r="W65" s="48">
        <f>8594966.71-W64</f>
        <v>0</v>
      </c>
      <c r="X65" s="26"/>
      <c r="Y65" s="48">
        <f>8502983.14-Y64</f>
        <v>0</v>
      </c>
      <c r="Z65" s="26"/>
      <c r="AA65" s="48">
        <f>9361996.72-AA64</f>
        <v>0</v>
      </c>
      <c r="AB65" s="26"/>
      <c r="AC65" s="48">
        <f>9265902.2-AC64</f>
        <v>0</v>
      </c>
      <c r="AD65" s="26"/>
      <c r="AE65" s="48">
        <f>9169807.68-AE64</f>
        <v>0</v>
      </c>
      <c r="AF65" s="26"/>
      <c r="AG65" s="26"/>
    </row>
    <row r="66" spans="1:33" x14ac:dyDescent="0.2">
      <c r="AE66" s="46">
        <f>AE64-'181 &amp; 189'!O42</f>
        <v>9169807.6799999997</v>
      </c>
    </row>
    <row r="70" spans="1:33" x14ac:dyDescent="0.2">
      <c r="A70" s="237"/>
      <c r="B70" s="237"/>
      <c r="C70" s="237"/>
      <c r="D70" s="237"/>
      <c r="E70" s="237"/>
      <c r="F70" s="237"/>
      <c r="G70" s="237"/>
      <c r="H70" s="237"/>
      <c r="I70" s="237"/>
      <c r="J70" s="237"/>
      <c r="K70" s="237"/>
      <c r="L70" s="237"/>
      <c r="M70" s="237"/>
      <c r="N70" s="237"/>
      <c r="O70" s="237"/>
      <c r="P70" s="237"/>
      <c r="Q70" s="238"/>
      <c r="R70" s="237"/>
      <c r="S70" s="237"/>
      <c r="T70" s="239"/>
      <c r="U70" s="237"/>
      <c r="V70" s="237"/>
      <c r="W70" s="237"/>
      <c r="X70" s="237"/>
      <c r="Y70" s="237"/>
      <c r="Z70" s="237"/>
      <c r="AA70" s="237"/>
      <c r="AB70" s="237"/>
      <c r="AC70" s="237"/>
      <c r="AD70" s="237"/>
      <c r="AE70" s="237"/>
      <c r="AF70" s="237"/>
      <c r="AG70" s="237"/>
    </row>
    <row r="71" spans="1:33" ht="15.75" x14ac:dyDescent="0.25">
      <c r="B71" s="243"/>
      <c r="C71" s="396" t="s">
        <v>5629</v>
      </c>
      <c r="D71" s="396"/>
      <c r="E71" s="396"/>
      <c r="F71" s="396"/>
      <c r="G71" s="396"/>
      <c r="H71" s="396"/>
      <c r="I71" s="396"/>
      <c r="J71" s="396"/>
      <c r="K71" s="396"/>
      <c r="L71" s="396"/>
      <c r="M71" s="396"/>
      <c r="N71" s="396"/>
      <c r="O71" s="396"/>
      <c r="P71" s="396"/>
      <c r="Q71" s="396"/>
      <c r="R71" s="396"/>
      <c r="S71" s="396"/>
      <c r="T71" s="396"/>
      <c r="U71" s="396"/>
      <c r="V71" s="396"/>
      <c r="W71" s="396"/>
      <c r="X71" s="396"/>
      <c r="Y71" s="396"/>
      <c r="Z71" s="396"/>
      <c r="AA71" s="396"/>
      <c r="AB71" s="396"/>
      <c r="AC71" s="396"/>
      <c r="AD71" s="396"/>
      <c r="AE71" s="396"/>
      <c r="AF71" s="396"/>
      <c r="AG71" s="396"/>
    </row>
    <row r="72" spans="1:33" ht="15.75" x14ac:dyDescent="0.25">
      <c r="B72" s="243"/>
      <c r="C72" s="396" t="s">
        <v>5628</v>
      </c>
      <c r="D72" s="396"/>
      <c r="E72" s="396"/>
      <c r="F72" s="396"/>
      <c r="G72" s="396"/>
      <c r="H72" s="396"/>
      <c r="I72" s="396"/>
      <c r="J72" s="396"/>
      <c r="K72" s="396"/>
      <c r="L72" s="396"/>
      <c r="M72" s="396"/>
      <c r="N72" s="396"/>
      <c r="O72" s="396"/>
      <c r="P72" s="396"/>
      <c r="Q72" s="396"/>
      <c r="R72" s="396"/>
      <c r="S72" s="396"/>
      <c r="T72" s="396"/>
      <c r="U72" s="396"/>
      <c r="V72" s="396"/>
      <c r="W72" s="396"/>
      <c r="X72" s="396"/>
      <c r="Y72" s="396"/>
      <c r="Z72" s="396"/>
      <c r="AA72" s="396"/>
      <c r="AB72" s="396"/>
      <c r="AC72" s="396"/>
      <c r="AD72" s="396"/>
      <c r="AE72" s="396"/>
      <c r="AF72" s="396"/>
      <c r="AG72" s="396"/>
    </row>
    <row r="73" spans="1:33" ht="15.75" x14ac:dyDescent="0.25">
      <c r="C73" s="396" t="s">
        <v>5756</v>
      </c>
      <c r="D73" s="396"/>
      <c r="E73" s="396"/>
      <c r="F73" s="396"/>
      <c r="G73" s="396"/>
      <c r="H73" s="396"/>
      <c r="I73" s="396"/>
      <c r="J73" s="396"/>
      <c r="K73" s="396"/>
      <c r="L73" s="396"/>
      <c r="M73" s="396"/>
      <c r="N73" s="396"/>
      <c r="O73" s="396"/>
      <c r="P73" s="396"/>
      <c r="Q73" s="396"/>
      <c r="R73" s="396"/>
      <c r="S73" s="396"/>
      <c r="T73" s="396"/>
      <c r="U73" s="396"/>
      <c r="V73" s="396"/>
      <c r="W73" s="396"/>
      <c r="X73" s="396"/>
      <c r="Y73" s="396"/>
      <c r="Z73" s="396"/>
      <c r="AA73" s="396"/>
      <c r="AB73" s="396"/>
      <c r="AC73" s="396"/>
      <c r="AD73" s="396"/>
      <c r="AE73" s="396"/>
      <c r="AF73" s="396"/>
      <c r="AG73" s="396"/>
    </row>
    <row r="75" spans="1:33" x14ac:dyDescent="0.2">
      <c r="G75" s="46"/>
    </row>
    <row r="77" spans="1:33" x14ac:dyDescent="0.2">
      <c r="A77" s="157"/>
      <c r="C77" s="157" t="s">
        <v>5607</v>
      </c>
      <c r="G77" s="232">
        <v>41244</v>
      </c>
      <c r="H77" s="232"/>
      <c r="I77" s="232">
        <v>41275</v>
      </c>
      <c r="J77" s="232">
        <v>40881</v>
      </c>
      <c r="K77" s="232">
        <v>41306</v>
      </c>
      <c r="L77" s="232">
        <v>40883</v>
      </c>
      <c r="M77" s="232">
        <v>41334</v>
      </c>
      <c r="N77" s="232">
        <v>40885</v>
      </c>
      <c r="O77" s="232">
        <v>41365</v>
      </c>
      <c r="P77" s="232"/>
      <c r="Q77" s="232">
        <v>41395</v>
      </c>
      <c r="R77" s="232"/>
      <c r="S77" s="232">
        <v>41426</v>
      </c>
      <c r="T77" s="232"/>
      <c r="U77" s="232">
        <v>41456</v>
      </c>
      <c r="V77" s="232"/>
      <c r="W77" s="232">
        <v>41487</v>
      </c>
      <c r="X77" s="157"/>
      <c r="Y77" s="232">
        <v>41518</v>
      </c>
      <c r="Z77" s="157"/>
      <c r="AA77" s="232">
        <v>41548</v>
      </c>
      <c r="AB77" s="157"/>
      <c r="AC77" s="232">
        <v>41579</v>
      </c>
      <c r="AD77" s="157"/>
      <c r="AE77" s="232">
        <v>41609</v>
      </c>
      <c r="AF77" s="232"/>
      <c r="AG77" s="233" t="s">
        <v>3617</v>
      </c>
    </row>
    <row r="78" spans="1:33" x14ac:dyDescent="0.2">
      <c r="A78" s="157"/>
      <c r="C78" s="56" t="s">
        <v>5608</v>
      </c>
      <c r="D78" s="174"/>
      <c r="E78" s="174" t="s">
        <v>2989</v>
      </c>
      <c r="F78" s="33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234"/>
      <c r="U78" s="174"/>
      <c r="V78" s="174"/>
      <c r="W78" s="174"/>
      <c r="X78" s="174"/>
      <c r="Y78" s="174"/>
      <c r="Z78" s="174"/>
      <c r="AA78" s="174"/>
      <c r="AB78" s="174"/>
      <c r="AC78" s="174"/>
      <c r="AD78" s="174"/>
      <c r="AE78" s="174"/>
      <c r="AF78" s="174"/>
      <c r="AG78" s="56" t="s">
        <v>3626</v>
      </c>
    </row>
    <row r="79" spans="1:33" x14ac:dyDescent="0.2">
      <c r="C79" s="157"/>
      <c r="D79" s="26"/>
      <c r="E79" s="26"/>
    </row>
    <row r="80" spans="1:33" s="60" customFormat="1" x14ac:dyDescent="0.2">
      <c r="C80" s="236" t="s">
        <v>5582</v>
      </c>
      <c r="E80" s="60" t="s">
        <v>3442</v>
      </c>
      <c r="G80" s="273">
        <v>-30934.240000000002</v>
      </c>
      <c r="H80" s="273"/>
      <c r="I80" s="273">
        <f>G80+3437.18</f>
        <v>-27497.06</v>
      </c>
      <c r="J80" s="273"/>
      <c r="K80" s="273">
        <f>I80+3437.18</f>
        <v>-24059.88</v>
      </c>
      <c r="L80" s="273"/>
      <c r="M80" s="273">
        <f>K80+3437.18</f>
        <v>-20622.7</v>
      </c>
      <c r="N80" s="273"/>
      <c r="O80" s="273">
        <f>M80+3437.18</f>
        <v>-17185.52</v>
      </c>
      <c r="P80" s="273"/>
      <c r="Q80" s="273">
        <f>O80+3437.18</f>
        <v>-13748.34</v>
      </c>
      <c r="R80" s="273"/>
      <c r="S80" s="273">
        <f>Q80+3437.18</f>
        <v>-10311.16</v>
      </c>
      <c r="T80" s="273"/>
      <c r="U80" s="273">
        <f>S80+3437.18</f>
        <v>-6873.98</v>
      </c>
      <c r="V80" s="273"/>
      <c r="W80" s="273">
        <f>U80+3437.18</f>
        <v>-3436.7999999999997</v>
      </c>
      <c r="X80" s="273"/>
      <c r="Y80" s="273">
        <f>W80+3436.8</f>
        <v>0</v>
      </c>
      <c r="Z80" s="273"/>
      <c r="AA80" s="273">
        <v>0</v>
      </c>
      <c r="AB80" s="273"/>
      <c r="AC80" s="273">
        <v>0</v>
      </c>
      <c r="AD80" s="273"/>
      <c r="AE80" s="273">
        <v>0</v>
      </c>
      <c r="AF80" s="273"/>
      <c r="AG80" s="229">
        <f>AVERAGE(G80:AE80)</f>
        <v>-11897.667692307694</v>
      </c>
    </row>
    <row r="81" spans="1:33" s="60" customFormat="1" x14ac:dyDescent="0.2">
      <c r="C81" s="236" t="s">
        <v>5577</v>
      </c>
      <c r="D81" s="170"/>
      <c r="E81" s="60" t="s">
        <v>2982</v>
      </c>
      <c r="G81" s="273">
        <v>76649.27</v>
      </c>
      <c r="H81" s="273"/>
      <c r="I81" s="273">
        <f>G81-1179.21</f>
        <v>75470.06</v>
      </c>
      <c r="J81" s="273"/>
      <c r="K81" s="273">
        <f>I81-1179.21</f>
        <v>74290.849999999991</v>
      </c>
      <c r="L81" s="273"/>
      <c r="M81" s="273">
        <f>K81-1179.21</f>
        <v>73111.639999999985</v>
      </c>
      <c r="N81" s="273"/>
      <c r="O81" s="273">
        <f>M81-1179.21</f>
        <v>71932.429999999978</v>
      </c>
      <c r="P81" s="273"/>
      <c r="Q81" s="273">
        <f>O81-1179.21</f>
        <v>70753.219999999972</v>
      </c>
      <c r="R81" s="273"/>
      <c r="S81" s="273">
        <f>Q81-1179.21</f>
        <v>69574.009999999966</v>
      </c>
      <c r="T81" s="273"/>
      <c r="U81" s="273">
        <f>S81-1179.21</f>
        <v>68394.799999999959</v>
      </c>
      <c r="V81" s="273"/>
      <c r="W81" s="273">
        <f>U81-1179.21</f>
        <v>67215.589999999953</v>
      </c>
      <c r="X81" s="273"/>
      <c r="Y81" s="273">
        <f>W81-1179.21</f>
        <v>66036.379999999946</v>
      </c>
      <c r="Z81" s="273"/>
      <c r="AA81" s="273">
        <f>Y81-1179.21</f>
        <v>64857.169999999947</v>
      </c>
      <c r="AB81" s="273"/>
      <c r="AC81" s="273">
        <f>AA81-1179.21</f>
        <v>63677.959999999948</v>
      </c>
      <c r="AD81" s="273"/>
      <c r="AE81" s="273">
        <f>AC81-1179.21</f>
        <v>62498.749999999949</v>
      </c>
      <c r="AF81" s="273"/>
      <c r="AG81" s="229">
        <f t="shared" ref="AG81:AG87" si="2">AVERAGE(G81:AE81)</f>
        <v>69574.00999999998</v>
      </c>
    </row>
    <row r="82" spans="1:33" s="60" customFormat="1" x14ac:dyDescent="0.2">
      <c r="C82" s="236" t="s">
        <v>5576</v>
      </c>
      <c r="D82" s="170"/>
      <c r="E82" s="171" t="s">
        <v>3443</v>
      </c>
      <c r="G82" s="273">
        <v>973709.49</v>
      </c>
      <c r="H82" s="273"/>
      <c r="I82" s="273">
        <f>G82-7548.13</f>
        <v>966161.36</v>
      </c>
      <c r="J82" s="273"/>
      <c r="K82" s="273">
        <f>I82-7548.13</f>
        <v>958613.23</v>
      </c>
      <c r="L82" s="273"/>
      <c r="M82" s="273">
        <f>K82-7548.13</f>
        <v>951065.1</v>
      </c>
      <c r="N82" s="273"/>
      <c r="O82" s="273">
        <f>M82-7548.13</f>
        <v>943516.97</v>
      </c>
      <c r="P82" s="273"/>
      <c r="Q82" s="273">
        <f>O82-7548.13</f>
        <v>935968.84</v>
      </c>
      <c r="R82" s="273"/>
      <c r="S82" s="273">
        <f>Q82-7548.13</f>
        <v>928420.71</v>
      </c>
      <c r="T82" s="273"/>
      <c r="U82" s="273">
        <f>S82-7548.13</f>
        <v>920872.58</v>
      </c>
      <c r="V82" s="273"/>
      <c r="W82" s="273">
        <f>U82-7548.13</f>
        <v>913324.45</v>
      </c>
      <c r="X82" s="273"/>
      <c r="Y82" s="273">
        <f>W82-7548.13</f>
        <v>905776.32</v>
      </c>
      <c r="Z82" s="273"/>
      <c r="AA82" s="273">
        <f>Y82-7548.13</f>
        <v>898228.19</v>
      </c>
      <c r="AB82" s="273"/>
      <c r="AC82" s="273">
        <f>AA82-7548.13</f>
        <v>890680.05999999994</v>
      </c>
      <c r="AD82" s="273"/>
      <c r="AE82" s="273">
        <f>AC82-7548.13</f>
        <v>883131.92999999993</v>
      </c>
      <c r="AF82" s="273"/>
      <c r="AG82" s="229">
        <f t="shared" si="2"/>
        <v>928420.71000000008</v>
      </c>
    </row>
    <row r="83" spans="1:33" s="60" customFormat="1" x14ac:dyDescent="0.2">
      <c r="C83" s="236" t="s">
        <v>5578</v>
      </c>
      <c r="D83" s="170"/>
      <c r="E83" s="235" t="s">
        <v>4869</v>
      </c>
      <c r="G83" s="273">
        <v>154936.28</v>
      </c>
      <c r="H83" s="273"/>
      <c r="I83" s="273">
        <f>G83-1019.33</f>
        <v>153916.95000000001</v>
      </c>
      <c r="J83" s="273"/>
      <c r="K83" s="273">
        <f>I83-1019.33</f>
        <v>152897.62000000002</v>
      </c>
      <c r="L83" s="273"/>
      <c r="M83" s="273">
        <f>K83-1019.33</f>
        <v>151878.29000000004</v>
      </c>
      <c r="N83" s="273"/>
      <c r="O83" s="273">
        <f>M83-1019.33</f>
        <v>150858.96000000005</v>
      </c>
      <c r="P83" s="273"/>
      <c r="Q83" s="273">
        <f>O83-1019.33</f>
        <v>149839.63000000006</v>
      </c>
      <c r="R83" s="273"/>
      <c r="S83" s="273">
        <f>Q83-1019.33</f>
        <v>148820.30000000008</v>
      </c>
      <c r="T83" s="273"/>
      <c r="U83" s="273">
        <f>S83-1019.33</f>
        <v>147800.97000000009</v>
      </c>
      <c r="V83" s="273"/>
      <c r="W83" s="273">
        <f>U83-1019.33</f>
        <v>146781.6400000001</v>
      </c>
      <c r="X83" s="273"/>
      <c r="Y83" s="273">
        <f>W83-1019.33</f>
        <v>145762.31000000011</v>
      </c>
      <c r="Z83" s="273"/>
      <c r="AA83" s="273">
        <f>Y83-1019.33</f>
        <v>144742.98000000013</v>
      </c>
      <c r="AB83" s="273"/>
      <c r="AC83" s="273">
        <f>AA83-1019.33</f>
        <v>143723.65000000014</v>
      </c>
      <c r="AD83" s="273"/>
      <c r="AE83" s="273">
        <f>AC83-1019.33</f>
        <v>142704.32000000015</v>
      </c>
      <c r="AF83" s="273"/>
      <c r="AG83" s="229">
        <f t="shared" si="2"/>
        <v>148820.30000000008</v>
      </c>
    </row>
    <row r="84" spans="1:33" s="60" customFormat="1" x14ac:dyDescent="0.2">
      <c r="C84" s="236" t="s">
        <v>5573</v>
      </c>
      <c r="E84" s="171" t="s">
        <v>4849</v>
      </c>
      <c r="G84" s="273">
        <v>3614246.09</v>
      </c>
      <c r="H84" s="273"/>
      <c r="I84" s="273">
        <f>G84-24771.27</f>
        <v>3589474.82</v>
      </c>
      <c r="J84" s="273"/>
      <c r="K84" s="273">
        <f>I84-24771.27</f>
        <v>3564703.55</v>
      </c>
      <c r="L84" s="273"/>
      <c r="M84" s="273">
        <f>K84-24771.27</f>
        <v>3539932.28</v>
      </c>
      <c r="N84" s="273"/>
      <c r="O84" s="273">
        <f>M84-24771.27</f>
        <v>3515161.01</v>
      </c>
      <c r="P84" s="273"/>
      <c r="Q84" s="273">
        <f>O84-24771.27</f>
        <v>3490389.7399999998</v>
      </c>
      <c r="R84" s="273"/>
      <c r="S84" s="273">
        <f>Q84-24771.27</f>
        <v>3465618.4699999997</v>
      </c>
      <c r="T84" s="273"/>
      <c r="U84" s="273">
        <f>S84-24771.27</f>
        <v>3440847.1999999997</v>
      </c>
      <c r="V84" s="273"/>
      <c r="W84" s="273">
        <f>U84-24771.27</f>
        <v>3416075.9299999997</v>
      </c>
      <c r="X84" s="273"/>
      <c r="Y84" s="273">
        <f>W84-24771.27</f>
        <v>3391304.6599999997</v>
      </c>
      <c r="Z84" s="273"/>
      <c r="AA84" s="273">
        <f>Y84-24771.27</f>
        <v>3366533.3899999997</v>
      </c>
      <c r="AB84" s="273"/>
      <c r="AC84" s="273">
        <f>AA84-24771.27</f>
        <v>3341762.1199999996</v>
      </c>
      <c r="AD84" s="273"/>
      <c r="AE84" s="273">
        <f>AC84-24771.27</f>
        <v>3316990.8499999996</v>
      </c>
      <c r="AF84" s="273"/>
      <c r="AG84" s="229">
        <f t="shared" si="2"/>
        <v>3465618.4699999993</v>
      </c>
    </row>
    <row r="85" spans="1:33" s="60" customFormat="1" x14ac:dyDescent="0.2">
      <c r="C85" s="236" t="s">
        <v>5581</v>
      </c>
      <c r="E85" s="171" t="s">
        <v>5600</v>
      </c>
      <c r="G85" s="273">
        <v>1718337.72</v>
      </c>
      <c r="H85" s="273"/>
      <c r="I85" s="273">
        <f>G85-40800.27</f>
        <v>1677537.45</v>
      </c>
      <c r="J85" s="273"/>
      <c r="K85" s="273">
        <f>I85-40800.27</f>
        <v>1636737.18</v>
      </c>
      <c r="L85" s="273"/>
      <c r="M85" s="273">
        <f>K85-40800.27</f>
        <v>1595936.91</v>
      </c>
      <c r="N85" s="273"/>
      <c r="O85" s="273">
        <f>M85-40800.27</f>
        <v>1555136.64</v>
      </c>
      <c r="P85" s="273"/>
      <c r="Q85" s="273">
        <f>O85-40800.27</f>
        <v>1514336.3699999999</v>
      </c>
      <c r="R85" s="273"/>
      <c r="S85" s="273">
        <f>Q85-40800.27</f>
        <v>1473536.0999999999</v>
      </c>
      <c r="T85" s="273"/>
      <c r="U85" s="273">
        <f>S85-40800.27</f>
        <v>1432735.8299999998</v>
      </c>
      <c r="V85" s="273"/>
      <c r="W85" s="273">
        <f>U85-40800.27</f>
        <v>1391935.5599999998</v>
      </c>
      <c r="X85" s="273"/>
      <c r="Y85" s="273">
        <f>W85-40800.27</f>
        <v>1351135.2899999998</v>
      </c>
      <c r="Z85" s="273"/>
      <c r="AA85" s="273">
        <f>Y85-40800.27</f>
        <v>1310335.0199999998</v>
      </c>
      <c r="AB85" s="273"/>
      <c r="AC85" s="273">
        <f>AA85-40800.27</f>
        <v>1269534.7499999998</v>
      </c>
      <c r="AD85" s="273"/>
      <c r="AE85" s="273">
        <f>AC85-40800.27</f>
        <v>1228734.4799999997</v>
      </c>
      <c r="AF85" s="273"/>
      <c r="AG85" s="229">
        <f t="shared" si="2"/>
        <v>1473536.0999999999</v>
      </c>
    </row>
    <row r="86" spans="1:33" s="60" customFormat="1" x14ac:dyDescent="0.2">
      <c r="C86" s="236" t="s">
        <v>5579</v>
      </c>
      <c r="E86" s="60" t="s">
        <v>4864</v>
      </c>
      <c r="G86" s="273">
        <v>521008.96</v>
      </c>
      <c r="H86" s="273"/>
      <c r="I86" s="273">
        <f>G86-3932.13-857.57</f>
        <v>516219.26</v>
      </c>
      <c r="J86" s="273"/>
      <c r="K86" s="273">
        <f>I86-3932.13-857.57</f>
        <v>511429.56</v>
      </c>
      <c r="L86" s="273"/>
      <c r="M86" s="273">
        <f>K86-3932.13-857.57</f>
        <v>506639.86</v>
      </c>
      <c r="N86" s="273"/>
      <c r="O86" s="273">
        <f>M86-3932.13-857.57</f>
        <v>501850.16</v>
      </c>
      <c r="P86" s="273"/>
      <c r="Q86" s="273">
        <f>O86-3932.13-857.57</f>
        <v>497060.45999999996</v>
      </c>
      <c r="R86" s="273"/>
      <c r="S86" s="273">
        <f>Q86-3932.13-857.57</f>
        <v>492270.75999999995</v>
      </c>
      <c r="T86" s="273"/>
      <c r="U86" s="273">
        <f>S86-3932.13-857.57</f>
        <v>487481.05999999994</v>
      </c>
      <c r="V86" s="273"/>
      <c r="W86" s="273">
        <f>U86-3932.13-857.57</f>
        <v>482691.35999999993</v>
      </c>
      <c r="X86" s="273"/>
      <c r="Y86" s="273">
        <f>W86-3932.13-857.57</f>
        <v>477901.65999999992</v>
      </c>
      <c r="Z86" s="273"/>
      <c r="AA86" s="273">
        <f>Y86-3932.13-857.57</f>
        <v>473111.9599999999</v>
      </c>
      <c r="AB86" s="273"/>
      <c r="AC86" s="273">
        <f>AA86-3932.13-857.57</f>
        <v>468322.25999999989</v>
      </c>
      <c r="AD86" s="273"/>
      <c r="AE86" s="273">
        <f>AC86-3932.13-857.57</f>
        <v>463532.55999999988</v>
      </c>
      <c r="AF86" s="273"/>
      <c r="AG86" s="229">
        <f t="shared" si="2"/>
        <v>492270.76</v>
      </c>
    </row>
    <row r="87" spans="1:33" s="272" customFormat="1" x14ac:dyDescent="0.2">
      <c r="C87" s="236" t="s">
        <v>5580</v>
      </c>
      <c r="D87" s="60"/>
      <c r="E87" s="171" t="s">
        <v>5627</v>
      </c>
      <c r="F87" s="60"/>
      <c r="G87" s="277">
        <v>2141854.11</v>
      </c>
      <c r="H87" s="273"/>
      <c r="I87" s="277">
        <f>G87-19423.79</f>
        <v>2122430.3199999998</v>
      </c>
      <c r="J87" s="273"/>
      <c r="K87" s="277">
        <f>I87-19423.79</f>
        <v>2103006.5299999998</v>
      </c>
      <c r="L87" s="273"/>
      <c r="M87" s="277">
        <f>K87-19423.79</f>
        <v>2083582.7399999998</v>
      </c>
      <c r="N87" s="273"/>
      <c r="O87" s="277">
        <f>M87-19423.79</f>
        <v>2064158.9499999997</v>
      </c>
      <c r="P87" s="273"/>
      <c r="Q87" s="277">
        <f>O87-19423.79</f>
        <v>2044735.1599999997</v>
      </c>
      <c r="R87" s="273"/>
      <c r="S87" s="277">
        <f>Q87-19423.79</f>
        <v>2025311.3699999996</v>
      </c>
      <c r="T87" s="273"/>
      <c r="U87" s="277">
        <f>S87-19423.79</f>
        <v>2005887.5799999996</v>
      </c>
      <c r="V87" s="273"/>
      <c r="W87" s="277">
        <f>U87-19423.79</f>
        <v>1986463.7899999996</v>
      </c>
      <c r="X87" s="273"/>
      <c r="Y87" s="277">
        <f>W87-19423.79</f>
        <v>1967039.9999999995</v>
      </c>
      <c r="Z87" s="273"/>
      <c r="AA87" s="277">
        <f>Y87-19423.79</f>
        <v>1947616.2099999995</v>
      </c>
      <c r="AB87" s="273"/>
      <c r="AC87" s="277">
        <f>AA87-19423.79</f>
        <v>1928192.4199999995</v>
      </c>
      <c r="AD87" s="273"/>
      <c r="AE87" s="277">
        <f>AC87-19423.79</f>
        <v>1908768.6299999994</v>
      </c>
      <c r="AF87" s="273"/>
      <c r="AG87" s="231">
        <f t="shared" si="2"/>
        <v>2025311.3699999996</v>
      </c>
    </row>
    <row r="88" spans="1:33" x14ac:dyDescent="0.2">
      <c r="C88" s="60"/>
      <c r="D88" s="60"/>
      <c r="E88" s="60"/>
      <c r="F88" s="60"/>
      <c r="G88" s="229">
        <f>SUM(G80:G87)</f>
        <v>9169807.6799999997</v>
      </c>
      <c r="H88" s="229"/>
      <c r="I88" s="229">
        <f>SUM(I80:I87)</f>
        <v>9073713.1600000001</v>
      </c>
      <c r="J88" s="229"/>
      <c r="K88" s="229">
        <f>SUM(K80:K87)</f>
        <v>8977618.6399999987</v>
      </c>
      <c r="L88" s="229"/>
      <c r="M88" s="229">
        <f>SUM(M80:M87)</f>
        <v>8881524.1199999992</v>
      </c>
      <c r="N88" s="229"/>
      <c r="O88" s="229">
        <f>SUM(O80:O87)</f>
        <v>8785429.5999999996</v>
      </c>
      <c r="P88" s="229"/>
      <c r="Q88" s="229">
        <f>SUM(Q80:Q87)</f>
        <v>8689335.0800000001</v>
      </c>
      <c r="R88" s="229"/>
      <c r="S88" s="229">
        <f>SUM(S80:S87)</f>
        <v>8593240.5599999987</v>
      </c>
      <c r="T88" s="229"/>
      <c r="U88" s="229">
        <f>SUM(U80:U87)</f>
        <v>8497146.0399999991</v>
      </c>
      <c r="V88" s="229"/>
      <c r="W88" s="229">
        <f>SUM(W80:W87)</f>
        <v>8401051.5199999996</v>
      </c>
      <c r="X88" s="229"/>
      <c r="Y88" s="229">
        <f>SUM(Y80:Y87)</f>
        <v>8304956.6199999992</v>
      </c>
      <c r="Z88" s="229"/>
      <c r="AA88" s="229">
        <f>SUM(AA80:AA87)</f>
        <v>8205424.9199999981</v>
      </c>
      <c r="AB88" s="229"/>
      <c r="AC88" s="229">
        <f>SUM(AC80:AC87)</f>
        <v>8105893.2199999988</v>
      </c>
      <c r="AD88" s="229"/>
      <c r="AE88" s="229">
        <f>SUM(AE80:AE87)</f>
        <v>8006361.5199999977</v>
      </c>
      <c r="AF88" s="229"/>
      <c r="AG88" s="229">
        <f>SUM(AG80:AG87)</f>
        <v>8591654.0523076914</v>
      </c>
    </row>
    <row r="89" spans="1:33" ht="15" x14ac:dyDescent="0.2">
      <c r="G89" s="48"/>
      <c r="H89" s="26"/>
      <c r="I89" s="271"/>
      <c r="J89" s="26"/>
      <c r="K89" s="48"/>
      <c r="L89" s="26"/>
      <c r="M89" s="48"/>
      <c r="N89" s="26"/>
      <c r="O89" s="48"/>
      <c r="P89" s="26"/>
      <c r="Q89" s="48"/>
      <c r="R89" s="26"/>
      <c r="S89" s="48"/>
      <c r="T89" s="128"/>
      <c r="U89" s="48"/>
      <c r="V89" s="26"/>
      <c r="W89" s="48"/>
      <c r="X89" s="26"/>
      <c r="Y89" s="48"/>
      <c r="Z89" s="26"/>
      <c r="AA89" s="48"/>
      <c r="AB89" s="26"/>
      <c r="AC89" s="48"/>
      <c r="AD89" s="26"/>
      <c r="AE89" s="48"/>
      <c r="AF89" s="26"/>
      <c r="AG89" s="26"/>
    </row>
    <row r="90" spans="1:33" x14ac:dyDescent="0.2">
      <c r="I90" s="46"/>
      <c r="K90" s="46"/>
      <c r="M90" s="46"/>
      <c r="O90" s="46"/>
      <c r="Q90" s="46"/>
      <c r="S90" s="46"/>
      <c r="U90" s="46"/>
      <c r="W90" s="46"/>
      <c r="Y90" s="46"/>
      <c r="AA90" s="46"/>
      <c r="AC90" s="46"/>
      <c r="AE90" s="46"/>
    </row>
    <row r="91" spans="1:33" x14ac:dyDescent="0.2">
      <c r="I91" s="46"/>
      <c r="K91" s="46"/>
      <c r="M91" s="46"/>
      <c r="O91" s="46"/>
      <c r="Q91" s="46"/>
      <c r="S91" s="46"/>
      <c r="U91" s="46"/>
      <c r="W91" s="46"/>
      <c r="Y91" s="46"/>
      <c r="AA91" s="46"/>
      <c r="AC91" s="46"/>
      <c r="AE91" s="46"/>
    </row>
    <row r="92" spans="1:33" x14ac:dyDescent="0.2">
      <c r="I92" s="46"/>
      <c r="K92" s="46"/>
      <c r="M92" s="46"/>
      <c r="O92" s="46"/>
      <c r="Q92" s="46"/>
      <c r="S92" s="46"/>
      <c r="U92" s="46"/>
      <c r="W92" s="46"/>
      <c r="Y92" s="46"/>
      <c r="AA92" s="46"/>
      <c r="AC92" s="46"/>
      <c r="AE92" s="46"/>
    </row>
    <row r="94" spans="1:33" x14ac:dyDescent="0.2">
      <c r="A94" s="237"/>
      <c r="B94" s="237"/>
      <c r="C94" s="237"/>
      <c r="D94" s="237"/>
      <c r="E94" s="237"/>
      <c r="F94" s="237"/>
      <c r="G94" s="237"/>
      <c r="H94" s="237"/>
      <c r="I94" s="237"/>
      <c r="J94" s="237"/>
      <c r="K94" s="237"/>
      <c r="L94" s="237"/>
      <c r="M94" s="237"/>
      <c r="N94" s="237"/>
      <c r="O94" s="237"/>
      <c r="P94" s="237"/>
      <c r="Q94" s="238"/>
      <c r="R94" s="237"/>
      <c r="S94" s="237"/>
      <c r="T94" s="239"/>
      <c r="U94" s="237"/>
      <c r="V94" s="237"/>
      <c r="W94" s="237"/>
      <c r="X94" s="237"/>
      <c r="Y94" s="237"/>
      <c r="Z94" s="237"/>
      <c r="AA94" s="237"/>
      <c r="AB94" s="237"/>
      <c r="AC94" s="237"/>
      <c r="AD94" s="237"/>
      <c r="AE94" s="237"/>
      <c r="AF94" s="237"/>
      <c r="AG94" s="237"/>
    </row>
    <row r="95" spans="1:33" ht="15.75" x14ac:dyDescent="0.25">
      <c r="C95" s="396" t="s">
        <v>5629</v>
      </c>
      <c r="D95" s="396"/>
      <c r="E95" s="396"/>
      <c r="F95" s="396"/>
      <c r="G95" s="396"/>
      <c r="H95" s="396"/>
      <c r="I95" s="396"/>
      <c r="J95" s="396"/>
      <c r="K95" s="396"/>
      <c r="L95" s="396"/>
      <c r="M95" s="396"/>
      <c r="N95" s="396"/>
      <c r="O95" s="396"/>
      <c r="P95" s="396"/>
      <c r="Q95" s="396"/>
      <c r="R95" s="396"/>
      <c r="S95" s="396"/>
      <c r="T95" s="396"/>
      <c r="U95" s="396"/>
      <c r="V95" s="396"/>
      <c r="W95" s="396"/>
      <c r="X95" s="396"/>
      <c r="Y95" s="396"/>
      <c r="Z95" s="396"/>
      <c r="AA95" s="396"/>
      <c r="AB95" s="396"/>
      <c r="AC95" s="396"/>
      <c r="AD95" s="396"/>
      <c r="AE95" s="396"/>
      <c r="AF95" s="396"/>
      <c r="AG95" s="396"/>
    </row>
    <row r="96" spans="1:33" ht="15.75" x14ac:dyDescent="0.25">
      <c r="C96" s="396" t="s">
        <v>5628</v>
      </c>
      <c r="D96" s="396"/>
      <c r="E96" s="396"/>
      <c r="F96" s="396"/>
      <c r="G96" s="396"/>
      <c r="H96" s="396"/>
      <c r="I96" s="396"/>
      <c r="J96" s="396"/>
      <c r="K96" s="396"/>
      <c r="L96" s="396"/>
      <c r="M96" s="396"/>
      <c r="N96" s="396"/>
      <c r="O96" s="396"/>
      <c r="P96" s="396"/>
      <c r="Q96" s="396"/>
      <c r="R96" s="396"/>
      <c r="S96" s="396"/>
      <c r="T96" s="396"/>
      <c r="U96" s="396"/>
      <c r="V96" s="396"/>
      <c r="W96" s="396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</row>
    <row r="97" spans="3:33" ht="15.75" x14ac:dyDescent="0.25">
      <c r="C97" s="396" t="s">
        <v>5758</v>
      </c>
      <c r="D97" s="396"/>
      <c r="E97" s="396"/>
      <c r="F97" s="396"/>
      <c r="G97" s="396"/>
      <c r="H97" s="396"/>
      <c r="I97" s="396"/>
      <c r="J97" s="396"/>
      <c r="K97" s="396"/>
      <c r="L97" s="396"/>
      <c r="M97" s="396"/>
      <c r="N97" s="396"/>
      <c r="O97" s="396"/>
      <c r="P97" s="396"/>
      <c r="Q97" s="396"/>
      <c r="R97" s="396"/>
      <c r="S97" s="396"/>
      <c r="T97" s="396"/>
      <c r="U97" s="396"/>
      <c r="V97" s="396"/>
      <c r="W97" s="396"/>
      <c r="X97" s="396"/>
      <c r="Y97" s="396"/>
      <c r="Z97" s="396"/>
      <c r="AA97" s="396"/>
      <c r="AB97" s="396"/>
      <c r="AC97" s="396"/>
      <c r="AD97" s="396"/>
      <c r="AE97" s="396"/>
      <c r="AF97" s="396"/>
      <c r="AG97" s="396"/>
    </row>
    <row r="99" spans="3:33" x14ac:dyDescent="0.2">
      <c r="G99" s="46"/>
    </row>
    <row r="100" spans="3:33" x14ac:dyDescent="0.2"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R100" s="60"/>
      <c r="S100" s="60"/>
      <c r="T100" s="275"/>
    </row>
    <row r="101" spans="3:33" x14ac:dyDescent="0.2">
      <c r="C101" s="157" t="s">
        <v>5607</v>
      </c>
      <c r="D101" s="60"/>
      <c r="E101" s="60"/>
      <c r="F101" s="60"/>
      <c r="G101" s="232">
        <v>41609</v>
      </c>
      <c r="H101" s="232"/>
      <c r="I101" s="232">
        <v>41640</v>
      </c>
      <c r="J101" s="232">
        <v>40881</v>
      </c>
      <c r="K101" s="232">
        <v>41671</v>
      </c>
      <c r="L101" s="232">
        <v>40883</v>
      </c>
      <c r="M101" s="232">
        <v>41699</v>
      </c>
      <c r="N101" s="232">
        <v>40885</v>
      </c>
      <c r="O101" s="232">
        <v>41730</v>
      </c>
      <c r="P101" s="232"/>
      <c r="Q101" s="232">
        <v>41760</v>
      </c>
      <c r="R101" s="232"/>
      <c r="S101" s="232">
        <v>41791</v>
      </c>
      <c r="T101" s="232"/>
      <c r="U101" s="232">
        <v>41821</v>
      </c>
      <c r="V101" s="232"/>
      <c r="W101" s="232">
        <v>41852</v>
      </c>
      <c r="X101" s="157"/>
      <c r="Y101" s="232">
        <v>41883</v>
      </c>
      <c r="Z101" s="157"/>
      <c r="AA101" s="232">
        <v>41913</v>
      </c>
      <c r="AB101" s="157"/>
      <c r="AC101" s="232">
        <v>41944</v>
      </c>
      <c r="AD101" s="157"/>
      <c r="AE101" s="232">
        <v>41974</v>
      </c>
      <c r="AF101" s="232"/>
      <c r="AG101" s="233" t="s">
        <v>3617</v>
      </c>
    </row>
    <row r="102" spans="3:33" x14ac:dyDescent="0.2">
      <c r="C102" s="56" t="s">
        <v>5608</v>
      </c>
      <c r="D102" s="174"/>
      <c r="E102" s="174" t="s">
        <v>2989</v>
      </c>
      <c r="F102" s="276"/>
      <c r="G102" s="174"/>
      <c r="H102" s="174"/>
      <c r="I102" s="174"/>
      <c r="J102" s="174"/>
      <c r="K102" s="174"/>
      <c r="L102" s="174"/>
      <c r="M102" s="174"/>
      <c r="N102" s="174"/>
      <c r="O102" s="174"/>
      <c r="P102" s="174"/>
      <c r="Q102" s="174"/>
      <c r="R102" s="174"/>
      <c r="S102" s="174"/>
      <c r="T102" s="23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  <c r="AE102" s="174"/>
      <c r="AF102" s="174"/>
      <c r="AG102" s="56" t="s">
        <v>3626</v>
      </c>
    </row>
    <row r="103" spans="3:33" x14ac:dyDescent="0.2">
      <c r="C103" s="157"/>
      <c r="D103" s="26"/>
      <c r="E103" s="26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R103" s="60"/>
      <c r="S103" s="60"/>
      <c r="T103" s="275"/>
    </row>
    <row r="104" spans="3:33" x14ac:dyDescent="0.2">
      <c r="C104" s="236" t="s">
        <v>5577</v>
      </c>
      <c r="D104" s="170"/>
      <c r="E104" s="60" t="s">
        <v>2982</v>
      </c>
      <c r="F104" s="60"/>
      <c r="G104" s="273">
        <v>62498.749999999949</v>
      </c>
      <c r="H104" s="273"/>
      <c r="I104" s="273">
        <f>G104-1179.21</f>
        <v>61319.53999999995</v>
      </c>
      <c r="J104" s="273"/>
      <c r="K104" s="273">
        <f>I104-1179.21</f>
        <v>60140.329999999951</v>
      </c>
      <c r="L104" s="273"/>
      <c r="M104" s="273">
        <f>K104-1179.21</f>
        <v>58961.119999999952</v>
      </c>
      <c r="N104" s="273"/>
      <c r="O104" s="273">
        <f>M104-1179.21</f>
        <v>57781.909999999953</v>
      </c>
      <c r="P104" s="273"/>
      <c r="Q104" s="273">
        <f>O104-1179.21</f>
        <v>56602.699999999953</v>
      </c>
      <c r="R104" s="273"/>
      <c r="S104" s="273">
        <f>Q104-1179.21</f>
        <v>55423.489999999954</v>
      </c>
      <c r="T104" s="273"/>
      <c r="U104" s="273">
        <f>S104-1179.21</f>
        <v>54244.279999999955</v>
      </c>
      <c r="V104" s="273"/>
      <c r="W104" s="273">
        <f>U104-1179.21</f>
        <v>53065.069999999956</v>
      </c>
      <c r="X104" s="273"/>
      <c r="Y104" s="273">
        <f>W104-1179.21</f>
        <v>51885.859999999957</v>
      </c>
      <c r="Z104" s="273"/>
      <c r="AA104" s="273">
        <f>Y104-1179.21</f>
        <v>50706.649999999958</v>
      </c>
      <c r="AB104" s="273"/>
      <c r="AC104" s="273">
        <f>AA104-1179.21</f>
        <v>49527.439999999959</v>
      </c>
      <c r="AD104" s="273"/>
      <c r="AE104" s="273">
        <f>AC104-1179.21</f>
        <v>48348.22999999996</v>
      </c>
      <c r="AF104" s="273"/>
      <c r="AG104" s="229">
        <f t="shared" ref="AG104:AG110" si="3">AVERAGE(G104:AE104)</f>
        <v>55423.489999999954</v>
      </c>
    </row>
    <row r="105" spans="3:33" x14ac:dyDescent="0.2">
      <c r="C105" s="236" t="s">
        <v>5576</v>
      </c>
      <c r="D105" s="170"/>
      <c r="E105" s="171" t="s">
        <v>3443</v>
      </c>
      <c r="F105" s="60"/>
      <c r="G105" s="273">
        <v>883131.92999999993</v>
      </c>
      <c r="H105" s="273"/>
      <c r="I105" s="273">
        <f>G105-7548.13</f>
        <v>875583.79999999993</v>
      </c>
      <c r="J105" s="273"/>
      <c r="K105" s="273">
        <f>I105-7548.13</f>
        <v>868035.66999999993</v>
      </c>
      <c r="L105" s="273"/>
      <c r="M105" s="273">
        <f>K105-7548.13</f>
        <v>860487.53999999992</v>
      </c>
      <c r="N105" s="273"/>
      <c r="O105" s="273">
        <f>M105-7548.13</f>
        <v>852939.40999999992</v>
      </c>
      <c r="P105" s="273"/>
      <c r="Q105" s="273">
        <f>O105-7548.13</f>
        <v>845391.27999999991</v>
      </c>
      <c r="R105" s="273"/>
      <c r="S105" s="273">
        <f>Q105-7548.13</f>
        <v>837843.14999999991</v>
      </c>
      <c r="T105" s="273"/>
      <c r="U105" s="273">
        <f>S105-7548.13</f>
        <v>830295.0199999999</v>
      </c>
      <c r="V105" s="273"/>
      <c r="W105" s="273">
        <f>U105-7548.13</f>
        <v>822746.8899999999</v>
      </c>
      <c r="X105" s="273"/>
      <c r="Y105" s="273">
        <f>W105-7548.13</f>
        <v>815198.75999999989</v>
      </c>
      <c r="Z105" s="273"/>
      <c r="AA105" s="273">
        <f>Y105-7548.13</f>
        <v>807650.62999999989</v>
      </c>
      <c r="AB105" s="273"/>
      <c r="AC105" s="273">
        <f>AA105-7548.13</f>
        <v>800102.49999999988</v>
      </c>
      <c r="AD105" s="273"/>
      <c r="AE105" s="273">
        <f>AC105-7548.13</f>
        <v>792554.36999999988</v>
      </c>
      <c r="AF105" s="273"/>
      <c r="AG105" s="229">
        <f t="shared" si="3"/>
        <v>837843.14999999979</v>
      </c>
    </row>
    <row r="106" spans="3:33" x14ac:dyDescent="0.2">
      <c r="C106" s="236" t="s">
        <v>5578</v>
      </c>
      <c r="D106" s="170"/>
      <c r="E106" s="235" t="s">
        <v>4869</v>
      </c>
      <c r="F106" s="60"/>
      <c r="G106" s="273">
        <v>142704.32000000015</v>
      </c>
      <c r="H106" s="273"/>
      <c r="I106" s="273">
        <f>G106-1019.33</f>
        <v>141684.99000000017</v>
      </c>
      <c r="J106" s="273"/>
      <c r="K106" s="273">
        <f>I106-1019.33</f>
        <v>140665.66000000018</v>
      </c>
      <c r="L106" s="273"/>
      <c r="M106" s="273">
        <f>K106-1019.33</f>
        <v>139646.33000000019</v>
      </c>
      <c r="N106" s="273"/>
      <c r="O106" s="273">
        <f>M106-1019.33</f>
        <v>138627.0000000002</v>
      </c>
      <c r="P106" s="273"/>
      <c r="Q106" s="273">
        <f>O106-1019.33</f>
        <v>137607.67000000022</v>
      </c>
      <c r="R106" s="273"/>
      <c r="S106" s="273">
        <f>Q106-1019.33</f>
        <v>136588.34000000023</v>
      </c>
      <c r="T106" s="273"/>
      <c r="U106" s="273">
        <f>S106-1019.33</f>
        <v>135569.01000000024</v>
      </c>
      <c r="V106" s="273"/>
      <c r="W106" s="273">
        <f>U106-1019.33</f>
        <v>134549.68000000025</v>
      </c>
      <c r="X106" s="273"/>
      <c r="Y106" s="273">
        <f>W106-1019.33</f>
        <v>133530.35000000027</v>
      </c>
      <c r="Z106" s="273"/>
      <c r="AA106" s="273">
        <f>Y106-1019.33</f>
        <v>132511.02000000028</v>
      </c>
      <c r="AB106" s="273"/>
      <c r="AC106" s="273">
        <f>AA106-1019.33</f>
        <v>131491.69000000029</v>
      </c>
      <c r="AD106" s="273"/>
      <c r="AE106" s="273">
        <f>AC106-1019.33</f>
        <v>130472.36000000029</v>
      </c>
      <c r="AF106" s="273"/>
      <c r="AG106" s="229">
        <f t="shared" si="3"/>
        <v>136588.34000000026</v>
      </c>
    </row>
    <row r="107" spans="3:33" x14ac:dyDescent="0.2">
      <c r="C107" s="236" t="s">
        <v>5573</v>
      </c>
      <c r="D107" s="60"/>
      <c r="E107" s="171" t="s">
        <v>4849</v>
      </c>
      <c r="F107" s="60"/>
      <c r="G107" s="273">
        <v>3316990.8499999996</v>
      </c>
      <c r="H107" s="273"/>
      <c r="I107" s="273">
        <f>G107-24771.27</f>
        <v>3292219.5799999996</v>
      </c>
      <c r="J107" s="273"/>
      <c r="K107" s="273">
        <f>I107-24771.27</f>
        <v>3267448.3099999996</v>
      </c>
      <c r="L107" s="273"/>
      <c r="M107" s="273">
        <f>K107-24771.27</f>
        <v>3242677.0399999996</v>
      </c>
      <c r="N107" s="273"/>
      <c r="O107" s="273">
        <f>M107-24771.27</f>
        <v>3217905.7699999996</v>
      </c>
      <c r="P107" s="273"/>
      <c r="Q107" s="273">
        <f>O107-24771.27</f>
        <v>3193134.4999999995</v>
      </c>
      <c r="R107" s="273"/>
      <c r="S107" s="273">
        <f>Q107-24771.27</f>
        <v>3168363.2299999995</v>
      </c>
      <c r="T107" s="273"/>
      <c r="U107" s="273">
        <f>S107-24771.27</f>
        <v>3143591.9599999995</v>
      </c>
      <c r="V107" s="273"/>
      <c r="W107" s="273">
        <f>U107-24771.27</f>
        <v>3118820.6899999995</v>
      </c>
      <c r="X107" s="273"/>
      <c r="Y107" s="273">
        <f>W107-24771.27</f>
        <v>3094049.4199999995</v>
      </c>
      <c r="Z107" s="273"/>
      <c r="AA107" s="273">
        <f>Y107-24771.27</f>
        <v>3069278.1499999994</v>
      </c>
      <c r="AB107" s="273"/>
      <c r="AC107" s="273">
        <f>AA107-24771.27</f>
        <v>3044506.8799999994</v>
      </c>
      <c r="AD107" s="273"/>
      <c r="AE107" s="273">
        <f>AC107-24771.27</f>
        <v>3019735.6099999994</v>
      </c>
      <c r="AF107" s="273"/>
      <c r="AG107" s="229">
        <f t="shared" si="3"/>
        <v>3168363.23</v>
      </c>
    </row>
    <row r="108" spans="3:33" x14ac:dyDescent="0.2">
      <c r="C108" s="236" t="s">
        <v>5581</v>
      </c>
      <c r="D108" s="60"/>
      <c r="E108" s="171" t="s">
        <v>5600</v>
      </c>
      <c r="F108" s="60"/>
      <c r="G108" s="273">
        <v>1228734.4799999997</v>
      </c>
      <c r="H108" s="273"/>
      <c r="I108" s="273">
        <f>G108-40776.27</f>
        <v>1187958.2099999997</v>
      </c>
      <c r="J108" s="273"/>
      <c r="K108" s="273">
        <f>I108-12414.49</f>
        <v>1175543.7199999997</v>
      </c>
      <c r="L108" s="273"/>
      <c r="M108" s="273">
        <v>1170822.67</v>
      </c>
      <c r="N108" s="273"/>
      <c r="O108" s="273">
        <v>1166101.6200000001</v>
      </c>
      <c r="P108" s="273"/>
      <c r="Q108" s="273">
        <v>1161380.57</v>
      </c>
      <c r="R108" s="273"/>
      <c r="S108" s="273">
        <f>Q108-4721.05</f>
        <v>1156659.52</v>
      </c>
      <c r="T108" s="273"/>
      <c r="U108" s="273">
        <f>S108-4721.05</f>
        <v>1151938.47</v>
      </c>
      <c r="V108" s="273"/>
      <c r="W108" s="273">
        <f>U108-4721.05</f>
        <v>1147217.42</v>
      </c>
      <c r="X108" s="273"/>
      <c r="Y108" s="273">
        <f>W108-4721.05</f>
        <v>1142496.3699999999</v>
      </c>
      <c r="Z108" s="273"/>
      <c r="AA108" s="273">
        <f>Y108-4721.05</f>
        <v>1137775.3199999998</v>
      </c>
      <c r="AB108" s="273"/>
      <c r="AC108" s="273">
        <f>AA108-4721.05</f>
        <v>1133054.2699999998</v>
      </c>
      <c r="AD108" s="273"/>
      <c r="AE108" s="273">
        <f>AC108-4721.05</f>
        <v>1128333.2199999997</v>
      </c>
      <c r="AF108" s="273"/>
      <c r="AG108" s="229">
        <f t="shared" si="3"/>
        <v>1160616.6046153845</v>
      </c>
    </row>
    <row r="109" spans="3:33" x14ac:dyDescent="0.2">
      <c r="C109" s="236" t="s">
        <v>5579</v>
      </c>
      <c r="D109" s="60"/>
      <c r="E109" s="60" t="s">
        <v>4864</v>
      </c>
      <c r="F109" s="60"/>
      <c r="G109" s="273">
        <v>463532.55999999988</v>
      </c>
      <c r="H109" s="273"/>
      <c r="I109" s="273">
        <f>G109-3932.13-857.57</f>
        <v>458742.85999999987</v>
      </c>
      <c r="J109" s="273"/>
      <c r="K109" s="273">
        <f>I109-3932.13-857.57</f>
        <v>453953.15999999986</v>
      </c>
      <c r="L109" s="273"/>
      <c r="M109" s="273">
        <f>K109-3932.13-857.57</f>
        <v>449163.45999999985</v>
      </c>
      <c r="N109" s="273"/>
      <c r="O109" s="273">
        <f>M109-3932.13-857.57</f>
        <v>444373.75999999983</v>
      </c>
      <c r="P109" s="273"/>
      <c r="Q109" s="273">
        <f>O109-3932.13-857.57</f>
        <v>439584.05999999982</v>
      </c>
      <c r="R109" s="273"/>
      <c r="S109" s="273">
        <f>Q109-3932.13-857.57</f>
        <v>434794.35999999981</v>
      </c>
      <c r="T109" s="273"/>
      <c r="U109" s="273">
        <f>S109-3932.13-857.57</f>
        <v>430004.6599999998</v>
      </c>
      <c r="V109" s="273"/>
      <c r="W109" s="273">
        <f>U109-3932.13-857.57</f>
        <v>425214.95999999979</v>
      </c>
      <c r="X109" s="273"/>
      <c r="Y109" s="273">
        <f>W109-3932.13-857.57</f>
        <v>420425.25999999978</v>
      </c>
      <c r="Z109" s="273"/>
      <c r="AA109" s="273">
        <f>Y109-3932.13-857.57</f>
        <v>415635.55999999976</v>
      </c>
      <c r="AB109" s="273"/>
      <c r="AC109" s="273">
        <f>AA109-3932.13-857.57</f>
        <v>410845.85999999975</v>
      </c>
      <c r="AD109" s="273"/>
      <c r="AE109" s="273">
        <f>AC109-3932.13-857.57</f>
        <v>406056.15999999974</v>
      </c>
      <c r="AF109" s="273"/>
      <c r="AG109" s="229">
        <f t="shared" si="3"/>
        <v>434794.35999999981</v>
      </c>
    </row>
    <row r="110" spans="3:33" x14ac:dyDescent="0.2">
      <c r="C110" s="236" t="s">
        <v>5580</v>
      </c>
      <c r="D110" s="60"/>
      <c r="E110" s="171" t="s">
        <v>5627</v>
      </c>
      <c r="F110" s="60"/>
      <c r="G110" s="277">
        <v>1908768.6299999994</v>
      </c>
      <c r="H110" s="273"/>
      <c r="I110" s="277">
        <f>G110-19423.79</f>
        <v>1889344.8399999994</v>
      </c>
      <c r="J110" s="273"/>
      <c r="K110" s="277">
        <f>I110-19423.79</f>
        <v>1869921.0499999993</v>
      </c>
      <c r="L110" s="273"/>
      <c r="M110" s="277">
        <f>K110-19423.79</f>
        <v>1850497.2599999993</v>
      </c>
      <c r="N110" s="273"/>
      <c r="O110" s="277">
        <f>M110-19423.79</f>
        <v>1831073.4699999993</v>
      </c>
      <c r="P110" s="273"/>
      <c r="Q110" s="277">
        <f>O110-19423.79</f>
        <v>1811649.6799999992</v>
      </c>
      <c r="R110" s="273"/>
      <c r="S110" s="277">
        <f>Q110-19423.79</f>
        <v>1792225.8899999992</v>
      </c>
      <c r="T110" s="273"/>
      <c r="U110" s="277">
        <f>S110-19423.79</f>
        <v>1772802.0999999992</v>
      </c>
      <c r="V110" s="273"/>
      <c r="W110" s="277">
        <f>U110-19423.79</f>
        <v>1753378.3099999991</v>
      </c>
      <c r="X110" s="273"/>
      <c r="Y110" s="277">
        <f>W110-19423.79</f>
        <v>1733954.5199999991</v>
      </c>
      <c r="Z110" s="273"/>
      <c r="AA110" s="277">
        <f>Y110-19423.79</f>
        <v>1714530.7299999991</v>
      </c>
      <c r="AB110" s="273"/>
      <c r="AC110" s="277">
        <f>AA110-19423.79</f>
        <v>1695106.939999999</v>
      </c>
      <c r="AD110" s="273"/>
      <c r="AE110" s="277">
        <f>AC110-19423.79</f>
        <v>1675683.149999999</v>
      </c>
      <c r="AF110" s="273"/>
      <c r="AG110" s="231">
        <f t="shared" si="3"/>
        <v>1792225.8899999992</v>
      </c>
    </row>
    <row r="111" spans="3:33" x14ac:dyDescent="0.2">
      <c r="C111" s="60"/>
      <c r="D111" s="60"/>
      <c r="E111" s="60"/>
      <c r="F111" s="60"/>
      <c r="G111" s="229">
        <v>8006361.5199999977</v>
      </c>
      <c r="H111" s="229"/>
      <c r="I111" s="229">
        <f>SUM(I104:I110)</f>
        <v>7906853.8200000003</v>
      </c>
      <c r="J111" s="229"/>
      <c r="K111" s="229">
        <f>SUM(K104:K110)</f>
        <v>7835707.8999999985</v>
      </c>
      <c r="L111" s="229"/>
      <c r="M111" s="229">
        <f>SUM(M104:M110)</f>
        <v>7772255.4199999981</v>
      </c>
      <c r="N111" s="229"/>
      <c r="O111" s="229">
        <f>SUM(O104:O110)</f>
        <v>7708802.9399999995</v>
      </c>
      <c r="P111" s="229"/>
      <c r="Q111" s="229">
        <f>SUM(Q104:Q110)</f>
        <v>7645350.459999999</v>
      </c>
      <c r="R111" s="229"/>
      <c r="S111" s="229">
        <f>SUM(S104:S110)</f>
        <v>7581897.9799999986</v>
      </c>
      <c r="T111" s="229"/>
      <c r="U111" s="229">
        <f>SUM(U104:U110)</f>
        <v>7518445.4999999981</v>
      </c>
      <c r="V111" s="229"/>
      <c r="W111" s="229">
        <f>SUM(W104:W110)</f>
        <v>7454993.0199999996</v>
      </c>
      <c r="X111" s="229"/>
      <c r="Y111" s="229">
        <f>SUM(Y104:Y110)</f>
        <v>7391540.5399999991</v>
      </c>
      <c r="Z111" s="229"/>
      <c r="AA111" s="229">
        <f>SUM(AA104:AA110)</f>
        <v>7328088.0599999987</v>
      </c>
      <c r="AB111" s="229"/>
      <c r="AC111" s="229">
        <f>SUM(AC104:AC110)</f>
        <v>7264635.5799999982</v>
      </c>
      <c r="AD111" s="229"/>
      <c r="AE111" s="229">
        <f>SUM(AE104:AE110)</f>
        <v>7201183.0999999978</v>
      </c>
      <c r="AF111" s="229"/>
      <c r="AG111" s="229">
        <f>SUM(AG104:AG110)</f>
        <v>7585855.0646153837</v>
      </c>
    </row>
    <row r="112" spans="3:33" ht="15" x14ac:dyDescent="0.2">
      <c r="C112" s="60"/>
      <c r="D112" s="60"/>
      <c r="E112" s="60"/>
      <c r="F112" s="60"/>
      <c r="G112" s="60"/>
      <c r="H112" s="26"/>
      <c r="I112" s="271"/>
      <c r="J112" s="26"/>
      <c r="K112" s="271"/>
      <c r="L112" s="26"/>
      <c r="M112" s="282"/>
      <c r="N112" s="26"/>
      <c r="O112" s="271"/>
      <c r="P112" s="26"/>
      <c r="Q112" s="271"/>
      <c r="R112" s="26"/>
      <c r="S112" s="271"/>
      <c r="T112" s="128"/>
      <c r="U112" s="271"/>
      <c r="V112" s="26"/>
      <c r="W112" s="271"/>
      <c r="X112" s="26"/>
      <c r="Y112" s="271"/>
      <c r="Z112" s="26"/>
      <c r="AA112" s="271"/>
      <c r="AB112" s="26"/>
      <c r="AC112" s="271"/>
      <c r="AD112" s="26"/>
      <c r="AE112" s="271"/>
      <c r="AF112" s="26"/>
      <c r="AG112" s="26"/>
    </row>
    <row r="113" spans="3:31" x14ac:dyDescent="0.2">
      <c r="C113" s="60"/>
      <c r="D113" s="60"/>
      <c r="E113" s="60"/>
      <c r="F113" s="60"/>
      <c r="G113" s="60"/>
      <c r="H113" s="60"/>
      <c r="I113" s="274"/>
      <c r="J113" s="60"/>
      <c r="K113" s="274"/>
      <c r="L113" s="60"/>
      <c r="M113" s="274"/>
      <c r="N113" s="60"/>
      <c r="O113" s="274"/>
      <c r="P113" s="60"/>
      <c r="Q113" s="274"/>
      <c r="R113" s="60"/>
      <c r="S113" s="274"/>
      <c r="T113" s="275"/>
      <c r="U113" s="46"/>
      <c r="W113" s="46"/>
      <c r="Y113" s="46"/>
      <c r="AA113" s="46"/>
      <c r="AC113" s="46"/>
      <c r="AE113" s="46"/>
    </row>
    <row r="114" spans="3:31" x14ac:dyDescent="0.2">
      <c r="C114" s="60"/>
      <c r="D114" s="60"/>
      <c r="E114" s="60"/>
      <c r="F114" s="60"/>
      <c r="G114" s="60"/>
      <c r="H114" s="60"/>
      <c r="I114" s="60"/>
      <c r="J114" s="60"/>
      <c r="K114" s="274"/>
      <c r="L114" s="60"/>
      <c r="M114" s="274"/>
      <c r="N114" s="60"/>
      <c r="O114" s="274"/>
      <c r="P114" s="60"/>
      <c r="Q114" s="274"/>
      <c r="R114" s="60"/>
      <c r="S114" s="274"/>
      <c r="T114" s="275"/>
      <c r="U114" s="46"/>
      <c r="W114" s="46"/>
      <c r="Y114" s="46"/>
      <c r="AA114" s="46"/>
      <c r="AC114" s="46"/>
      <c r="AE114" s="46"/>
    </row>
    <row r="115" spans="3:31" x14ac:dyDescent="0.2">
      <c r="C115" s="60"/>
      <c r="D115" s="60"/>
      <c r="E115" s="60"/>
      <c r="F115" s="60"/>
      <c r="G115" s="60"/>
      <c r="H115" s="60"/>
      <c r="I115" s="60"/>
      <c r="J115" s="60"/>
      <c r="K115" s="274"/>
      <c r="L115" s="60"/>
      <c r="M115" s="274"/>
      <c r="N115" s="60"/>
      <c r="O115" s="274"/>
      <c r="P115" s="60"/>
      <c r="Q115" s="274"/>
      <c r="R115" s="60"/>
      <c r="S115" s="274"/>
      <c r="T115" s="275"/>
      <c r="U115" s="46"/>
      <c r="W115" s="46"/>
      <c r="Y115" s="46"/>
      <c r="AA115" s="46"/>
      <c r="AC115" s="46"/>
      <c r="AE115" s="46"/>
    </row>
    <row r="116" spans="3:31" x14ac:dyDescent="0.2">
      <c r="I116" s="46"/>
      <c r="K116" s="46"/>
      <c r="M116" s="46"/>
      <c r="O116" s="46"/>
      <c r="Q116" s="46"/>
      <c r="S116" s="46"/>
    </row>
    <row r="117" spans="3:31" x14ac:dyDescent="0.2">
      <c r="G117" s="60"/>
      <c r="I117" s="46"/>
    </row>
    <row r="118" spans="3:31" x14ac:dyDescent="0.2">
      <c r="G118" s="60"/>
      <c r="I118" s="46"/>
      <c r="K118" s="46"/>
      <c r="M118" s="46"/>
      <c r="O118" s="46"/>
      <c r="Q118" s="46"/>
      <c r="S118" s="46"/>
    </row>
    <row r="119" spans="3:31" x14ac:dyDescent="0.2">
      <c r="G119" s="274"/>
      <c r="Q119" s="48"/>
    </row>
    <row r="120" spans="3:31" x14ac:dyDescent="0.2">
      <c r="G120" s="274"/>
    </row>
    <row r="121" spans="3:31" x14ac:dyDescent="0.2">
      <c r="G121" s="274"/>
    </row>
    <row r="122" spans="3:31" x14ac:dyDescent="0.2">
      <c r="G122" s="274"/>
      <c r="Q122" s="229"/>
    </row>
    <row r="123" spans="3:31" x14ac:dyDescent="0.2">
      <c r="G123" s="274"/>
    </row>
    <row r="124" spans="3:31" x14ac:dyDescent="0.2">
      <c r="G124" s="46"/>
    </row>
    <row r="125" spans="3:31" x14ac:dyDescent="0.2">
      <c r="G125" s="46"/>
    </row>
    <row r="126" spans="3:31" x14ac:dyDescent="0.2">
      <c r="G126" s="46"/>
    </row>
    <row r="127" spans="3:31" x14ac:dyDescent="0.2">
      <c r="G127" s="46"/>
    </row>
    <row r="128" spans="3:31" x14ac:dyDescent="0.2">
      <c r="G128" s="46"/>
    </row>
  </sheetData>
  <mergeCells count="18">
    <mergeCell ref="C1:O1"/>
    <mergeCell ref="C2:O2"/>
    <mergeCell ref="C3:O3"/>
    <mergeCell ref="I7:I8"/>
    <mergeCell ref="K7:K8"/>
    <mergeCell ref="C96:AG96"/>
    <mergeCell ref="C97:AG97"/>
    <mergeCell ref="M7:M8"/>
    <mergeCell ref="C71:AG71"/>
    <mergeCell ref="C72:AG72"/>
    <mergeCell ref="C73:AG73"/>
    <mergeCell ref="C46:AG46"/>
    <mergeCell ref="C95:AG95"/>
    <mergeCell ref="G7:G8"/>
    <mergeCell ref="S7:Y7"/>
    <mergeCell ref="O6:O8"/>
    <mergeCell ref="C44:AG44"/>
    <mergeCell ref="C45:AG45"/>
  </mergeCells>
  <phoneticPr fontId="5" type="noConversion"/>
  <conditionalFormatting sqref="T1:T6 Y9:Y35 T36:T43 T47:T49 T51:T70 T78:T94 T102:T65536">
    <cfRule type="cellIs" dxfId="13" priority="33" stopIfTrue="1" operator="greaterThan">
      <formula>0</formula>
    </cfRule>
    <cfRule type="cellIs" dxfId="12" priority="34" stopIfTrue="1" operator="lessThan">
      <formula>0</formula>
    </cfRule>
    <cfRule type="cellIs" dxfId="11" priority="35" stopIfTrue="1" operator="lessThan">
      <formula>0</formula>
    </cfRule>
    <cfRule type="cellIs" dxfId="10" priority="36" stopIfTrue="1" operator="greaterThan">
      <formula>0</formula>
    </cfRule>
  </conditionalFormatting>
  <conditionalFormatting sqref="T74:T76">
    <cfRule type="cellIs" dxfId="9" priority="25" stopIfTrue="1" operator="greaterThan">
      <formula>0</formula>
    </cfRule>
    <cfRule type="cellIs" dxfId="8" priority="26" stopIfTrue="1" operator="lessThan">
      <formula>0</formula>
    </cfRule>
    <cfRule type="cellIs" dxfId="7" priority="27" stopIfTrue="1" operator="lessThan">
      <formula>0</formula>
    </cfRule>
    <cfRule type="cellIs" dxfId="6" priority="28" stopIfTrue="1" operator="greaterThan">
      <formula>0</formula>
    </cfRule>
  </conditionalFormatting>
  <conditionalFormatting sqref="T98:T100">
    <cfRule type="cellIs" dxfId="5" priority="13" stopIfTrue="1" operator="greaterThan">
      <formula>0</formula>
    </cfRule>
    <cfRule type="cellIs" dxfId="4" priority="14" stopIfTrue="1" operator="lessThan">
      <formula>0</formula>
    </cfRule>
    <cfRule type="cellIs" dxfId="3" priority="15" stopIfTrue="1" operator="lessThan">
      <formula>0</formula>
    </cfRule>
    <cfRule type="cellIs" dxfId="2" priority="16" stopIfTrue="1" operator="greaterThan">
      <formula>0</formula>
    </cfRule>
  </conditionalFormatting>
  <printOptions horizontalCentered="1"/>
  <pageMargins left="0.25" right="0.25" top="0.75" bottom="0.75" header="0.3" footer="0.3"/>
  <pageSetup orientation="landscape" r:id="rId1"/>
  <headerFooter alignWithMargins="0"/>
  <customProperties>
    <customPr name="_pios_id" r:id="rId2"/>
    <customPr name="EpmWorksheetKeyString_GUID" r:id="rId3"/>
  </customProperties>
  <legacy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00"/>
    <pageSetUpPr fitToPage="1"/>
  </sheetPr>
  <dimension ref="A1:AN74"/>
  <sheetViews>
    <sheetView topLeftCell="A3" zoomScaleNormal="100" workbookViewId="0">
      <pane xSplit="11" ySplit="18" topLeftCell="L21" activePane="bottomRight" state="frozen"/>
      <selection activeCell="A3" sqref="A3"/>
      <selection pane="topRight" activeCell="L3" sqref="L3"/>
      <selection pane="bottomLeft" activeCell="A23" sqref="A23"/>
      <selection pane="bottomRight" activeCell="F17" sqref="F17:F31"/>
    </sheetView>
  </sheetViews>
  <sheetFormatPr defaultColWidth="9.140625" defaultRowHeight="12.75" x14ac:dyDescent="0.2"/>
  <cols>
    <col min="1" max="1" width="15.7109375" style="180" bestFit="1" customWidth="1"/>
    <col min="2" max="2" width="49.5703125" style="59" customWidth="1"/>
    <col min="3" max="3" width="1.7109375" style="180" customWidth="1"/>
    <col min="4" max="4" width="15.7109375" style="180" customWidth="1"/>
    <col min="5" max="5" width="1.7109375" style="180" customWidth="1"/>
    <col min="6" max="6" width="15.7109375" style="180" customWidth="1"/>
    <col min="7" max="7" width="1.7109375" style="180" customWidth="1"/>
    <col min="8" max="8" width="15.42578125" style="180" customWidth="1"/>
    <col min="9" max="9" width="1.7109375" style="180" customWidth="1"/>
    <col min="10" max="10" width="13.5703125" style="180" bestFit="1" customWidth="1"/>
    <col min="11" max="11" width="1.7109375" style="180" customWidth="1"/>
    <col min="12" max="12" width="14.85546875" style="180" customWidth="1"/>
    <col min="13" max="13" width="1.7109375" style="180" customWidth="1"/>
    <col min="14" max="14" width="15.7109375" style="180" customWidth="1"/>
    <col min="15" max="15" width="1.5703125" style="180" customWidth="1"/>
    <col min="16" max="16" width="16.42578125" style="183" customWidth="1"/>
    <col min="17" max="17" width="1.7109375" style="180" customWidth="1"/>
    <col min="18" max="18" width="16.42578125" style="183" customWidth="1"/>
    <col min="19" max="19" width="1.7109375" style="180" customWidth="1"/>
    <col min="20" max="20" width="14.42578125" style="180" customWidth="1"/>
    <col min="21" max="21" width="1.7109375" style="180" customWidth="1"/>
    <col min="22" max="22" width="14.5703125" style="180" bestFit="1" customWidth="1"/>
    <col min="23" max="23" width="1.42578125" style="180" customWidth="1"/>
    <col min="24" max="24" width="14.5703125" style="180" customWidth="1"/>
    <col min="25" max="25" width="1.7109375" style="180" customWidth="1"/>
    <col min="26" max="26" width="14.5703125" style="180" customWidth="1"/>
    <col min="27" max="27" width="1.7109375" style="180" customWidth="1"/>
    <col min="28" max="28" width="14.5703125" style="180" customWidth="1"/>
    <col min="29" max="29" width="1.7109375" style="180" customWidth="1"/>
    <col min="30" max="30" width="13.85546875" style="180" customWidth="1"/>
    <col min="31" max="31" width="1.7109375" style="180" customWidth="1"/>
    <col min="32" max="32" width="13.85546875" style="180" customWidth="1"/>
    <col min="33" max="33" width="1.7109375" style="180" customWidth="1"/>
    <col min="34" max="34" width="13.5703125" style="180" customWidth="1"/>
    <col min="35" max="35" width="1.7109375" style="180" customWidth="1"/>
    <col min="36" max="36" width="11.85546875" style="180" bestFit="1" customWidth="1"/>
    <col min="37" max="37" width="1.7109375" style="180" customWidth="1"/>
    <col min="38" max="38" width="14.85546875" style="180" customWidth="1"/>
    <col min="39" max="39" width="1.7109375" style="180" customWidth="1"/>
    <col min="40" max="40" width="16.140625" style="180" customWidth="1"/>
    <col min="41" max="41" width="13.5703125" style="180" bestFit="1" customWidth="1"/>
    <col min="42" max="16384" width="9.140625" style="180"/>
  </cols>
  <sheetData>
    <row r="1" spans="2:40" ht="15.75" x14ac:dyDescent="0.25">
      <c r="B1" s="402" t="s">
        <v>355</v>
      </c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402"/>
      <c r="V1" s="402"/>
      <c r="W1" s="402"/>
      <c r="X1" s="402"/>
      <c r="Y1" s="402"/>
      <c r="Z1" s="402"/>
      <c r="AA1" s="402"/>
      <c r="AB1" s="402"/>
      <c r="AC1" s="402"/>
      <c r="AD1" s="402"/>
      <c r="AE1" s="402"/>
      <c r="AF1" s="402"/>
      <c r="AG1" s="402"/>
      <c r="AH1" s="402"/>
      <c r="AI1" s="402"/>
      <c r="AJ1" s="402"/>
      <c r="AK1" s="402"/>
      <c r="AL1" s="402"/>
      <c r="AM1" s="402"/>
      <c r="AN1" s="402"/>
    </row>
    <row r="2" spans="2:40" ht="15.75" x14ac:dyDescent="0.25">
      <c r="B2" s="402" t="s">
        <v>5605</v>
      </c>
      <c r="C2" s="402"/>
      <c r="D2" s="402"/>
      <c r="E2" s="402"/>
      <c r="F2" s="402"/>
      <c r="G2" s="402"/>
      <c r="H2" s="402"/>
      <c r="I2" s="402"/>
      <c r="J2" s="402"/>
      <c r="K2" s="402"/>
      <c r="L2" s="402"/>
      <c r="M2" s="402"/>
      <c r="N2" s="402"/>
      <c r="O2" s="402"/>
      <c r="P2" s="402"/>
      <c r="Q2" s="402"/>
      <c r="R2" s="402"/>
      <c r="S2" s="402"/>
      <c r="T2" s="402"/>
      <c r="U2" s="402"/>
      <c r="V2" s="402"/>
      <c r="W2" s="402"/>
      <c r="X2" s="402"/>
      <c r="Y2" s="402"/>
      <c r="Z2" s="402"/>
      <c r="AA2" s="402"/>
      <c r="AB2" s="402"/>
      <c r="AC2" s="402"/>
      <c r="AD2" s="402"/>
      <c r="AE2" s="402"/>
      <c r="AF2" s="402"/>
      <c r="AG2" s="402"/>
      <c r="AH2" s="402"/>
      <c r="AI2" s="402"/>
      <c r="AJ2" s="402"/>
      <c r="AK2" s="402"/>
      <c r="AL2" s="402"/>
      <c r="AM2" s="402"/>
      <c r="AN2" s="402"/>
    </row>
    <row r="3" spans="2:40" ht="15.75" x14ac:dyDescent="0.25">
      <c r="B3" s="301"/>
      <c r="C3" s="179"/>
      <c r="D3" s="179"/>
      <c r="E3" s="179"/>
      <c r="F3" s="179"/>
      <c r="G3" s="179"/>
      <c r="H3" s="179"/>
      <c r="I3" s="179"/>
      <c r="J3" s="179"/>
      <c r="K3" s="179"/>
      <c r="L3" s="179"/>
      <c r="M3" s="179"/>
      <c r="N3" s="179"/>
      <c r="O3" s="179"/>
      <c r="P3" s="179"/>
      <c r="Q3" s="179"/>
      <c r="R3" s="179"/>
      <c r="S3" s="179"/>
      <c r="T3" s="179"/>
      <c r="U3" s="179"/>
      <c r="V3" s="179"/>
      <c r="W3" s="179"/>
      <c r="X3" s="179"/>
      <c r="Y3" s="179"/>
      <c r="Z3" s="179"/>
      <c r="AA3" s="179"/>
      <c r="AB3" s="179"/>
      <c r="AC3" s="179"/>
      <c r="AD3" s="179"/>
      <c r="AE3" s="179"/>
      <c r="AF3" s="179"/>
      <c r="AG3" s="179"/>
      <c r="AH3" s="179"/>
      <c r="AI3" s="179"/>
      <c r="AJ3" s="179"/>
      <c r="AK3" s="179"/>
      <c r="AL3" s="179"/>
    </row>
    <row r="4" spans="2:40" ht="15.75" x14ac:dyDescent="0.25">
      <c r="B4" s="301"/>
      <c r="C4" s="179"/>
      <c r="D4" s="179">
        <v>182.43</v>
      </c>
      <c r="E4" s="179"/>
      <c r="F4" s="179">
        <v>182.44</v>
      </c>
      <c r="G4" s="179"/>
      <c r="H4" s="179">
        <v>182.76</v>
      </c>
      <c r="I4" s="179"/>
      <c r="J4" s="179">
        <v>182.77</v>
      </c>
      <c r="K4" s="179"/>
      <c r="L4" s="179">
        <v>182.78</v>
      </c>
      <c r="M4" s="179"/>
      <c r="N4" s="179">
        <v>182.79</v>
      </c>
      <c r="O4" s="179"/>
      <c r="P4" s="179">
        <v>182.8</v>
      </c>
      <c r="Q4" s="179"/>
      <c r="R4" s="179">
        <v>182.81</v>
      </c>
      <c r="S4" s="179"/>
      <c r="T4" s="179">
        <v>182.84</v>
      </c>
      <c r="U4" s="179"/>
      <c r="V4" s="179">
        <v>182.87</v>
      </c>
      <c r="W4" s="179"/>
      <c r="X4" s="179">
        <v>182.88</v>
      </c>
      <c r="Y4" s="179"/>
      <c r="Z4" s="179">
        <v>182.9</v>
      </c>
      <c r="AA4" s="179"/>
      <c r="AB4" s="179">
        <v>182.91</v>
      </c>
      <c r="AC4" s="179"/>
      <c r="AD4" s="179">
        <v>182.94</v>
      </c>
      <c r="AE4" s="179"/>
      <c r="AF4" s="179">
        <v>182.95</v>
      </c>
      <c r="AG4" s="179"/>
      <c r="AH4" s="179">
        <v>1890100</v>
      </c>
      <c r="AI4" s="179"/>
      <c r="AJ4" s="179">
        <v>1890200</v>
      </c>
      <c r="AK4" s="179"/>
      <c r="AL4" s="179"/>
    </row>
    <row r="5" spans="2:40" s="182" customFormat="1" x14ac:dyDescent="0.2">
      <c r="B5" s="302" t="s">
        <v>5584</v>
      </c>
      <c r="D5" s="195" t="s">
        <v>5580</v>
      </c>
      <c r="F5" s="195" t="s">
        <v>5580</v>
      </c>
      <c r="H5" s="195" t="s">
        <v>5580</v>
      </c>
      <c r="J5" s="195" t="s">
        <v>5580</v>
      </c>
      <c r="L5" s="195" t="s">
        <v>5580</v>
      </c>
      <c r="N5" s="195" t="s">
        <v>5580</v>
      </c>
      <c r="P5" s="195" t="s">
        <v>5580</v>
      </c>
      <c r="R5" s="195" t="s">
        <v>5580</v>
      </c>
      <c r="T5" s="195" t="s">
        <v>5580</v>
      </c>
      <c r="V5" s="195" t="s">
        <v>5580</v>
      </c>
      <c r="X5" s="195" t="s">
        <v>5580</v>
      </c>
      <c r="Z5" s="195" t="s">
        <v>5580</v>
      </c>
      <c r="AB5" s="195" t="s">
        <v>5580</v>
      </c>
      <c r="AD5" s="195" t="s">
        <v>5580</v>
      </c>
      <c r="AF5" s="195" t="s">
        <v>5580</v>
      </c>
      <c r="AH5" s="195" t="s">
        <v>5606</v>
      </c>
      <c r="AJ5" s="195" t="s">
        <v>5606</v>
      </c>
      <c r="AL5" s="196" t="s">
        <v>3622</v>
      </c>
    </row>
    <row r="6" spans="2:40" x14ac:dyDescent="0.2">
      <c r="B6" s="303"/>
      <c r="C6" s="183"/>
      <c r="D6" s="193"/>
      <c r="E6" s="193"/>
      <c r="F6" s="193"/>
      <c r="G6" s="193"/>
      <c r="H6" s="193"/>
      <c r="I6" s="193"/>
      <c r="J6" s="193"/>
      <c r="K6" s="193"/>
      <c r="L6" s="193"/>
      <c r="M6" s="193"/>
      <c r="N6" s="193"/>
      <c r="O6" s="193"/>
      <c r="P6" s="192"/>
      <c r="Q6" s="193"/>
      <c r="R6" s="192"/>
      <c r="S6" s="193"/>
      <c r="T6" s="193"/>
      <c r="U6" s="193"/>
      <c r="V6" s="193"/>
      <c r="W6" s="193"/>
      <c r="X6" s="193"/>
      <c r="Y6" s="193"/>
      <c r="Z6" s="193"/>
      <c r="AA6" s="193"/>
      <c r="AB6" s="193"/>
      <c r="AC6" s="193"/>
      <c r="AD6" s="193"/>
      <c r="AE6" s="193"/>
      <c r="AF6" s="193"/>
      <c r="AG6" s="193"/>
      <c r="AH6" s="193"/>
      <c r="AI6" s="193"/>
      <c r="AJ6" s="193"/>
      <c r="AK6" s="193"/>
      <c r="AL6" s="193"/>
    </row>
    <row r="7" spans="2:40" x14ac:dyDescent="0.2">
      <c r="B7" s="304" t="s">
        <v>10555</v>
      </c>
      <c r="C7" s="183"/>
      <c r="D7" s="197">
        <f>SUM(F32:F33)</f>
        <v>0</v>
      </c>
      <c r="E7" s="193"/>
      <c r="F7" s="197">
        <f>SUM(F34:F35)</f>
        <v>0</v>
      </c>
      <c r="G7" s="193"/>
      <c r="H7" s="197">
        <f>SUM(F36:F37)</f>
        <v>1358385.75</v>
      </c>
      <c r="I7" s="193"/>
      <c r="J7" s="197">
        <f>SUM(F38:F39)</f>
        <v>-1358385.75</v>
      </c>
      <c r="K7" s="193"/>
      <c r="L7" s="197">
        <f>SUM(F40:F41)</f>
        <v>7675131.0099999998</v>
      </c>
      <c r="M7" s="193"/>
      <c r="N7" s="197">
        <f>SUM(F42:F43)</f>
        <v>-7675131.0099999998</v>
      </c>
      <c r="O7" s="193"/>
      <c r="P7" s="197">
        <f>SUM(F44:F45)</f>
        <v>0</v>
      </c>
      <c r="Q7" s="193"/>
      <c r="R7" s="197">
        <f>SUM(F46:F47)</f>
        <v>330533.51</v>
      </c>
      <c r="S7" s="193"/>
      <c r="T7" s="197">
        <v>1945451.62</v>
      </c>
      <c r="U7" s="193"/>
      <c r="V7" s="197">
        <f>SUM(F50:F51)</f>
        <v>50997.259999999995</v>
      </c>
      <c r="W7" s="193"/>
      <c r="X7" s="197">
        <f>SUM(F52:F53)</f>
        <v>356082.75</v>
      </c>
      <c r="Y7" s="193"/>
      <c r="Z7" s="197">
        <f>SUM(F54:F55)</f>
        <v>0</v>
      </c>
      <c r="AA7" s="193"/>
      <c r="AB7" s="197">
        <f>SUM(F56:F57)</f>
        <v>0</v>
      </c>
      <c r="AC7" s="193"/>
      <c r="AD7" s="197">
        <f>SUM(F58:F59)</f>
        <v>0</v>
      </c>
      <c r="AE7" s="193"/>
      <c r="AF7" s="197">
        <f>SUM(F60:F61)</f>
        <v>0</v>
      </c>
      <c r="AG7" s="193"/>
      <c r="AH7" s="193"/>
      <c r="AI7" s="193"/>
      <c r="AJ7" s="193"/>
      <c r="AK7" s="193"/>
      <c r="AL7" s="199">
        <f>SUM(D7:AJ7)</f>
        <v>2683065.1399999997</v>
      </c>
    </row>
    <row r="8" spans="2:40" x14ac:dyDescent="0.2">
      <c r="B8" s="304" t="s">
        <v>10589</v>
      </c>
      <c r="D8" s="193"/>
      <c r="E8" s="193"/>
      <c r="F8" s="193"/>
      <c r="G8" s="193"/>
      <c r="H8" s="193"/>
      <c r="I8" s="193"/>
      <c r="J8" s="193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3"/>
      <c r="Y8" s="193"/>
      <c r="Z8" s="193"/>
      <c r="AA8" s="193"/>
      <c r="AB8" s="193"/>
      <c r="AC8" s="193"/>
      <c r="AD8" s="193"/>
      <c r="AE8" s="193"/>
      <c r="AF8" s="193"/>
      <c r="AG8" s="193"/>
      <c r="AH8" s="193"/>
      <c r="AI8" s="193"/>
      <c r="AJ8" s="193"/>
      <c r="AK8" s="193"/>
      <c r="AL8" s="199">
        <f>SUM(D8:AJ8)</f>
        <v>0</v>
      </c>
    </row>
    <row r="9" spans="2:40" x14ac:dyDescent="0.2">
      <c r="B9" s="306"/>
      <c r="D9" s="194"/>
      <c r="E9" s="193"/>
      <c r="F9" s="194"/>
      <c r="G9" s="193"/>
      <c r="H9" s="194"/>
      <c r="I9" s="193"/>
      <c r="J9" s="194"/>
      <c r="K9" s="193"/>
      <c r="L9" s="194"/>
      <c r="M9" s="193"/>
      <c r="N9" s="194"/>
      <c r="O9" s="199"/>
      <c r="P9" s="191"/>
      <c r="Q9" s="193"/>
      <c r="R9" s="191"/>
      <c r="S9" s="193"/>
      <c r="T9" s="194"/>
      <c r="U9" s="193"/>
      <c r="V9" s="194"/>
      <c r="W9" s="199"/>
      <c r="X9" s="194"/>
      <c r="Y9" s="199"/>
      <c r="Z9" s="194"/>
      <c r="AA9" s="193"/>
      <c r="AB9" s="194"/>
      <c r="AC9" s="193"/>
      <c r="AD9" s="194"/>
      <c r="AE9" s="193"/>
      <c r="AF9" s="194"/>
      <c r="AG9" s="193"/>
      <c r="AH9" s="194"/>
      <c r="AI9" s="193"/>
      <c r="AJ9" s="194"/>
      <c r="AK9" s="193"/>
      <c r="AL9" s="194"/>
    </row>
    <row r="10" spans="2:40" x14ac:dyDescent="0.2">
      <c r="B10" s="304" t="s">
        <v>10544</v>
      </c>
      <c r="D10" s="199">
        <f>ROUND(D7+D8,0)</f>
        <v>0</v>
      </c>
      <c r="E10" s="193"/>
      <c r="F10" s="199">
        <f>ROUND(F7+F8,0)</f>
        <v>0</v>
      </c>
      <c r="G10" s="193"/>
      <c r="H10" s="199">
        <f>ROUND(H7+H8,0)</f>
        <v>1358386</v>
      </c>
      <c r="I10" s="193"/>
      <c r="J10" s="199">
        <f>ROUND(J7+J8,0)</f>
        <v>-1358386</v>
      </c>
      <c r="K10" s="193"/>
      <c r="L10" s="199">
        <f>ROUND(L7+L8,0)</f>
        <v>7675131</v>
      </c>
      <c r="M10" s="193"/>
      <c r="N10" s="199">
        <f>ROUND(N7+N8,0)</f>
        <v>-7675131</v>
      </c>
      <c r="O10" s="193"/>
      <c r="P10" s="199">
        <f>ROUND(P7+P8,0)</f>
        <v>0</v>
      </c>
      <c r="Q10" s="193"/>
      <c r="R10" s="199">
        <f>ROUND(R7+R8,0)</f>
        <v>330534</v>
      </c>
      <c r="S10" s="193"/>
      <c r="T10" s="199">
        <f>ROUND(T7+T8,0)</f>
        <v>1945452</v>
      </c>
      <c r="U10" s="193"/>
      <c r="V10" s="199">
        <f>ROUND(V7+V8,0)</f>
        <v>50997</v>
      </c>
      <c r="W10" s="193"/>
      <c r="X10" s="199">
        <f>ROUND(X7+X8,0)</f>
        <v>356083</v>
      </c>
      <c r="Y10" s="193"/>
      <c r="Z10" s="199">
        <f>ROUND(Z7+Z8,0)</f>
        <v>0</v>
      </c>
      <c r="AA10" s="193"/>
      <c r="AB10" s="199">
        <f>ROUND(AB7+AB8,0)</f>
        <v>0</v>
      </c>
      <c r="AC10" s="193"/>
      <c r="AD10" s="199">
        <f>ROUND(AD7+AD8,0)</f>
        <v>0</v>
      </c>
      <c r="AE10" s="193"/>
      <c r="AF10" s="199">
        <f>ROUND(AF7+AF8,0)</f>
        <v>0</v>
      </c>
      <c r="AG10" s="193"/>
      <c r="AH10" s="199">
        <f>ROUND(AH7+AH8,0)</f>
        <v>0</v>
      </c>
      <c r="AI10" s="193"/>
      <c r="AJ10" s="199">
        <f>ROUND(AJ7+AJ8,0)</f>
        <v>0</v>
      </c>
      <c r="AK10" s="193"/>
      <c r="AL10" s="199">
        <f>AL7+AL8</f>
        <v>2683065.1399999997</v>
      </c>
    </row>
    <row r="11" spans="2:40" x14ac:dyDescent="0.2">
      <c r="D11" s="193"/>
      <c r="E11" s="193"/>
      <c r="F11" s="193"/>
      <c r="G11" s="193"/>
      <c r="H11" s="193"/>
      <c r="I11" s="193"/>
      <c r="J11" s="193"/>
      <c r="K11" s="193"/>
      <c r="L11" s="193"/>
      <c r="M11" s="193"/>
      <c r="N11" s="193"/>
      <c r="O11" s="193"/>
      <c r="P11" s="192"/>
      <c r="Q11" s="193"/>
      <c r="R11" s="192"/>
      <c r="S11" s="193"/>
      <c r="T11" s="193"/>
      <c r="U11" s="193"/>
      <c r="V11" s="193"/>
      <c r="W11" s="193"/>
      <c r="X11" s="193"/>
      <c r="Y11" s="193"/>
      <c r="Z11" s="193"/>
      <c r="AA11" s="193"/>
      <c r="AB11" s="193"/>
      <c r="AC11" s="193"/>
      <c r="AD11" s="193"/>
      <c r="AE11" s="193"/>
      <c r="AF11" s="193"/>
      <c r="AG11" s="193"/>
      <c r="AH11" s="193"/>
      <c r="AI11" s="193"/>
      <c r="AJ11" s="193"/>
      <c r="AK11" s="193"/>
      <c r="AL11" s="193"/>
    </row>
    <row r="12" spans="2:40" x14ac:dyDescent="0.2">
      <c r="D12" s="193"/>
      <c r="E12" s="193"/>
      <c r="F12" s="193"/>
      <c r="G12" s="193"/>
      <c r="H12" s="193"/>
      <c r="I12" s="193"/>
      <c r="J12" s="193"/>
      <c r="K12" s="193"/>
      <c r="L12" s="193"/>
      <c r="M12" s="193"/>
      <c r="N12" s="193"/>
      <c r="O12" s="193"/>
      <c r="P12" s="192"/>
      <c r="Q12" s="193"/>
      <c r="R12" s="192"/>
      <c r="S12" s="193"/>
      <c r="T12" s="193"/>
      <c r="U12" s="193"/>
      <c r="V12" s="193"/>
      <c r="W12" s="193"/>
      <c r="X12" s="193"/>
      <c r="Y12" s="193"/>
      <c r="Z12" s="193"/>
      <c r="AA12" s="193"/>
      <c r="AB12" s="193"/>
      <c r="AC12" s="193"/>
      <c r="AD12" s="193"/>
      <c r="AE12" s="193"/>
      <c r="AF12" s="193"/>
      <c r="AG12" s="193"/>
      <c r="AH12" s="193"/>
      <c r="AI12" s="193"/>
      <c r="AJ12" s="202" t="s">
        <v>5598</v>
      </c>
      <c r="AK12" s="193"/>
      <c r="AL12" s="193">
        <v>541211.0299999998</v>
      </c>
    </row>
    <row r="13" spans="2:40" x14ac:dyDescent="0.2">
      <c r="B13" s="59" t="s">
        <v>10556</v>
      </c>
      <c r="D13" s="193"/>
      <c r="E13" s="193"/>
      <c r="F13" s="193"/>
      <c r="G13" s="193"/>
      <c r="H13" s="193"/>
      <c r="I13" s="193"/>
      <c r="J13" s="193"/>
      <c r="K13" s="193"/>
      <c r="L13" s="193"/>
      <c r="M13" s="193"/>
      <c r="N13" s="193"/>
      <c r="O13" s="193"/>
      <c r="P13" s="192"/>
      <c r="Q13" s="193"/>
      <c r="R13" s="192"/>
      <c r="S13" s="193"/>
      <c r="T13" s="193"/>
      <c r="U13" s="193"/>
      <c r="V13" s="193"/>
      <c r="W13" s="193"/>
      <c r="X13" s="193"/>
      <c r="Y13" s="193"/>
      <c r="Z13" s="193"/>
      <c r="AA13" s="193"/>
      <c r="AB13" s="193"/>
      <c r="AC13" s="193"/>
      <c r="AD13" s="193"/>
      <c r="AE13" s="193"/>
      <c r="AF13" s="193"/>
      <c r="AG13" s="193"/>
      <c r="AH13" s="193"/>
      <c r="AI13" s="193"/>
      <c r="AJ13" s="193"/>
      <c r="AK13" s="193"/>
      <c r="AL13" s="193"/>
      <c r="AM13" s="193"/>
      <c r="AN13" s="193"/>
    </row>
    <row r="14" spans="2:40" x14ac:dyDescent="0.2">
      <c r="T14" s="183"/>
      <c r="U14" s="183"/>
      <c r="V14" s="183"/>
      <c r="W14" s="183"/>
      <c r="X14" s="183"/>
      <c r="Y14" s="183"/>
      <c r="Z14" s="183"/>
      <c r="AA14" s="183"/>
      <c r="AB14" s="183"/>
      <c r="AC14" s="183"/>
      <c r="AD14" s="183"/>
      <c r="AE14" s="183"/>
      <c r="AF14" s="183"/>
      <c r="AG14" s="183"/>
      <c r="AH14" s="183"/>
      <c r="AI14" s="183"/>
      <c r="AJ14" s="183"/>
      <c r="AK14" s="183"/>
      <c r="AL14" s="183"/>
      <c r="AM14" s="183"/>
      <c r="AN14" s="183"/>
    </row>
    <row r="15" spans="2:40" x14ac:dyDescent="0.2">
      <c r="T15" s="183"/>
      <c r="U15" s="183"/>
      <c r="V15" s="183"/>
      <c r="W15" s="183"/>
      <c r="X15" s="183"/>
      <c r="Y15" s="183"/>
      <c r="Z15" s="183"/>
      <c r="AA15" s="183"/>
      <c r="AB15" s="183"/>
      <c r="AC15" s="183"/>
      <c r="AD15" s="183"/>
      <c r="AE15" s="183"/>
      <c r="AF15" s="183"/>
      <c r="AG15" s="183"/>
      <c r="AH15" s="183"/>
      <c r="AI15" s="183"/>
      <c r="AJ15" s="183"/>
      <c r="AK15" s="183"/>
      <c r="AL15" s="183"/>
      <c r="AM15" s="183"/>
      <c r="AN15" s="183"/>
    </row>
    <row r="16" spans="2:40" x14ac:dyDescent="0.2">
      <c r="D16" s="299" t="s">
        <v>10586</v>
      </c>
      <c r="E16" s="299"/>
      <c r="F16" s="299" t="s">
        <v>10587</v>
      </c>
      <c r="T16" s="183"/>
      <c r="U16" s="183"/>
      <c r="V16" s="183"/>
      <c r="W16" s="183"/>
      <c r="X16" s="183"/>
      <c r="Y16" s="183"/>
      <c r="Z16" s="183"/>
      <c r="AA16" s="183"/>
      <c r="AB16" s="183"/>
      <c r="AC16" s="183"/>
      <c r="AD16" s="183"/>
      <c r="AE16" s="183"/>
      <c r="AF16" s="183"/>
      <c r="AG16" s="183"/>
      <c r="AH16" s="183"/>
      <c r="AI16" s="183"/>
      <c r="AJ16" s="183"/>
      <c r="AK16" s="183"/>
      <c r="AL16" s="183"/>
      <c r="AM16" s="183"/>
      <c r="AN16" s="183"/>
    </row>
    <row r="17" spans="1:40" x14ac:dyDescent="0.2">
      <c r="A17" s="180" t="s">
        <v>5579</v>
      </c>
      <c r="B17" s="314" t="s">
        <v>10557</v>
      </c>
      <c r="C17" s="312"/>
      <c r="D17" s="313">
        <v>-857.57</v>
      </c>
      <c r="E17" s="313"/>
      <c r="F17" s="313">
        <v>-857.57</v>
      </c>
      <c r="T17" s="183"/>
      <c r="U17" s="183"/>
      <c r="V17" s="183"/>
      <c r="W17" s="183"/>
      <c r="X17" s="183"/>
      <c r="Y17" s="183"/>
      <c r="Z17" s="183"/>
      <c r="AA17" s="183"/>
      <c r="AB17" s="183"/>
      <c r="AC17" s="183"/>
      <c r="AD17" s="183"/>
      <c r="AE17" s="183"/>
      <c r="AF17" s="183"/>
      <c r="AG17" s="183"/>
      <c r="AH17" s="183"/>
      <c r="AI17" s="183"/>
      <c r="AJ17" s="183"/>
      <c r="AK17" s="183"/>
      <c r="AL17" s="183"/>
      <c r="AM17" s="183"/>
      <c r="AN17" s="183"/>
    </row>
    <row r="18" spans="1:40" x14ac:dyDescent="0.2">
      <c r="A18" s="180" t="s">
        <v>10590</v>
      </c>
      <c r="B18" s="314" t="s">
        <v>6301</v>
      </c>
      <c r="C18" s="312"/>
      <c r="D18" s="313">
        <v>-1918.86</v>
      </c>
      <c r="E18" s="313"/>
      <c r="F18" s="313">
        <v>-1918.86</v>
      </c>
      <c r="T18" s="183"/>
      <c r="U18" s="183"/>
      <c r="V18" s="183"/>
      <c r="W18" s="183"/>
      <c r="X18" s="183"/>
      <c r="Y18" s="183"/>
      <c r="Z18" s="183"/>
      <c r="AA18" s="183"/>
      <c r="AB18" s="183"/>
      <c r="AC18" s="183"/>
      <c r="AD18" s="183"/>
      <c r="AE18" s="183"/>
      <c r="AF18" s="183"/>
      <c r="AG18" s="183"/>
      <c r="AH18" s="183"/>
      <c r="AI18" s="183"/>
      <c r="AJ18" s="183"/>
      <c r="AK18" s="183"/>
      <c r="AL18" s="183"/>
      <c r="AM18" s="183"/>
      <c r="AN18" s="183"/>
    </row>
    <row r="19" spans="1:40" x14ac:dyDescent="0.2">
      <c r="B19" s="314" t="s">
        <v>10558</v>
      </c>
      <c r="C19" s="312"/>
      <c r="D19" s="313">
        <v>-166940.82</v>
      </c>
      <c r="E19" s="313"/>
      <c r="F19" s="313">
        <v>-143914.5</v>
      </c>
      <c r="T19" s="183"/>
      <c r="U19" s="183"/>
      <c r="V19" s="183"/>
      <c r="W19" s="183"/>
      <c r="X19" s="183"/>
      <c r="Y19" s="183"/>
      <c r="Z19" s="183"/>
      <c r="AA19" s="183"/>
      <c r="AB19" s="183"/>
      <c r="AC19" s="183"/>
      <c r="AD19" s="183"/>
      <c r="AE19" s="183"/>
      <c r="AF19" s="183"/>
      <c r="AG19" s="183"/>
      <c r="AH19" s="183"/>
      <c r="AI19" s="183"/>
      <c r="AJ19" s="183"/>
      <c r="AK19" s="183"/>
      <c r="AL19" s="183"/>
      <c r="AM19" s="183"/>
      <c r="AN19" s="183"/>
    </row>
    <row r="20" spans="1:40" x14ac:dyDescent="0.2">
      <c r="A20" s="180" t="s">
        <v>6106</v>
      </c>
      <c r="B20" s="314" t="s">
        <v>6299</v>
      </c>
      <c r="C20" s="312"/>
      <c r="D20" s="313">
        <v>-1347.95</v>
      </c>
      <c r="E20" s="313"/>
      <c r="F20" s="313">
        <v>-1347.95</v>
      </c>
      <c r="T20" s="183"/>
      <c r="U20" s="183"/>
      <c r="V20" s="183"/>
      <c r="W20" s="183"/>
      <c r="X20" s="183"/>
      <c r="Y20" s="183"/>
      <c r="Z20" s="183"/>
      <c r="AA20" s="183"/>
      <c r="AB20" s="183"/>
      <c r="AC20" s="183"/>
      <c r="AD20" s="183"/>
      <c r="AE20" s="183"/>
      <c r="AF20" s="183"/>
      <c r="AG20" s="183"/>
      <c r="AH20" s="183"/>
      <c r="AI20" s="183"/>
      <c r="AJ20" s="183"/>
      <c r="AK20" s="183"/>
      <c r="AL20" s="183"/>
      <c r="AM20" s="183"/>
      <c r="AN20" s="183"/>
    </row>
    <row r="21" spans="1:40" x14ac:dyDescent="0.2">
      <c r="B21" s="314" t="s">
        <v>10559</v>
      </c>
      <c r="C21" s="312"/>
      <c r="D21" s="313">
        <v>-117271.65</v>
      </c>
      <c r="E21" s="313"/>
      <c r="F21" s="313">
        <v>-101096.25</v>
      </c>
      <c r="T21" s="183"/>
      <c r="U21" s="183"/>
      <c r="V21" s="183"/>
      <c r="W21" s="183"/>
      <c r="X21" s="183"/>
      <c r="Y21" s="183"/>
      <c r="Z21" s="183"/>
      <c r="AA21" s="183"/>
      <c r="AB21" s="183"/>
      <c r="AC21" s="183"/>
      <c r="AD21" s="183"/>
      <c r="AE21" s="183"/>
      <c r="AF21" s="183"/>
      <c r="AG21" s="183"/>
      <c r="AH21" s="183"/>
      <c r="AI21" s="183"/>
      <c r="AJ21" s="183"/>
      <c r="AK21" s="183"/>
      <c r="AL21" s="183"/>
      <c r="AM21" s="183"/>
      <c r="AN21" s="183"/>
    </row>
    <row r="22" spans="1:40" x14ac:dyDescent="0.2">
      <c r="A22" s="180" t="s">
        <v>6104</v>
      </c>
      <c r="B22" s="314" t="s">
        <v>6297</v>
      </c>
      <c r="C22" s="312"/>
      <c r="D22" s="313">
        <v>-274.12</v>
      </c>
      <c r="E22" s="313"/>
      <c r="F22" s="313">
        <v>-274.12</v>
      </c>
      <c r="T22" s="183"/>
      <c r="U22" s="183"/>
      <c r="V22" s="183"/>
      <c r="W22" s="183"/>
      <c r="X22" s="183"/>
      <c r="Y22" s="183"/>
      <c r="Z22" s="183"/>
      <c r="AA22" s="183"/>
      <c r="AB22" s="183"/>
      <c r="AC22" s="183"/>
      <c r="AD22" s="183"/>
      <c r="AE22" s="183"/>
      <c r="AF22" s="183"/>
      <c r="AG22" s="183"/>
      <c r="AH22" s="183"/>
      <c r="AI22" s="183"/>
      <c r="AJ22" s="183"/>
      <c r="AK22" s="183"/>
      <c r="AL22" s="183"/>
      <c r="AM22" s="183"/>
      <c r="AN22" s="183"/>
    </row>
    <row r="23" spans="1:40" x14ac:dyDescent="0.2">
      <c r="B23" s="314" t="s">
        <v>10560</v>
      </c>
      <c r="C23" s="312"/>
      <c r="D23" s="305">
        <v>-23848.44</v>
      </c>
      <c r="E23" s="313"/>
      <c r="F23" s="313">
        <v>-20559</v>
      </c>
      <c r="N23" s="59"/>
      <c r="T23" s="183"/>
      <c r="U23" s="183"/>
      <c r="V23" s="183"/>
      <c r="W23" s="183"/>
      <c r="X23" s="183"/>
      <c r="Y23" s="183"/>
      <c r="Z23" s="183"/>
      <c r="AA23" s="183"/>
      <c r="AB23" s="183"/>
      <c r="AC23" s="183"/>
      <c r="AD23" s="183"/>
      <c r="AE23" s="183"/>
      <c r="AF23" s="183"/>
      <c r="AG23" s="183"/>
      <c r="AH23" s="183"/>
      <c r="AI23" s="183"/>
      <c r="AJ23" s="183"/>
      <c r="AK23" s="183"/>
      <c r="AL23" s="183"/>
      <c r="AM23" s="183"/>
      <c r="AN23" s="183"/>
    </row>
    <row r="24" spans="1:40" x14ac:dyDescent="0.2">
      <c r="A24" s="180" t="s">
        <v>6101</v>
      </c>
      <c r="B24" s="314" t="s">
        <v>6295</v>
      </c>
      <c r="C24" s="312"/>
      <c r="D24" s="305">
        <v>-193.73</v>
      </c>
      <c r="E24" s="313"/>
      <c r="F24" s="313">
        <v>-193.73</v>
      </c>
      <c r="N24" s="59"/>
      <c r="T24" s="183"/>
      <c r="U24" s="183"/>
      <c r="V24" s="183"/>
      <c r="W24" s="183"/>
      <c r="X24" s="183"/>
      <c r="Y24" s="183"/>
      <c r="Z24" s="183"/>
      <c r="AA24" s="183"/>
      <c r="AB24" s="183"/>
      <c r="AC24" s="183"/>
      <c r="AD24" s="183"/>
      <c r="AE24" s="183"/>
      <c r="AF24" s="183"/>
      <c r="AG24" s="183"/>
      <c r="AH24" s="183"/>
      <c r="AI24" s="183"/>
      <c r="AJ24" s="183"/>
      <c r="AK24" s="183"/>
      <c r="AL24" s="183"/>
      <c r="AM24" s="183"/>
      <c r="AN24" s="183"/>
    </row>
    <row r="25" spans="1:40" x14ac:dyDescent="0.2">
      <c r="B25" s="314" t="s">
        <v>10561</v>
      </c>
      <c r="C25" s="312"/>
      <c r="D25" s="305">
        <v>-16854.509999999998</v>
      </c>
      <c r="E25" s="313"/>
      <c r="F25" s="313">
        <v>-14529.75</v>
      </c>
      <c r="N25" s="59"/>
    </row>
    <row r="26" spans="1:40" x14ac:dyDescent="0.2">
      <c r="A26" s="180" t="s">
        <v>5578</v>
      </c>
      <c r="B26" s="314" t="s">
        <v>10562</v>
      </c>
      <c r="C26" s="312"/>
      <c r="D26" s="305">
        <v>-1019.33</v>
      </c>
      <c r="E26" s="313"/>
      <c r="F26" s="313">
        <v>-1019.33</v>
      </c>
      <c r="N26" s="59"/>
    </row>
    <row r="27" spans="1:40" x14ac:dyDescent="0.2">
      <c r="A27" s="180" t="s">
        <v>5577</v>
      </c>
      <c r="B27" s="314" t="s">
        <v>10563</v>
      </c>
      <c r="C27" s="312"/>
      <c r="D27" s="305">
        <v>-1179.21</v>
      </c>
      <c r="E27" s="313"/>
      <c r="F27" s="313">
        <v>-1179.21</v>
      </c>
      <c r="N27" s="59"/>
    </row>
    <row r="28" spans="1:40" x14ac:dyDescent="0.2">
      <c r="A28" s="180" t="s">
        <v>6097</v>
      </c>
      <c r="B28" s="314" t="s">
        <v>6289</v>
      </c>
      <c r="C28" s="312"/>
      <c r="D28" s="305">
        <v>-10099.59</v>
      </c>
      <c r="E28" s="313"/>
      <c r="F28" s="313">
        <v>-10099.59</v>
      </c>
      <c r="N28" s="59"/>
    </row>
    <row r="29" spans="1:40" x14ac:dyDescent="0.2">
      <c r="B29" s="314" t="s">
        <v>10564</v>
      </c>
      <c r="C29" s="312"/>
      <c r="D29" s="305">
        <v>-878664.33</v>
      </c>
      <c r="E29" s="313"/>
      <c r="F29" s="313">
        <v>-757469.25</v>
      </c>
      <c r="N29" s="59"/>
    </row>
    <row r="30" spans="1:40" x14ac:dyDescent="0.2">
      <c r="A30" s="180" t="s">
        <v>6095</v>
      </c>
      <c r="B30" s="314" t="s">
        <v>6287</v>
      </c>
      <c r="C30" s="312"/>
      <c r="D30" s="305">
        <v>-5589.54</v>
      </c>
      <c r="E30" s="313"/>
      <c r="F30" s="313">
        <v>-5589.54</v>
      </c>
      <c r="N30" s="59"/>
    </row>
    <row r="31" spans="1:40" x14ac:dyDescent="0.2">
      <c r="B31" s="314" t="s">
        <v>10565</v>
      </c>
      <c r="C31" s="312"/>
      <c r="D31" s="305">
        <v>-486289.98</v>
      </c>
      <c r="E31" s="313"/>
      <c r="F31" s="313">
        <v>-419215.5</v>
      </c>
      <c r="N31" s="59"/>
    </row>
    <row r="32" spans="1:40" x14ac:dyDescent="0.2">
      <c r="A32" s="308">
        <v>182.43</v>
      </c>
      <c r="B32" s="309" t="s">
        <v>10566</v>
      </c>
      <c r="C32" s="308"/>
      <c r="D32" s="310">
        <v>-32715.75</v>
      </c>
      <c r="E32" s="311"/>
      <c r="F32" s="311">
        <v>-32715.75</v>
      </c>
      <c r="N32" s="59"/>
    </row>
    <row r="33" spans="1:14" x14ac:dyDescent="0.2">
      <c r="A33" s="308">
        <v>182.43</v>
      </c>
      <c r="B33" s="309" t="s">
        <v>5886</v>
      </c>
      <c r="C33" s="308"/>
      <c r="D33" s="310">
        <v>32715.75</v>
      </c>
      <c r="E33" s="311"/>
      <c r="F33" s="311">
        <v>32715.75</v>
      </c>
      <c r="N33" s="59"/>
    </row>
    <row r="34" spans="1:14" x14ac:dyDescent="0.2">
      <c r="A34" s="180">
        <v>182.44</v>
      </c>
      <c r="B34" s="201" t="s">
        <v>10567</v>
      </c>
      <c r="D34" s="304">
        <v>-448544.45</v>
      </c>
      <c r="E34" s="59"/>
      <c r="F34" s="59">
        <v>-448544.45</v>
      </c>
      <c r="N34" s="59"/>
    </row>
    <row r="35" spans="1:14" x14ac:dyDescent="0.2">
      <c r="A35" s="180">
        <v>182.44</v>
      </c>
      <c r="B35" s="201" t="s">
        <v>5889</v>
      </c>
      <c r="D35" s="304">
        <v>448544.45</v>
      </c>
      <c r="E35" s="59"/>
      <c r="F35" s="59">
        <v>448544.45</v>
      </c>
      <c r="N35" s="59"/>
    </row>
    <row r="36" spans="1:14" x14ac:dyDescent="0.2">
      <c r="A36" s="308">
        <v>182.76</v>
      </c>
      <c r="B36" s="309" t="s">
        <v>10568</v>
      </c>
      <c r="C36" s="308"/>
      <c r="D36" s="310">
        <v>-2447816.4900000002</v>
      </c>
      <c r="E36" s="311"/>
      <c r="F36" s="311">
        <v>-2447816.4900000002</v>
      </c>
      <c r="N36" s="59"/>
    </row>
    <row r="37" spans="1:14" x14ac:dyDescent="0.2">
      <c r="A37" s="308">
        <v>182.76</v>
      </c>
      <c r="B37" s="309" t="s">
        <v>5893</v>
      </c>
      <c r="C37" s="308"/>
      <c r="D37" s="310">
        <v>3806202.24</v>
      </c>
      <c r="E37" s="311"/>
      <c r="F37" s="311">
        <v>3806202.24</v>
      </c>
      <c r="N37" s="59"/>
    </row>
    <row r="38" spans="1:14" x14ac:dyDescent="0.2">
      <c r="A38" s="180">
        <v>182.77</v>
      </c>
      <c r="B38" s="201" t="s">
        <v>10569</v>
      </c>
      <c r="D38" s="304">
        <v>2447816.4900000002</v>
      </c>
      <c r="E38" s="59"/>
      <c r="F38" s="59">
        <v>2447816.4900000002</v>
      </c>
    </row>
    <row r="39" spans="1:14" x14ac:dyDescent="0.2">
      <c r="A39" s="180">
        <v>182.77</v>
      </c>
      <c r="B39" s="201" t="s">
        <v>5895</v>
      </c>
      <c r="D39" s="304">
        <v>-3806202.24</v>
      </c>
      <c r="E39" s="59"/>
      <c r="F39" s="59">
        <v>-3806202.24</v>
      </c>
    </row>
    <row r="40" spans="1:14" x14ac:dyDescent="0.2">
      <c r="A40" s="308">
        <v>182.78</v>
      </c>
      <c r="B40" s="309" t="s">
        <v>10570</v>
      </c>
      <c r="C40" s="308"/>
      <c r="D40" s="310">
        <v>-3142248.36</v>
      </c>
      <c r="E40" s="311"/>
      <c r="F40" s="311">
        <v>-3142248.36</v>
      </c>
    </row>
    <row r="41" spans="1:14" x14ac:dyDescent="0.2">
      <c r="A41" s="308">
        <v>182.78</v>
      </c>
      <c r="B41" s="309" t="s">
        <v>5890</v>
      </c>
      <c r="C41" s="308"/>
      <c r="D41" s="310">
        <v>10817379.369999999</v>
      </c>
      <c r="E41" s="311"/>
      <c r="F41" s="311">
        <v>10817379.369999999</v>
      </c>
    </row>
    <row r="42" spans="1:14" x14ac:dyDescent="0.2">
      <c r="A42" s="180">
        <v>182.79</v>
      </c>
      <c r="B42" s="201" t="s">
        <v>10571</v>
      </c>
      <c r="D42" s="304">
        <v>3142248.36</v>
      </c>
      <c r="E42" s="59"/>
      <c r="F42" s="59">
        <v>3142248.36</v>
      </c>
    </row>
    <row r="43" spans="1:14" x14ac:dyDescent="0.2">
      <c r="A43" s="180">
        <v>182.79</v>
      </c>
      <c r="B43" s="201" t="s">
        <v>5892</v>
      </c>
      <c r="D43" s="304">
        <v>-10817379.369999999</v>
      </c>
      <c r="E43" s="59"/>
      <c r="F43" s="59">
        <v>-10817379.369999999</v>
      </c>
    </row>
    <row r="44" spans="1:14" x14ac:dyDescent="0.2">
      <c r="A44" s="308">
        <v>182.8</v>
      </c>
      <c r="B44" s="309" t="s">
        <v>10572</v>
      </c>
      <c r="C44" s="308"/>
      <c r="D44" s="310">
        <v>-24445.4</v>
      </c>
      <c r="E44" s="311"/>
      <c r="F44" s="311">
        <v>-24445.4</v>
      </c>
    </row>
    <row r="45" spans="1:14" x14ac:dyDescent="0.2">
      <c r="A45" s="308">
        <v>182.8</v>
      </c>
      <c r="B45" s="309" t="s">
        <v>5909</v>
      </c>
      <c r="C45" s="308"/>
      <c r="D45" s="310">
        <v>24445.4</v>
      </c>
      <c r="E45" s="311"/>
      <c r="F45" s="311">
        <v>24445.4</v>
      </c>
    </row>
    <row r="46" spans="1:14" x14ac:dyDescent="0.2">
      <c r="A46" s="180">
        <v>182.81</v>
      </c>
      <c r="B46" s="201" t="s">
        <v>10573</v>
      </c>
      <c r="D46" s="304">
        <v>-55009.98</v>
      </c>
      <c r="E46" s="59"/>
      <c r="F46" s="59">
        <v>-55009.98</v>
      </c>
    </row>
    <row r="47" spans="1:14" x14ac:dyDescent="0.2">
      <c r="A47" s="180">
        <v>182.81</v>
      </c>
      <c r="B47" s="201" t="s">
        <v>5907</v>
      </c>
      <c r="D47" s="304">
        <v>385543.49</v>
      </c>
      <c r="E47" s="59"/>
      <c r="F47" s="59">
        <v>385543.49</v>
      </c>
    </row>
    <row r="48" spans="1:14" x14ac:dyDescent="0.2">
      <c r="A48" s="308">
        <v>182.84</v>
      </c>
      <c r="B48" s="309" t="s">
        <v>10574</v>
      </c>
      <c r="C48" s="308"/>
      <c r="D48" s="310">
        <v>-282404.34000000003</v>
      </c>
      <c r="E48" s="311"/>
      <c r="F48" s="311">
        <v>-282404.34000000003</v>
      </c>
    </row>
    <row r="49" spans="1:18" x14ac:dyDescent="0.2">
      <c r="A49" s="308">
        <v>182.84</v>
      </c>
      <c r="B49" s="309" t="s">
        <v>5904</v>
      </c>
      <c r="C49" s="308"/>
      <c r="D49" s="310">
        <v>2133721.1800000002</v>
      </c>
      <c r="E49" s="311"/>
      <c r="F49" s="311">
        <v>2133721.1800000002</v>
      </c>
    </row>
    <row r="50" spans="1:18" x14ac:dyDescent="0.2">
      <c r="A50" s="180">
        <v>182.87</v>
      </c>
      <c r="B50" s="201" t="s">
        <v>10575</v>
      </c>
      <c r="D50" s="304">
        <v>-8421.2999999999993</v>
      </c>
      <c r="E50" s="59"/>
      <c r="F50" s="59">
        <v>-8421.2999999999993</v>
      </c>
    </row>
    <row r="51" spans="1:18" x14ac:dyDescent="0.2">
      <c r="A51" s="180">
        <v>182.87</v>
      </c>
      <c r="B51" s="201" t="s">
        <v>5901</v>
      </c>
      <c r="D51" s="304">
        <v>59418.559999999998</v>
      </c>
      <c r="E51" s="59"/>
      <c r="F51" s="59">
        <v>59418.559999999998</v>
      </c>
    </row>
    <row r="52" spans="1:18" x14ac:dyDescent="0.2">
      <c r="A52" s="308">
        <v>182.88</v>
      </c>
      <c r="B52" s="309" t="s">
        <v>10576</v>
      </c>
      <c r="C52" s="308"/>
      <c r="D52" s="310">
        <v>-58802.58</v>
      </c>
      <c r="E52" s="311"/>
      <c r="F52" s="311">
        <v>-58802.58</v>
      </c>
    </row>
    <row r="53" spans="1:18" x14ac:dyDescent="0.2">
      <c r="A53" s="308">
        <v>182.88</v>
      </c>
      <c r="B53" s="309" t="s">
        <v>5903</v>
      </c>
      <c r="C53" s="308"/>
      <c r="D53" s="310">
        <v>414885.33</v>
      </c>
      <c r="E53" s="311"/>
      <c r="F53" s="311">
        <v>414885.33</v>
      </c>
    </row>
    <row r="54" spans="1:18" x14ac:dyDescent="0.2">
      <c r="A54" s="180">
        <v>182.9</v>
      </c>
      <c r="B54" s="201" t="s">
        <v>10577</v>
      </c>
      <c r="D54" s="304">
        <v>-996.39</v>
      </c>
      <c r="E54" s="59"/>
      <c r="F54" s="59">
        <v>-996.39</v>
      </c>
    </row>
    <row r="55" spans="1:18" x14ac:dyDescent="0.2">
      <c r="A55" s="180">
        <v>182.9</v>
      </c>
      <c r="B55" s="201" t="s">
        <v>5881</v>
      </c>
      <c r="D55" s="304">
        <v>996.39</v>
      </c>
      <c r="E55" s="59"/>
      <c r="F55" s="59">
        <v>996.39</v>
      </c>
    </row>
    <row r="56" spans="1:18" x14ac:dyDescent="0.2">
      <c r="A56" s="308">
        <v>182.91</v>
      </c>
      <c r="B56" s="309" t="s">
        <v>10578</v>
      </c>
      <c r="C56" s="308"/>
      <c r="D56" s="310">
        <v>-74483.27</v>
      </c>
      <c r="E56" s="311"/>
      <c r="F56" s="311">
        <v>-74483.27</v>
      </c>
    </row>
    <row r="57" spans="1:18" x14ac:dyDescent="0.2">
      <c r="A57" s="308">
        <v>182.91</v>
      </c>
      <c r="B57" s="309" t="s">
        <v>5898</v>
      </c>
      <c r="C57" s="308"/>
      <c r="D57" s="310">
        <v>74483.27</v>
      </c>
      <c r="E57" s="311"/>
      <c r="F57" s="311">
        <v>74483.27</v>
      </c>
    </row>
    <row r="58" spans="1:18" x14ac:dyDescent="0.2">
      <c r="A58" s="180">
        <v>182.94</v>
      </c>
      <c r="B58" s="201" t="s">
        <v>10579</v>
      </c>
      <c r="D58" s="304">
        <v>-13419.62</v>
      </c>
      <c r="E58" s="59"/>
      <c r="F58" s="59">
        <v>-13419.62</v>
      </c>
      <c r="P58" s="180"/>
      <c r="R58" s="180" t="s">
        <v>10588</v>
      </c>
    </row>
    <row r="59" spans="1:18" x14ac:dyDescent="0.2">
      <c r="A59" s="180">
        <v>182.94</v>
      </c>
      <c r="B59" s="201" t="s">
        <v>5896</v>
      </c>
      <c r="D59" s="304">
        <v>13419.62</v>
      </c>
      <c r="E59" s="59"/>
      <c r="F59" s="59">
        <v>13419.62</v>
      </c>
    </row>
    <row r="60" spans="1:18" x14ac:dyDescent="0.2">
      <c r="A60" s="308">
        <v>182.95</v>
      </c>
      <c r="B60" s="309" t="s">
        <v>10580</v>
      </c>
      <c r="C60" s="308"/>
      <c r="D60" s="310">
        <v>-106842.04</v>
      </c>
      <c r="E60" s="311"/>
      <c r="F60" s="311">
        <v>-106842.04</v>
      </c>
    </row>
    <row r="61" spans="1:18" x14ac:dyDescent="0.2">
      <c r="A61" s="308">
        <v>182.95</v>
      </c>
      <c r="B61" s="309" t="s">
        <v>5900</v>
      </c>
      <c r="C61" s="308"/>
      <c r="D61" s="310">
        <v>106842.04</v>
      </c>
      <c r="E61" s="311"/>
      <c r="F61" s="311">
        <v>106842.04</v>
      </c>
    </row>
    <row r="62" spans="1:18" x14ac:dyDescent="0.2">
      <c r="B62" s="312" t="s">
        <v>6222</v>
      </c>
      <c r="C62" s="312"/>
      <c r="D62" s="305">
        <v>-321365.18</v>
      </c>
      <c r="E62" s="313"/>
      <c r="F62" s="313">
        <v>-321365.18</v>
      </c>
    </row>
    <row r="63" spans="1:18" x14ac:dyDescent="0.2">
      <c r="B63" s="312" t="s">
        <v>10581</v>
      </c>
      <c r="C63" s="312"/>
      <c r="D63" s="305">
        <v>-31378.26</v>
      </c>
      <c r="E63" s="313"/>
      <c r="F63" s="313">
        <v>-31378.26</v>
      </c>
    </row>
    <row r="64" spans="1:18" x14ac:dyDescent="0.2">
      <c r="B64" s="312" t="s">
        <v>10582</v>
      </c>
      <c r="C64" s="312"/>
      <c r="D64" s="305">
        <v>-2358.42</v>
      </c>
      <c r="E64" s="313"/>
      <c r="F64" s="313">
        <v>-2358.42</v>
      </c>
    </row>
    <row r="65" spans="2:8" x14ac:dyDescent="0.2">
      <c r="B65" s="312" t="s">
        <v>10583</v>
      </c>
      <c r="C65" s="312"/>
      <c r="D65" s="305">
        <v>-7469.32</v>
      </c>
      <c r="E65" s="313"/>
      <c r="F65" s="313">
        <v>-7469.32</v>
      </c>
    </row>
    <row r="66" spans="2:8" x14ac:dyDescent="0.2">
      <c r="B66" s="312" t="s">
        <v>10584</v>
      </c>
      <c r="C66" s="312"/>
      <c r="D66" s="305">
        <v>-2038.66</v>
      </c>
      <c r="E66" s="313"/>
      <c r="F66" s="313">
        <v>-2038.66</v>
      </c>
      <c r="H66" s="300"/>
    </row>
    <row r="67" spans="2:8" x14ac:dyDescent="0.2">
      <c r="B67" s="312" t="s">
        <v>10585</v>
      </c>
      <c r="C67" s="312"/>
      <c r="D67" s="305">
        <v>-1715.14</v>
      </c>
      <c r="E67" s="313"/>
      <c r="F67" s="313">
        <v>-1715.14</v>
      </c>
    </row>
    <row r="68" spans="2:8" x14ac:dyDescent="0.2">
      <c r="B68" s="180" t="s">
        <v>6078</v>
      </c>
      <c r="D68" s="59">
        <v>0</v>
      </c>
      <c r="E68" s="59"/>
      <c r="F68" s="59">
        <v>0</v>
      </c>
    </row>
    <row r="69" spans="2:8" x14ac:dyDescent="0.2">
      <c r="B69" s="180" t="s">
        <v>6003</v>
      </c>
      <c r="D69" s="59">
        <v>0</v>
      </c>
      <c r="E69" s="59"/>
      <c r="F69" s="59">
        <v>0</v>
      </c>
    </row>
    <row r="70" spans="2:8" x14ac:dyDescent="0.2">
      <c r="B70" s="180" t="s">
        <v>6077</v>
      </c>
      <c r="D70" s="59">
        <v>0</v>
      </c>
      <c r="E70" s="59"/>
      <c r="F70" s="59">
        <v>0</v>
      </c>
      <c r="G70" s="59"/>
      <c r="H70" s="59"/>
    </row>
    <row r="71" spans="2:8" x14ac:dyDescent="0.2">
      <c r="B71" s="180" t="s">
        <v>6004</v>
      </c>
      <c r="D71" s="59">
        <v>0</v>
      </c>
      <c r="E71" s="59"/>
      <c r="F71" s="59">
        <v>0</v>
      </c>
      <c r="G71" s="59"/>
      <c r="H71" s="59"/>
    </row>
    <row r="72" spans="2:8" x14ac:dyDescent="0.2">
      <c r="D72" s="307">
        <f>SUM(D17:D71)</f>
        <v>510255.74999999936</v>
      </c>
      <c r="F72" s="307">
        <f>SUM(F16:F71)</f>
        <v>743341.22999999975</v>
      </c>
    </row>
    <row r="74" spans="2:8" x14ac:dyDescent="0.2">
      <c r="F74" s="200"/>
    </row>
  </sheetData>
  <mergeCells count="2">
    <mergeCell ref="B1:AN1"/>
    <mergeCell ref="B2:AN2"/>
  </mergeCells>
  <pageMargins left="0.25" right="0.25" top="0.75" bottom="0.75" header="0.3" footer="0.3"/>
  <pageSetup scale="46" orientation="landscape" r:id="rId1"/>
  <headerFooter alignWithMargins="0"/>
  <customProperties>
    <customPr name="_pios_id" r:id="rId2"/>
    <customPr name="EpmWorksheetKeyString_GUID" r:id="rId3"/>
  </customProperties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  <pageSetUpPr fitToPage="1"/>
  </sheetPr>
  <dimension ref="A1:BA73"/>
  <sheetViews>
    <sheetView topLeftCell="F1" zoomScale="70" zoomScaleNormal="70" workbookViewId="0">
      <selection activeCell="AV2" sqref="AV2:BA15"/>
    </sheetView>
  </sheetViews>
  <sheetFormatPr defaultColWidth="9.140625" defaultRowHeight="12.75" x14ac:dyDescent="0.2"/>
  <cols>
    <col min="1" max="1" width="28.28515625" style="180" bestFit="1" customWidth="1"/>
    <col min="2" max="2" width="1.7109375" style="180" customWidth="1"/>
    <col min="3" max="3" width="15.7109375" style="180" customWidth="1"/>
    <col min="4" max="4" width="1.7109375" style="180" customWidth="1"/>
    <col min="5" max="5" width="9.7109375" style="180" customWidth="1"/>
    <col min="6" max="6" width="1.7109375" style="180" customWidth="1"/>
    <col min="7" max="7" width="15.7109375" style="180" customWidth="1"/>
    <col min="8" max="8" width="1.7109375" style="180" customWidth="1"/>
    <col min="9" max="9" width="15.42578125" style="180" customWidth="1"/>
    <col min="10" max="10" width="1.7109375" style="180" customWidth="1"/>
    <col min="11" max="11" width="12.85546875" style="180" bestFit="1" customWidth="1"/>
    <col min="12" max="12" width="1.7109375" style="180" customWidth="1"/>
    <col min="13" max="13" width="14.85546875" style="180" customWidth="1"/>
    <col min="14" max="14" width="1.7109375" style="180" customWidth="1"/>
    <col min="15" max="15" width="9.7109375" style="180" customWidth="1"/>
    <col min="16" max="16" width="1.5703125" style="180" customWidth="1"/>
    <col min="17" max="17" width="9.7109375" style="183" customWidth="1"/>
    <col min="18" max="18" width="1.7109375" style="180" customWidth="1"/>
    <col min="19" max="19" width="14.42578125" style="180" customWidth="1"/>
    <col min="20" max="20" width="1.7109375" style="180" customWidth="1"/>
    <col min="21" max="21" width="9.7109375" style="180" customWidth="1"/>
    <col min="22" max="22" width="1.42578125" style="180" customWidth="1"/>
    <col min="23" max="23" width="9.7109375" style="180" customWidth="1"/>
    <col min="24" max="24" width="1.7109375" style="180" customWidth="1"/>
    <col min="25" max="25" width="9.7109375" style="180" customWidth="1"/>
    <col min="26" max="26" width="1.7109375" style="180" customWidth="1"/>
    <col min="27" max="27" width="9.7109375" style="180" customWidth="1"/>
    <col min="28" max="28" width="1.42578125" style="180" customWidth="1"/>
    <col min="29" max="29" width="9.7109375" style="180" customWidth="1"/>
    <col min="30" max="30" width="1.7109375" style="180" customWidth="1"/>
    <col min="31" max="31" width="9.7109375" style="180" customWidth="1"/>
    <col min="32" max="32" width="1.7109375" style="180" customWidth="1"/>
    <col min="33" max="33" width="9.7109375" style="180" customWidth="1"/>
    <col min="34" max="34" width="1.7109375" style="180" customWidth="1"/>
    <col min="35" max="35" width="16.140625" style="180" customWidth="1"/>
    <col min="36" max="36" width="13.5703125" style="180" bestFit="1" customWidth="1"/>
    <col min="37" max="50" width="9.140625" style="180"/>
    <col min="51" max="51" width="10" style="180" bestFit="1" customWidth="1"/>
    <col min="52" max="52" width="14.85546875" style="180" bestFit="1" customWidth="1"/>
    <col min="53" max="53" width="12" style="180" bestFit="1" customWidth="1"/>
    <col min="54" max="16384" width="9.140625" style="180"/>
  </cols>
  <sheetData>
    <row r="1" spans="1:53" ht="15.75" x14ac:dyDescent="0.25">
      <c r="A1" s="402" t="s">
        <v>355</v>
      </c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402"/>
      <c r="V1" s="402"/>
      <c r="W1" s="402"/>
      <c r="X1" s="402"/>
      <c r="Y1" s="402"/>
      <c r="Z1" s="402"/>
      <c r="AA1" s="402"/>
      <c r="AB1" s="402"/>
      <c r="AC1" s="402"/>
      <c r="AD1" s="402"/>
      <c r="AE1" s="402"/>
      <c r="AF1" s="402"/>
      <c r="AG1" s="402"/>
      <c r="AH1" s="402"/>
      <c r="AI1" s="402"/>
    </row>
    <row r="2" spans="1:53" ht="15.75" x14ac:dyDescent="0.25">
      <c r="A2" s="402" t="s">
        <v>5599</v>
      </c>
      <c r="B2" s="402"/>
      <c r="C2" s="402"/>
      <c r="D2" s="402"/>
      <c r="E2" s="402"/>
      <c r="F2" s="402"/>
      <c r="G2" s="402"/>
      <c r="H2" s="402"/>
      <c r="I2" s="402"/>
      <c r="J2" s="402"/>
      <c r="K2" s="402"/>
      <c r="L2" s="402"/>
      <c r="M2" s="402"/>
      <c r="N2" s="402"/>
      <c r="O2" s="402"/>
      <c r="P2" s="402"/>
      <c r="Q2" s="402"/>
      <c r="R2" s="402"/>
      <c r="S2" s="402"/>
      <c r="T2" s="402"/>
      <c r="U2" s="402"/>
      <c r="V2" s="402"/>
      <c r="W2" s="402"/>
      <c r="X2" s="402"/>
      <c r="Y2" s="402"/>
      <c r="Z2" s="402"/>
      <c r="AA2" s="402"/>
      <c r="AB2" s="402"/>
      <c r="AC2" s="402"/>
      <c r="AD2" s="402"/>
      <c r="AE2" s="402"/>
      <c r="AF2" s="402"/>
      <c r="AG2" s="402"/>
      <c r="AH2" s="402"/>
      <c r="AI2" s="402"/>
      <c r="AV2" s="180" t="s">
        <v>5556</v>
      </c>
      <c r="AZ2" s="359">
        <v>4163717.19</v>
      </c>
      <c r="BA2" s="182">
        <v>2018</v>
      </c>
    </row>
    <row r="3" spans="1:53" ht="15.75" x14ac:dyDescent="0.25">
      <c r="A3" s="179"/>
      <c r="B3" s="179"/>
      <c r="C3" s="179"/>
      <c r="D3" s="179"/>
      <c r="E3" s="179"/>
      <c r="F3" s="179"/>
      <c r="G3" s="179"/>
      <c r="H3" s="179"/>
      <c r="I3" s="179"/>
      <c r="J3" s="179"/>
      <c r="K3" s="179"/>
      <c r="L3" s="179"/>
      <c r="M3" s="179"/>
      <c r="N3" s="179"/>
      <c r="O3" s="402">
        <v>2019</v>
      </c>
      <c r="P3" s="402"/>
      <c r="Q3" s="402"/>
      <c r="R3" s="402"/>
      <c r="S3" s="402"/>
      <c r="T3" s="179"/>
      <c r="U3" s="179"/>
      <c r="V3" s="179"/>
      <c r="W3" s="179"/>
      <c r="X3" s="179"/>
      <c r="Y3" s="179"/>
      <c r="Z3" s="179"/>
      <c r="AA3" s="179"/>
      <c r="AB3" s="179"/>
      <c r="AC3" s="179"/>
      <c r="AD3" s="179"/>
      <c r="AE3" s="179"/>
      <c r="AF3" s="179"/>
      <c r="AG3" s="179"/>
      <c r="AH3" s="179"/>
      <c r="AI3" s="179"/>
      <c r="AV3" s="180">
        <v>1</v>
      </c>
      <c r="AX3" s="359">
        <v>62273.27</v>
      </c>
      <c r="AY3" s="359">
        <v>-62273.27</v>
      </c>
      <c r="AZ3" s="359">
        <v>4101443.92</v>
      </c>
      <c r="BA3" s="182">
        <v>2019</v>
      </c>
    </row>
    <row r="4" spans="1:53" ht="15.75" x14ac:dyDescent="0.25">
      <c r="A4" s="179"/>
      <c r="B4" s="179"/>
      <c r="C4" s="179"/>
      <c r="D4" s="179"/>
      <c r="E4" s="179"/>
      <c r="F4" s="179"/>
      <c r="G4" s="179"/>
      <c r="H4" s="179"/>
      <c r="I4" s="179" t="s">
        <v>2984</v>
      </c>
      <c r="J4" s="179"/>
      <c r="K4" s="179" t="s">
        <v>4849</v>
      </c>
      <c r="L4" s="179"/>
      <c r="M4" s="179" t="s">
        <v>5600</v>
      </c>
      <c r="O4" s="179" t="s">
        <v>10548</v>
      </c>
      <c r="P4" s="179"/>
      <c r="Q4" s="179" t="s">
        <v>10549</v>
      </c>
      <c r="R4" s="179"/>
      <c r="S4" s="179" t="s">
        <v>4864</v>
      </c>
      <c r="T4" s="179"/>
      <c r="U4" s="179" t="s">
        <v>10548</v>
      </c>
      <c r="V4" s="179"/>
      <c r="W4" s="179" t="s">
        <v>10550</v>
      </c>
      <c r="X4" s="179"/>
      <c r="Y4" s="179" t="s">
        <v>10551</v>
      </c>
      <c r="Z4" s="179"/>
      <c r="AA4" s="179" t="s">
        <v>10552</v>
      </c>
      <c r="AB4" s="179"/>
      <c r="AC4" s="179" t="s">
        <v>10553</v>
      </c>
      <c r="AD4" s="179"/>
      <c r="AE4" s="179" t="s">
        <v>10554</v>
      </c>
      <c r="AF4" s="179"/>
      <c r="AG4" s="179" t="s">
        <v>10553</v>
      </c>
      <c r="AH4" s="179"/>
      <c r="AI4" s="179"/>
      <c r="AV4" s="180">
        <v>2</v>
      </c>
      <c r="AX4" s="359">
        <v>62273.27</v>
      </c>
      <c r="AY4" s="359">
        <v>-62273.27</v>
      </c>
      <c r="AZ4" s="359">
        <v>4039170.65</v>
      </c>
      <c r="BA4" s="182">
        <v>2019</v>
      </c>
    </row>
    <row r="5" spans="1:53" s="182" customFormat="1" x14ac:dyDescent="0.2">
      <c r="A5" s="181" t="s">
        <v>5584</v>
      </c>
      <c r="C5" s="195" t="s">
        <v>5580</v>
      </c>
      <c r="E5" s="195" t="str">
        <f>+'1810200'!C4</f>
        <v>P01001</v>
      </c>
      <c r="G5" s="195" t="s">
        <v>5576</v>
      </c>
      <c r="I5" s="195" t="str">
        <f>+'1810200'!E4</f>
        <v>PD0012</v>
      </c>
      <c r="K5" s="195" t="str">
        <f>+'1810200'!G4</f>
        <v>PD0013</v>
      </c>
      <c r="M5" s="195" t="str">
        <f>+'1810200'!I4</f>
        <v>PD0014</v>
      </c>
      <c r="O5" s="195" t="str">
        <f>+'1810200'!K4</f>
        <v>PD0015</v>
      </c>
      <c r="Q5" s="195" t="str">
        <f>+'1810200'!M4</f>
        <v>PD0020</v>
      </c>
      <c r="S5" s="195" t="str">
        <f>+'1810200'!O4</f>
        <v>PD0023</v>
      </c>
      <c r="U5" s="195" t="str">
        <f>+'1810200'!Q4</f>
        <v>PD0025</v>
      </c>
      <c r="W5" s="195" t="str">
        <f>+'1810200'!S4</f>
        <v>PD0026</v>
      </c>
      <c r="Y5" s="195" t="str">
        <f>+'1810200'!U4</f>
        <v>PD0027</v>
      </c>
      <c r="AA5" s="195" t="str">
        <f>+'1810200'!W4</f>
        <v>PD0028</v>
      </c>
      <c r="AC5" s="195" t="str">
        <f>+'1810200'!Y4</f>
        <v>PD0034</v>
      </c>
      <c r="AE5" s="195" t="str">
        <f>+'1810200'!AA4</f>
        <v>PD0035</v>
      </c>
      <c r="AG5" s="195" t="str">
        <f>+'1810200'!AC4</f>
        <v>PD0036</v>
      </c>
      <c r="AI5" s="196" t="s">
        <v>3622</v>
      </c>
      <c r="AV5" s="180">
        <v>3</v>
      </c>
      <c r="AW5" s="180"/>
      <c r="AX5" s="359">
        <v>62273.27</v>
      </c>
      <c r="AY5" s="359">
        <v>-62273.27</v>
      </c>
      <c r="AZ5" s="359">
        <v>3976897.38</v>
      </c>
      <c r="BA5" s="182">
        <v>2019</v>
      </c>
    </row>
    <row r="6" spans="1:53" x14ac:dyDescent="0.2">
      <c r="A6" s="183"/>
      <c r="B6" s="183"/>
      <c r="C6" s="193"/>
      <c r="D6" s="193"/>
      <c r="E6" s="193"/>
      <c r="F6" s="193"/>
      <c r="G6" s="193"/>
      <c r="H6" s="193"/>
      <c r="I6" s="193"/>
      <c r="J6" s="193"/>
      <c r="K6" s="193"/>
      <c r="L6" s="193"/>
      <c r="M6" s="193"/>
      <c r="N6" s="193"/>
      <c r="O6" s="193"/>
      <c r="P6" s="193"/>
      <c r="Q6" s="192"/>
      <c r="R6" s="193"/>
      <c r="S6" s="193"/>
      <c r="T6" s="193"/>
      <c r="U6" s="193"/>
      <c r="V6" s="193"/>
      <c r="W6" s="193"/>
      <c r="X6" s="193"/>
      <c r="Y6" s="193"/>
      <c r="Z6" s="193"/>
      <c r="AA6" s="193"/>
      <c r="AB6" s="193"/>
      <c r="AC6" s="193"/>
      <c r="AD6" s="193"/>
      <c r="AE6" s="193"/>
      <c r="AF6" s="193"/>
      <c r="AG6" s="193"/>
      <c r="AH6" s="193"/>
      <c r="AI6" s="193"/>
      <c r="AV6" s="180">
        <v>4</v>
      </c>
      <c r="AX6" s="359">
        <v>62273.27</v>
      </c>
      <c r="AY6" s="359">
        <v>-62273.27</v>
      </c>
      <c r="AZ6" s="359">
        <v>3914624.11</v>
      </c>
      <c r="BA6" s="182">
        <v>2019</v>
      </c>
    </row>
    <row r="7" spans="1:53" x14ac:dyDescent="0.2">
      <c r="A7" s="187" t="s">
        <v>10543</v>
      </c>
      <c r="B7" s="183"/>
      <c r="C7" s="197">
        <v>743341.23</v>
      </c>
      <c r="D7" s="193"/>
      <c r="E7" s="197">
        <v>0</v>
      </c>
      <c r="F7" s="193"/>
      <c r="G7" s="197">
        <v>430243.41</v>
      </c>
      <c r="H7" s="193"/>
      <c r="I7" s="197">
        <v>81544.52</v>
      </c>
      <c r="J7" s="193"/>
      <c r="K7" s="197">
        <v>1830714.65</v>
      </c>
      <c r="L7" s="193"/>
      <c r="M7" s="197">
        <v>901722.82</v>
      </c>
      <c r="N7" s="193"/>
      <c r="O7" s="197">
        <v>0</v>
      </c>
      <c r="P7" s="197"/>
      <c r="Q7" s="197">
        <v>0</v>
      </c>
      <c r="R7" s="193"/>
      <c r="S7" s="198">
        <v>176150.56</v>
      </c>
      <c r="T7" s="193"/>
      <c r="U7" s="197">
        <v>0</v>
      </c>
      <c r="V7" s="197"/>
      <c r="W7" s="197">
        <v>0</v>
      </c>
      <c r="X7" s="197"/>
      <c r="Y7" s="197">
        <v>0</v>
      </c>
      <c r="Z7" s="197"/>
      <c r="AA7" s="197">
        <v>0</v>
      </c>
      <c r="AB7" s="197"/>
      <c r="AC7" s="197">
        <v>0</v>
      </c>
      <c r="AD7" s="197"/>
      <c r="AE7" s="197">
        <v>0</v>
      </c>
      <c r="AF7" s="197"/>
      <c r="AG7" s="197">
        <v>0</v>
      </c>
      <c r="AH7" s="197"/>
      <c r="AI7" s="193">
        <f>SUM(C7:AG7)</f>
        <v>4163717.1899999995</v>
      </c>
      <c r="AV7" s="180">
        <v>5</v>
      </c>
      <c r="AX7" s="359">
        <v>62273.27</v>
      </c>
      <c r="AY7" s="359">
        <v>-62273.27</v>
      </c>
      <c r="AZ7" s="359">
        <v>3852350.84</v>
      </c>
      <c r="BA7" s="182">
        <v>2019</v>
      </c>
    </row>
    <row r="8" spans="1:53" x14ac:dyDescent="0.2">
      <c r="A8" s="187" t="s">
        <v>5601</v>
      </c>
      <c r="C8" s="193"/>
      <c r="D8" s="193"/>
      <c r="E8" s="193"/>
      <c r="F8" s="193"/>
      <c r="G8" s="193"/>
      <c r="H8" s="193"/>
      <c r="I8" s="193"/>
      <c r="J8" s="193"/>
      <c r="K8" s="193"/>
      <c r="L8" s="193"/>
      <c r="M8" s="193"/>
      <c r="N8" s="193"/>
      <c r="O8" s="193"/>
      <c r="P8" s="193"/>
      <c r="Q8" s="192"/>
      <c r="R8" s="193"/>
      <c r="S8" s="193"/>
      <c r="T8" s="193"/>
      <c r="U8" s="193"/>
      <c r="V8" s="193"/>
      <c r="W8" s="193"/>
      <c r="X8" s="193"/>
      <c r="Y8" s="193"/>
      <c r="Z8" s="193"/>
      <c r="AA8" s="193"/>
      <c r="AB8" s="193"/>
      <c r="AC8" s="193"/>
      <c r="AD8" s="193"/>
      <c r="AE8" s="193"/>
      <c r="AF8" s="193"/>
      <c r="AG8" s="193"/>
      <c r="AH8" s="193"/>
      <c r="AI8" s="193">
        <f>E8+O8+Q8+S8+U8+Y8+W8+I8+K8+M8+AA8+AC8+AE8+AG8</f>
        <v>0</v>
      </c>
      <c r="AV8" s="180">
        <v>6</v>
      </c>
      <c r="AX8" s="359">
        <v>62273.27</v>
      </c>
      <c r="AY8" s="359">
        <v>-62273.27</v>
      </c>
      <c r="AZ8" s="359">
        <v>3790077.57</v>
      </c>
      <c r="BA8" s="182">
        <v>2019</v>
      </c>
    </row>
    <row r="9" spans="1:53" x14ac:dyDescent="0.2">
      <c r="A9" s="187" t="s">
        <v>5602</v>
      </c>
      <c r="C9" s="193"/>
      <c r="D9" s="193"/>
      <c r="E9" s="193"/>
      <c r="F9" s="193"/>
      <c r="G9" s="193"/>
      <c r="H9" s="193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3"/>
      <c r="AF9" s="193"/>
      <c r="AG9" s="193"/>
      <c r="AH9" s="193"/>
      <c r="AI9" s="193">
        <f>E9+O9+Q9+S9+U9+Y9+W9+I9+K9+M9+AA9+AC9+AE9+AG9</f>
        <v>0</v>
      </c>
      <c r="AV9" s="180">
        <v>7</v>
      </c>
      <c r="AX9" s="359">
        <v>62273.27</v>
      </c>
      <c r="AY9" s="359">
        <v>-62273.27</v>
      </c>
      <c r="AZ9" s="359">
        <v>3727804.3</v>
      </c>
      <c r="BA9" s="182">
        <v>2019</v>
      </c>
    </row>
    <row r="10" spans="1:53" x14ac:dyDescent="0.2">
      <c r="A10" s="187" t="s">
        <v>5603</v>
      </c>
      <c r="C10" s="193"/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3"/>
      <c r="Y10" s="193"/>
      <c r="Z10" s="193"/>
      <c r="AA10" s="193"/>
      <c r="AB10" s="193"/>
      <c r="AC10" s="193"/>
      <c r="AD10" s="193"/>
      <c r="AE10" s="193"/>
      <c r="AF10" s="193"/>
      <c r="AG10" s="193"/>
      <c r="AH10" s="193"/>
      <c r="AI10" s="193">
        <f>E10+O10+Q10+S10+U10+Y10+W10+I10+K10+M10+AA10+AC10+AE10+AG10</f>
        <v>0</v>
      </c>
      <c r="AV10" s="180">
        <v>8</v>
      </c>
      <c r="AX10" s="359">
        <v>62273.27</v>
      </c>
      <c r="AY10" s="359">
        <v>-62273.27</v>
      </c>
      <c r="AZ10" s="359">
        <v>3665531.03</v>
      </c>
      <c r="BA10" s="182">
        <v>2019</v>
      </c>
    </row>
    <row r="11" spans="1:53" x14ac:dyDescent="0.2">
      <c r="A11" s="187" t="s">
        <v>5604</v>
      </c>
      <c r="C11" s="194">
        <v>-233085.48</v>
      </c>
      <c r="D11" s="193"/>
      <c r="E11" s="194">
        <v>0</v>
      </c>
      <c r="F11" s="193"/>
      <c r="G11" s="194">
        <v>-90577.56</v>
      </c>
      <c r="H11" s="193"/>
      <c r="I11" s="194">
        <v>-12231.96</v>
      </c>
      <c r="J11" s="193"/>
      <c r="K11" s="194">
        <v>-297255.24</v>
      </c>
      <c r="L11" s="193"/>
      <c r="M11" s="194">
        <v>-56652.6</v>
      </c>
      <c r="N11" s="193"/>
      <c r="O11" s="194">
        <v>0</v>
      </c>
      <c r="P11" s="199"/>
      <c r="Q11" s="191">
        <v>0</v>
      </c>
      <c r="R11" s="193"/>
      <c r="S11" s="194">
        <v>-55761.26</v>
      </c>
      <c r="T11" s="193"/>
      <c r="U11" s="194">
        <v>0</v>
      </c>
      <c r="V11" s="199"/>
      <c r="W11" s="194">
        <v>0</v>
      </c>
      <c r="X11" s="199"/>
      <c r="Y11" s="194">
        <v>0</v>
      </c>
      <c r="Z11" s="199"/>
      <c r="AA11" s="194">
        <v>0</v>
      </c>
      <c r="AB11" s="199">
        <v>0</v>
      </c>
      <c r="AC11" s="194">
        <v>0</v>
      </c>
      <c r="AD11" s="199"/>
      <c r="AE11" s="194">
        <v>0</v>
      </c>
      <c r="AF11" s="199"/>
      <c r="AG11" s="194">
        <v>0</v>
      </c>
      <c r="AH11" s="193"/>
      <c r="AI11" s="353">
        <f>SUM(C11:AG11)</f>
        <v>-745564.1</v>
      </c>
      <c r="AV11" s="180">
        <v>9</v>
      </c>
      <c r="AX11" s="359">
        <v>62273.27</v>
      </c>
      <c r="AY11" s="359">
        <v>-62273.27</v>
      </c>
      <c r="AZ11" s="359">
        <v>3603257.76</v>
      </c>
      <c r="BA11" s="182">
        <v>2019</v>
      </c>
    </row>
    <row r="12" spans="1:53" x14ac:dyDescent="0.2">
      <c r="A12" s="180" t="s">
        <v>10544</v>
      </c>
      <c r="C12" s="199">
        <f>C7+C8+C11</f>
        <v>510255.75</v>
      </c>
      <c r="D12" s="193"/>
      <c r="E12" s="199">
        <f>E7+E8+E11</f>
        <v>0</v>
      </c>
      <c r="F12" s="193"/>
      <c r="G12" s="199">
        <f>G7+G8+G11</f>
        <v>339665.85</v>
      </c>
      <c r="H12" s="193"/>
      <c r="I12" s="354">
        <f>I7+I8+I11+I10</f>
        <v>69312.56</v>
      </c>
      <c r="J12" s="193"/>
      <c r="K12" s="354">
        <f>K7+K8+K11+K10</f>
        <v>1533459.41</v>
      </c>
      <c r="L12" s="193"/>
      <c r="M12" s="354">
        <f>M7+M8+M11+M10</f>
        <v>845070.22</v>
      </c>
      <c r="N12" s="193"/>
      <c r="O12" s="199">
        <f>O7+O8+O11+O10</f>
        <v>0</v>
      </c>
      <c r="P12" s="199"/>
      <c r="Q12" s="199">
        <f>Q7+Q8+Q11+Q10</f>
        <v>0</v>
      </c>
      <c r="R12" s="193"/>
      <c r="S12" s="354">
        <f>S7+S8+S11+S10</f>
        <v>120389.29999999999</v>
      </c>
      <c r="T12" s="193"/>
      <c r="U12" s="199">
        <f>U7+U8+U11+U10</f>
        <v>0</v>
      </c>
      <c r="V12" s="199"/>
      <c r="W12" s="199">
        <f>W7+W8+W11+W10</f>
        <v>0</v>
      </c>
      <c r="X12" s="199"/>
      <c r="Y12" s="199">
        <f>Y7+Y8+Y11+Y10</f>
        <v>0</v>
      </c>
      <c r="Z12" s="193"/>
      <c r="AA12" s="199">
        <f>AA7+AA8+AA11+AA10</f>
        <v>0</v>
      </c>
      <c r="AB12" s="199"/>
      <c r="AC12" s="199">
        <f>AC7+AC8+AC11+AC10</f>
        <v>0</v>
      </c>
      <c r="AD12" s="199"/>
      <c r="AE12" s="199">
        <f>AE7+AE8+AE11+AE10</f>
        <v>0</v>
      </c>
      <c r="AF12" s="193"/>
      <c r="AG12" s="199">
        <f>AG7+AG8+AG11+AG10</f>
        <v>0</v>
      </c>
      <c r="AH12" s="193"/>
      <c r="AI12" s="194">
        <f>C12+E12+G12+I12+K12+M12+O12+Q12+S12+U12+W12+Y12+AA12+AC12+AE12+AG12</f>
        <v>3418153.09</v>
      </c>
      <c r="AV12" s="180">
        <v>10</v>
      </c>
      <c r="AX12" s="359">
        <v>62273.27</v>
      </c>
      <c r="AY12" s="359">
        <v>-62273.27</v>
      </c>
      <c r="AZ12" s="359">
        <v>3540984.49</v>
      </c>
      <c r="BA12" s="182">
        <v>2019</v>
      </c>
    </row>
    <row r="13" spans="1:53" x14ac:dyDescent="0.2">
      <c r="C13" s="193"/>
      <c r="D13" s="193"/>
      <c r="E13" s="193"/>
      <c r="F13" s="193"/>
      <c r="G13" s="193"/>
      <c r="H13" s="193"/>
      <c r="I13" s="193"/>
      <c r="J13" s="193"/>
      <c r="K13" s="193"/>
      <c r="L13" s="193"/>
      <c r="M13" s="193"/>
      <c r="N13" s="193"/>
      <c r="O13" s="193"/>
      <c r="P13" s="193"/>
      <c r="Q13" s="192"/>
      <c r="R13" s="193"/>
      <c r="S13" s="193"/>
      <c r="T13" s="193"/>
      <c r="U13" s="193"/>
      <c r="V13" s="193"/>
      <c r="W13" s="193"/>
      <c r="X13" s="193"/>
      <c r="Y13" s="193"/>
      <c r="Z13" s="193"/>
      <c r="AA13" s="193"/>
      <c r="AB13" s="193"/>
      <c r="AC13" s="193"/>
      <c r="AD13" s="193"/>
      <c r="AE13" s="193"/>
      <c r="AF13" s="193"/>
      <c r="AG13" s="193"/>
      <c r="AH13" s="193"/>
      <c r="AI13" s="193"/>
      <c r="AV13" s="180">
        <v>11</v>
      </c>
      <c r="AX13" s="359">
        <v>61415.7</v>
      </c>
      <c r="AY13" s="359">
        <v>-61415.7</v>
      </c>
      <c r="AZ13" s="359">
        <v>3479568.79</v>
      </c>
      <c r="BA13" s="182">
        <v>2019</v>
      </c>
    </row>
    <row r="14" spans="1:53" x14ac:dyDescent="0.2">
      <c r="A14" s="180" t="s">
        <v>5597</v>
      </c>
      <c r="C14" s="191">
        <v>510255.75</v>
      </c>
      <c r="D14" s="193"/>
      <c r="E14" s="191">
        <v>0</v>
      </c>
      <c r="F14" s="193"/>
      <c r="G14" s="191">
        <v>339665.85</v>
      </c>
      <c r="H14" s="193"/>
      <c r="I14" s="191">
        <v>69312.56</v>
      </c>
      <c r="J14" s="193"/>
      <c r="K14" s="191">
        <v>1533459.41</v>
      </c>
      <c r="L14" s="193"/>
      <c r="M14" s="191">
        <v>845070.22</v>
      </c>
      <c r="N14" s="193"/>
      <c r="O14" s="191">
        <v>0</v>
      </c>
      <c r="P14" s="198"/>
      <c r="Q14" s="191">
        <v>0</v>
      </c>
      <c r="R14" s="193"/>
      <c r="S14" s="191">
        <v>120389.3</v>
      </c>
      <c r="T14" s="193"/>
      <c r="U14" s="191">
        <v>0</v>
      </c>
      <c r="V14" s="198"/>
      <c r="W14" s="191">
        <v>0</v>
      </c>
      <c r="X14" s="198"/>
      <c r="Y14" s="191">
        <v>0</v>
      </c>
      <c r="Z14" s="193"/>
      <c r="AA14" s="191">
        <v>0</v>
      </c>
      <c r="AB14" s="198"/>
      <c r="AC14" s="191">
        <v>0</v>
      </c>
      <c r="AD14" s="198"/>
      <c r="AE14" s="191">
        <v>0</v>
      </c>
      <c r="AF14" s="193"/>
      <c r="AG14" s="191">
        <v>0</v>
      </c>
      <c r="AH14" s="193"/>
      <c r="AI14" s="194">
        <f>C14+E14+G14+I14+K14+M14+O14+Q14+S14+U14+W14+Y14+AA14+AC14+AE14+AG14</f>
        <v>3418153.09</v>
      </c>
      <c r="AJ14" s="200"/>
      <c r="AV14" s="180">
        <v>12</v>
      </c>
      <c r="AX14" s="362">
        <v>61415.7</v>
      </c>
      <c r="AY14" s="362">
        <v>-61415.7</v>
      </c>
      <c r="AZ14" s="362">
        <v>3418153.09</v>
      </c>
      <c r="BA14" s="182">
        <v>2019</v>
      </c>
    </row>
    <row r="15" spans="1:53" x14ac:dyDescent="0.2">
      <c r="C15" s="193"/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193"/>
      <c r="O15" s="193"/>
      <c r="P15" s="193"/>
      <c r="Q15" s="192"/>
      <c r="R15" s="193"/>
      <c r="S15" s="193"/>
      <c r="T15" s="193"/>
      <c r="U15" s="193"/>
      <c r="V15" s="193"/>
      <c r="W15" s="193"/>
      <c r="X15" s="193"/>
      <c r="Y15" s="193"/>
      <c r="Z15" s="193"/>
      <c r="AA15" s="193"/>
      <c r="AB15" s="193"/>
      <c r="AC15" s="193"/>
      <c r="AD15" s="193"/>
      <c r="AE15" s="193"/>
      <c r="AF15" s="193"/>
      <c r="AG15" s="193"/>
      <c r="AH15" s="193"/>
      <c r="AI15" s="193"/>
      <c r="AZ15" s="360">
        <f>AVERAGE(AZ2:AZ14)</f>
        <v>3790275.4707692312</v>
      </c>
      <c r="BA15" s="361" t="s">
        <v>10641</v>
      </c>
    </row>
    <row r="16" spans="1:53" x14ac:dyDescent="0.2">
      <c r="A16" s="180" t="s">
        <v>5598</v>
      </c>
      <c r="C16" s="193">
        <f>C12-C14</f>
        <v>0</v>
      </c>
      <c r="D16" s="193"/>
      <c r="E16" s="193">
        <f>E12-E14</f>
        <v>0</v>
      </c>
      <c r="F16" s="193"/>
      <c r="G16" s="193">
        <f>G12-G14</f>
        <v>0</v>
      </c>
      <c r="H16" s="193"/>
      <c r="I16" s="193">
        <f>I12-I14</f>
        <v>0</v>
      </c>
      <c r="J16" s="193"/>
      <c r="K16" s="193">
        <f>K12-K14</f>
        <v>0</v>
      </c>
      <c r="L16" s="193"/>
      <c r="M16" s="193">
        <f>M12-M14</f>
        <v>0</v>
      </c>
      <c r="N16" s="193"/>
      <c r="O16" s="193">
        <f>ROUND(O12-O14,0)</f>
        <v>0</v>
      </c>
      <c r="P16" s="193"/>
      <c r="Q16" s="193">
        <f>ROUND(Q12-Q14,0)</f>
        <v>0</v>
      </c>
      <c r="R16" s="193"/>
      <c r="S16" s="193">
        <f>S12-S14</f>
        <v>0</v>
      </c>
      <c r="T16" s="193"/>
      <c r="U16" s="193">
        <f>U12-U14</f>
        <v>0</v>
      </c>
      <c r="V16" s="193"/>
      <c r="W16" s="193">
        <f>W12-W14</f>
        <v>0</v>
      </c>
      <c r="X16" s="193"/>
      <c r="Y16" s="193">
        <f>ROUND(Y12-Y14,0)</f>
        <v>0</v>
      </c>
      <c r="Z16" s="193"/>
      <c r="AA16" s="193">
        <f>AA12-AA14</f>
        <v>0</v>
      </c>
      <c r="AB16" s="193"/>
      <c r="AC16" s="193">
        <f>AC12-AC14</f>
        <v>0</v>
      </c>
      <c r="AD16" s="193"/>
      <c r="AE16" s="193">
        <f>ROUND(AE12-AE14,0)</f>
        <v>0</v>
      </c>
      <c r="AF16" s="193"/>
      <c r="AG16" s="193">
        <f>ROUND(AG12-AG14,0)</f>
        <v>0</v>
      </c>
      <c r="AH16" s="193"/>
      <c r="AI16" s="193">
        <f>ROUND(AI12-AI14,0)</f>
        <v>0</v>
      </c>
    </row>
    <row r="17" spans="1:53" x14ac:dyDescent="0.2">
      <c r="C17" s="193"/>
      <c r="D17" s="193"/>
      <c r="E17" s="193"/>
      <c r="F17" s="193"/>
      <c r="G17" s="193"/>
      <c r="H17" s="193"/>
      <c r="I17" s="193"/>
      <c r="J17" s="193"/>
      <c r="K17" s="193"/>
      <c r="L17" s="193"/>
      <c r="M17" s="193"/>
      <c r="N17" s="193"/>
      <c r="O17" s="193"/>
      <c r="P17" s="193"/>
      <c r="Q17" s="192"/>
      <c r="R17" s="193"/>
      <c r="S17" s="193"/>
      <c r="T17" s="193"/>
      <c r="U17" s="193"/>
      <c r="V17" s="193"/>
      <c r="W17" s="193"/>
      <c r="X17" s="193"/>
      <c r="Y17" s="193"/>
      <c r="Z17" s="193"/>
      <c r="AA17" s="193"/>
      <c r="AB17" s="193"/>
      <c r="AC17" s="193"/>
      <c r="AD17" s="193"/>
      <c r="AE17" s="193"/>
      <c r="AF17" s="193"/>
      <c r="AG17" s="193"/>
      <c r="AH17" s="193"/>
      <c r="AI17" s="193"/>
      <c r="AZ17" s="359"/>
      <c r="BA17" s="182"/>
    </row>
    <row r="18" spans="1:53" x14ac:dyDescent="0.2">
      <c r="C18" s="193"/>
      <c r="D18" s="193"/>
      <c r="E18" s="193"/>
      <c r="F18" s="193"/>
      <c r="G18" s="193"/>
      <c r="H18" s="193"/>
      <c r="I18" s="193"/>
      <c r="J18" s="193"/>
      <c r="K18" s="193"/>
      <c r="L18" s="193"/>
      <c r="M18" s="193"/>
      <c r="N18" s="193"/>
      <c r="O18" s="193"/>
      <c r="P18" s="193"/>
      <c r="Q18" s="192"/>
      <c r="R18" s="193"/>
      <c r="S18" s="193"/>
      <c r="T18" s="193"/>
      <c r="U18" s="193"/>
      <c r="V18" s="193"/>
      <c r="W18" s="193"/>
      <c r="X18" s="193"/>
      <c r="Y18" s="193"/>
      <c r="Z18" s="193"/>
      <c r="AA18" s="193"/>
      <c r="AB18" s="193"/>
      <c r="AC18" s="193"/>
      <c r="AD18" s="193"/>
      <c r="AE18" s="193"/>
      <c r="AF18" s="193"/>
      <c r="AG18" s="193"/>
      <c r="AH18" s="193"/>
      <c r="AI18" s="193"/>
      <c r="AX18" s="359"/>
      <c r="AY18" s="359"/>
      <c r="AZ18" s="359"/>
      <c r="BA18" s="182"/>
    </row>
    <row r="19" spans="1:53" x14ac:dyDescent="0.2">
      <c r="S19" s="183"/>
      <c r="T19" s="183"/>
      <c r="U19" s="183"/>
      <c r="V19" s="183"/>
      <c r="W19" s="183"/>
      <c r="X19" s="183"/>
      <c r="Y19" s="183"/>
      <c r="Z19" s="183"/>
      <c r="AA19" s="183"/>
      <c r="AB19" s="183"/>
      <c r="AC19" s="183"/>
      <c r="AD19" s="183"/>
      <c r="AE19" s="183"/>
      <c r="AF19" s="183"/>
      <c r="AG19" s="183"/>
      <c r="AH19" s="183"/>
      <c r="AI19" s="183"/>
      <c r="AX19" s="359"/>
      <c r="AY19" s="359"/>
      <c r="AZ19" s="359"/>
      <c r="BA19" s="182"/>
    </row>
    <row r="20" spans="1:53" ht="15.75" x14ac:dyDescent="0.25">
      <c r="A20" s="179"/>
      <c r="B20" s="179"/>
      <c r="C20" s="179"/>
      <c r="D20" s="179"/>
      <c r="E20" s="179"/>
      <c r="F20" s="179"/>
      <c r="G20" s="179"/>
      <c r="H20" s="179"/>
      <c r="I20" s="179"/>
      <c r="J20" s="179"/>
      <c r="K20" s="179"/>
      <c r="L20" s="179"/>
      <c r="M20" s="179"/>
      <c r="N20" s="179"/>
      <c r="O20" s="402">
        <v>2020</v>
      </c>
      <c r="P20" s="402"/>
      <c r="Q20" s="402"/>
      <c r="R20" s="402"/>
      <c r="S20" s="402"/>
      <c r="T20" s="179"/>
      <c r="U20" s="179"/>
      <c r="V20" s="179"/>
      <c r="W20" s="179"/>
      <c r="X20" s="179"/>
      <c r="Y20" s="179"/>
      <c r="Z20" s="179"/>
      <c r="AA20" s="179"/>
      <c r="AB20" s="179"/>
      <c r="AC20" s="179"/>
      <c r="AD20" s="179"/>
      <c r="AE20" s="179"/>
      <c r="AF20" s="179"/>
      <c r="AG20" s="179"/>
      <c r="AH20" s="179"/>
      <c r="AI20" s="179"/>
      <c r="AX20" s="359"/>
      <c r="AY20" s="359"/>
      <c r="AZ20" s="359"/>
      <c r="BA20" s="182"/>
    </row>
    <row r="21" spans="1:53" ht="15.75" x14ac:dyDescent="0.25">
      <c r="A21" s="179"/>
      <c r="B21" s="179"/>
      <c r="C21" s="179"/>
      <c r="D21" s="179"/>
      <c r="E21" s="179"/>
      <c r="F21" s="179"/>
      <c r="G21" s="179"/>
      <c r="H21" s="179"/>
      <c r="I21" s="179" t="s">
        <v>2984</v>
      </c>
      <c r="J21" s="179"/>
      <c r="K21" s="179" t="s">
        <v>4849</v>
      </c>
      <c r="L21" s="179"/>
      <c r="M21" s="179" t="s">
        <v>5600</v>
      </c>
      <c r="O21" s="179" t="s">
        <v>10548</v>
      </c>
      <c r="P21" s="179"/>
      <c r="Q21" s="179" t="s">
        <v>10549</v>
      </c>
      <c r="R21" s="179"/>
      <c r="S21" s="179" t="s">
        <v>4864</v>
      </c>
      <c r="T21" s="179"/>
      <c r="U21" s="179" t="s">
        <v>10548</v>
      </c>
      <c r="V21" s="179"/>
      <c r="W21" s="179" t="s">
        <v>10550</v>
      </c>
      <c r="X21" s="179"/>
      <c r="Y21" s="179" t="s">
        <v>10551</v>
      </c>
      <c r="Z21" s="179"/>
      <c r="AA21" s="179" t="s">
        <v>10552</v>
      </c>
      <c r="AB21" s="179"/>
      <c r="AC21" s="179" t="s">
        <v>10553</v>
      </c>
      <c r="AD21" s="179"/>
      <c r="AE21" s="179" t="s">
        <v>10554</v>
      </c>
      <c r="AF21" s="179"/>
      <c r="AG21" s="179" t="s">
        <v>10553</v>
      </c>
      <c r="AH21" s="179"/>
      <c r="AI21" s="179"/>
      <c r="AX21" s="359"/>
      <c r="AY21" s="359"/>
      <c r="AZ21" s="359"/>
      <c r="BA21" s="182"/>
    </row>
    <row r="22" spans="1:53" x14ac:dyDescent="0.2">
      <c r="A22" s="181" t="s">
        <v>5584</v>
      </c>
      <c r="B22" s="182"/>
      <c r="C22" s="195" t="s">
        <v>5580</v>
      </c>
      <c r="D22" s="182"/>
      <c r="E22" s="195" t="s">
        <v>5637</v>
      </c>
      <c r="F22" s="182"/>
      <c r="G22" s="195" t="s">
        <v>5576</v>
      </c>
      <c r="H22" s="182"/>
      <c r="I22" s="195" t="s">
        <v>5578</v>
      </c>
      <c r="J22" s="182"/>
      <c r="K22" s="195" t="s">
        <v>5573</v>
      </c>
      <c r="L22" s="182"/>
      <c r="M22" s="195" t="s">
        <v>5581</v>
      </c>
      <c r="N22" s="182"/>
      <c r="O22" s="195" t="s">
        <v>5585</v>
      </c>
      <c r="P22" s="182"/>
      <c r="Q22" s="195" t="s">
        <v>5586</v>
      </c>
      <c r="R22" s="182"/>
      <c r="S22" s="195" t="s">
        <v>5579</v>
      </c>
      <c r="T22" s="182"/>
      <c r="U22" s="195" t="s">
        <v>5589</v>
      </c>
      <c r="V22" s="182"/>
      <c r="W22" s="195" t="s">
        <v>5593</v>
      </c>
      <c r="X22" s="182"/>
      <c r="Y22" s="195" t="s">
        <v>5754</v>
      </c>
      <c r="Z22" s="182"/>
      <c r="AA22" s="195" t="s">
        <v>5755</v>
      </c>
      <c r="AB22" s="182"/>
      <c r="AC22" s="195" t="s">
        <v>7245</v>
      </c>
      <c r="AD22" s="182"/>
      <c r="AE22" s="195" t="s">
        <v>7887</v>
      </c>
      <c r="AF22" s="182"/>
      <c r="AG22" s="195" t="s">
        <v>8006</v>
      </c>
      <c r="AH22" s="182"/>
      <c r="AI22" s="196" t="s">
        <v>3622</v>
      </c>
      <c r="AX22" s="359"/>
      <c r="AY22" s="359"/>
      <c r="AZ22" s="359"/>
      <c r="BA22" s="182"/>
    </row>
    <row r="23" spans="1:53" x14ac:dyDescent="0.2">
      <c r="A23" s="183"/>
      <c r="B23" s="183"/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2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I23" s="193"/>
      <c r="AX23" s="359"/>
      <c r="AY23" s="359"/>
      <c r="AZ23" s="359"/>
      <c r="BA23" s="182"/>
    </row>
    <row r="24" spans="1:53" x14ac:dyDescent="0.2">
      <c r="A24" s="187" t="s">
        <v>10628</v>
      </c>
      <c r="B24" s="183"/>
      <c r="C24" s="197">
        <v>510255.75</v>
      </c>
      <c r="D24" s="193"/>
      <c r="E24" s="197">
        <v>0</v>
      </c>
      <c r="F24" s="193"/>
      <c r="G24" s="197">
        <v>339665.85</v>
      </c>
      <c r="H24" s="193"/>
      <c r="I24" s="197">
        <v>69312.56</v>
      </c>
      <c r="J24" s="193"/>
      <c r="K24" s="197">
        <v>1533459.41</v>
      </c>
      <c r="L24" s="193"/>
      <c r="M24" s="197">
        <v>845070.22</v>
      </c>
      <c r="N24" s="193"/>
      <c r="O24" s="197">
        <v>0</v>
      </c>
      <c r="P24" s="197"/>
      <c r="Q24" s="197">
        <v>0</v>
      </c>
      <c r="R24" s="193"/>
      <c r="S24" s="198">
        <v>120389.29999999999</v>
      </c>
      <c r="T24" s="193"/>
      <c r="U24" s="197">
        <v>0</v>
      </c>
      <c r="V24" s="197"/>
      <c r="W24" s="197">
        <v>0</v>
      </c>
      <c r="X24" s="197"/>
      <c r="Y24" s="197">
        <v>0</v>
      </c>
      <c r="Z24" s="197"/>
      <c r="AA24" s="197">
        <v>0</v>
      </c>
      <c r="AB24" s="197"/>
      <c r="AC24" s="197">
        <v>0</v>
      </c>
      <c r="AD24" s="197"/>
      <c r="AE24" s="197">
        <v>0</v>
      </c>
      <c r="AF24" s="197"/>
      <c r="AG24" s="197">
        <v>0</v>
      </c>
      <c r="AH24" s="197"/>
      <c r="AI24" s="193">
        <f>SUM(C24:AG24)</f>
        <v>3418153.09</v>
      </c>
      <c r="AX24" s="359"/>
      <c r="AY24" s="359"/>
      <c r="AZ24" s="359"/>
      <c r="BA24" s="182"/>
    </row>
    <row r="25" spans="1:53" x14ac:dyDescent="0.2">
      <c r="A25" s="187" t="s">
        <v>5601</v>
      </c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2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I25" s="193">
        <f t="shared" ref="AI25:AI27" si="0">SUM(C25:AG25)</f>
        <v>0</v>
      </c>
      <c r="AX25" s="359"/>
      <c r="AY25" s="359"/>
      <c r="AZ25" s="359"/>
      <c r="BA25" s="182"/>
    </row>
    <row r="26" spans="1:53" x14ac:dyDescent="0.2">
      <c r="A26" s="187" t="s">
        <v>5602</v>
      </c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>
        <f t="shared" si="0"/>
        <v>0</v>
      </c>
      <c r="AX26" s="359"/>
      <c r="AY26" s="359"/>
      <c r="AZ26" s="359"/>
      <c r="BA26" s="182"/>
    </row>
    <row r="27" spans="1:53" x14ac:dyDescent="0.2">
      <c r="A27" s="187" t="s">
        <v>5603</v>
      </c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>
        <f t="shared" si="0"/>
        <v>0</v>
      </c>
      <c r="AX27" s="359"/>
      <c r="AY27" s="359"/>
      <c r="AZ27" s="359"/>
      <c r="BA27" s="182"/>
    </row>
    <row r="28" spans="1:53" x14ac:dyDescent="0.2">
      <c r="A28" s="187" t="s">
        <v>5604</v>
      </c>
      <c r="C28" s="349" t="e">
        <f>+#REF!</f>
        <v>#REF!</v>
      </c>
      <c r="D28" s="193"/>
      <c r="E28" s="194">
        <v>0</v>
      </c>
      <c r="F28" s="193"/>
      <c r="G28" s="194" t="e">
        <f>+#REF!</f>
        <v>#REF!</v>
      </c>
      <c r="H28" s="193"/>
      <c r="I28" s="194" t="e">
        <f>+#REF!</f>
        <v>#REF!</v>
      </c>
      <c r="J28" s="193"/>
      <c r="K28" s="194" t="e">
        <f>+#REF!</f>
        <v>#REF!</v>
      </c>
      <c r="L28" s="193"/>
      <c r="M28" s="194" t="e">
        <f>+#REF!</f>
        <v>#REF!</v>
      </c>
      <c r="N28" s="193"/>
      <c r="O28" s="194">
        <v>0</v>
      </c>
      <c r="P28" s="199"/>
      <c r="Q28" s="191">
        <v>0</v>
      </c>
      <c r="R28" s="193"/>
      <c r="S28" s="194" t="e">
        <f>+#REF!</f>
        <v>#REF!</v>
      </c>
      <c r="T28" s="193"/>
      <c r="U28" s="194">
        <v>0</v>
      </c>
      <c r="V28" s="199"/>
      <c r="W28" s="194">
        <v>0</v>
      </c>
      <c r="X28" s="199"/>
      <c r="Y28" s="194">
        <v>0</v>
      </c>
      <c r="Z28" s="199"/>
      <c r="AA28" s="194">
        <v>0</v>
      </c>
      <c r="AB28" s="199">
        <v>0</v>
      </c>
      <c r="AC28" s="194">
        <v>0</v>
      </c>
      <c r="AD28" s="199"/>
      <c r="AE28" s="194">
        <v>0</v>
      </c>
      <c r="AF28" s="199"/>
      <c r="AG28" s="194">
        <v>0</v>
      </c>
      <c r="AH28" s="193"/>
      <c r="AI28" s="353" t="e">
        <f>SUM(C28:AG28)</f>
        <v>#REF!</v>
      </c>
      <c r="AX28" s="359"/>
      <c r="AY28" s="359"/>
      <c r="AZ28" s="359"/>
      <c r="BA28" s="182"/>
    </row>
    <row r="29" spans="1:53" x14ac:dyDescent="0.2">
      <c r="A29" s="180" t="s">
        <v>10629</v>
      </c>
      <c r="C29" s="199" t="e">
        <f>C24+C25+C28</f>
        <v>#REF!</v>
      </c>
      <c r="D29" s="193"/>
      <c r="E29" s="199">
        <f>E24+E25+E28</f>
        <v>0</v>
      </c>
      <c r="F29" s="193"/>
      <c r="G29" s="199" t="e">
        <f>G24+G25+G28</f>
        <v>#REF!</v>
      </c>
      <c r="H29" s="193"/>
      <c r="I29" s="354" t="e">
        <f>I24+I25+I28+I27</f>
        <v>#REF!</v>
      </c>
      <c r="J29" s="193"/>
      <c r="K29" s="354" t="e">
        <f>K24+K25+K28+K27</f>
        <v>#REF!</v>
      </c>
      <c r="L29" s="193"/>
      <c r="M29" s="354" t="e">
        <f>M24+M25+M28+M27</f>
        <v>#REF!</v>
      </c>
      <c r="N29" s="193"/>
      <c r="O29" s="199">
        <f>O24+O25+O28+O27</f>
        <v>0</v>
      </c>
      <c r="P29" s="199"/>
      <c r="Q29" s="199">
        <f>Q24+Q25+Q28+Q27</f>
        <v>0</v>
      </c>
      <c r="R29" s="193"/>
      <c r="S29" s="354" t="e">
        <f>S24+S25+S28+S27</f>
        <v>#REF!</v>
      </c>
      <c r="T29" s="193"/>
      <c r="U29" s="199">
        <f>U24+U25+U28+U27</f>
        <v>0</v>
      </c>
      <c r="V29" s="199"/>
      <c r="W29" s="199">
        <f>W24+W25+W28+W27</f>
        <v>0</v>
      </c>
      <c r="X29" s="199"/>
      <c r="Y29" s="199">
        <f>Y24+Y25+Y28+Y27</f>
        <v>0</v>
      </c>
      <c r="Z29" s="193"/>
      <c r="AA29" s="199">
        <f>AA24+AA25+AA28+AA27</f>
        <v>0</v>
      </c>
      <c r="AB29" s="199"/>
      <c r="AC29" s="199">
        <f>AC24+AC25+AC28+AC27</f>
        <v>0</v>
      </c>
      <c r="AD29" s="199"/>
      <c r="AE29" s="199">
        <f>AE24+AE25+AE28+AE27</f>
        <v>0</v>
      </c>
      <c r="AF29" s="193"/>
      <c r="AG29" s="199">
        <f>AG24+AG25+AG28+AG27</f>
        <v>0</v>
      </c>
      <c r="AH29" s="193"/>
      <c r="AI29" s="194" t="e">
        <f>C29+E29+G29+I29+K29+M29+O29+Q29+S29+U29+W29+Y29+AA29+AC29+AE29+AG29</f>
        <v>#REF!</v>
      </c>
      <c r="AX29" s="359"/>
      <c r="AY29" s="359"/>
      <c r="AZ29" s="359"/>
      <c r="BA29" s="182"/>
    </row>
    <row r="30" spans="1:53" x14ac:dyDescent="0.2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2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Z30" s="363"/>
    </row>
    <row r="31" spans="1:53" x14ac:dyDescent="0.2">
      <c r="A31" s="312" t="s">
        <v>10630</v>
      </c>
      <c r="B31" s="312"/>
      <c r="C31" s="350">
        <v>0</v>
      </c>
      <c r="D31" s="351"/>
      <c r="E31" s="350">
        <v>0</v>
      </c>
      <c r="F31" s="351"/>
      <c r="G31" s="350">
        <v>0</v>
      </c>
      <c r="H31" s="351"/>
      <c r="I31" s="350">
        <v>0</v>
      </c>
      <c r="J31" s="351"/>
      <c r="K31" s="350">
        <v>0</v>
      </c>
      <c r="L31" s="351"/>
      <c r="M31" s="350">
        <v>0</v>
      </c>
      <c r="N31" s="351"/>
      <c r="O31" s="350">
        <v>0</v>
      </c>
      <c r="P31" s="352"/>
      <c r="Q31" s="350">
        <v>0</v>
      </c>
      <c r="R31" s="351"/>
      <c r="S31" s="350">
        <v>0</v>
      </c>
      <c r="T31" s="351"/>
      <c r="U31" s="350">
        <v>0</v>
      </c>
      <c r="V31" s="352"/>
      <c r="W31" s="350">
        <v>0</v>
      </c>
      <c r="X31" s="352"/>
      <c r="Y31" s="350">
        <v>0</v>
      </c>
      <c r="Z31" s="351"/>
      <c r="AA31" s="350">
        <v>0</v>
      </c>
      <c r="AB31" s="352"/>
      <c r="AC31" s="350">
        <v>0</v>
      </c>
      <c r="AD31" s="352"/>
      <c r="AE31" s="350">
        <v>0</v>
      </c>
      <c r="AF31" s="351"/>
      <c r="AG31" s="350">
        <v>0</v>
      </c>
      <c r="AH31" s="193"/>
      <c r="AI31" s="348">
        <f>815012.86+3201569.59</f>
        <v>4016582.4499999997</v>
      </c>
      <c r="AK31" s="180" t="s">
        <v>10634</v>
      </c>
    </row>
    <row r="32" spans="1:53" x14ac:dyDescent="0.2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2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</row>
    <row r="33" spans="1:35" x14ac:dyDescent="0.2">
      <c r="A33" s="180" t="s">
        <v>5598</v>
      </c>
      <c r="C33" s="193" t="e">
        <f>C29-C31</f>
        <v>#REF!</v>
      </c>
      <c r="D33" s="193"/>
      <c r="E33" s="193">
        <f>E29-E31</f>
        <v>0</v>
      </c>
      <c r="F33" s="193"/>
      <c r="G33" s="193" t="e">
        <f>G29-G31</f>
        <v>#REF!</v>
      </c>
      <c r="H33" s="193"/>
      <c r="I33" s="193" t="e">
        <f>I29-I31</f>
        <v>#REF!</v>
      </c>
      <c r="J33" s="193"/>
      <c r="K33" s="193" t="e">
        <f>K29-K31</f>
        <v>#REF!</v>
      </c>
      <c r="L33" s="193"/>
      <c r="M33" s="193" t="e">
        <f>M29-M31</f>
        <v>#REF!</v>
      </c>
      <c r="N33" s="193"/>
      <c r="O33" s="193">
        <f>ROUND(O29-O31,0)</f>
        <v>0</v>
      </c>
      <c r="P33" s="193"/>
      <c r="Q33" s="193">
        <f>ROUND(Q29-Q31,0)</f>
        <v>0</v>
      </c>
      <c r="R33" s="193"/>
      <c r="S33" s="193" t="e">
        <f>S29-S31</f>
        <v>#REF!</v>
      </c>
      <c r="T33" s="193"/>
      <c r="U33" s="193">
        <f>U29-U31</f>
        <v>0</v>
      </c>
      <c r="V33" s="193"/>
      <c r="W33" s="193">
        <f>W29-W31</f>
        <v>0</v>
      </c>
      <c r="X33" s="193"/>
      <c r="Y33" s="193">
        <f>ROUND(Y29-Y31,0)</f>
        <v>0</v>
      </c>
      <c r="Z33" s="193"/>
      <c r="AA33" s="193">
        <f>AA29-AA31</f>
        <v>0</v>
      </c>
      <c r="AB33" s="193"/>
      <c r="AC33" s="193">
        <f>AC29-AC31</f>
        <v>0</v>
      </c>
      <c r="AD33" s="193"/>
      <c r="AE33" s="193">
        <f>ROUND(AE29-AE31,0)</f>
        <v>0</v>
      </c>
      <c r="AF33" s="193"/>
      <c r="AG33" s="193">
        <f>ROUND(AG29-AG31,0)</f>
        <v>0</v>
      </c>
      <c r="AH33" s="193"/>
      <c r="AI33" s="193" t="e">
        <f>ROUND(AI29-AI31,0)</f>
        <v>#REF!</v>
      </c>
    </row>
    <row r="34" spans="1:35" x14ac:dyDescent="0.2">
      <c r="A34" s="201"/>
    </row>
    <row r="35" spans="1:35" x14ac:dyDescent="0.2">
      <c r="A35" s="201"/>
    </row>
    <row r="36" spans="1:35" x14ac:dyDescent="0.2">
      <c r="A36" s="201"/>
    </row>
    <row r="37" spans="1:35" ht="15.75" x14ac:dyDescent="0.25">
      <c r="A37" s="179"/>
      <c r="B37" s="179"/>
      <c r="C37" s="179"/>
      <c r="D37" s="179"/>
      <c r="E37" s="179"/>
      <c r="F37" s="179"/>
      <c r="G37" s="179"/>
      <c r="H37" s="179"/>
      <c r="I37" s="179"/>
      <c r="J37" s="179"/>
      <c r="K37" s="179"/>
      <c r="L37" s="179"/>
      <c r="M37" s="179"/>
      <c r="N37" s="179"/>
      <c r="O37" s="402">
        <v>2021</v>
      </c>
      <c r="P37" s="402"/>
      <c r="Q37" s="402"/>
      <c r="R37" s="402"/>
      <c r="S37" s="402"/>
      <c r="T37" s="179"/>
      <c r="U37" s="179"/>
      <c r="V37" s="179"/>
      <c r="W37" s="179"/>
      <c r="X37" s="179"/>
      <c r="Y37" s="179"/>
      <c r="Z37" s="179"/>
      <c r="AA37" s="179"/>
      <c r="AB37" s="179"/>
      <c r="AC37" s="179"/>
      <c r="AD37" s="179"/>
      <c r="AE37" s="179"/>
      <c r="AF37" s="179"/>
      <c r="AG37" s="179"/>
      <c r="AH37" s="179"/>
      <c r="AI37" s="179"/>
    </row>
    <row r="38" spans="1:35" ht="15.75" x14ac:dyDescent="0.25">
      <c r="A38" s="179"/>
      <c r="B38" s="179"/>
      <c r="C38" s="179"/>
      <c r="D38" s="179"/>
      <c r="E38" s="179"/>
      <c r="F38" s="179"/>
      <c r="G38" s="179"/>
      <c r="H38" s="179"/>
      <c r="I38" s="179" t="s">
        <v>2984</v>
      </c>
      <c r="J38" s="179"/>
      <c r="K38" s="179" t="s">
        <v>4849</v>
      </c>
      <c r="L38" s="179"/>
      <c r="M38" s="179" t="s">
        <v>5600</v>
      </c>
      <c r="O38" s="179" t="s">
        <v>10548</v>
      </c>
      <c r="P38" s="179"/>
      <c r="Q38" s="179" t="s">
        <v>10549</v>
      </c>
      <c r="R38" s="179"/>
      <c r="S38" s="179" t="s">
        <v>4864</v>
      </c>
      <c r="T38" s="179"/>
      <c r="U38" s="179" t="s">
        <v>10548</v>
      </c>
      <c r="V38" s="179"/>
      <c r="W38" s="179" t="s">
        <v>10550</v>
      </c>
      <c r="X38" s="179"/>
      <c r="Y38" s="179" t="s">
        <v>10551</v>
      </c>
      <c r="Z38" s="179"/>
      <c r="AA38" s="179" t="s">
        <v>10552</v>
      </c>
      <c r="AB38" s="179"/>
      <c r="AC38" s="179" t="s">
        <v>10553</v>
      </c>
      <c r="AD38" s="179"/>
      <c r="AE38" s="179" t="s">
        <v>10554</v>
      </c>
      <c r="AF38" s="179"/>
      <c r="AG38" s="179" t="s">
        <v>10553</v>
      </c>
      <c r="AH38" s="179"/>
      <c r="AI38" s="179"/>
    </row>
    <row r="39" spans="1:35" x14ac:dyDescent="0.2">
      <c r="A39" s="181" t="s">
        <v>5584</v>
      </c>
      <c r="B39" s="182"/>
      <c r="C39" s="195" t="s">
        <v>5580</v>
      </c>
      <c r="D39" s="182"/>
      <c r="E39" s="195" t="s">
        <v>5637</v>
      </c>
      <c r="F39" s="182"/>
      <c r="G39" s="195" t="s">
        <v>5576</v>
      </c>
      <c r="H39" s="182"/>
      <c r="I39" s="195" t="s">
        <v>5578</v>
      </c>
      <c r="J39" s="182"/>
      <c r="K39" s="195" t="s">
        <v>5573</v>
      </c>
      <c r="L39" s="182"/>
      <c r="M39" s="195" t="s">
        <v>5581</v>
      </c>
      <c r="N39" s="182"/>
      <c r="O39" s="195" t="s">
        <v>5585</v>
      </c>
      <c r="P39" s="182"/>
      <c r="Q39" s="195" t="s">
        <v>5586</v>
      </c>
      <c r="R39" s="182"/>
      <c r="S39" s="195" t="s">
        <v>5579</v>
      </c>
      <c r="T39" s="182"/>
      <c r="U39" s="195" t="s">
        <v>5589</v>
      </c>
      <c r="V39" s="182"/>
      <c r="W39" s="195" t="s">
        <v>5593</v>
      </c>
      <c r="X39" s="182"/>
      <c r="Y39" s="195" t="s">
        <v>5754</v>
      </c>
      <c r="Z39" s="182"/>
      <c r="AA39" s="195" t="s">
        <v>5755</v>
      </c>
      <c r="AB39" s="182"/>
      <c r="AC39" s="195" t="s">
        <v>7245</v>
      </c>
      <c r="AD39" s="182"/>
      <c r="AE39" s="195" t="s">
        <v>7887</v>
      </c>
      <c r="AF39" s="182"/>
      <c r="AG39" s="195" t="s">
        <v>8006</v>
      </c>
      <c r="AH39" s="182"/>
      <c r="AI39" s="196" t="s">
        <v>3622</v>
      </c>
    </row>
    <row r="40" spans="1:35" x14ac:dyDescent="0.2">
      <c r="A40" s="183"/>
      <c r="B40" s="183"/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2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</row>
    <row r="41" spans="1:35" x14ac:dyDescent="0.2">
      <c r="A41" s="187" t="s">
        <v>10631</v>
      </c>
      <c r="B41" s="183"/>
      <c r="C41" s="197">
        <v>277170.2699999999</v>
      </c>
      <c r="D41" s="193"/>
      <c r="E41" s="197">
        <v>0</v>
      </c>
      <c r="F41" s="193"/>
      <c r="G41" s="197">
        <v>249088.28999999992</v>
      </c>
      <c r="H41" s="193"/>
      <c r="I41" s="197">
        <v>57080.6</v>
      </c>
      <c r="J41" s="193"/>
      <c r="K41" s="197">
        <v>1236204.17</v>
      </c>
      <c r="L41" s="193"/>
      <c r="M41" s="197">
        <v>2037428.4600000004</v>
      </c>
      <c r="N41" s="193"/>
      <c r="O41" s="197">
        <v>0</v>
      </c>
      <c r="P41" s="197"/>
      <c r="Q41" s="197">
        <v>0</v>
      </c>
      <c r="R41" s="193"/>
      <c r="S41" s="198">
        <v>159610.65999999997</v>
      </c>
      <c r="T41" s="193"/>
      <c r="U41" s="197">
        <v>0</v>
      </c>
      <c r="V41" s="197"/>
      <c r="W41" s="197">
        <v>0</v>
      </c>
      <c r="X41" s="197"/>
      <c r="Y41" s="197">
        <v>0</v>
      </c>
      <c r="Z41" s="197"/>
      <c r="AA41" s="197">
        <v>0</v>
      </c>
      <c r="AB41" s="197"/>
      <c r="AC41" s="197">
        <v>0</v>
      </c>
      <c r="AD41" s="197"/>
      <c r="AE41" s="197">
        <v>0</v>
      </c>
      <c r="AF41" s="197"/>
      <c r="AG41" s="197">
        <v>0</v>
      </c>
      <c r="AH41" s="197"/>
      <c r="AI41" s="193">
        <f>SUM(C41:AG41)</f>
        <v>4016582.45</v>
      </c>
    </row>
    <row r="42" spans="1:35" x14ac:dyDescent="0.2">
      <c r="A42" s="187" t="s">
        <v>5601</v>
      </c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2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>
        <f t="shared" ref="AI42:AI44" si="1">SUM(C42:AG42)</f>
        <v>0</v>
      </c>
    </row>
    <row r="43" spans="1:35" x14ac:dyDescent="0.2">
      <c r="A43" s="187" t="s">
        <v>5602</v>
      </c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>
        <f t="shared" si="1"/>
        <v>0</v>
      </c>
    </row>
    <row r="44" spans="1:35" x14ac:dyDescent="0.2">
      <c r="A44" s="187" t="s">
        <v>5603</v>
      </c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>
        <f t="shared" si="1"/>
        <v>0</v>
      </c>
    </row>
    <row r="45" spans="1:35" x14ac:dyDescent="0.2">
      <c r="A45" s="187" t="s">
        <v>5604</v>
      </c>
      <c r="C45" s="349" t="e">
        <f>+#REF!</f>
        <v>#REF!</v>
      </c>
      <c r="D45" s="193"/>
      <c r="E45" s="194">
        <v>0</v>
      </c>
      <c r="F45" s="193"/>
      <c r="G45" s="194" t="e">
        <f>+#REF!</f>
        <v>#REF!</v>
      </c>
      <c r="H45" s="193"/>
      <c r="I45" s="194" t="e">
        <f>+#REF!</f>
        <v>#REF!</v>
      </c>
      <c r="J45" s="193"/>
      <c r="K45" s="194" t="e">
        <f>+#REF!</f>
        <v>#REF!</v>
      </c>
      <c r="L45" s="193"/>
      <c r="M45" s="194" t="e">
        <f>+#REF!</f>
        <v>#REF!</v>
      </c>
      <c r="N45" s="193"/>
      <c r="O45" s="194">
        <v>0</v>
      </c>
      <c r="P45" s="199"/>
      <c r="Q45" s="191">
        <v>0</v>
      </c>
      <c r="R45" s="193"/>
      <c r="S45" s="194" t="e">
        <f>+#REF!</f>
        <v>#REF!</v>
      </c>
      <c r="T45" s="193"/>
      <c r="U45" s="194">
        <v>0</v>
      </c>
      <c r="V45" s="199"/>
      <c r="W45" s="194">
        <v>0</v>
      </c>
      <c r="X45" s="199"/>
      <c r="Y45" s="194">
        <v>0</v>
      </c>
      <c r="Z45" s="199"/>
      <c r="AA45" s="194">
        <v>0</v>
      </c>
      <c r="AB45" s="199">
        <v>0</v>
      </c>
      <c r="AC45" s="194">
        <v>0</v>
      </c>
      <c r="AD45" s="199"/>
      <c r="AE45" s="194">
        <v>0</v>
      </c>
      <c r="AF45" s="199"/>
      <c r="AG45" s="194">
        <v>0</v>
      </c>
      <c r="AH45" s="193"/>
      <c r="AI45" s="353" t="e">
        <f>SUM(C45:AG45)</f>
        <v>#REF!</v>
      </c>
    </row>
    <row r="46" spans="1:35" x14ac:dyDescent="0.2">
      <c r="A46" s="180" t="s">
        <v>10632</v>
      </c>
      <c r="C46" s="199" t="e">
        <f>C41+C42+C45</f>
        <v>#REF!</v>
      </c>
      <c r="D46" s="193"/>
      <c r="E46" s="199">
        <f>E41+E42+E45</f>
        <v>0</v>
      </c>
      <c r="F46" s="193"/>
      <c r="G46" s="199" t="e">
        <f>G41+G42+G45</f>
        <v>#REF!</v>
      </c>
      <c r="H46" s="193"/>
      <c r="I46" s="354" t="e">
        <f>I41+I42+I45</f>
        <v>#REF!</v>
      </c>
      <c r="J46" s="193"/>
      <c r="K46" s="354" t="e">
        <f>K41+K42+K45</f>
        <v>#REF!</v>
      </c>
      <c r="L46" s="193"/>
      <c r="M46" s="354" t="e">
        <f>M41+M42+M45</f>
        <v>#REF!</v>
      </c>
      <c r="N46" s="193"/>
      <c r="O46" s="199">
        <f>O41+O42+O45+O44</f>
        <v>0</v>
      </c>
      <c r="P46" s="199"/>
      <c r="Q46" s="199">
        <f>Q41+Q42+Q45+Q44</f>
        <v>0</v>
      </c>
      <c r="R46" s="193"/>
      <c r="S46" s="354" t="e">
        <f>S41+S42+S45</f>
        <v>#REF!</v>
      </c>
      <c r="T46" s="193"/>
      <c r="U46" s="199">
        <f>U41+U42+U45+U44</f>
        <v>0</v>
      </c>
      <c r="V46" s="199"/>
      <c r="W46" s="199">
        <f>W41+W42+W45+W44</f>
        <v>0</v>
      </c>
      <c r="X46" s="199"/>
      <c r="Y46" s="199">
        <f>Y41+Y42+Y45+Y44</f>
        <v>0</v>
      </c>
      <c r="Z46" s="193"/>
      <c r="AA46" s="199">
        <f>AA41+AA42+AA45+AA44</f>
        <v>0</v>
      </c>
      <c r="AB46" s="199"/>
      <c r="AC46" s="199">
        <f>AC41+AC42+AC45+AC44</f>
        <v>0</v>
      </c>
      <c r="AD46" s="199"/>
      <c r="AE46" s="199">
        <f>AE41+AE42+AE45+AE44</f>
        <v>0</v>
      </c>
      <c r="AF46" s="193"/>
      <c r="AG46" s="199">
        <f>AG41+AG42+AG45+AG44</f>
        <v>0</v>
      </c>
      <c r="AH46" s="193"/>
      <c r="AI46" s="194" t="e">
        <f>C46+E46+G46+I46+K46+M46+O46+Q46+S46+U46+W46+Y46+AA46+AC46+AE46+AG46</f>
        <v>#REF!</v>
      </c>
    </row>
    <row r="47" spans="1:35" x14ac:dyDescent="0.2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2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</row>
    <row r="48" spans="1:35" x14ac:dyDescent="0.2">
      <c r="A48" s="312" t="s">
        <v>10630</v>
      </c>
      <c r="B48" s="312"/>
      <c r="C48" s="350">
        <v>0</v>
      </c>
      <c r="D48" s="351"/>
      <c r="E48" s="350">
        <v>0</v>
      </c>
      <c r="F48" s="351"/>
      <c r="G48" s="350">
        <v>0</v>
      </c>
      <c r="H48" s="351"/>
      <c r="I48" s="350">
        <v>0</v>
      </c>
      <c r="J48" s="351"/>
      <c r="K48" s="350">
        <v>0</v>
      </c>
      <c r="L48" s="351"/>
      <c r="M48" s="350">
        <v>0</v>
      </c>
      <c r="N48" s="351"/>
      <c r="O48" s="350">
        <v>0</v>
      </c>
      <c r="P48" s="352"/>
      <c r="Q48" s="350">
        <v>0</v>
      </c>
      <c r="R48" s="351"/>
      <c r="S48" s="350">
        <v>0</v>
      </c>
      <c r="T48" s="351"/>
      <c r="U48" s="350">
        <v>0</v>
      </c>
      <c r="V48" s="352"/>
      <c r="W48" s="350">
        <v>0</v>
      </c>
      <c r="X48" s="352"/>
      <c r="Y48" s="350">
        <v>0</v>
      </c>
      <c r="Z48" s="351"/>
      <c r="AA48" s="350">
        <v>0</v>
      </c>
      <c r="AB48" s="352"/>
      <c r="AC48" s="350">
        <v>0</v>
      </c>
      <c r="AD48" s="352"/>
      <c r="AE48" s="350">
        <v>0</v>
      </c>
      <c r="AF48" s="351"/>
      <c r="AG48" s="350">
        <v>0</v>
      </c>
      <c r="AH48" s="193"/>
      <c r="AI48" s="348">
        <f>596591.5+2589289.16</f>
        <v>3185880.66</v>
      </c>
    </row>
    <row r="49" spans="1:35" x14ac:dyDescent="0.2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2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</row>
    <row r="50" spans="1:35" x14ac:dyDescent="0.2">
      <c r="A50" s="180" t="s">
        <v>5598</v>
      </c>
      <c r="C50" s="193" t="e">
        <f>C46-C48</f>
        <v>#REF!</v>
      </c>
      <c r="D50" s="193"/>
      <c r="E50" s="193">
        <f>E46-E48</f>
        <v>0</v>
      </c>
      <c r="F50" s="193"/>
      <c r="G50" s="193" t="e">
        <f>G46-G48</f>
        <v>#REF!</v>
      </c>
      <c r="H50" s="193"/>
      <c r="I50" s="193" t="e">
        <f>I46-I48</f>
        <v>#REF!</v>
      </c>
      <c r="J50" s="193"/>
      <c r="K50" s="193" t="e">
        <f>K46-K48</f>
        <v>#REF!</v>
      </c>
      <c r="L50" s="193"/>
      <c r="M50" s="193" t="e">
        <f>M46-M48</f>
        <v>#REF!</v>
      </c>
      <c r="N50" s="193"/>
      <c r="O50" s="193">
        <f>ROUND(O46-O48,0)</f>
        <v>0</v>
      </c>
      <c r="P50" s="193"/>
      <c r="Q50" s="193">
        <f>ROUND(Q46-Q48,0)</f>
        <v>0</v>
      </c>
      <c r="R50" s="193"/>
      <c r="S50" s="193" t="e">
        <f>S46-S48</f>
        <v>#REF!</v>
      </c>
      <c r="T50" s="193"/>
      <c r="U50" s="193">
        <f>U46-U48</f>
        <v>0</v>
      </c>
      <c r="V50" s="193"/>
      <c r="W50" s="193">
        <f>W46-W48</f>
        <v>0</v>
      </c>
      <c r="X50" s="193"/>
      <c r="Y50" s="193">
        <f>ROUND(Y46-Y48,0)</f>
        <v>0</v>
      </c>
      <c r="Z50" s="193"/>
      <c r="AA50" s="193">
        <f>AA46-AA48</f>
        <v>0</v>
      </c>
      <c r="AB50" s="193"/>
      <c r="AC50" s="193">
        <f>AC46-AC48</f>
        <v>0</v>
      </c>
      <c r="AD50" s="193"/>
      <c r="AE50" s="193">
        <f>ROUND(AE46-AE48,0)</f>
        <v>0</v>
      </c>
      <c r="AF50" s="193"/>
      <c r="AG50" s="193">
        <f>ROUND(AG46-AG48,0)</f>
        <v>0</v>
      </c>
      <c r="AH50" s="193"/>
      <c r="AI50" s="193" t="e">
        <f>ROUND(AI46-AI48,0)</f>
        <v>#REF!</v>
      </c>
    </row>
    <row r="51" spans="1:35" x14ac:dyDescent="0.2">
      <c r="A51" s="201"/>
    </row>
    <row r="52" spans="1:35" x14ac:dyDescent="0.2">
      <c r="A52" s="201"/>
    </row>
    <row r="53" spans="1:35" x14ac:dyDescent="0.2">
      <c r="A53" s="201"/>
    </row>
    <row r="54" spans="1:35" x14ac:dyDescent="0.2">
      <c r="A54" s="201"/>
    </row>
    <row r="55" spans="1:35" x14ac:dyDescent="0.2">
      <c r="A55" s="201"/>
    </row>
    <row r="56" spans="1:35" x14ac:dyDescent="0.2">
      <c r="A56" s="201"/>
    </row>
    <row r="57" spans="1:35" x14ac:dyDescent="0.2">
      <c r="A57" s="201"/>
    </row>
    <row r="58" spans="1:35" x14ac:dyDescent="0.2">
      <c r="A58" s="201"/>
    </row>
    <row r="59" spans="1:35" x14ac:dyDescent="0.2">
      <c r="A59" s="201"/>
    </row>
    <row r="73" spans="37:37" x14ac:dyDescent="0.2">
      <c r="AK73" s="180" t="s">
        <v>10633</v>
      </c>
    </row>
  </sheetData>
  <mergeCells count="5">
    <mergeCell ref="A1:AI1"/>
    <mergeCell ref="A2:AI2"/>
    <mergeCell ref="O3:S3"/>
    <mergeCell ref="O20:S20"/>
    <mergeCell ref="O37:S37"/>
  </mergeCells>
  <pageMargins left="0.25" right="0.25" top="0.75" bottom="0.75" header="0.3" footer="0.3"/>
  <pageSetup scale="60" orientation="landscape" r:id="rId1"/>
  <headerFooter alignWithMargins="0"/>
  <customProperties>
    <customPr name="_pios_id" r:id="rId2"/>
    <customPr name="EpmWorksheetKeyString_GUID" r:id="rId3"/>
  </customProperties>
  <drawing r:id="rId4"/>
  <legacyDrawing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  <pageSetUpPr fitToPage="1"/>
  </sheetPr>
  <dimension ref="A1:AI47"/>
  <sheetViews>
    <sheetView zoomScaleNormal="100" workbookViewId="0">
      <selection activeCell="C17" sqref="C17"/>
    </sheetView>
  </sheetViews>
  <sheetFormatPr defaultColWidth="9.140625" defaultRowHeight="12.75" x14ac:dyDescent="0.2"/>
  <cols>
    <col min="1" max="1" width="25.140625" style="180" customWidth="1"/>
    <col min="2" max="2" width="1.7109375" style="180" customWidth="1"/>
    <col min="3" max="3" width="13.5703125" style="180" bestFit="1" customWidth="1"/>
    <col min="4" max="4" width="1.7109375" style="180" customWidth="1"/>
    <col min="5" max="5" width="13.5703125" style="180" bestFit="1" customWidth="1"/>
    <col min="6" max="6" width="1.7109375" style="180" customWidth="1"/>
    <col min="7" max="7" width="12.85546875" style="180" bestFit="1" customWidth="1"/>
    <col min="8" max="8" width="1.7109375" style="180" customWidth="1"/>
    <col min="9" max="9" width="12.85546875" style="180" bestFit="1" customWidth="1"/>
    <col min="10" max="10" width="1.7109375" style="180" customWidth="1"/>
    <col min="11" max="11" width="12.85546875" style="180" bestFit="1" customWidth="1"/>
    <col min="12" max="12" width="1.7109375" style="180" customWidth="1"/>
    <col min="13" max="13" width="11.28515625" style="180" bestFit="1" customWidth="1"/>
    <col min="14" max="14" width="1.7109375" style="180" customWidth="1"/>
    <col min="15" max="15" width="11.85546875" style="180" bestFit="1" customWidth="1"/>
    <col min="16" max="16" width="1.7109375" style="180" customWidth="1"/>
    <col min="17" max="17" width="13.5703125" style="180" bestFit="1" customWidth="1"/>
    <col min="18" max="18" width="1.7109375" style="180" customWidth="1"/>
    <col min="19" max="19" width="13.85546875" style="180" customWidth="1"/>
    <col min="20" max="20" width="1.7109375" style="180" customWidth="1"/>
    <col min="21" max="21" width="12.85546875" style="180" bestFit="1" customWidth="1"/>
    <col min="22" max="22" width="1.7109375" style="180" customWidth="1"/>
    <col min="23" max="23" width="12.85546875" style="180" bestFit="1" customWidth="1"/>
    <col min="24" max="24" width="1.7109375" style="180" customWidth="1"/>
    <col min="25" max="25" width="12.85546875" style="180" bestFit="1" customWidth="1"/>
    <col min="26" max="26" width="1.7109375" style="180" customWidth="1"/>
    <col min="27" max="27" width="12.85546875" style="180" bestFit="1" customWidth="1"/>
    <col min="28" max="28" width="1.7109375" style="180" customWidth="1"/>
    <col min="29" max="29" width="13.5703125" style="180" bestFit="1" customWidth="1"/>
    <col min="30" max="30" width="1.7109375" style="180" customWidth="1"/>
    <col min="31" max="31" width="13.5703125" style="180" bestFit="1" customWidth="1"/>
    <col min="32" max="32" width="1.7109375" style="180" customWidth="1"/>
    <col min="33" max="33" width="12.7109375" style="180" customWidth="1"/>
    <col min="34" max="34" width="1.7109375" style="180" customWidth="1"/>
    <col min="35" max="35" width="14.5703125" style="180" bestFit="1" customWidth="1"/>
    <col min="36" max="16384" width="9.140625" style="180"/>
  </cols>
  <sheetData>
    <row r="1" spans="1:35" ht="15.75" x14ac:dyDescent="0.25">
      <c r="A1" s="402" t="s">
        <v>355</v>
      </c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  <c r="Q1" s="402"/>
      <c r="R1" s="402"/>
      <c r="S1" s="402"/>
      <c r="T1" s="402"/>
      <c r="U1" s="402"/>
      <c r="V1" s="402"/>
      <c r="W1" s="402"/>
      <c r="X1" s="402"/>
      <c r="Y1" s="402"/>
      <c r="Z1" s="402"/>
      <c r="AA1" s="402"/>
      <c r="AB1" s="402"/>
      <c r="AC1" s="402"/>
      <c r="AD1" s="402"/>
      <c r="AE1" s="402"/>
      <c r="AF1" s="402"/>
      <c r="AG1" s="402"/>
      <c r="AH1" s="402"/>
      <c r="AI1" s="402"/>
    </row>
    <row r="2" spans="1:35" ht="15.75" x14ac:dyDescent="0.25">
      <c r="A2" s="402" t="s">
        <v>10545</v>
      </c>
      <c r="B2" s="402"/>
      <c r="C2" s="402"/>
      <c r="D2" s="402"/>
      <c r="E2" s="402"/>
      <c r="F2" s="402"/>
      <c r="G2" s="402"/>
      <c r="H2" s="402"/>
      <c r="I2" s="402"/>
      <c r="J2" s="402"/>
      <c r="K2" s="402"/>
      <c r="L2" s="402"/>
      <c r="M2" s="402"/>
      <c r="N2" s="402"/>
      <c r="O2" s="402"/>
      <c r="P2" s="402"/>
      <c r="Q2" s="402"/>
      <c r="R2" s="402"/>
      <c r="S2" s="402"/>
      <c r="T2" s="402"/>
      <c r="U2" s="402"/>
      <c r="V2" s="402"/>
      <c r="W2" s="402"/>
      <c r="X2" s="402"/>
      <c r="Y2" s="402"/>
      <c r="Z2" s="402"/>
      <c r="AA2" s="402"/>
      <c r="AB2" s="402"/>
      <c r="AC2" s="402"/>
      <c r="AD2" s="402"/>
      <c r="AE2" s="402"/>
      <c r="AF2" s="402"/>
      <c r="AG2" s="402"/>
      <c r="AH2" s="402"/>
      <c r="AI2" s="402"/>
    </row>
    <row r="3" spans="1:35" ht="15.75" x14ac:dyDescent="0.25">
      <c r="A3" s="179"/>
      <c r="B3" s="179"/>
      <c r="C3" s="179"/>
      <c r="D3" s="179"/>
      <c r="E3" s="179" t="s">
        <v>2984</v>
      </c>
      <c r="F3" s="179"/>
      <c r="G3" s="179" t="s">
        <v>4849</v>
      </c>
      <c r="H3" s="179"/>
      <c r="I3" s="179" t="s">
        <v>5600</v>
      </c>
      <c r="K3" s="179" t="s">
        <v>10548</v>
      </c>
      <c r="L3" s="179"/>
      <c r="M3" s="179" t="s">
        <v>10549</v>
      </c>
      <c r="N3" s="179"/>
      <c r="O3" s="179" t="s">
        <v>4864</v>
      </c>
      <c r="P3" s="179"/>
      <c r="Q3" s="179" t="s">
        <v>10548</v>
      </c>
      <c r="R3" s="179"/>
      <c r="S3" s="179" t="s">
        <v>10550</v>
      </c>
      <c r="T3" s="179"/>
      <c r="U3" s="179" t="s">
        <v>10551</v>
      </c>
      <c r="V3" s="179"/>
      <c r="W3" s="179" t="s">
        <v>10552</v>
      </c>
      <c r="X3" s="179"/>
      <c r="Y3" s="179" t="s">
        <v>10553</v>
      </c>
      <c r="Z3" s="179"/>
      <c r="AA3" s="179" t="s">
        <v>10554</v>
      </c>
      <c r="AB3" s="179"/>
      <c r="AC3" s="179" t="s">
        <v>10553</v>
      </c>
      <c r="AD3" s="179"/>
      <c r="AE3" s="179"/>
      <c r="AF3" s="179"/>
      <c r="AG3" s="179"/>
      <c r="AH3" s="179"/>
      <c r="AI3" s="179"/>
    </row>
    <row r="4" spans="1:35" s="182" customFormat="1" x14ac:dyDescent="0.2">
      <c r="A4" s="181" t="s">
        <v>5584</v>
      </c>
      <c r="C4" s="182" t="s">
        <v>5637</v>
      </c>
      <c r="E4" s="182" t="s">
        <v>5578</v>
      </c>
      <c r="G4" s="182" t="s">
        <v>5573</v>
      </c>
      <c r="I4" s="182" t="s">
        <v>5581</v>
      </c>
      <c r="K4" s="182" t="s">
        <v>5585</v>
      </c>
      <c r="M4" s="182" t="s">
        <v>5586</v>
      </c>
      <c r="O4" s="182" t="s">
        <v>5579</v>
      </c>
      <c r="Q4" s="182" t="s">
        <v>5589</v>
      </c>
      <c r="S4" s="182" t="s">
        <v>5593</v>
      </c>
      <c r="U4" s="182" t="s">
        <v>5754</v>
      </c>
      <c r="W4" s="182" t="s">
        <v>5755</v>
      </c>
      <c r="Y4" s="182" t="s">
        <v>7245</v>
      </c>
      <c r="AA4" s="182" t="s">
        <v>7887</v>
      </c>
      <c r="AC4" s="182" t="s">
        <v>8006</v>
      </c>
      <c r="AE4" s="182" t="s">
        <v>10542</v>
      </c>
      <c r="AG4" s="182" t="s">
        <v>10542</v>
      </c>
    </row>
    <row r="5" spans="1:35" x14ac:dyDescent="0.2">
      <c r="A5" s="183"/>
      <c r="B5" s="183"/>
      <c r="C5" s="184"/>
      <c r="D5" s="185"/>
      <c r="E5" s="186"/>
      <c r="F5" s="184"/>
      <c r="G5" s="186"/>
      <c r="H5" s="186"/>
      <c r="I5" s="186"/>
      <c r="J5" s="186"/>
      <c r="K5" s="186"/>
      <c r="L5" s="186"/>
      <c r="M5" s="186"/>
      <c r="N5" s="186"/>
      <c r="O5" s="186"/>
      <c r="P5" s="186"/>
      <c r="Q5" s="186"/>
      <c r="R5" s="186"/>
      <c r="S5" s="186"/>
      <c r="T5" s="186"/>
      <c r="U5" s="186"/>
      <c r="V5" s="186"/>
      <c r="W5" s="186"/>
      <c r="X5" s="186"/>
      <c r="Y5" s="186"/>
      <c r="Z5" s="186"/>
      <c r="AA5" s="186"/>
      <c r="AB5" s="186"/>
      <c r="AC5" s="186"/>
      <c r="AD5" s="186"/>
      <c r="AE5" s="186"/>
      <c r="AF5" s="186"/>
      <c r="AG5" s="186"/>
      <c r="AH5" s="186"/>
      <c r="AI5" s="186"/>
    </row>
    <row r="6" spans="1:35" x14ac:dyDescent="0.2">
      <c r="A6" s="187" t="s">
        <v>10543</v>
      </c>
      <c r="B6" s="183"/>
      <c r="C6" s="184" t="e">
        <f>+#REF!</f>
        <v>#REF!</v>
      </c>
      <c r="D6" s="185"/>
      <c r="E6" s="184" t="e">
        <f>+#REF!</f>
        <v>#REF!</v>
      </c>
      <c r="F6" s="186"/>
      <c r="G6" s="184" t="e">
        <f>+#REF!</f>
        <v>#REF!</v>
      </c>
      <c r="H6" s="186"/>
      <c r="I6" s="184" t="e">
        <f>+#REF!</f>
        <v>#REF!</v>
      </c>
      <c r="J6" s="186"/>
      <c r="K6" s="184" t="e">
        <f>+#REF!</f>
        <v>#REF!</v>
      </c>
      <c r="L6" s="186"/>
      <c r="M6" s="184" t="e">
        <f>+#REF!</f>
        <v>#REF!</v>
      </c>
      <c r="N6" s="186"/>
      <c r="O6" s="184" t="e">
        <f>+#REF!</f>
        <v>#REF!</v>
      </c>
      <c r="P6" s="186"/>
      <c r="Q6" s="184" t="e">
        <f>+#REF!</f>
        <v>#REF!</v>
      </c>
      <c r="R6" s="186"/>
      <c r="S6" s="184" t="e">
        <f>+#REF!</f>
        <v>#REF!</v>
      </c>
      <c r="T6" s="186"/>
      <c r="U6" s="184" t="e">
        <f>+#REF!</f>
        <v>#REF!</v>
      </c>
      <c r="V6" s="186"/>
      <c r="W6" s="184" t="e">
        <f>+#REF!</f>
        <v>#REF!</v>
      </c>
      <c r="X6" s="186"/>
      <c r="Y6" s="184" t="e">
        <f>+#REF!</f>
        <v>#REF!</v>
      </c>
      <c r="Z6" s="186"/>
      <c r="AA6" s="184" t="e">
        <f>+#REF!</f>
        <v>#REF!</v>
      </c>
      <c r="AB6" s="186"/>
      <c r="AC6" s="184" t="e">
        <f>+#REF!</f>
        <v>#REF!</v>
      </c>
      <c r="AD6" s="186"/>
      <c r="AE6" s="188"/>
      <c r="AF6" s="186"/>
      <c r="AG6" s="188"/>
      <c r="AH6" s="186"/>
      <c r="AI6" s="186" t="e">
        <f>SUM(C6:AH6)</f>
        <v>#REF!</v>
      </c>
    </row>
    <row r="7" spans="1:35" x14ac:dyDescent="0.2">
      <c r="A7" s="180" t="s">
        <v>5594</v>
      </c>
      <c r="C7" s="189" t="e">
        <f>+#REF!</f>
        <v>#REF!</v>
      </c>
      <c r="D7" s="186"/>
      <c r="E7" s="186" t="e">
        <f>+#REF!</f>
        <v>#REF!</v>
      </c>
      <c r="F7" s="186"/>
      <c r="G7" s="186" t="e">
        <f>+#REF!</f>
        <v>#REF!</v>
      </c>
      <c r="H7" s="186"/>
      <c r="I7" s="186" t="e">
        <f>+#REF!</f>
        <v>#REF!</v>
      </c>
      <c r="J7" s="186"/>
      <c r="K7" s="186" t="e">
        <f>+#REF!</f>
        <v>#REF!</v>
      </c>
      <c r="L7" s="186"/>
      <c r="M7" s="186" t="e">
        <f>+#REF!</f>
        <v>#REF!</v>
      </c>
      <c r="N7" s="186"/>
      <c r="O7" s="186" t="e">
        <f>+#REF!</f>
        <v>#REF!</v>
      </c>
      <c r="P7" s="186"/>
      <c r="Q7" s="186" t="e">
        <f>+#REF!</f>
        <v>#REF!</v>
      </c>
      <c r="R7" s="186"/>
      <c r="S7" s="186" t="e">
        <f>+#REF!</f>
        <v>#REF!</v>
      </c>
      <c r="T7" s="186"/>
      <c r="U7" s="186" t="e">
        <f>+#REF!</f>
        <v>#REF!</v>
      </c>
      <c r="V7" s="186"/>
      <c r="W7" s="186" t="e">
        <f>+#REF!</f>
        <v>#REF!</v>
      </c>
      <c r="X7" s="186"/>
      <c r="Y7" s="186" t="e">
        <f>+#REF!</f>
        <v>#REF!</v>
      </c>
      <c r="Z7" s="186"/>
      <c r="AA7" s="186" t="e">
        <f>+#REF!</f>
        <v>#REF!</v>
      </c>
      <c r="AB7" s="186"/>
      <c r="AC7" s="186" t="e">
        <f>+#REF!</f>
        <v>#REF!</v>
      </c>
      <c r="AD7" s="186"/>
      <c r="AE7" s="186"/>
      <c r="AF7" s="186"/>
      <c r="AG7" s="186"/>
      <c r="AH7" s="186"/>
      <c r="AI7" s="186" t="e">
        <f>SUM(C7:AH7)</f>
        <v>#REF!</v>
      </c>
    </row>
    <row r="8" spans="1:35" x14ac:dyDescent="0.2">
      <c r="A8" s="180" t="s">
        <v>5595</v>
      </c>
      <c r="C8" s="184">
        <f>0</f>
        <v>0</v>
      </c>
      <c r="D8" s="193"/>
      <c r="E8" s="193">
        <v>0</v>
      </c>
      <c r="F8" s="193"/>
      <c r="G8" s="193">
        <v>0</v>
      </c>
      <c r="H8" s="193"/>
      <c r="I8" s="193">
        <v>0</v>
      </c>
      <c r="J8" s="193"/>
      <c r="K8" s="193">
        <v>0</v>
      </c>
      <c r="L8" s="193"/>
      <c r="M8" s="193"/>
      <c r="N8" s="193"/>
      <c r="O8" s="193"/>
      <c r="P8" s="193"/>
      <c r="Q8" s="193">
        <v>0</v>
      </c>
      <c r="R8" s="193"/>
      <c r="S8" s="193">
        <v>0</v>
      </c>
      <c r="T8" s="193"/>
      <c r="U8" s="193">
        <v>0</v>
      </c>
      <c r="V8" s="193"/>
      <c r="W8" s="193">
        <v>0</v>
      </c>
      <c r="X8" s="193"/>
      <c r="Y8" s="193">
        <v>0</v>
      </c>
      <c r="Z8" s="193"/>
      <c r="AA8" s="298">
        <v>0</v>
      </c>
      <c r="AB8" s="193"/>
      <c r="AC8" s="193">
        <v>0</v>
      </c>
      <c r="AD8" s="186"/>
      <c r="AE8" s="186"/>
      <c r="AF8" s="186"/>
      <c r="AG8" s="186"/>
      <c r="AH8" s="186"/>
      <c r="AI8" s="186">
        <f>SUM(C8:AH8)</f>
        <v>0</v>
      </c>
    </row>
    <row r="9" spans="1:35" x14ac:dyDescent="0.2">
      <c r="A9" s="180" t="s">
        <v>5596</v>
      </c>
      <c r="C9" s="194" t="e">
        <f>+#REF!</f>
        <v>#REF!</v>
      </c>
      <c r="D9" s="193"/>
      <c r="E9" s="194" t="e">
        <f>+#REF!</f>
        <v>#REF!</v>
      </c>
      <c r="F9" s="193"/>
      <c r="G9" s="194">
        <v>0</v>
      </c>
      <c r="H9" s="193"/>
      <c r="I9" s="194">
        <v>0</v>
      </c>
      <c r="J9" s="193"/>
      <c r="K9" s="194">
        <v>0</v>
      </c>
      <c r="L9" s="193"/>
      <c r="M9" s="194">
        <v>0</v>
      </c>
      <c r="N9" s="193"/>
      <c r="O9" s="194">
        <v>0</v>
      </c>
      <c r="P9" s="193"/>
      <c r="Q9" s="194">
        <v>0</v>
      </c>
      <c r="R9" s="193"/>
      <c r="S9" s="194">
        <v>0</v>
      </c>
      <c r="T9" s="193"/>
      <c r="U9" s="194">
        <v>0</v>
      </c>
      <c r="V9" s="193"/>
      <c r="W9" s="194">
        <v>0</v>
      </c>
      <c r="X9" s="193"/>
      <c r="Y9" s="194" t="e">
        <f>+#REF!</f>
        <v>#REF!</v>
      </c>
      <c r="Z9" s="193"/>
      <c r="AA9" s="194" t="e">
        <f>+#REF!</f>
        <v>#REF!</v>
      </c>
      <c r="AB9" s="193"/>
      <c r="AC9" s="194" t="e">
        <f>+#REF!</f>
        <v>#REF!</v>
      </c>
      <c r="AD9" s="186"/>
      <c r="AE9" s="190"/>
      <c r="AF9" s="186"/>
      <c r="AG9" s="190"/>
      <c r="AH9" s="186"/>
      <c r="AI9" s="190" t="e">
        <f>SUM(C9:AH9)</f>
        <v>#REF!</v>
      </c>
    </row>
    <row r="10" spans="1:35" x14ac:dyDescent="0.2">
      <c r="A10" s="180" t="s">
        <v>10544</v>
      </c>
      <c r="C10" s="189" t="e">
        <f>C6-C7-C8+C9</f>
        <v>#REF!</v>
      </c>
      <c r="D10" s="186"/>
      <c r="E10" s="189" t="e">
        <f>E6-E7-E8+E9</f>
        <v>#REF!</v>
      </c>
      <c r="F10" s="193"/>
      <c r="G10" s="189" t="e">
        <f>G6-G7-G8+G9</f>
        <v>#REF!</v>
      </c>
      <c r="H10" s="186"/>
      <c r="I10" s="189" t="e">
        <f>I6-I7-I8+I9</f>
        <v>#REF!</v>
      </c>
      <c r="J10" s="186"/>
      <c r="K10" s="189" t="e">
        <f>K6-K7-K8+K9</f>
        <v>#REF!</v>
      </c>
      <c r="L10" s="186"/>
      <c r="M10" s="189" t="e">
        <f>ROUND((M6-M7-M8+M9),0)</f>
        <v>#REF!</v>
      </c>
      <c r="N10" s="186"/>
      <c r="O10" s="189" t="e">
        <f>O6-O7-O8+O9</f>
        <v>#REF!</v>
      </c>
      <c r="P10" s="186"/>
      <c r="Q10" s="189" t="e">
        <f>Q6-Q7-Q8+Q9</f>
        <v>#REF!</v>
      </c>
      <c r="R10" s="186"/>
      <c r="S10" s="189" t="e">
        <f>S6-S7-S8+S9</f>
        <v>#REF!</v>
      </c>
      <c r="T10" s="186"/>
      <c r="U10" s="189" t="e">
        <f>U6-U7-U8+U9</f>
        <v>#REF!</v>
      </c>
      <c r="V10" s="186"/>
      <c r="W10" s="189" t="e">
        <f>W6-W7-W8+W9</f>
        <v>#REF!</v>
      </c>
      <c r="X10" s="186"/>
      <c r="Y10" s="189" t="e">
        <f>Y6-Y7-Y8+Y9</f>
        <v>#REF!</v>
      </c>
      <c r="Z10" s="186"/>
      <c r="AA10" s="189" t="e">
        <f>AA6-AA7-AA8+AA9</f>
        <v>#REF!</v>
      </c>
      <c r="AB10" s="186"/>
      <c r="AC10" s="189" t="e">
        <f>AC6-AC7-AC8+AC9</f>
        <v>#REF!</v>
      </c>
      <c r="AD10" s="186"/>
      <c r="AE10" s="189">
        <f>AE6-AE7-AE8+AE9</f>
        <v>0</v>
      </c>
      <c r="AF10" s="186"/>
      <c r="AG10" s="189">
        <f>AG6-AG7-AG8+AG9</f>
        <v>0</v>
      </c>
      <c r="AH10" s="186"/>
      <c r="AI10" s="189" t="e">
        <f>SUM(AI6:AI9)</f>
        <v>#REF!</v>
      </c>
    </row>
    <row r="11" spans="1:35" x14ac:dyDescent="0.2">
      <c r="C11" s="189"/>
      <c r="D11" s="186"/>
      <c r="E11" s="186"/>
      <c r="F11" s="186"/>
      <c r="G11" s="186"/>
      <c r="H11" s="186"/>
      <c r="I11" s="186"/>
      <c r="J11" s="186"/>
      <c r="K11" s="186"/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  <c r="Y11" s="186"/>
      <c r="Z11" s="186"/>
      <c r="AA11" s="186"/>
      <c r="AB11" s="186"/>
      <c r="AC11" s="186"/>
      <c r="AD11" s="186"/>
      <c r="AE11" s="186"/>
      <c r="AF11" s="186"/>
      <c r="AG11" s="186"/>
      <c r="AH11" s="186"/>
      <c r="AI11" s="186"/>
    </row>
    <row r="12" spans="1:35" x14ac:dyDescent="0.2">
      <c r="A12" s="180" t="s">
        <v>5597</v>
      </c>
      <c r="C12" s="191" t="e">
        <f>+#REF!</f>
        <v>#REF!</v>
      </c>
      <c r="D12" s="192"/>
      <c r="E12" s="191" t="e">
        <f>+#REF!</f>
        <v>#REF!</v>
      </c>
      <c r="F12" s="193"/>
      <c r="G12" s="191" t="e">
        <f>+#REF!</f>
        <v>#REF!</v>
      </c>
      <c r="H12" s="193"/>
      <c r="I12" s="191" t="e">
        <f>+#REF!</f>
        <v>#REF!</v>
      </c>
      <c r="J12" s="193"/>
      <c r="K12" s="191" t="e">
        <f>+#REF!</f>
        <v>#REF!</v>
      </c>
      <c r="L12" s="193"/>
      <c r="M12" s="191" t="e">
        <f>+#REF!</f>
        <v>#REF!</v>
      </c>
      <c r="N12" s="193"/>
      <c r="O12" s="191" t="e">
        <f>+#REF!</f>
        <v>#REF!</v>
      </c>
      <c r="P12" s="193"/>
      <c r="Q12" s="191" t="e">
        <f>+#REF!</f>
        <v>#REF!</v>
      </c>
      <c r="R12" s="193"/>
      <c r="S12" s="191" t="e">
        <f>+#REF!</f>
        <v>#REF!</v>
      </c>
      <c r="T12" s="193"/>
      <c r="U12" s="191" t="e">
        <f>+#REF!</f>
        <v>#REF!</v>
      </c>
      <c r="V12" s="193"/>
      <c r="W12" s="191" t="e">
        <f>+#REF!</f>
        <v>#REF!</v>
      </c>
      <c r="X12" s="193"/>
      <c r="Y12" s="191" t="e">
        <f>+#REF!</f>
        <v>#REF!</v>
      </c>
      <c r="Z12" s="193"/>
      <c r="AA12" s="191" t="e">
        <f>+#REF!</f>
        <v>#REF!</v>
      </c>
      <c r="AB12" s="193"/>
      <c r="AC12" s="191" t="e">
        <f>+#REF!</f>
        <v>#REF!</v>
      </c>
      <c r="AD12" s="193"/>
      <c r="AE12" s="191"/>
      <c r="AF12" s="193"/>
      <c r="AG12" s="191"/>
      <c r="AH12" s="193"/>
      <c r="AI12" s="194" t="e">
        <f>C12+E12+G12+I12+K12+M12+O12+Q12+U12+W12+Y12+AA12+AC12+AE12+S12+AG12</f>
        <v>#REF!</v>
      </c>
    </row>
    <row r="13" spans="1:35" x14ac:dyDescent="0.2">
      <c r="C13" s="186"/>
      <c r="D13" s="186"/>
      <c r="E13" s="186"/>
      <c r="F13" s="186"/>
      <c r="G13" s="186"/>
      <c r="H13" s="186"/>
      <c r="I13" s="186"/>
      <c r="J13" s="186"/>
      <c r="K13" s="186"/>
      <c r="L13" s="186"/>
      <c r="M13" s="186"/>
      <c r="N13" s="186"/>
      <c r="O13" s="186"/>
      <c r="P13" s="186"/>
      <c r="Q13" s="186"/>
      <c r="R13" s="186"/>
      <c r="S13" s="186"/>
      <c r="T13" s="186"/>
      <c r="U13" s="186"/>
      <c r="V13" s="186"/>
      <c r="W13" s="186"/>
      <c r="X13" s="186"/>
      <c r="Y13" s="186"/>
      <c r="Z13" s="186"/>
      <c r="AA13" s="186"/>
      <c r="AB13" s="186"/>
      <c r="AC13" s="186"/>
      <c r="AD13" s="186"/>
      <c r="AE13" s="186"/>
      <c r="AF13" s="186"/>
      <c r="AG13" s="186"/>
      <c r="AH13" s="186"/>
      <c r="AI13" s="186"/>
    </row>
    <row r="14" spans="1:35" x14ac:dyDescent="0.2">
      <c r="A14" s="180" t="s">
        <v>5598</v>
      </c>
      <c r="C14" s="186" t="e">
        <f>C10-C12</f>
        <v>#REF!</v>
      </c>
      <c r="D14" s="186"/>
      <c r="E14" s="186" t="e">
        <f>E10-E12</f>
        <v>#REF!</v>
      </c>
      <c r="F14" s="186"/>
      <c r="G14" s="186" t="e">
        <f>G10-G12</f>
        <v>#REF!</v>
      </c>
      <c r="H14" s="186"/>
      <c r="I14" s="186" t="e">
        <f>I10-I12</f>
        <v>#REF!</v>
      </c>
      <c r="J14" s="186"/>
      <c r="K14" s="186" t="e">
        <f>K10-K12</f>
        <v>#REF!</v>
      </c>
      <c r="L14" s="186"/>
      <c r="M14" s="186" t="e">
        <f>M10-M12</f>
        <v>#REF!</v>
      </c>
      <c r="N14" s="186"/>
      <c r="O14" s="186" t="e">
        <f>O10-O12</f>
        <v>#REF!</v>
      </c>
      <c r="P14" s="186"/>
      <c r="Q14" s="186" t="e">
        <f>Q10-Q12</f>
        <v>#REF!</v>
      </c>
      <c r="R14" s="186"/>
      <c r="S14" s="186" t="e">
        <f>S10-S12</f>
        <v>#REF!</v>
      </c>
      <c r="T14" s="186"/>
      <c r="U14" s="186" t="e">
        <f>U10-U12</f>
        <v>#REF!</v>
      </c>
      <c r="V14" s="186"/>
      <c r="W14" s="186" t="e">
        <f>W10-W12</f>
        <v>#REF!</v>
      </c>
      <c r="X14" s="186"/>
      <c r="Y14" s="186" t="e">
        <f>Y10-Y12</f>
        <v>#REF!</v>
      </c>
      <c r="Z14" s="186"/>
      <c r="AA14" s="186" t="e">
        <f>AA10-AA12</f>
        <v>#REF!</v>
      </c>
      <c r="AB14" s="186"/>
      <c r="AC14" s="186" t="e">
        <f>AC10-AC12</f>
        <v>#REF!</v>
      </c>
      <c r="AD14" s="186"/>
      <c r="AE14" s="186">
        <f>AE10-AE12</f>
        <v>0</v>
      </c>
      <c r="AF14" s="186"/>
      <c r="AG14" s="186">
        <f>AG10-AG12</f>
        <v>0</v>
      </c>
      <c r="AH14" s="186"/>
      <c r="AI14" s="186" t="e">
        <f>AI10-AI12</f>
        <v>#REF!</v>
      </c>
    </row>
    <row r="15" spans="1:35" x14ac:dyDescent="0.2">
      <c r="C15" s="186"/>
      <c r="D15" s="186"/>
      <c r="E15" s="186"/>
      <c r="F15" s="186"/>
      <c r="G15" s="186"/>
      <c r="H15" s="186"/>
      <c r="I15" s="186"/>
      <c r="J15" s="186"/>
      <c r="K15" s="186"/>
      <c r="L15" s="186"/>
      <c r="M15" s="186"/>
      <c r="N15" s="186"/>
      <c r="O15" s="186"/>
      <c r="P15" s="186"/>
      <c r="Q15" s="186"/>
      <c r="R15" s="186"/>
      <c r="S15" s="186"/>
      <c r="T15" s="186"/>
      <c r="U15" s="186"/>
      <c r="V15" s="186"/>
      <c r="W15" s="186"/>
      <c r="X15" s="186"/>
      <c r="Y15" s="186"/>
      <c r="Z15" s="186"/>
      <c r="AA15" s="186"/>
      <c r="AB15" s="186"/>
      <c r="AC15" s="186"/>
      <c r="AD15" s="186"/>
      <c r="AE15" s="186"/>
      <c r="AF15" s="186"/>
      <c r="AG15" s="186"/>
      <c r="AH15" s="186"/>
      <c r="AI15" s="186"/>
    </row>
    <row r="16" spans="1:35" x14ac:dyDescent="0.2">
      <c r="C16" s="186"/>
      <c r="D16" s="186"/>
      <c r="E16" s="186"/>
      <c r="F16" s="186"/>
      <c r="G16" s="186"/>
      <c r="H16" s="186"/>
      <c r="I16" s="186"/>
      <c r="J16" s="186"/>
      <c r="K16" s="186"/>
      <c r="L16" s="186"/>
      <c r="M16" s="186"/>
      <c r="N16" s="186"/>
      <c r="O16" s="186"/>
      <c r="P16" s="186"/>
      <c r="Q16" s="186"/>
      <c r="R16" s="186"/>
      <c r="S16" s="186"/>
      <c r="T16" s="186"/>
      <c r="U16" s="186"/>
      <c r="V16" s="186"/>
      <c r="W16" s="186"/>
      <c r="X16" s="186"/>
      <c r="Y16" s="186"/>
      <c r="Z16" s="186"/>
      <c r="AA16" s="186"/>
      <c r="AB16" s="186"/>
      <c r="AC16" s="186"/>
      <c r="AD16" s="186"/>
      <c r="AE16" s="186"/>
      <c r="AF16" s="186"/>
      <c r="AG16" s="186"/>
      <c r="AH16" s="186"/>
      <c r="AI16" s="186"/>
    </row>
    <row r="17" spans="1:35" x14ac:dyDescent="0.2">
      <c r="C17" s="20">
        <v>291290.62</v>
      </c>
    </row>
    <row r="18" spans="1:35" ht="15.75" x14ac:dyDescent="0.25">
      <c r="A18" s="402" t="s">
        <v>355</v>
      </c>
      <c r="B18" s="402"/>
      <c r="C18" s="402"/>
      <c r="D18" s="402"/>
      <c r="E18" s="402"/>
      <c r="F18" s="402"/>
      <c r="G18" s="402"/>
      <c r="H18" s="402"/>
      <c r="I18" s="402"/>
      <c r="J18" s="402"/>
      <c r="K18" s="402"/>
      <c r="L18" s="402"/>
      <c r="M18" s="402"/>
      <c r="N18" s="402"/>
      <c r="O18" s="402"/>
      <c r="P18" s="402"/>
      <c r="Q18" s="402"/>
      <c r="R18" s="402"/>
      <c r="S18" s="402"/>
      <c r="T18" s="402"/>
      <c r="U18" s="402"/>
      <c r="V18" s="402"/>
      <c r="W18" s="402"/>
      <c r="X18" s="402"/>
      <c r="Y18" s="402"/>
      <c r="Z18" s="402"/>
      <c r="AA18" s="402"/>
      <c r="AB18" s="402"/>
      <c r="AC18" s="402"/>
      <c r="AD18" s="402"/>
      <c r="AE18" s="402"/>
      <c r="AF18" s="402"/>
      <c r="AG18" s="402"/>
      <c r="AH18" s="402"/>
      <c r="AI18" s="402"/>
    </row>
    <row r="19" spans="1:35" ht="15.75" x14ac:dyDescent="0.25">
      <c r="A19" s="402" t="s">
        <v>10635</v>
      </c>
      <c r="B19" s="402"/>
      <c r="C19" s="402"/>
      <c r="D19" s="402"/>
      <c r="E19" s="402"/>
      <c r="F19" s="402"/>
      <c r="G19" s="402"/>
      <c r="H19" s="402"/>
      <c r="I19" s="402"/>
      <c r="J19" s="402"/>
      <c r="K19" s="402"/>
      <c r="L19" s="402"/>
      <c r="M19" s="402"/>
      <c r="N19" s="402"/>
      <c r="O19" s="402"/>
      <c r="P19" s="402"/>
      <c r="Q19" s="402"/>
      <c r="R19" s="402"/>
      <c r="S19" s="402"/>
      <c r="T19" s="402"/>
      <c r="U19" s="402"/>
      <c r="V19" s="402"/>
      <c r="W19" s="402"/>
      <c r="X19" s="402"/>
      <c r="Y19" s="402"/>
      <c r="Z19" s="402"/>
      <c r="AA19" s="402"/>
      <c r="AB19" s="402"/>
      <c r="AC19" s="402"/>
      <c r="AD19" s="402"/>
      <c r="AE19" s="402"/>
      <c r="AF19" s="402"/>
      <c r="AG19" s="402"/>
      <c r="AH19" s="402"/>
      <c r="AI19" s="402"/>
    </row>
    <row r="20" spans="1:35" ht="15.75" x14ac:dyDescent="0.25">
      <c r="A20" s="179"/>
      <c r="B20" s="179"/>
      <c r="C20" s="179"/>
      <c r="D20" s="179"/>
      <c r="E20" s="179" t="s">
        <v>2984</v>
      </c>
      <c r="F20" s="179"/>
      <c r="G20" s="179" t="s">
        <v>4849</v>
      </c>
      <c r="H20" s="179"/>
      <c r="I20" s="179" t="s">
        <v>5600</v>
      </c>
      <c r="K20" s="179" t="s">
        <v>10548</v>
      </c>
      <c r="L20" s="179"/>
      <c r="M20" s="179" t="s">
        <v>10549</v>
      </c>
      <c r="N20" s="179"/>
      <c r="O20" s="179" t="s">
        <v>4864</v>
      </c>
      <c r="P20" s="179"/>
      <c r="Q20" s="179" t="s">
        <v>10548</v>
      </c>
      <c r="R20" s="179"/>
      <c r="S20" s="179" t="s">
        <v>10550</v>
      </c>
      <c r="T20" s="179"/>
      <c r="U20" s="179" t="s">
        <v>10551</v>
      </c>
      <c r="V20" s="179"/>
      <c r="W20" s="179" t="s">
        <v>10552</v>
      </c>
      <c r="X20" s="179"/>
      <c r="Y20" s="179" t="s">
        <v>10553</v>
      </c>
      <c r="Z20" s="179"/>
      <c r="AA20" s="179" t="s">
        <v>10554</v>
      </c>
      <c r="AB20" s="179"/>
      <c r="AC20" s="179" t="s">
        <v>10553</v>
      </c>
      <c r="AD20" s="179"/>
      <c r="AE20" s="179"/>
      <c r="AF20" s="179"/>
      <c r="AG20" s="179"/>
      <c r="AH20" s="179"/>
      <c r="AI20" s="179"/>
    </row>
    <row r="21" spans="1:35" x14ac:dyDescent="0.2">
      <c r="A21" s="181" t="s">
        <v>5584</v>
      </c>
      <c r="B21" s="182"/>
      <c r="C21" s="182" t="s">
        <v>5637</v>
      </c>
      <c r="D21" s="182"/>
      <c r="E21" s="182" t="s">
        <v>5578</v>
      </c>
      <c r="F21" s="182"/>
      <c r="G21" s="182" t="s">
        <v>5573</v>
      </c>
      <c r="H21" s="182"/>
      <c r="I21" s="182" t="s">
        <v>5581</v>
      </c>
      <c r="J21" s="182"/>
      <c r="K21" s="182" t="s">
        <v>5585</v>
      </c>
      <c r="L21" s="182"/>
      <c r="M21" s="182" t="s">
        <v>5586</v>
      </c>
      <c r="N21" s="182"/>
      <c r="O21" s="182" t="s">
        <v>5579</v>
      </c>
      <c r="P21" s="182"/>
      <c r="Q21" s="182" t="s">
        <v>5589</v>
      </c>
      <c r="R21" s="182"/>
      <c r="S21" s="182" t="s">
        <v>5593</v>
      </c>
      <c r="T21" s="182"/>
      <c r="U21" s="182" t="s">
        <v>5754</v>
      </c>
      <c r="V21" s="182"/>
      <c r="W21" s="182" t="s">
        <v>5755</v>
      </c>
      <c r="X21" s="182"/>
      <c r="Y21" s="182" t="s">
        <v>7245</v>
      </c>
      <c r="Z21" s="182"/>
      <c r="AA21" s="182" t="s">
        <v>7887</v>
      </c>
      <c r="AB21" s="182"/>
      <c r="AC21" s="182" t="s">
        <v>8006</v>
      </c>
      <c r="AD21" s="182"/>
      <c r="AE21" s="182" t="s">
        <v>10542</v>
      </c>
      <c r="AF21" s="182"/>
      <c r="AG21" s="182" t="s">
        <v>10542</v>
      </c>
      <c r="AH21" s="182"/>
      <c r="AI21" s="182"/>
    </row>
    <row r="22" spans="1:35" x14ac:dyDescent="0.2">
      <c r="A22" s="183"/>
      <c r="B22" s="183"/>
      <c r="C22" s="184"/>
      <c r="D22" s="185"/>
      <c r="E22" s="186"/>
      <c r="F22" s="184"/>
      <c r="G22" s="186"/>
      <c r="H22" s="186"/>
      <c r="I22" s="186"/>
      <c r="J22" s="186"/>
      <c r="K22" s="186"/>
      <c r="L22" s="186"/>
      <c r="M22" s="186"/>
      <c r="N22" s="186"/>
      <c r="O22" s="186"/>
      <c r="P22" s="186"/>
      <c r="Q22" s="186"/>
      <c r="R22" s="186"/>
      <c r="S22" s="186"/>
      <c r="T22" s="186"/>
      <c r="U22" s="186"/>
      <c r="V22" s="186"/>
      <c r="W22" s="186"/>
      <c r="X22" s="186"/>
      <c r="Y22" s="186"/>
      <c r="Z22" s="186"/>
      <c r="AA22" s="186"/>
      <c r="AB22" s="186"/>
      <c r="AC22" s="186"/>
      <c r="AD22" s="186"/>
      <c r="AE22" s="186"/>
      <c r="AF22" s="186"/>
      <c r="AG22" s="186"/>
      <c r="AH22" s="186"/>
      <c r="AI22" s="186"/>
    </row>
    <row r="23" spans="1:35" x14ac:dyDescent="0.2">
      <c r="A23" s="187" t="s">
        <v>10628</v>
      </c>
      <c r="B23" s="183"/>
      <c r="C23" s="184" t="e">
        <f>+#REF!</f>
        <v>#REF!</v>
      </c>
      <c r="D23" s="185"/>
      <c r="E23" s="184" t="e">
        <f>+#REF!</f>
        <v>#REF!</v>
      </c>
      <c r="F23" s="186"/>
      <c r="G23" s="184" t="e">
        <f>+#REF!</f>
        <v>#REF!</v>
      </c>
      <c r="H23" s="186"/>
      <c r="I23" s="184" t="e">
        <f>+#REF!</f>
        <v>#REF!</v>
      </c>
      <c r="J23" s="186"/>
      <c r="K23" s="184" t="e">
        <f>+#REF!</f>
        <v>#REF!</v>
      </c>
      <c r="L23" s="186"/>
      <c r="M23" s="184" t="e">
        <f>+#REF!</f>
        <v>#REF!</v>
      </c>
      <c r="N23" s="186"/>
      <c r="O23" s="184" t="e">
        <f>+#REF!</f>
        <v>#REF!</v>
      </c>
      <c r="P23" s="186"/>
      <c r="Q23" s="184" t="e">
        <f>+#REF!</f>
        <v>#REF!</v>
      </c>
      <c r="R23" s="186"/>
      <c r="S23" s="184" t="e">
        <f>+#REF!</f>
        <v>#REF!</v>
      </c>
      <c r="T23" s="186"/>
      <c r="U23" s="184" t="e">
        <f>+#REF!</f>
        <v>#REF!</v>
      </c>
      <c r="V23" s="186"/>
      <c r="W23" s="184" t="e">
        <f>+#REF!</f>
        <v>#REF!</v>
      </c>
      <c r="X23" s="186"/>
      <c r="Y23" s="184" t="e">
        <f>+#REF!</f>
        <v>#REF!</v>
      </c>
      <c r="Z23" s="186"/>
      <c r="AA23" s="184" t="e">
        <f>+#REF!</f>
        <v>#REF!</v>
      </c>
      <c r="AB23" s="186"/>
      <c r="AC23" s="184" t="e">
        <f>+#REF!</f>
        <v>#REF!</v>
      </c>
      <c r="AD23" s="186"/>
      <c r="AE23" s="188"/>
      <c r="AF23" s="186"/>
      <c r="AG23" s="188"/>
      <c r="AH23" s="186"/>
      <c r="AI23" s="186" t="e">
        <f>SUM(C23:AH23)</f>
        <v>#REF!</v>
      </c>
    </row>
    <row r="24" spans="1:35" x14ac:dyDescent="0.2">
      <c r="A24" s="180" t="s">
        <v>5594</v>
      </c>
      <c r="C24" s="189" t="e">
        <f>+#REF!</f>
        <v>#REF!</v>
      </c>
      <c r="D24" s="186"/>
      <c r="E24" s="186" t="e">
        <f>+#REF!</f>
        <v>#REF!</v>
      </c>
      <c r="F24" s="186"/>
      <c r="G24" s="186" t="e">
        <f>+#REF!</f>
        <v>#REF!</v>
      </c>
      <c r="H24" s="186"/>
      <c r="I24" s="186" t="e">
        <f>+#REF!</f>
        <v>#REF!</v>
      </c>
      <c r="J24" s="186"/>
      <c r="K24" s="186" t="e">
        <f>+#REF!</f>
        <v>#REF!</v>
      </c>
      <c r="L24" s="186"/>
      <c r="M24" s="186" t="e">
        <f>+#REF!</f>
        <v>#REF!</v>
      </c>
      <c r="N24" s="186"/>
      <c r="O24" s="186" t="e">
        <f>+#REF!</f>
        <v>#REF!</v>
      </c>
      <c r="P24" s="186"/>
      <c r="Q24" s="186" t="e">
        <f>+#REF!</f>
        <v>#REF!</v>
      </c>
      <c r="R24" s="186"/>
      <c r="S24" s="186" t="e">
        <f>+#REF!</f>
        <v>#REF!</v>
      </c>
      <c r="T24" s="186"/>
      <c r="U24" s="186" t="e">
        <f>+#REF!</f>
        <v>#REF!</v>
      </c>
      <c r="V24" s="186"/>
      <c r="W24" s="186" t="e">
        <f>+#REF!</f>
        <v>#REF!</v>
      </c>
      <c r="X24" s="186"/>
      <c r="Y24" s="186" t="e">
        <f>+#REF!</f>
        <v>#REF!</v>
      </c>
      <c r="Z24" s="186"/>
      <c r="AA24" s="186" t="e">
        <f>+#REF!</f>
        <v>#REF!</v>
      </c>
      <c r="AB24" s="186"/>
      <c r="AC24" s="186" t="e">
        <f>+#REF!</f>
        <v>#REF!</v>
      </c>
      <c r="AD24" s="186"/>
      <c r="AE24" s="186"/>
      <c r="AF24" s="186"/>
      <c r="AG24" s="186"/>
      <c r="AH24" s="186"/>
      <c r="AI24" s="186" t="e">
        <f>SUM(C24:AH24)</f>
        <v>#REF!</v>
      </c>
    </row>
    <row r="25" spans="1:35" x14ac:dyDescent="0.2">
      <c r="A25" s="180" t="s">
        <v>5595</v>
      </c>
      <c r="C25" s="184">
        <f>0</f>
        <v>0</v>
      </c>
      <c r="D25" s="193"/>
      <c r="E25" s="193">
        <v>0</v>
      </c>
      <c r="F25" s="193"/>
      <c r="G25" s="193">
        <v>0</v>
      </c>
      <c r="H25" s="193"/>
      <c r="I25" s="193">
        <v>0</v>
      </c>
      <c r="J25" s="193"/>
      <c r="K25" s="193">
        <v>0</v>
      </c>
      <c r="L25" s="193"/>
      <c r="M25" s="193"/>
      <c r="N25" s="193"/>
      <c r="O25" s="193"/>
      <c r="P25" s="193"/>
      <c r="Q25" s="193">
        <v>0</v>
      </c>
      <c r="R25" s="193"/>
      <c r="S25" s="193">
        <v>0</v>
      </c>
      <c r="T25" s="193"/>
      <c r="U25" s="193">
        <v>0</v>
      </c>
      <c r="V25" s="193"/>
      <c r="W25" s="193">
        <v>0</v>
      </c>
      <c r="X25" s="193"/>
      <c r="Y25" s="193">
        <v>0</v>
      </c>
      <c r="Z25" s="193"/>
      <c r="AA25" s="298">
        <v>0</v>
      </c>
      <c r="AB25" s="193"/>
      <c r="AC25" s="193">
        <v>0</v>
      </c>
      <c r="AD25" s="186"/>
      <c r="AE25" s="186"/>
      <c r="AF25" s="186"/>
      <c r="AG25" s="186"/>
      <c r="AH25" s="186"/>
      <c r="AI25" s="186">
        <f>SUM(C25:AH25)</f>
        <v>0</v>
      </c>
    </row>
    <row r="26" spans="1:35" x14ac:dyDescent="0.2">
      <c r="A26" s="180" t="s">
        <v>5596</v>
      </c>
      <c r="C26" s="194" t="e">
        <f>+#REF!</f>
        <v>#REF!</v>
      </c>
      <c r="D26" s="193"/>
      <c r="E26" s="194" t="e">
        <f>+#REF!</f>
        <v>#REF!</v>
      </c>
      <c r="F26" s="193"/>
      <c r="G26" s="194">
        <v>0</v>
      </c>
      <c r="H26" s="193"/>
      <c r="I26" s="194">
        <v>0</v>
      </c>
      <c r="J26" s="193"/>
      <c r="K26" s="194">
        <v>0</v>
      </c>
      <c r="L26" s="193"/>
      <c r="M26" s="194">
        <v>0</v>
      </c>
      <c r="N26" s="193"/>
      <c r="O26" s="194">
        <v>0</v>
      </c>
      <c r="P26" s="193"/>
      <c r="Q26" s="194">
        <v>0</v>
      </c>
      <c r="R26" s="193"/>
      <c r="S26" s="194">
        <v>0</v>
      </c>
      <c r="T26" s="193"/>
      <c r="U26" s="194">
        <v>0</v>
      </c>
      <c r="V26" s="193"/>
      <c r="W26" s="194">
        <v>0</v>
      </c>
      <c r="X26" s="193"/>
      <c r="Y26" s="194" t="e">
        <f>+#REF!</f>
        <v>#REF!</v>
      </c>
      <c r="Z26" s="193"/>
      <c r="AA26" s="194" t="e">
        <f>+#REF!</f>
        <v>#REF!</v>
      </c>
      <c r="AB26" s="193"/>
      <c r="AC26" s="194" t="e">
        <f>+#REF!</f>
        <v>#REF!</v>
      </c>
      <c r="AD26" s="186"/>
      <c r="AE26" s="190"/>
      <c r="AF26" s="186"/>
      <c r="AG26" s="190"/>
      <c r="AH26" s="186"/>
      <c r="AI26" s="190" t="e">
        <f>SUM(C26:AH26)</f>
        <v>#REF!</v>
      </c>
    </row>
    <row r="27" spans="1:35" x14ac:dyDescent="0.2">
      <c r="A27" s="180" t="s">
        <v>10629</v>
      </c>
      <c r="C27" s="189" t="e">
        <f>C23-C24-C25+C26</f>
        <v>#REF!</v>
      </c>
      <c r="D27" s="186"/>
      <c r="E27" s="189" t="e">
        <f>E23-E24-E25+E26</f>
        <v>#REF!</v>
      </c>
      <c r="F27" s="193"/>
      <c r="G27" s="189" t="e">
        <f>G23-G24-G25+G26</f>
        <v>#REF!</v>
      </c>
      <c r="H27" s="186"/>
      <c r="I27" s="189" t="e">
        <f>I23-I24-I25+I26</f>
        <v>#REF!</v>
      </c>
      <c r="J27" s="186"/>
      <c r="K27" s="189" t="e">
        <f>K23-K24-K25+K26</f>
        <v>#REF!</v>
      </c>
      <c r="L27" s="186"/>
      <c r="M27" s="189" t="e">
        <f>ROUND((M23-M24-M25+M26),0)</f>
        <v>#REF!</v>
      </c>
      <c r="N27" s="186"/>
      <c r="O27" s="189" t="e">
        <f>O23-O24-O25+O26</f>
        <v>#REF!</v>
      </c>
      <c r="P27" s="186"/>
      <c r="Q27" s="189" t="e">
        <f>Q23-Q24-Q25+Q26</f>
        <v>#REF!</v>
      </c>
      <c r="R27" s="186"/>
      <c r="S27" s="189" t="e">
        <f>S23-S24-S25+S26</f>
        <v>#REF!</v>
      </c>
      <c r="T27" s="186"/>
      <c r="U27" s="189" t="e">
        <f>U23-U24-U25+U26</f>
        <v>#REF!</v>
      </c>
      <c r="V27" s="186"/>
      <c r="W27" s="189" t="e">
        <f>W23-W24-W25+W26</f>
        <v>#REF!</v>
      </c>
      <c r="X27" s="186"/>
      <c r="Y27" s="189" t="e">
        <f>Y23-Y24-Y25+Y26</f>
        <v>#REF!</v>
      </c>
      <c r="Z27" s="186"/>
      <c r="AA27" s="189" t="e">
        <f>AA23-AA24-AA25+AA26</f>
        <v>#REF!</v>
      </c>
      <c r="AB27" s="186"/>
      <c r="AC27" s="189" t="e">
        <f>AC23-AC24-AC25+AC26</f>
        <v>#REF!</v>
      </c>
      <c r="AD27" s="186"/>
      <c r="AE27" s="189">
        <f>AE23-AE24-AE25+AE26</f>
        <v>0</v>
      </c>
      <c r="AF27" s="186"/>
      <c r="AG27" s="189">
        <f>AG23-AG24-AG25+AG26</f>
        <v>0</v>
      </c>
      <c r="AH27" s="186"/>
      <c r="AI27" s="189" t="e">
        <f>SUM(AI23:AI26)</f>
        <v>#REF!</v>
      </c>
    </row>
    <row r="28" spans="1:35" x14ac:dyDescent="0.2">
      <c r="C28" s="189"/>
      <c r="D28" s="186"/>
      <c r="E28" s="186"/>
      <c r="F28" s="186"/>
      <c r="G28" s="186"/>
      <c r="H28" s="186"/>
      <c r="I28" s="186"/>
      <c r="J28" s="186"/>
      <c r="K28" s="186"/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  <c r="Z28" s="186"/>
      <c r="AA28" s="186"/>
      <c r="AB28" s="186"/>
      <c r="AC28" s="186"/>
      <c r="AD28" s="186"/>
      <c r="AE28" s="186"/>
      <c r="AF28" s="186"/>
      <c r="AG28" s="186"/>
      <c r="AH28" s="186"/>
      <c r="AI28" s="186"/>
    </row>
    <row r="29" spans="1:35" x14ac:dyDescent="0.2">
      <c r="A29" s="180" t="s">
        <v>5597</v>
      </c>
      <c r="C29" s="191" t="e">
        <f>+#REF!</f>
        <v>#REF!</v>
      </c>
      <c r="D29" s="192"/>
      <c r="E29" s="191" t="e">
        <f>+#REF!</f>
        <v>#REF!</v>
      </c>
      <c r="F29" s="193"/>
      <c r="G29" s="191" t="e">
        <f>+#REF!</f>
        <v>#REF!</v>
      </c>
      <c r="H29" s="193"/>
      <c r="I29" s="191" t="e">
        <f>+#REF!</f>
        <v>#REF!</v>
      </c>
      <c r="J29" s="193"/>
      <c r="K29" s="191" t="e">
        <f>+#REF!</f>
        <v>#REF!</v>
      </c>
      <c r="L29" s="193"/>
      <c r="M29" s="191" t="e">
        <f>+#REF!</f>
        <v>#REF!</v>
      </c>
      <c r="N29" s="193"/>
      <c r="O29" s="191" t="e">
        <f>+#REF!</f>
        <v>#REF!</v>
      </c>
      <c r="P29" s="193"/>
      <c r="Q29" s="191" t="e">
        <f>+#REF!</f>
        <v>#REF!</v>
      </c>
      <c r="R29" s="193"/>
      <c r="S29" s="191" t="e">
        <f>+#REF!</f>
        <v>#REF!</v>
      </c>
      <c r="T29" s="193"/>
      <c r="U29" s="191" t="e">
        <f>+#REF!</f>
        <v>#REF!</v>
      </c>
      <c r="V29" s="193"/>
      <c r="W29" s="191" t="e">
        <f>+#REF!</f>
        <v>#REF!</v>
      </c>
      <c r="X29" s="193"/>
      <c r="Y29" s="191" t="e">
        <f>+#REF!</f>
        <v>#REF!</v>
      </c>
      <c r="Z29" s="193"/>
      <c r="AA29" s="191" t="e">
        <f>+#REF!</f>
        <v>#REF!</v>
      </c>
      <c r="AB29" s="193"/>
      <c r="AC29" s="191" t="e">
        <f>+#REF!</f>
        <v>#REF!</v>
      </c>
      <c r="AD29" s="193"/>
      <c r="AE29" s="191"/>
      <c r="AF29" s="193"/>
      <c r="AG29" s="191"/>
      <c r="AH29" s="193"/>
      <c r="AI29" s="194" t="e">
        <f>C29+E29+G29+I29+K29+M29+O29+Q29+U29+W29+Y29+AA29+AC29+AE29+S29+AG29</f>
        <v>#REF!</v>
      </c>
    </row>
    <row r="30" spans="1:35" x14ac:dyDescent="0.2">
      <c r="C30" s="186"/>
      <c r="D30" s="186"/>
      <c r="E30" s="186"/>
      <c r="F30" s="186"/>
      <c r="G30" s="186"/>
      <c r="H30" s="186"/>
      <c r="I30" s="186"/>
      <c r="J30" s="186"/>
      <c r="K30" s="186"/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  <c r="AA30" s="186"/>
      <c r="AB30" s="186"/>
      <c r="AC30" s="186"/>
      <c r="AD30" s="186"/>
      <c r="AE30" s="186"/>
      <c r="AF30" s="186"/>
      <c r="AG30" s="186"/>
      <c r="AH30" s="186"/>
      <c r="AI30" s="186"/>
    </row>
    <row r="31" spans="1:35" x14ac:dyDescent="0.2">
      <c r="A31" s="180" t="s">
        <v>5598</v>
      </c>
      <c r="C31" s="186" t="e">
        <f>C27-C29</f>
        <v>#REF!</v>
      </c>
      <c r="D31" s="186"/>
      <c r="E31" s="186" t="e">
        <f>E27-E29</f>
        <v>#REF!</v>
      </c>
      <c r="F31" s="186"/>
      <c r="G31" s="186" t="e">
        <f>G27-G29</f>
        <v>#REF!</v>
      </c>
      <c r="H31" s="186"/>
      <c r="I31" s="186" t="e">
        <f>I27-I29</f>
        <v>#REF!</v>
      </c>
      <c r="J31" s="186"/>
      <c r="K31" s="186" t="e">
        <f>K27-K29</f>
        <v>#REF!</v>
      </c>
      <c r="L31" s="186"/>
      <c r="M31" s="186" t="e">
        <f>M27-M29</f>
        <v>#REF!</v>
      </c>
      <c r="N31" s="186"/>
      <c r="O31" s="186" t="e">
        <f>O27-O29</f>
        <v>#REF!</v>
      </c>
      <c r="P31" s="186"/>
      <c r="Q31" s="186" t="e">
        <f>Q27-Q29</f>
        <v>#REF!</v>
      </c>
      <c r="R31" s="186"/>
      <c r="S31" s="186" t="e">
        <f>S27-S29</f>
        <v>#REF!</v>
      </c>
      <c r="T31" s="186"/>
      <c r="U31" s="186" t="e">
        <f>U27-U29</f>
        <v>#REF!</v>
      </c>
      <c r="V31" s="186"/>
      <c r="W31" s="186" t="e">
        <f>W27-W29</f>
        <v>#REF!</v>
      </c>
      <c r="X31" s="186"/>
      <c r="Y31" s="186" t="e">
        <f>Y27-Y29</f>
        <v>#REF!</v>
      </c>
      <c r="Z31" s="186"/>
      <c r="AA31" s="186" t="e">
        <f>AA27-AA29</f>
        <v>#REF!</v>
      </c>
      <c r="AB31" s="186"/>
      <c r="AC31" s="186" t="e">
        <f>AC27-AC29</f>
        <v>#REF!</v>
      </c>
      <c r="AD31" s="186"/>
      <c r="AE31" s="186">
        <f>AE27-AE29</f>
        <v>0</v>
      </c>
      <c r="AF31" s="186"/>
      <c r="AG31" s="186">
        <f>AG27-AG29</f>
        <v>0</v>
      </c>
      <c r="AH31" s="186"/>
      <c r="AI31" s="186" t="e">
        <f>AI27-AI29</f>
        <v>#REF!</v>
      </c>
    </row>
    <row r="34" spans="1:35" ht="15.75" x14ac:dyDescent="0.25">
      <c r="A34" s="402" t="s">
        <v>355</v>
      </c>
      <c r="B34" s="402"/>
      <c r="C34" s="402"/>
      <c r="D34" s="402"/>
      <c r="E34" s="402"/>
      <c r="F34" s="402"/>
      <c r="G34" s="402"/>
      <c r="H34" s="402"/>
      <c r="I34" s="402"/>
      <c r="J34" s="402"/>
      <c r="K34" s="402"/>
      <c r="L34" s="402"/>
      <c r="M34" s="402"/>
      <c r="N34" s="402"/>
      <c r="O34" s="402"/>
      <c r="P34" s="402"/>
      <c r="Q34" s="402"/>
      <c r="R34" s="402"/>
      <c r="S34" s="402"/>
      <c r="T34" s="402"/>
      <c r="U34" s="402"/>
      <c r="V34" s="402"/>
      <c r="W34" s="402"/>
      <c r="X34" s="402"/>
      <c r="Y34" s="402"/>
      <c r="Z34" s="402"/>
      <c r="AA34" s="402"/>
      <c r="AB34" s="402"/>
      <c r="AC34" s="402"/>
      <c r="AD34" s="402"/>
      <c r="AE34" s="402"/>
      <c r="AF34" s="402"/>
      <c r="AG34" s="402"/>
      <c r="AH34" s="402"/>
      <c r="AI34" s="402"/>
    </row>
    <row r="35" spans="1:35" ht="15.75" x14ac:dyDescent="0.25">
      <c r="A35" s="402" t="s">
        <v>10636</v>
      </c>
      <c r="B35" s="402"/>
      <c r="C35" s="402"/>
      <c r="D35" s="402"/>
      <c r="E35" s="402"/>
      <c r="F35" s="402"/>
      <c r="G35" s="402"/>
      <c r="H35" s="402"/>
      <c r="I35" s="402"/>
      <c r="J35" s="402"/>
      <c r="K35" s="402"/>
      <c r="L35" s="402"/>
      <c r="M35" s="402"/>
      <c r="N35" s="402"/>
      <c r="O35" s="402"/>
      <c r="P35" s="402"/>
      <c r="Q35" s="402"/>
      <c r="R35" s="402"/>
      <c r="S35" s="402"/>
      <c r="T35" s="402"/>
      <c r="U35" s="402"/>
      <c r="V35" s="402"/>
      <c r="W35" s="402"/>
      <c r="X35" s="402"/>
      <c r="Y35" s="402"/>
      <c r="Z35" s="402"/>
      <c r="AA35" s="402"/>
      <c r="AB35" s="402"/>
      <c r="AC35" s="402"/>
      <c r="AD35" s="402"/>
      <c r="AE35" s="402"/>
      <c r="AF35" s="402"/>
      <c r="AG35" s="402"/>
      <c r="AH35" s="402"/>
      <c r="AI35" s="402"/>
    </row>
    <row r="36" spans="1:35" ht="15.75" x14ac:dyDescent="0.25">
      <c r="A36" s="179"/>
      <c r="B36" s="179"/>
      <c r="C36" s="179"/>
      <c r="D36" s="179"/>
      <c r="E36" s="179" t="s">
        <v>2984</v>
      </c>
      <c r="F36" s="179"/>
      <c r="G36" s="179" t="s">
        <v>4849</v>
      </c>
      <c r="H36" s="179"/>
      <c r="I36" s="179" t="s">
        <v>5600</v>
      </c>
      <c r="K36" s="179" t="s">
        <v>10548</v>
      </c>
      <c r="L36" s="179"/>
      <c r="M36" s="179" t="s">
        <v>10549</v>
      </c>
      <c r="N36" s="179"/>
      <c r="O36" s="179" t="s">
        <v>4864</v>
      </c>
      <c r="P36" s="179"/>
      <c r="Q36" s="179" t="s">
        <v>10548</v>
      </c>
      <c r="R36" s="179"/>
      <c r="S36" s="179" t="s">
        <v>10550</v>
      </c>
      <c r="T36" s="179"/>
      <c r="U36" s="179" t="s">
        <v>10551</v>
      </c>
      <c r="V36" s="179"/>
      <c r="W36" s="179" t="s">
        <v>10552</v>
      </c>
      <c r="X36" s="179"/>
      <c r="Y36" s="179" t="s">
        <v>10553</v>
      </c>
      <c r="Z36" s="179"/>
      <c r="AA36" s="179" t="s">
        <v>10554</v>
      </c>
      <c r="AB36" s="179"/>
      <c r="AC36" s="179" t="s">
        <v>10553</v>
      </c>
      <c r="AD36" s="179"/>
      <c r="AE36" s="179"/>
      <c r="AF36" s="179"/>
      <c r="AG36" s="179"/>
      <c r="AH36" s="179"/>
      <c r="AI36" s="179"/>
    </row>
    <row r="37" spans="1:35" x14ac:dyDescent="0.2">
      <c r="A37" s="181" t="s">
        <v>5584</v>
      </c>
      <c r="B37" s="182"/>
      <c r="C37" s="182" t="s">
        <v>5637</v>
      </c>
      <c r="D37" s="182"/>
      <c r="E37" s="182" t="s">
        <v>5578</v>
      </c>
      <c r="F37" s="182"/>
      <c r="G37" s="182" t="s">
        <v>5573</v>
      </c>
      <c r="H37" s="182"/>
      <c r="I37" s="182" t="s">
        <v>5581</v>
      </c>
      <c r="J37" s="182"/>
      <c r="K37" s="182" t="s">
        <v>5585</v>
      </c>
      <c r="L37" s="182"/>
      <c r="M37" s="182" t="s">
        <v>5586</v>
      </c>
      <c r="N37" s="182"/>
      <c r="O37" s="182" t="s">
        <v>5579</v>
      </c>
      <c r="P37" s="182"/>
      <c r="Q37" s="182" t="s">
        <v>5589</v>
      </c>
      <c r="R37" s="182"/>
      <c r="S37" s="182" t="s">
        <v>5593</v>
      </c>
      <c r="T37" s="182"/>
      <c r="U37" s="182" t="s">
        <v>5754</v>
      </c>
      <c r="V37" s="182"/>
      <c r="W37" s="182" t="s">
        <v>5755</v>
      </c>
      <c r="X37" s="182"/>
      <c r="Y37" s="182" t="s">
        <v>7245</v>
      </c>
      <c r="Z37" s="182"/>
      <c r="AA37" s="182" t="s">
        <v>7887</v>
      </c>
      <c r="AB37" s="182"/>
      <c r="AC37" s="182" t="s">
        <v>8006</v>
      </c>
      <c r="AD37" s="182"/>
      <c r="AE37" s="182" t="s">
        <v>10542</v>
      </c>
      <c r="AF37" s="182"/>
      <c r="AG37" s="182" t="s">
        <v>10542</v>
      </c>
      <c r="AH37" s="182"/>
      <c r="AI37" s="182"/>
    </row>
    <row r="38" spans="1:35" x14ac:dyDescent="0.2">
      <c r="A38" s="183"/>
      <c r="B38" s="183"/>
      <c r="C38" s="184"/>
      <c r="D38" s="185"/>
      <c r="E38" s="186"/>
      <c r="F38" s="184"/>
      <c r="G38" s="186"/>
      <c r="H38" s="186"/>
      <c r="I38" s="186"/>
      <c r="J38" s="186"/>
      <c r="K38" s="186"/>
      <c r="L38" s="186"/>
      <c r="M38" s="186"/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</row>
    <row r="39" spans="1:35" x14ac:dyDescent="0.2">
      <c r="A39" s="187" t="s">
        <v>10631</v>
      </c>
      <c r="B39" s="183"/>
      <c r="C39" s="184" t="e">
        <f>+#REF!</f>
        <v>#REF!</v>
      </c>
      <c r="D39" s="185"/>
      <c r="E39" s="184" t="e">
        <f>+#REF!</f>
        <v>#REF!</v>
      </c>
      <c r="F39" s="186"/>
      <c r="G39" s="184" t="e">
        <f>+#REF!</f>
        <v>#REF!</v>
      </c>
      <c r="H39" s="186"/>
      <c r="I39" s="184" t="e">
        <f>+#REF!</f>
        <v>#REF!</v>
      </c>
      <c r="J39" s="186"/>
      <c r="K39" s="184" t="e">
        <f>+#REF!</f>
        <v>#REF!</v>
      </c>
      <c r="L39" s="186"/>
      <c r="M39" s="184" t="e">
        <f>+#REF!</f>
        <v>#REF!</v>
      </c>
      <c r="N39" s="186"/>
      <c r="O39" s="184" t="e">
        <f>+#REF!</f>
        <v>#REF!</v>
      </c>
      <c r="P39" s="186"/>
      <c r="Q39" s="184" t="e">
        <f>+#REF!</f>
        <v>#REF!</v>
      </c>
      <c r="R39" s="186"/>
      <c r="S39" s="184" t="e">
        <f>+#REF!</f>
        <v>#REF!</v>
      </c>
      <c r="T39" s="186"/>
      <c r="U39" s="184" t="e">
        <f>+#REF!</f>
        <v>#REF!</v>
      </c>
      <c r="V39" s="186"/>
      <c r="W39" s="184" t="e">
        <f>+#REF!</f>
        <v>#REF!</v>
      </c>
      <c r="X39" s="186"/>
      <c r="Y39" s="184" t="e">
        <f>+#REF!</f>
        <v>#REF!</v>
      </c>
      <c r="Z39" s="186"/>
      <c r="AA39" s="184" t="e">
        <f>+#REF!</f>
        <v>#REF!</v>
      </c>
      <c r="AB39" s="186"/>
      <c r="AC39" s="184" t="e">
        <f>+#REF!</f>
        <v>#REF!</v>
      </c>
      <c r="AD39" s="186"/>
      <c r="AE39" s="188"/>
      <c r="AF39" s="186"/>
      <c r="AG39" s="188"/>
      <c r="AH39" s="186"/>
      <c r="AI39" s="186" t="e">
        <f>SUM(C39:AH39)</f>
        <v>#REF!</v>
      </c>
    </row>
    <row r="40" spans="1:35" x14ac:dyDescent="0.2">
      <c r="A40" s="180" t="s">
        <v>5594</v>
      </c>
      <c r="C40" s="189" t="e">
        <f>+#REF!</f>
        <v>#REF!</v>
      </c>
      <c r="D40" s="186"/>
      <c r="E40" s="186" t="e">
        <f>+#REF!</f>
        <v>#REF!</v>
      </c>
      <c r="F40" s="186"/>
      <c r="G40" s="186" t="e">
        <f>+#REF!</f>
        <v>#REF!</v>
      </c>
      <c r="H40" s="186"/>
      <c r="I40" s="186" t="e">
        <f>+#REF!</f>
        <v>#REF!</v>
      </c>
      <c r="J40" s="186"/>
      <c r="K40" s="186" t="e">
        <f>+#REF!</f>
        <v>#REF!</v>
      </c>
      <c r="L40" s="186"/>
      <c r="M40" s="186" t="e">
        <f>+#REF!</f>
        <v>#REF!</v>
      </c>
      <c r="N40" s="186"/>
      <c r="O40" s="186" t="e">
        <f>+#REF!</f>
        <v>#REF!</v>
      </c>
      <c r="P40" s="186"/>
      <c r="Q40" s="186" t="e">
        <f>+#REF!</f>
        <v>#REF!</v>
      </c>
      <c r="R40" s="186"/>
      <c r="S40" s="186" t="e">
        <f>+#REF!</f>
        <v>#REF!</v>
      </c>
      <c r="T40" s="186"/>
      <c r="U40" s="186" t="e">
        <f>+#REF!</f>
        <v>#REF!</v>
      </c>
      <c r="V40" s="186"/>
      <c r="W40" s="186" t="e">
        <f>+#REF!</f>
        <v>#REF!</v>
      </c>
      <c r="X40" s="186"/>
      <c r="Y40" s="186" t="e">
        <f>+#REF!</f>
        <v>#REF!</v>
      </c>
      <c r="Z40" s="186"/>
      <c r="AA40" s="186" t="e">
        <f>+#REF!</f>
        <v>#REF!</v>
      </c>
      <c r="AB40" s="186"/>
      <c r="AC40" s="186" t="e">
        <f>+#REF!</f>
        <v>#REF!</v>
      </c>
      <c r="AD40" s="186"/>
      <c r="AE40" s="186"/>
      <c r="AF40" s="186"/>
      <c r="AG40" s="186"/>
      <c r="AH40" s="186"/>
      <c r="AI40" s="186" t="e">
        <f>SUM(C40:AH40)</f>
        <v>#REF!</v>
      </c>
    </row>
    <row r="41" spans="1:35" x14ac:dyDescent="0.2">
      <c r="A41" s="180" t="s">
        <v>5595</v>
      </c>
      <c r="C41" s="184">
        <f>0</f>
        <v>0</v>
      </c>
      <c r="D41" s="193"/>
      <c r="E41" s="193">
        <v>0</v>
      </c>
      <c r="F41" s="193"/>
      <c r="G41" s="193">
        <v>0</v>
      </c>
      <c r="H41" s="193"/>
      <c r="I41" s="193">
        <v>0</v>
      </c>
      <c r="J41" s="193"/>
      <c r="K41" s="193">
        <v>0</v>
      </c>
      <c r="L41" s="193"/>
      <c r="M41" s="193"/>
      <c r="N41" s="193"/>
      <c r="O41" s="193"/>
      <c r="P41" s="193"/>
      <c r="Q41" s="193">
        <v>0</v>
      </c>
      <c r="R41" s="193"/>
      <c r="S41" s="193">
        <v>0</v>
      </c>
      <c r="T41" s="193"/>
      <c r="U41" s="193">
        <v>0</v>
      </c>
      <c r="V41" s="193"/>
      <c r="W41" s="193">
        <v>0</v>
      </c>
      <c r="X41" s="193"/>
      <c r="Y41" s="193">
        <v>0</v>
      </c>
      <c r="Z41" s="193"/>
      <c r="AA41" s="298">
        <v>0</v>
      </c>
      <c r="AB41" s="193"/>
      <c r="AC41" s="193">
        <v>0</v>
      </c>
      <c r="AD41" s="186"/>
      <c r="AE41" s="186"/>
      <c r="AF41" s="186"/>
      <c r="AG41" s="186"/>
      <c r="AH41" s="186"/>
      <c r="AI41" s="186">
        <f>SUM(C41:AH41)</f>
        <v>0</v>
      </c>
    </row>
    <row r="42" spans="1:35" x14ac:dyDescent="0.2">
      <c r="A42" s="180" t="s">
        <v>5596</v>
      </c>
      <c r="C42" s="194" t="e">
        <f>+#REF!</f>
        <v>#REF!</v>
      </c>
      <c r="D42" s="193"/>
      <c r="E42" s="194" t="e">
        <f>+#REF!</f>
        <v>#REF!</v>
      </c>
      <c r="F42" s="193"/>
      <c r="G42" s="194">
        <v>0</v>
      </c>
      <c r="H42" s="193"/>
      <c r="I42" s="194">
        <v>0</v>
      </c>
      <c r="J42" s="193"/>
      <c r="K42" s="194">
        <v>0</v>
      </c>
      <c r="L42" s="193"/>
      <c r="M42" s="194">
        <v>0</v>
      </c>
      <c r="N42" s="193"/>
      <c r="O42" s="194">
        <v>0</v>
      </c>
      <c r="P42" s="193"/>
      <c r="Q42" s="194">
        <v>0</v>
      </c>
      <c r="R42" s="193"/>
      <c r="S42" s="194">
        <v>0</v>
      </c>
      <c r="T42" s="193"/>
      <c r="U42" s="194">
        <v>0</v>
      </c>
      <c r="V42" s="193"/>
      <c r="W42" s="194">
        <v>0</v>
      </c>
      <c r="X42" s="193"/>
      <c r="Y42" s="194" t="e">
        <f>+#REF!</f>
        <v>#REF!</v>
      </c>
      <c r="Z42" s="193"/>
      <c r="AA42" s="194" t="e">
        <f>+#REF!</f>
        <v>#REF!</v>
      </c>
      <c r="AB42" s="193"/>
      <c r="AC42" s="194" t="e">
        <f>+#REF!</f>
        <v>#REF!</v>
      </c>
      <c r="AD42" s="186"/>
      <c r="AE42" s="190"/>
      <c r="AF42" s="186"/>
      <c r="AG42" s="190"/>
      <c r="AH42" s="186"/>
      <c r="AI42" s="190" t="e">
        <f>SUM(C42:AH42)</f>
        <v>#REF!</v>
      </c>
    </row>
    <row r="43" spans="1:35" x14ac:dyDescent="0.2">
      <c r="A43" s="180" t="s">
        <v>10632</v>
      </c>
      <c r="C43" s="189" t="e">
        <f>C39-C40-C41+C42</f>
        <v>#REF!</v>
      </c>
      <c r="D43" s="186"/>
      <c r="E43" s="189" t="e">
        <f>E39-E40-E41+E42</f>
        <v>#REF!</v>
      </c>
      <c r="F43" s="193"/>
      <c r="G43" s="189" t="e">
        <f>G39-G40-G41+G42</f>
        <v>#REF!</v>
      </c>
      <c r="H43" s="186"/>
      <c r="I43" s="189" t="e">
        <f>I39-I40-I41+I42</f>
        <v>#REF!</v>
      </c>
      <c r="J43" s="186"/>
      <c r="K43" s="189" t="e">
        <f>K39-K40-K41+K42</f>
        <v>#REF!</v>
      </c>
      <c r="L43" s="186"/>
      <c r="M43" s="189" t="e">
        <f>ROUND((M39-M40-M41+M42),0)</f>
        <v>#REF!</v>
      </c>
      <c r="N43" s="186"/>
      <c r="O43" s="189" t="e">
        <f>O39-O40-O41+O42</f>
        <v>#REF!</v>
      </c>
      <c r="P43" s="186"/>
      <c r="Q43" s="189" t="e">
        <f>Q39-Q40-Q41+Q42</f>
        <v>#REF!</v>
      </c>
      <c r="R43" s="186"/>
      <c r="S43" s="189" t="e">
        <f>S39-S40-S41+S42</f>
        <v>#REF!</v>
      </c>
      <c r="T43" s="186"/>
      <c r="U43" s="189" t="e">
        <f>U39-U40-U41+U42</f>
        <v>#REF!</v>
      </c>
      <c r="V43" s="186"/>
      <c r="W43" s="189" t="e">
        <f>W39-W40-W41+W42</f>
        <v>#REF!</v>
      </c>
      <c r="X43" s="186"/>
      <c r="Y43" s="189" t="e">
        <f>Y39-Y40-Y41+Y42</f>
        <v>#REF!</v>
      </c>
      <c r="Z43" s="186"/>
      <c r="AA43" s="189" t="e">
        <f>AA39-AA40-AA41+AA42</f>
        <v>#REF!</v>
      </c>
      <c r="AB43" s="186"/>
      <c r="AC43" s="189" t="e">
        <f>AC39-AC40-AC41+AC42</f>
        <v>#REF!</v>
      </c>
      <c r="AD43" s="186"/>
      <c r="AE43" s="189">
        <f>AE39-AE40-AE41+AE42</f>
        <v>0</v>
      </c>
      <c r="AF43" s="186"/>
      <c r="AG43" s="189">
        <f>AG39-AG40-AG41+AG42</f>
        <v>0</v>
      </c>
      <c r="AH43" s="186"/>
      <c r="AI43" s="189" t="e">
        <f>SUM(AI39:AI42)</f>
        <v>#REF!</v>
      </c>
    </row>
    <row r="44" spans="1:35" x14ac:dyDescent="0.2">
      <c r="C44" s="189"/>
      <c r="D44" s="186"/>
      <c r="E44" s="186"/>
      <c r="F44" s="186"/>
      <c r="G44" s="186"/>
      <c r="H44" s="186"/>
      <c r="I44" s="186"/>
      <c r="J44" s="186"/>
      <c r="K44" s="186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186"/>
    </row>
    <row r="45" spans="1:35" x14ac:dyDescent="0.2">
      <c r="A45" s="180" t="s">
        <v>5597</v>
      </c>
      <c r="C45" s="191" t="e">
        <f>+#REF!</f>
        <v>#REF!</v>
      </c>
      <c r="D45" s="192"/>
      <c r="E45" s="191" t="e">
        <f>+#REF!</f>
        <v>#REF!</v>
      </c>
      <c r="F45" s="193"/>
      <c r="G45" s="191" t="e">
        <f>+#REF!</f>
        <v>#REF!</v>
      </c>
      <c r="H45" s="193"/>
      <c r="I45" s="191" t="e">
        <f>+#REF!</f>
        <v>#REF!</v>
      </c>
      <c r="J45" s="193"/>
      <c r="K45" s="191" t="e">
        <f>+#REF!</f>
        <v>#REF!</v>
      </c>
      <c r="L45" s="193"/>
      <c r="M45" s="191" t="e">
        <f>+#REF!</f>
        <v>#REF!</v>
      </c>
      <c r="N45" s="193"/>
      <c r="O45" s="191" t="e">
        <f>+#REF!</f>
        <v>#REF!</v>
      </c>
      <c r="P45" s="193"/>
      <c r="Q45" s="191" t="e">
        <f>+#REF!</f>
        <v>#REF!</v>
      </c>
      <c r="R45" s="193"/>
      <c r="S45" s="191" t="e">
        <f>+#REF!</f>
        <v>#REF!</v>
      </c>
      <c r="T45" s="193"/>
      <c r="U45" s="191" t="e">
        <f>+#REF!</f>
        <v>#REF!</v>
      </c>
      <c r="V45" s="193"/>
      <c r="W45" s="191" t="e">
        <f>+#REF!</f>
        <v>#REF!</v>
      </c>
      <c r="X45" s="193"/>
      <c r="Y45" s="191" t="e">
        <f>+#REF!</f>
        <v>#REF!</v>
      </c>
      <c r="Z45" s="193"/>
      <c r="AA45" s="191" t="e">
        <f>+#REF!</f>
        <v>#REF!</v>
      </c>
      <c r="AB45" s="193"/>
      <c r="AC45" s="191" t="e">
        <f>+#REF!</f>
        <v>#REF!</v>
      </c>
      <c r="AD45" s="193"/>
      <c r="AE45" s="191"/>
      <c r="AF45" s="193"/>
      <c r="AG45" s="191"/>
      <c r="AH45" s="193"/>
      <c r="AI45" s="194" t="e">
        <f>C45+E45+G45+I45+K45+M45+O45+Q45+U45+W45+Y45+AA45+AC45+AE45+S45+AG45</f>
        <v>#REF!</v>
      </c>
    </row>
    <row r="46" spans="1:35" x14ac:dyDescent="0.2">
      <c r="C46" s="186"/>
      <c r="D46" s="186"/>
      <c r="E46" s="186"/>
      <c r="F46" s="186"/>
      <c r="G46" s="186"/>
      <c r="H46" s="186"/>
      <c r="I46" s="186"/>
      <c r="J46" s="186"/>
      <c r="K46" s="186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  <c r="AA46" s="186"/>
      <c r="AB46" s="186"/>
      <c r="AC46" s="186"/>
      <c r="AD46" s="186"/>
      <c r="AE46" s="186"/>
      <c r="AF46" s="186"/>
      <c r="AG46" s="186"/>
      <c r="AH46" s="186"/>
      <c r="AI46" s="186"/>
    </row>
    <row r="47" spans="1:35" x14ac:dyDescent="0.2">
      <c r="A47" s="180" t="s">
        <v>5598</v>
      </c>
      <c r="C47" s="186" t="e">
        <f>C43-C45</f>
        <v>#REF!</v>
      </c>
      <c r="D47" s="186"/>
      <c r="E47" s="186" t="e">
        <f>E43-E45</f>
        <v>#REF!</v>
      </c>
      <c r="F47" s="186"/>
      <c r="G47" s="186" t="e">
        <f>G43-G45</f>
        <v>#REF!</v>
      </c>
      <c r="H47" s="186"/>
      <c r="I47" s="186" t="e">
        <f>I43-I45</f>
        <v>#REF!</v>
      </c>
      <c r="J47" s="186"/>
      <c r="K47" s="186" t="e">
        <f>K43-K45</f>
        <v>#REF!</v>
      </c>
      <c r="L47" s="186"/>
      <c r="M47" s="186" t="e">
        <f>M43-M45</f>
        <v>#REF!</v>
      </c>
      <c r="N47" s="186"/>
      <c r="O47" s="186" t="e">
        <f>O43-O45</f>
        <v>#REF!</v>
      </c>
      <c r="P47" s="186"/>
      <c r="Q47" s="186" t="e">
        <f>Q43-Q45</f>
        <v>#REF!</v>
      </c>
      <c r="R47" s="186"/>
      <c r="S47" s="186" t="e">
        <f>S43-S45</f>
        <v>#REF!</v>
      </c>
      <c r="T47" s="186"/>
      <c r="U47" s="186" t="e">
        <f>U43-U45</f>
        <v>#REF!</v>
      </c>
      <c r="V47" s="186"/>
      <c r="W47" s="186" t="e">
        <f>W43-W45</f>
        <v>#REF!</v>
      </c>
      <c r="X47" s="186"/>
      <c r="Y47" s="186" t="e">
        <f>Y43-Y45</f>
        <v>#REF!</v>
      </c>
      <c r="Z47" s="186"/>
      <c r="AA47" s="186" t="e">
        <f>AA43-AA45</f>
        <v>#REF!</v>
      </c>
      <c r="AB47" s="186"/>
      <c r="AC47" s="186" t="e">
        <f>AC43-AC45</f>
        <v>#REF!</v>
      </c>
      <c r="AD47" s="186"/>
      <c r="AE47" s="186">
        <f>AE43-AE45</f>
        <v>0</v>
      </c>
      <c r="AF47" s="186"/>
      <c r="AG47" s="186">
        <f>AG43-AG45</f>
        <v>0</v>
      </c>
      <c r="AH47" s="186"/>
      <c r="AI47" s="186" t="e">
        <f>AI43-AI45</f>
        <v>#REF!</v>
      </c>
    </row>
  </sheetData>
  <mergeCells count="6">
    <mergeCell ref="A35:AI35"/>
    <mergeCell ref="A1:AI1"/>
    <mergeCell ref="A2:AI2"/>
    <mergeCell ref="A18:AI18"/>
    <mergeCell ref="A19:AI19"/>
    <mergeCell ref="A34:AI34"/>
  </mergeCells>
  <pageMargins left="0.25" right="0.25" top="0.75" bottom="0.75" header="0.3" footer="0.3"/>
  <pageSetup scale="50" orientation="landscape" r:id="rId1"/>
  <headerFooter alignWithMargins="0"/>
  <customProperties>
    <customPr name="_pios_id" r:id="rId2"/>
    <customPr name="EpmWorksheetKeyString_GUID" r:id="rId3"/>
  </customProperties>
  <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transitionEvaluation="1" transitionEntry="1" codeName="Sheet25">
    <pageSetUpPr fitToPage="1"/>
  </sheetPr>
  <dimension ref="A1:IV1546"/>
  <sheetViews>
    <sheetView defaultGridColor="0" colorId="22" zoomScale="80" zoomScaleNormal="70" zoomScaleSheetLayoutView="75" workbookViewId="0">
      <selection activeCell="B18" sqref="B18"/>
    </sheetView>
  </sheetViews>
  <sheetFormatPr defaultColWidth="15.140625" defaultRowHeight="15" x14ac:dyDescent="0.2"/>
  <cols>
    <col min="1" max="1" width="11.28515625" style="70" customWidth="1"/>
    <col min="2" max="2" width="61.140625" style="70" bestFit="1" customWidth="1"/>
    <col min="3" max="3" width="16.7109375" style="70" customWidth="1"/>
    <col min="4" max="4" width="15.5703125" style="70" customWidth="1"/>
    <col min="5" max="5" width="16.85546875" style="70" customWidth="1"/>
    <col min="6" max="15" width="15.5703125" style="70" customWidth="1"/>
    <col min="16" max="16" width="14.42578125" style="70" customWidth="1"/>
    <col min="17" max="17" width="15.28515625" style="70" customWidth="1"/>
    <col min="18" max="18" width="15.5703125" style="70" customWidth="1"/>
    <col min="19" max="19" width="3" style="70" customWidth="1"/>
    <col min="20" max="21" width="15.5703125" style="70" customWidth="1"/>
    <col min="22" max="23" width="15.28515625" style="70" customWidth="1"/>
    <col min="24" max="27" width="15.28515625" style="70" bestFit="1" customWidth="1"/>
    <col min="28" max="16384" width="15.140625" style="70"/>
  </cols>
  <sheetData>
    <row r="1" spans="1:21" ht="13.5" customHeight="1" x14ac:dyDescent="0.2">
      <c r="C1" s="71">
        <v>-1</v>
      </c>
      <c r="D1" s="71">
        <v>-0.20373000018298626</v>
      </c>
      <c r="E1" s="71">
        <v>-0.20373000018298626</v>
      </c>
      <c r="F1" s="71">
        <v>-0.20373000018298626</v>
      </c>
      <c r="G1" s="71">
        <v>-0.20373000018298626</v>
      </c>
      <c r="H1" s="71">
        <v>-0.37039666622877121</v>
      </c>
      <c r="I1" s="71">
        <v>0.29626999981701374</v>
      </c>
      <c r="J1" s="71">
        <v>-3.7063334137201309E-2</v>
      </c>
      <c r="K1" s="71">
        <v>-0.37039666622877121</v>
      </c>
      <c r="L1" s="71">
        <v>0.29626999981701374</v>
      </c>
      <c r="M1" s="71">
        <v>-3.7063334137201309E-2</v>
      </c>
      <c r="N1" s="71">
        <v>-0.37039666622877121</v>
      </c>
      <c r="O1" s="71">
        <v>0.29626999981701374</v>
      </c>
      <c r="P1" s="71">
        <v>-0.16241743694990873</v>
      </c>
      <c r="Q1" s="70">
        <v>-10.466310000047088</v>
      </c>
      <c r="R1" s="71"/>
      <c r="S1" s="71"/>
      <c r="T1" s="71"/>
      <c r="U1" s="71"/>
    </row>
    <row r="2" spans="1:21" ht="12.75" customHeight="1" x14ac:dyDescent="0.2">
      <c r="B2" s="72">
        <v>39619.747005902776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R2" s="71"/>
      <c r="S2" s="71"/>
      <c r="T2" s="71"/>
      <c r="U2" s="71"/>
    </row>
    <row r="3" spans="1:21" ht="15.75" x14ac:dyDescent="0.25">
      <c r="A3" s="73" t="s">
        <v>419</v>
      </c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88" t="s">
        <v>420</v>
      </c>
      <c r="R3" s="88" t="s">
        <v>420</v>
      </c>
      <c r="S3" s="71"/>
      <c r="T3" s="71" t="s">
        <v>421</v>
      </c>
      <c r="U3" s="71" t="s">
        <v>421</v>
      </c>
    </row>
    <row r="4" spans="1:21" x14ac:dyDescent="0.2">
      <c r="A4" s="70" t="s">
        <v>3715</v>
      </c>
      <c r="C4" s="89" t="s">
        <v>422</v>
      </c>
      <c r="D4" s="89" t="s">
        <v>424</v>
      </c>
      <c r="E4" s="89" t="s">
        <v>424</v>
      </c>
      <c r="F4" s="89" t="s">
        <v>424</v>
      </c>
      <c r="G4" s="89" t="s">
        <v>424</v>
      </c>
      <c r="H4" s="89" t="s">
        <v>424</v>
      </c>
      <c r="I4" s="89" t="s">
        <v>424</v>
      </c>
      <c r="J4" s="89" t="s">
        <v>424</v>
      </c>
      <c r="K4" s="89" t="s">
        <v>424</v>
      </c>
      <c r="L4" s="89" t="s">
        <v>424</v>
      </c>
      <c r="M4" s="89" t="s">
        <v>424</v>
      </c>
      <c r="N4" s="89" t="s">
        <v>424</v>
      </c>
      <c r="O4" s="89" t="s">
        <v>424</v>
      </c>
      <c r="P4" s="74" t="s">
        <v>423</v>
      </c>
      <c r="Q4" s="70" t="s">
        <v>424</v>
      </c>
      <c r="R4" s="89" t="s">
        <v>423</v>
      </c>
      <c r="S4" s="74"/>
      <c r="T4" s="89" t="s">
        <v>424</v>
      </c>
      <c r="U4" s="89" t="s">
        <v>423</v>
      </c>
    </row>
    <row r="5" spans="1:21" x14ac:dyDescent="0.2">
      <c r="A5" s="75" t="s">
        <v>425</v>
      </c>
      <c r="B5" s="76" t="s">
        <v>426</v>
      </c>
      <c r="C5" s="76" t="s">
        <v>427</v>
      </c>
      <c r="D5" s="76" t="s">
        <v>3716</v>
      </c>
      <c r="E5" s="76" t="s">
        <v>3717</v>
      </c>
      <c r="F5" s="76" t="s">
        <v>3718</v>
      </c>
      <c r="G5" s="76" t="s">
        <v>3719</v>
      </c>
      <c r="H5" s="76" t="s">
        <v>3720</v>
      </c>
      <c r="I5" s="76" t="s">
        <v>3721</v>
      </c>
      <c r="J5" s="76" t="s">
        <v>3722</v>
      </c>
      <c r="K5" s="76" t="s">
        <v>3723</v>
      </c>
      <c r="L5" s="76" t="s">
        <v>3724</v>
      </c>
      <c r="M5" s="76" t="s">
        <v>3725</v>
      </c>
      <c r="N5" s="76" t="s">
        <v>3726</v>
      </c>
      <c r="O5" s="76" t="s">
        <v>429</v>
      </c>
      <c r="P5" s="76" t="s">
        <v>428</v>
      </c>
      <c r="Q5" s="75" t="s">
        <v>429</v>
      </c>
      <c r="R5" s="76" t="s">
        <v>428</v>
      </c>
      <c r="S5" s="66"/>
      <c r="T5" s="76"/>
      <c r="U5" s="76"/>
    </row>
    <row r="6" spans="1:21" ht="14.25" customHeight="1" x14ac:dyDescent="0.2">
      <c r="A6" s="77" t="s">
        <v>884</v>
      </c>
      <c r="B6" s="70" t="s">
        <v>430</v>
      </c>
      <c r="C6" s="71">
        <v>4972647</v>
      </c>
      <c r="D6" s="71">
        <v>4954754.7962699998</v>
      </c>
      <c r="E6" s="71">
        <v>4960313.7962699998</v>
      </c>
      <c r="F6" s="71">
        <v>4965600.7962699998</v>
      </c>
      <c r="G6" s="71">
        <v>4958392.7962699998</v>
      </c>
      <c r="H6" s="71">
        <v>4968689.7962699998</v>
      </c>
      <c r="I6" s="71">
        <v>5010265.7962699998</v>
      </c>
      <c r="J6" s="71">
        <v>5015927.7962699998</v>
      </c>
      <c r="K6" s="71">
        <v>5027962.7962699998</v>
      </c>
      <c r="L6" s="71">
        <v>5008300.7962699998</v>
      </c>
      <c r="M6" s="71">
        <v>5101831.7962699998</v>
      </c>
      <c r="N6" s="71">
        <v>5210730.7962699998</v>
      </c>
      <c r="O6" s="71">
        <v>5225866.7962699998</v>
      </c>
      <c r="P6" s="84">
        <v>5029329.6580953831</v>
      </c>
      <c r="Q6" s="77">
        <v>5265957.7962699998</v>
      </c>
      <c r="R6" s="71">
        <v>5115942.350403076</v>
      </c>
      <c r="S6" s="104"/>
      <c r="T6" s="71">
        <v>-40091</v>
      </c>
      <c r="U6" s="71">
        <v>-86612.692307692952</v>
      </c>
    </row>
    <row r="7" spans="1:21" ht="14.25" customHeight="1" x14ac:dyDescent="0.2">
      <c r="A7" s="78" t="s">
        <v>3890</v>
      </c>
      <c r="B7" s="70" t="s">
        <v>431</v>
      </c>
      <c r="C7" s="71">
        <v>7134</v>
      </c>
      <c r="D7" s="71">
        <v>7133.7962700000007</v>
      </c>
      <c r="E7" s="71">
        <v>7133.7962700000007</v>
      </c>
      <c r="F7" s="71">
        <v>7133.7962700000007</v>
      </c>
      <c r="G7" s="71">
        <v>7133.7962700000007</v>
      </c>
      <c r="H7" s="71">
        <v>7133.7962700000007</v>
      </c>
      <c r="I7" s="71">
        <v>7133.7962700000007</v>
      </c>
      <c r="J7" s="71">
        <v>7133.7962700000007</v>
      </c>
      <c r="K7" s="71">
        <v>7133.7962700000007</v>
      </c>
      <c r="L7" s="71">
        <v>7133.7962700000007</v>
      </c>
      <c r="M7" s="71">
        <v>7133.7962700000007</v>
      </c>
      <c r="N7" s="71">
        <v>7133.7962700000007</v>
      </c>
      <c r="O7" s="71">
        <v>7133.7962700000007</v>
      </c>
      <c r="P7" s="84">
        <v>7133.8119415384626</v>
      </c>
      <c r="Q7" s="78">
        <v>7133.7962700000007</v>
      </c>
      <c r="R7" s="71">
        <v>7133.8119415384626</v>
      </c>
      <c r="S7" s="104"/>
      <c r="T7" s="71">
        <v>0</v>
      </c>
      <c r="U7" s="71">
        <v>0</v>
      </c>
    </row>
    <row r="8" spans="1:21" ht="14.25" customHeight="1" x14ac:dyDescent="0.2">
      <c r="A8" s="78" t="s">
        <v>3951</v>
      </c>
      <c r="B8" s="70" t="s">
        <v>432</v>
      </c>
      <c r="C8" s="71">
        <v>0</v>
      </c>
      <c r="D8" s="71">
        <v>0</v>
      </c>
      <c r="E8" s="71">
        <v>0</v>
      </c>
      <c r="F8" s="71">
        <v>0</v>
      </c>
      <c r="G8" s="71">
        <v>0</v>
      </c>
      <c r="H8" s="71">
        <v>0</v>
      </c>
      <c r="I8" s="71">
        <v>0</v>
      </c>
      <c r="J8" s="71">
        <v>0</v>
      </c>
      <c r="K8" s="71">
        <v>0</v>
      </c>
      <c r="L8" s="71">
        <v>0</v>
      </c>
      <c r="M8" s="71">
        <v>0</v>
      </c>
      <c r="N8" s="71">
        <v>0</v>
      </c>
      <c r="O8" s="71">
        <v>0</v>
      </c>
      <c r="P8" s="84">
        <v>0</v>
      </c>
      <c r="Q8" s="78">
        <v>0</v>
      </c>
      <c r="R8" s="71">
        <v>0</v>
      </c>
      <c r="S8" s="104"/>
      <c r="T8" s="71">
        <v>0</v>
      </c>
      <c r="U8" s="71">
        <v>0</v>
      </c>
    </row>
    <row r="9" spans="1:21" ht="14.25" customHeight="1" x14ac:dyDescent="0.2">
      <c r="A9" s="77" t="s">
        <v>5383</v>
      </c>
      <c r="B9" s="70" t="s">
        <v>433</v>
      </c>
      <c r="C9" s="71">
        <v>40229</v>
      </c>
      <c r="D9" s="71">
        <v>40229</v>
      </c>
      <c r="E9" s="71">
        <v>40229</v>
      </c>
      <c r="F9" s="71">
        <v>40229</v>
      </c>
      <c r="G9" s="71">
        <v>40229</v>
      </c>
      <c r="H9" s="71">
        <v>40229</v>
      </c>
      <c r="I9" s="71">
        <v>40229</v>
      </c>
      <c r="J9" s="71">
        <v>40229</v>
      </c>
      <c r="K9" s="71">
        <v>40229</v>
      </c>
      <c r="L9" s="71">
        <v>40229</v>
      </c>
      <c r="M9" s="71">
        <v>40229</v>
      </c>
      <c r="N9" s="71">
        <v>40229</v>
      </c>
      <c r="O9" s="71">
        <v>42942</v>
      </c>
      <c r="P9" s="84">
        <v>40437.692307692305</v>
      </c>
      <c r="Q9" s="77">
        <v>42942</v>
      </c>
      <c r="R9" s="71">
        <v>41992.384615384617</v>
      </c>
      <c r="S9" s="104"/>
      <c r="T9" s="71">
        <v>0</v>
      </c>
      <c r="U9" s="71">
        <v>-1554.6923076923122</v>
      </c>
    </row>
    <row r="10" spans="1:21" ht="14.25" customHeight="1" x14ac:dyDescent="0.2">
      <c r="A10" s="77" t="s">
        <v>5386</v>
      </c>
      <c r="B10" s="70" t="s">
        <v>434</v>
      </c>
      <c r="C10" s="71">
        <v>285028</v>
      </c>
      <c r="D10" s="71">
        <v>285803</v>
      </c>
      <c r="E10" s="71">
        <v>292850</v>
      </c>
      <c r="F10" s="71">
        <v>296273</v>
      </c>
      <c r="G10" s="71">
        <v>384908</v>
      </c>
      <c r="H10" s="71">
        <v>480637</v>
      </c>
      <c r="I10" s="71">
        <v>451964</v>
      </c>
      <c r="J10" s="71">
        <v>457463</v>
      </c>
      <c r="K10" s="71">
        <v>464450</v>
      </c>
      <c r="L10" s="71">
        <v>464007</v>
      </c>
      <c r="M10" s="71">
        <v>382215</v>
      </c>
      <c r="N10" s="71">
        <v>288047</v>
      </c>
      <c r="O10" s="71">
        <v>330604</v>
      </c>
      <c r="P10" s="84">
        <v>374173</v>
      </c>
      <c r="Q10" s="77">
        <v>328675</v>
      </c>
      <c r="R10" s="71">
        <v>304370.84615384613</v>
      </c>
      <c r="S10" s="104"/>
      <c r="T10" s="71">
        <v>1929</v>
      </c>
      <c r="U10" s="71">
        <v>69802.153846153873</v>
      </c>
    </row>
    <row r="11" spans="1:21" ht="14.25" customHeight="1" x14ac:dyDescent="0.2">
      <c r="A11" s="77" t="s">
        <v>5389</v>
      </c>
      <c r="B11" s="70" t="s">
        <v>435</v>
      </c>
      <c r="C11" s="90">
        <v>306385</v>
      </c>
      <c r="D11" s="90">
        <v>329528</v>
      </c>
      <c r="E11" s="90">
        <v>349455</v>
      </c>
      <c r="F11" s="90">
        <v>378303</v>
      </c>
      <c r="G11" s="90">
        <v>313144</v>
      </c>
      <c r="H11" s="90">
        <v>240196</v>
      </c>
      <c r="I11" s="90">
        <v>254194</v>
      </c>
      <c r="J11" s="90">
        <v>274936</v>
      </c>
      <c r="K11" s="90">
        <v>297353</v>
      </c>
      <c r="L11" s="90">
        <v>334745</v>
      </c>
      <c r="M11" s="90">
        <v>375709</v>
      </c>
      <c r="N11" s="90">
        <v>415415</v>
      </c>
      <c r="O11" s="90">
        <v>414529</v>
      </c>
      <c r="P11" s="84">
        <v>329530.15384615387</v>
      </c>
      <c r="Q11" s="77">
        <v>400698</v>
      </c>
      <c r="R11" s="90">
        <v>345271.07692307694</v>
      </c>
      <c r="S11" s="104"/>
      <c r="T11" s="90">
        <v>13831</v>
      </c>
      <c r="U11" s="90">
        <v>-15740.923076923063</v>
      </c>
    </row>
    <row r="12" spans="1:21" ht="14.25" customHeight="1" x14ac:dyDescent="0.2">
      <c r="A12" s="77" t="s">
        <v>3660</v>
      </c>
      <c r="B12" s="70" t="s">
        <v>436</v>
      </c>
      <c r="C12" s="90">
        <v>-1964774</v>
      </c>
      <c r="D12" s="90">
        <v>-1947811</v>
      </c>
      <c r="E12" s="90">
        <v>-1955261</v>
      </c>
      <c r="F12" s="90">
        <v>-1962424</v>
      </c>
      <c r="G12" s="90">
        <v>-1959373</v>
      </c>
      <c r="H12" s="90">
        <v>-1968486</v>
      </c>
      <c r="I12" s="90">
        <v>-1974140</v>
      </c>
      <c r="J12" s="90">
        <v>-1980676</v>
      </c>
      <c r="K12" s="90">
        <v>-1988632</v>
      </c>
      <c r="L12" s="90">
        <v>-1972500</v>
      </c>
      <c r="M12" s="90">
        <v>-1980998</v>
      </c>
      <c r="N12" s="90">
        <v>-1991564</v>
      </c>
      <c r="O12" s="90">
        <v>-1998482</v>
      </c>
      <c r="P12" s="84">
        <v>-1972701.6153846155</v>
      </c>
      <c r="Q12" s="77">
        <v>-2044847</v>
      </c>
      <c r="R12" s="90">
        <v>-2001176</v>
      </c>
      <c r="S12" s="104"/>
      <c r="T12" s="90">
        <v>46365</v>
      </c>
      <c r="U12" s="90">
        <v>28474.384615384508</v>
      </c>
    </row>
    <row r="13" spans="1:21" ht="14.25" customHeight="1" x14ac:dyDescent="0.2">
      <c r="A13" s="78" t="s">
        <v>5398</v>
      </c>
      <c r="B13" s="70" t="s">
        <v>437</v>
      </c>
      <c r="C13" s="90">
        <v>-547</v>
      </c>
      <c r="D13" s="90">
        <v>-565</v>
      </c>
      <c r="E13" s="90">
        <v>-583</v>
      </c>
      <c r="F13" s="90">
        <v>-601</v>
      </c>
      <c r="G13" s="90">
        <v>-619</v>
      </c>
      <c r="H13" s="90">
        <v>-637</v>
      </c>
      <c r="I13" s="90">
        <v>-655</v>
      </c>
      <c r="J13" s="90">
        <v>-673</v>
      </c>
      <c r="K13" s="90">
        <v>-691</v>
      </c>
      <c r="L13" s="90">
        <v>-709</v>
      </c>
      <c r="M13" s="90">
        <v>-727</v>
      </c>
      <c r="N13" s="90">
        <v>-745</v>
      </c>
      <c r="O13" s="90">
        <v>-763</v>
      </c>
      <c r="P13" s="84">
        <v>-655</v>
      </c>
      <c r="Q13" s="78">
        <v>-547</v>
      </c>
      <c r="R13" s="90">
        <v>-547</v>
      </c>
      <c r="S13" s="104"/>
      <c r="T13" s="90">
        <v>-216</v>
      </c>
      <c r="U13" s="90">
        <v>-108</v>
      </c>
    </row>
    <row r="14" spans="1:21" ht="14.25" customHeight="1" x14ac:dyDescent="0.2">
      <c r="A14" s="78" t="s">
        <v>5400</v>
      </c>
      <c r="B14" s="70" t="s">
        <v>438</v>
      </c>
      <c r="C14" s="91">
        <v>449370</v>
      </c>
      <c r="D14" s="90">
        <v>449536</v>
      </c>
      <c r="E14" s="90">
        <v>450633</v>
      </c>
      <c r="F14" s="90">
        <v>451463</v>
      </c>
      <c r="G14" s="90">
        <v>453126</v>
      </c>
      <c r="H14" s="90">
        <v>455171</v>
      </c>
      <c r="I14" s="90">
        <v>457192</v>
      </c>
      <c r="J14" s="90">
        <v>459121</v>
      </c>
      <c r="K14" s="90">
        <v>461084</v>
      </c>
      <c r="L14" s="90">
        <v>462736</v>
      </c>
      <c r="M14" s="90">
        <v>463687</v>
      </c>
      <c r="N14" s="90">
        <v>465003</v>
      </c>
      <c r="O14" s="90">
        <v>465977</v>
      </c>
      <c r="P14" s="84">
        <v>457238.38461538462</v>
      </c>
      <c r="Q14" s="78">
        <v>466950</v>
      </c>
      <c r="R14" s="90">
        <v>456276.30769230769</v>
      </c>
      <c r="S14" s="104"/>
      <c r="T14" s="90">
        <v>-973</v>
      </c>
      <c r="U14" s="90">
        <v>962.07692307693651</v>
      </c>
    </row>
    <row r="15" spans="1:21" ht="14.25" customHeight="1" x14ac:dyDescent="0.2">
      <c r="A15" s="77" t="s">
        <v>3663</v>
      </c>
      <c r="B15" s="70" t="s">
        <v>439</v>
      </c>
      <c r="C15" s="71">
        <v>-8469</v>
      </c>
      <c r="D15" s="71">
        <v>-7244</v>
      </c>
      <c r="E15" s="71">
        <v>-7483</v>
      </c>
      <c r="F15" s="71">
        <v>-7694</v>
      </c>
      <c r="G15" s="71">
        <v>-7909</v>
      </c>
      <c r="H15" s="71">
        <v>-8132</v>
      </c>
      <c r="I15" s="71">
        <v>-8361</v>
      </c>
      <c r="J15" s="71">
        <v>-8392</v>
      </c>
      <c r="K15" s="71">
        <v>-8653</v>
      </c>
      <c r="L15" s="71">
        <v>-8821</v>
      </c>
      <c r="M15" s="71">
        <v>-9157</v>
      </c>
      <c r="N15" s="71">
        <v>-8865</v>
      </c>
      <c r="O15" s="71">
        <v>-8448</v>
      </c>
      <c r="P15" s="84">
        <v>-8279.0769230769238</v>
      </c>
      <c r="Q15" s="77">
        <v>-7921</v>
      </c>
      <c r="R15" s="71">
        <v>-8162</v>
      </c>
      <c r="S15" s="104"/>
      <c r="T15" s="71">
        <v>-527</v>
      </c>
      <c r="U15" s="71">
        <v>-117.07692307692378</v>
      </c>
    </row>
    <row r="16" spans="1:21" ht="14.25" customHeight="1" x14ac:dyDescent="0.2">
      <c r="A16" s="77" t="s">
        <v>3668</v>
      </c>
      <c r="B16" s="70" t="s">
        <v>440</v>
      </c>
      <c r="C16" s="71">
        <v>4285</v>
      </c>
      <c r="D16" s="71">
        <v>4264</v>
      </c>
      <c r="E16" s="71">
        <v>4244</v>
      </c>
      <c r="F16" s="71">
        <v>4224</v>
      </c>
      <c r="G16" s="71">
        <v>4203</v>
      </c>
      <c r="H16" s="71">
        <v>4183</v>
      </c>
      <c r="I16" s="71">
        <v>4163</v>
      </c>
      <c r="J16" s="71">
        <v>4142</v>
      </c>
      <c r="K16" s="71">
        <v>4122</v>
      </c>
      <c r="L16" s="71">
        <v>4102</v>
      </c>
      <c r="M16" s="71">
        <v>4081</v>
      </c>
      <c r="N16" s="71">
        <v>4061</v>
      </c>
      <c r="O16" s="71">
        <v>4041</v>
      </c>
      <c r="P16" s="84">
        <v>4162.6923076923076</v>
      </c>
      <c r="Q16" s="77">
        <v>4041</v>
      </c>
      <c r="R16" s="71">
        <v>4162.6923076923076</v>
      </c>
      <c r="S16" s="104"/>
      <c r="T16" s="71">
        <v>0</v>
      </c>
      <c r="U16" s="71">
        <v>0</v>
      </c>
    </row>
    <row r="17" spans="1:256" ht="14.25" customHeight="1" x14ac:dyDescent="0.2">
      <c r="A17" s="77" t="s">
        <v>3705</v>
      </c>
      <c r="B17" s="70" t="s">
        <v>441</v>
      </c>
      <c r="C17" s="71">
        <v>7392</v>
      </c>
      <c r="D17" s="71">
        <v>7340</v>
      </c>
      <c r="E17" s="71">
        <v>7274</v>
      </c>
      <c r="F17" s="71">
        <v>7158</v>
      </c>
      <c r="G17" s="71">
        <v>6950</v>
      </c>
      <c r="H17" s="71">
        <v>6856</v>
      </c>
      <c r="I17" s="71">
        <v>6829</v>
      </c>
      <c r="J17" s="71">
        <v>6901</v>
      </c>
      <c r="K17" s="71">
        <v>6999</v>
      </c>
      <c r="L17" s="71">
        <v>7015</v>
      </c>
      <c r="M17" s="71">
        <v>7023</v>
      </c>
      <c r="N17" s="71">
        <v>7030</v>
      </c>
      <c r="O17" s="71">
        <v>7020</v>
      </c>
      <c r="P17" s="84">
        <v>7060.5384615384619</v>
      </c>
      <c r="Q17" s="77">
        <v>7020</v>
      </c>
      <c r="R17" s="71">
        <v>7060.5384615384619</v>
      </c>
      <c r="S17" s="104"/>
      <c r="T17" s="71">
        <v>0</v>
      </c>
      <c r="U17" s="71">
        <v>0</v>
      </c>
    </row>
    <row r="18" spans="1:256" ht="14.25" customHeight="1" x14ac:dyDescent="0.2">
      <c r="A18" s="77" t="s">
        <v>1148</v>
      </c>
      <c r="B18" s="70" t="s">
        <v>442</v>
      </c>
      <c r="C18" s="71">
        <v>-3796</v>
      </c>
      <c r="D18" s="71">
        <v>-3770</v>
      </c>
      <c r="E18" s="71">
        <v>-3730</v>
      </c>
      <c r="F18" s="71">
        <v>-3640</v>
      </c>
      <c r="G18" s="71">
        <v>-3441</v>
      </c>
      <c r="H18" s="71">
        <v>-3334</v>
      </c>
      <c r="I18" s="71">
        <v>-3274</v>
      </c>
      <c r="J18" s="71">
        <v>-3240</v>
      </c>
      <c r="K18" s="71">
        <v>-3232</v>
      </c>
      <c r="L18" s="71">
        <v>-3240</v>
      </c>
      <c r="M18" s="71">
        <v>-3255</v>
      </c>
      <c r="N18" s="71">
        <v>-3278</v>
      </c>
      <c r="O18" s="71">
        <v>-3286</v>
      </c>
      <c r="P18" s="84">
        <v>-3424.3076923076924</v>
      </c>
      <c r="Q18" s="77">
        <v>-3286</v>
      </c>
      <c r="R18" s="71">
        <v>-3424.3076923076924</v>
      </c>
      <c r="S18" s="104"/>
      <c r="T18" s="71">
        <v>0</v>
      </c>
      <c r="U18" s="71">
        <v>0</v>
      </c>
    </row>
    <row r="19" spans="1:256" x14ac:dyDescent="0.2">
      <c r="A19" s="77" t="s">
        <v>1153</v>
      </c>
      <c r="B19" s="70" t="s">
        <v>443</v>
      </c>
      <c r="C19" s="71">
        <v>274</v>
      </c>
      <c r="D19" s="71">
        <v>274</v>
      </c>
      <c r="E19" s="71">
        <v>274</v>
      </c>
      <c r="F19" s="71">
        <v>274</v>
      </c>
      <c r="G19" s="71">
        <v>274</v>
      </c>
      <c r="H19" s="71">
        <v>274</v>
      </c>
      <c r="I19" s="71">
        <v>274</v>
      </c>
      <c r="J19" s="71">
        <v>274</v>
      </c>
      <c r="K19" s="71">
        <v>274</v>
      </c>
      <c r="L19" s="71">
        <v>274</v>
      </c>
      <c r="M19" s="71">
        <v>274</v>
      </c>
      <c r="N19" s="71">
        <v>274</v>
      </c>
      <c r="O19" s="71">
        <v>274</v>
      </c>
      <c r="P19" s="84">
        <v>274</v>
      </c>
      <c r="Q19" s="77">
        <v>274</v>
      </c>
      <c r="R19" s="71">
        <v>274</v>
      </c>
      <c r="S19" s="104"/>
      <c r="T19" s="71">
        <v>0</v>
      </c>
      <c r="U19" s="71">
        <v>0</v>
      </c>
    </row>
    <row r="20" spans="1:256" x14ac:dyDescent="0.2">
      <c r="A20" s="77" t="s">
        <v>657</v>
      </c>
      <c r="B20" s="70" t="s">
        <v>444</v>
      </c>
      <c r="C20" s="71">
        <v>0</v>
      </c>
      <c r="D20" s="71">
        <v>0</v>
      </c>
      <c r="E20" s="71">
        <v>0</v>
      </c>
      <c r="F20" s="71">
        <v>0</v>
      </c>
      <c r="G20" s="71">
        <v>0</v>
      </c>
      <c r="H20" s="71">
        <v>0</v>
      </c>
      <c r="I20" s="71">
        <v>0</v>
      </c>
      <c r="J20" s="71">
        <v>0</v>
      </c>
      <c r="K20" s="71">
        <v>0</v>
      </c>
      <c r="L20" s="71">
        <v>0</v>
      </c>
      <c r="M20" s="71">
        <v>0</v>
      </c>
      <c r="N20" s="71">
        <v>0</v>
      </c>
      <c r="O20" s="71">
        <v>0</v>
      </c>
      <c r="P20" s="84">
        <v>0</v>
      </c>
      <c r="Q20" s="77">
        <v>0</v>
      </c>
      <c r="R20" s="71">
        <v>0</v>
      </c>
      <c r="S20" s="104"/>
      <c r="T20" s="71">
        <v>0</v>
      </c>
      <c r="U20" s="71">
        <v>0</v>
      </c>
    </row>
    <row r="21" spans="1:256" x14ac:dyDescent="0.2">
      <c r="A21" s="78" t="s">
        <v>663</v>
      </c>
      <c r="B21" s="70" t="s">
        <v>445</v>
      </c>
      <c r="C21" s="71">
        <v>0</v>
      </c>
      <c r="D21" s="71">
        <v>0</v>
      </c>
      <c r="E21" s="71">
        <v>0</v>
      </c>
      <c r="F21" s="71">
        <v>0</v>
      </c>
      <c r="G21" s="71">
        <v>0</v>
      </c>
      <c r="H21" s="71">
        <v>0</v>
      </c>
      <c r="I21" s="71">
        <v>0</v>
      </c>
      <c r="J21" s="71">
        <v>0</v>
      </c>
      <c r="K21" s="71">
        <v>0</v>
      </c>
      <c r="L21" s="71">
        <v>0</v>
      </c>
      <c r="M21" s="71">
        <v>0</v>
      </c>
      <c r="N21" s="71">
        <v>0</v>
      </c>
      <c r="O21" s="71">
        <v>0</v>
      </c>
      <c r="P21" s="84">
        <v>0</v>
      </c>
      <c r="Q21" s="78">
        <v>0</v>
      </c>
      <c r="R21" s="71">
        <v>0</v>
      </c>
      <c r="S21" s="104"/>
      <c r="T21" s="71">
        <v>0</v>
      </c>
      <c r="U21" s="71">
        <v>0</v>
      </c>
    </row>
    <row r="22" spans="1:256" x14ac:dyDescent="0.2">
      <c r="A22" s="77" t="s">
        <v>5465</v>
      </c>
      <c r="B22" s="70" t="s">
        <v>446</v>
      </c>
      <c r="C22" s="90">
        <v>-603</v>
      </c>
      <c r="D22" s="90">
        <v>0</v>
      </c>
      <c r="E22" s="90">
        <v>0</v>
      </c>
      <c r="F22" s="90">
        <v>0</v>
      </c>
      <c r="G22" s="90">
        <v>0</v>
      </c>
      <c r="H22" s="90">
        <v>0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0</v>
      </c>
      <c r="O22" s="90">
        <v>0</v>
      </c>
      <c r="P22" s="84">
        <v>-46.384615384615387</v>
      </c>
      <c r="Q22" s="77">
        <v>0</v>
      </c>
      <c r="R22" s="90">
        <v>-46.384615384615387</v>
      </c>
      <c r="S22" s="104"/>
      <c r="T22" s="90">
        <v>0</v>
      </c>
      <c r="U22" s="90">
        <v>0</v>
      </c>
    </row>
    <row r="23" spans="1:256" x14ac:dyDescent="0.2">
      <c r="A23" s="77" t="s">
        <v>5480</v>
      </c>
      <c r="B23" s="70" t="s">
        <v>447</v>
      </c>
      <c r="C23" s="71">
        <v>86</v>
      </c>
      <c r="D23" s="71">
        <v>86</v>
      </c>
      <c r="E23" s="71">
        <v>86</v>
      </c>
      <c r="F23" s="71">
        <v>86</v>
      </c>
      <c r="G23" s="71">
        <v>86</v>
      </c>
      <c r="H23" s="71">
        <v>86</v>
      </c>
      <c r="I23" s="71">
        <v>86</v>
      </c>
      <c r="J23" s="71">
        <v>86</v>
      </c>
      <c r="K23" s="71">
        <v>86</v>
      </c>
      <c r="L23" s="71">
        <v>86</v>
      </c>
      <c r="M23" s="71">
        <v>86</v>
      </c>
      <c r="N23" s="71">
        <v>86</v>
      </c>
      <c r="O23" s="71">
        <v>86</v>
      </c>
      <c r="P23" s="84">
        <v>86</v>
      </c>
      <c r="Q23" s="77">
        <v>86</v>
      </c>
      <c r="R23" s="71">
        <v>86</v>
      </c>
      <c r="S23" s="104"/>
      <c r="T23" s="71">
        <v>0</v>
      </c>
      <c r="U23" s="71">
        <v>0</v>
      </c>
      <c r="X23" s="90"/>
      <c r="Y23" s="90"/>
      <c r="Z23" s="90"/>
      <c r="AA23" s="90"/>
      <c r="AB23" s="90"/>
      <c r="AC23" s="90"/>
      <c r="AE23" s="90"/>
      <c r="AF23" s="90"/>
      <c r="AG23" s="90"/>
      <c r="AH23" s="90"/>
      <c r="AI23" s="90"/>
      <c r="AJ23" s="90"/>
      <c r="AK23" s="90"/>
      <c r="AL23" s="90"/>
      <c r="AM23" s="90"/>
      <c r="AN23" s="90"/>
      <c r="AO23" s="90"/>
      <c r="AP23" s="90"/>
      <c r="AQ23" s="90"/>
      <c r="AR23" s="90"/>
      <c r="AS23" s="90"/>
      <c r="AT23" s="90"/>
      <c r="AU23" s="90"/>
      <c r="AV23" s="90"/>
      <c r="AW23" s="90"/>
      <c r="AX23" s="90"/>
      <c r="AY23" s="90"/>
      <c r="AZ23" s="90"/>
      <c r="BA23" s="90"/>
      <c r="BB23" s="90"/>
      <c r="BC23" s="90"/>
      <c r="BD23" s="90"/>
      <c r="BE23" s="90"/>
      <c r="BF23" s="90"/>
      <c r="BG23" s="90"/>
      <c r="BH23" s="90"/>
      <c r="BI23" s="90"/>
      <c r="BJ23" s="90"/>
      <c r="BK23" s="90"/>
      <c r="BL23" s="90"/>
      <c r="BM23" s="90"/>
      <c r="BN23" s="90"/>
      <c r="BO23" s="90"/>
      <c r="BP23" s="90"/>
      <c r="BQ23" s="90"/>
      <c r="BR23" s="90"/>
      <c r="BS23" s="90"/>
      <c r="BT23" s="90"/>
      <c r="BU23" s="90"/>
      <c r="BV23" s="90"/>
      <c r="BW23" s="90"/>
      <c r="BX23" s="90"/>
      <c r="BY23" s="90"/>
      <c r="BZ23" s="90"/>
      <c r="CA23" s="90"/>
      <c r="CB23" s="90"/>
      <c r="CC23" s="90"/>
      <c r="CD23" s="90"/>
      <c r="CE23" s="90"/>
      <c r="CF23" s="90"/>
      <c r="CG23" s="90"/>
      <c r="CH23" s="90"/>
      <c r="CI23" s="90"/>
      <c r="CJ23" s="90"/>
      <c r="CK23" s="90"/>
      <c r="CL23" s="90"/>
      <c r="CM23" s="90"/>
      <c r="CN23" s="90"/>
      <c r="CO23" s="90"/>
      <c r="CP23" s="90"/>
      <c r="CQ23" s="90"/>
      <c r="CR23" s="90"/>
      <c r="CS23" s="90"/>
      <c r="CT23" s="90"/>
      <c r="CU23" s="90"/>
      <c r="CV23" s="90"/>
      <c r="CW23" s="90"/>
      <c r="CX23" s="90"/>
      <c r="CY23" s="90"/>
      <c r="CZ23" s="90"/>
      <c r="DA23" s="90"/>
      <c r="DB23" s="90"/>
      <c r="DC23" s="90"/>
      <c r="DD23" s="90"/>
      <c r="DE23" s="90"/>
      <c r="DF23" s="90"/>
      <c r="DG23" s="90"/>
      <c r="DH23" s="90"/>
      <c r="DI23" s="90"/>
      <c r="DJ23" s="90"/>
      <c r="DK23" s="90"/>
      <c r="DL23" s="90"/>
      <c r="DM23" s="90"/>
      <c r="DN23" s="90"/>
      <c r="DO23" s="90"/>
      <c r="DP23" s="90"/>
      <c r="DQ23" s="90"/>
      <c r="DR23" s="90"/>
      <c r="DS23" s="90"/>
      <c r="DT23" s="90"/>
      <c r="DU23" s="90"/>
      <c r="DV23" s="90"/>
      <c r="DW23" s="90"/>
      <c r="DX23" s="90"/>
      <c r="DY23" s="90"/>
      <c r="DZ23" s="90"/>
      <c r="EA23" s="90"/>
      <c r="EB23" s="90"/>
      <c r="EC23" s="90"/>
      <c r="ED23" s="90"/>
      <c r="EE23" s="90"/>
      <c r="EF23" s="90"/>
      <c r="EG23" s="90"/>
      <c r="EH23" s="90"/>
      <c r="EI23" s="90"/>
      <c r="EJ23" s="90"/>
      <c r="EK23" s="90"/>
      <c r="EL23" s="90"/>
      <c r="EM23" s="90"/>
      <c r="EN23" s="90"/>
      <c r="EO23" s="90"/>
      <c r="EP23" s="90"/>
      <c r="EQ23" s="90"/>
      <c r="ER23" s="90"/>
      <c r="ES23" s="90"/>
      <c r="ET23" s="90"/>
      <c r="EU23" s="90"/>
      <c r="EV23" s="90"/>
      <c r="EW23" s="90"/>
      <c r="EX23" s="90"/>
      <c r="EY23" s="90"/>
      <c r="EZ23" s="90"/>
      <c r="FA23" s="90"/>
      <c r="FB23" s="90"/>
      <c r="FC23" s="90"/>
      <c r="FD23" s="90"/>
      <c r="FE23" s="90"/>
      <c r="FF23" s="90"/>
      <c r="FG23" s="90"/>
      <c r="FH23" s="90"/>
      <c r="FI23" s="90"/>
      <c r="FJ23" s="90"/>
      <c r="FK23" s="90"/>
      <c r="FL23" s="90"/>
      <c r="FM23" s="90"/>
      <c r="FN23" s="90"/>
      <c r="FO23" s="90"/>
      <c r="FP23" s="90"/>
      <c r="FQ23" s="90"/>
      <c r="FR23" s="90"/>
      <c r="FS23" s="90"/>
      <c r="FT23" s="90"/>
      <c r="FU23" s="90"/>
      <c r="FV23" s="90"/>
      <c r="FW23" s="90"/>
      <c r="FX23" s="90"/>
      <c r="FY23" s="90"/>
      <c r="FZ23" s="90"/>
      <c r="GA23" s="90"/>
      <c r="GB23" s="90"/>
      <c r="GC23" s="90"/>
      <c r="GD23" s="90"/>
      <c r="GE23" s="90"/>
      <c r="GF23" s="90"/>
      <c r="GG23" s="90"/>
      <c r="GH23" s="90"/>
      <c r="GI23" s="90"/>
      <c r="GJ23" s="90"/>
      <c r="GK23" s="90"/>
      <c r="GL23" s="90"/>
      <c r="GM23" s="90"/>
      <c r="GN23" s="90"/>
      <c r="GO23" s="90"/>
      <c r="GP23" s="90"/>
      <c r="GQ23" s="90"/>
      <c r="GR23" s="90"/>
      <c r="GS23" s="90"/>
      <c r="GT23" s="90"/>
      <c r="GU23" s="90"/>
      <c r="GV23" s="90"/>
      <c r="GW23" s="90"/>
      <c r="GX23" s="90"/>
      <c r="GY23" s="90"/>
      <c r="GZ23" s="90"/>
      <c r="HA23" s="90"/>
      <c r="HB23" s="90"/>
      <c r="HC23" s="90"/>
      <c r="HD23" s="90"/>
      <c r="HE23" s="90"/>
      <c r="HF23" s="90"/>
      <c r="HG23" s="90"/>
      <c r="HH23" s="90"/>
      <c r="HI23" s="90"/>
      <c r="HJ23" s="90"/>
      <c r="HK23" s="90"/>
      <c r="HL23" s="90"/>
      <c r="HM23" s="90"/>
      <c r="HN23" s="90"/>
      <c r="HO23" s="90"/>
      <c r="HP23" s="90"/>
      <c r="HQ23" s="90"/>
      <c r="HR23" s="90"/>
      <c r="HS23" s="90"/>
      <c r="HT23" s="90"/>
      <c r="HU23" s="90"/>
      <c r="HV23" s="90"/>
      <c r="HW23" s="90"/>
      <c r="HX23" s="90"/>
      <c r="HY23" s="90"/>
      <c r="HZ23" s="90"/>
      <c r="IA23" s="90"/>
      <c r="IB23" s="90"/>
      <c r="IC23" s="90"/>
      <c r="ID23" s="90"/>
      <c r="IE23" s="90"/>
      <c r="IF23" s="90"/>
      <c r="IG23" s="90"/>
      <c r="IH23" s="90"/>
      <c r="II23" s="90"/>
      <c r="IJ23" s="90"/>
      <c r="IK23" s="90"/>
      <c r="IL23" s="90"/>
      <c r="IM23" s="90"/>
      <c r="IN23" s="90"/>
      <c r="IO23" s="90"/>
      <c r="IP23" s="90"/>
      <c r="IQ23" s="90"/>
      <c r="IR23" s="90"/>
      <c r="IS23" s="90"/>
      <c r="IT23" s="90"/>
      <c r="IU23" s="90"/>
      <c r="IV23" s="90"/>
    </row>
    <row r="24" spans="1:256" x14ac:dyDescent="0.2">
      <c r="A24" s="77" t="s">
        <v>5487</v>
      </c>
      <c r="B24" s="70" t="s">
        <v>448</v>
      </c>
      <c r="C24" s="71">
        <v>84</v>
      </c>
      <c r="D24" s="71">
        <v>84</v>
      </c>
      <c r="E24" s="71">
        <v>84</v>
      </c>
      <c r="F24" s="71">
        <v>84</v>
      </c>
      <c r="G24" s="71">
        <v>84</v>
      </c>
      <c r="H24" s="71">
        <v>84</v>
      </c>
      <c r="I24" s="71">
        <v>84</v>
      </c>
      <c r="J24" s="71">
        <v>84</v>
      </c>
      <c r="K24" s="71">
        <v>84</v>
      </c>
      <c r="L24" s="71">
        <v>84</v>
      </c>
      <c r="M24" s="71">
        <v>84</v>
      </c>
      <c r="N24" s="71">
        <v>84</v>
      </c>
      <c r="O24" s="71">
        <v>84</v>
      </c>
      <c r="P24" s="84">
        <v>84</v>
      </c>
      <c r="Q24" s="77">
        <v>84</v>
      </c>
      <c r="R24" s="71">
        <v>84</v>
      </c>
      <c r="S24" s="104"/>
      <c r="T24" s="71">
        <v>0</v>
      </c>
      <c r="U24" s="71">
        <v>0</v>
      </c>
    </row>
    <row r="25" spans="1:256" x14ac:dyDescent="0.2">
      <c r="A25" s="77" t="s">
        <v>5492</v>
      </c>
      <c r="B25" s="70" t="s">
        <v>449</v>
      </c>
      <c r="C25" s="105">
        <v>7731</v>
      </c>
      <c r="D25" s="105">
        <v>10929</v>
      </c>
      <c r="E25" s="105">
        <v>21418</v>
      </c>
      <c r="F25" s="105">
        <v>1000</v>
      </c>
      <c r="G25" s="105">
        <v>1000</v>
      </c>
      <c r="H25" s="105">
        <v>1000</v>
      </c>
      <c r="I25" s="105">
        <v>1000</v>
      </c>
      <c r="J25" s="105">
        <v>1000</v>
      </c>
      <c r="K25" s="105">
        <v>1000</v>
      </c>
      <c r="L25" s="105">
        <v>1000</v>
      </c>
      <c r="M25" s="105">
        <v>1000</v>
      </c>
      <c r="N25" s="105">
        <v>1000</v>
      </c>
      <c r="O25" s="105">
        <v>1000</v>
      </c>
      <c r="P25" s="84">
        <v>3852.1538461538462</v>
      </c>
      <c r="Q25" s="77">
        <v>1000</v>
      </c>
      <c r="R25" s="105">
        <v>29751.615384615383</v>
      </c>
      <c r="S25" s="104"/>
      <c r="T25" s="105">
        <v>0</v>
      </c>
      <c r="U25" s="105">
        <v>-25899.461538461535</v>
      </c>
    </row>
    <row r="26" spans="1:256" x14ac:dyDescent="0.2">
      <c r="A26" s="77" t="s">
        <v>5488</v>
      </c>
      <c r="B26" s="70" t="s">
        <v>450</v>
      </c>
      <c r="C26" s="91">
        <v>7730</v>
      </c>
      <c r="D26" s="91">
        <v>10929</v>
      </c>
      <c r="E26" s="91">
        <v>21418</v>
      </c>
      <c r="F26" s="91">
        <v>1000</v>
      </c>
      <c r="G26" s="91">
        <v>1000</v>
      </c>
      <c r="H26" s="91">
        <v>1000</v>
      </c>
      <c r="I26" s="91">
        <v>1000</v>
      </c>
      <c r="J26" s="91">
        <v>1000</v>
      </c>
      <c r="K26" s="91">
        <v>1000</v>
      </c>
      <c r="L26" s="91">
        <v>1000</v>
      </c>
      <c r="M26" s="91">
        <v>1000</v>
      </c>
      <c r="N26" s="91">
        <v>1000</v>
      </c>
      <c r="O26" s="91">
        <v>1000</v>
      </c>
      <c r="P26" s="84">
        <v>3852.0769230769229</v>
      </c>
      <c r="Q26" s="77">
        <v>1000</v>
      </c>
      <c r="R26" s="91">
        <v>29751.538461538461</v>
      </c>
      <c r="S26" s="104"/>
      <c r="T26" s="91">
        <v>0</v>
      </c>
      <c r="U26" s="91">
        <v>-25899.461538461539</v>
      </c>
    </row>
    <row r="27" spans="1:256" x14ac:dyDescent="0.2">
      <c r="A27" s="78" t="s">
        <v>5495</v>
      </c>
      <c r="B27" s="70" t="s">
        <v>451</v>
      </c>
      <c r="C27" s="105">
        <v>0</v>
      </c>
      <c r="D27" s="105">
        <v>0</v>
      </c>
      <c r="E27" s="105">
        <v>0</v>
      </c>
      <c r="F27" s="105">
        <v>0</v>
      </c>
      <c r="G27" s="105">
        <v>0</v>
      </c>
      <c r="H27" s="105">
        <v>0</v>
      </c>
      <c r="I27" s="105">
        <v>0</v>
      </c>
      <c r="J27" s="105">
        <v>0</v>
      </c>
      <c r="K27" s="105">
        <v>0</v>
      </c>
      <c r="L27" s="105">
        <v>0</v>
      </c>
      <c r="M27" s="105">
        <v>0</v>
      </c>
      <c r="N27" s="105">
        <v>0</v>
      </c>
      <c r="O27" s="105">
        <v>0</v>
      </c>
      <c r="P27" s="84">
        <v>0</v>
      </c>
      <c r="Q27" s="78">
        <v>0</v>
      </c>
      <c r="R27" s="105">
        <v>0</v>
      </c>
      <c r="S27" s="104"/>
      <c r="T27" s="105">
        <v>0</v>
      </c>
      <c r="U27" s="105">
        <v>0</v>
      </c>
    </row>
    <row r="28" spans="1:256" ht="14.25" customHeight="1" x14ac:dyDescent="0.2">
      <c r="A28" s="78" t="s">
        <v>5502</v>
      </c>
      <c r="B28" s="70" t="s">
        <v>452</v>
      </c>
      <c r="C28" s="71">
        <v>138096</v>
      </c>
      <c r="D28" s="71">
        <v>145356</v>
      </c>
      <c r="E28" s="71">
        <v>138127</v>
      </c>
      <c r="F28" s="71">
        <v>122422</v>
      </c>
      <c r="G28" s="71">
        <v>135630</v>
      </c>
      <c r="H28" s="71">
        <v>145613</v>
      </c>
      <c r="I28" s="71">
        <v>160938</v>
      </c>
      <c r="J28" s="71">
        <v>174859</v>
      </c>
      <c r="K28" s="71">
        <v>163170</v>
      </c>
      <c r="L28" s="71">
        <v>183221</v>
      </c>
      <c r="M28" s="71">
        <v>162992</v>
      </c>
      <c r="N28" s="71">
        <v>144877</v>
      </c>
      <c r="O28" s="71">
        <v>157737</v>
      </c>
      <c r="P28" s="84">
        <v>151772.15384615384</v>
      </c>
      <c r="Q28" s="78">
        <v>160807</v>
      </c>
      <c r="R28" s="71">
        <v>155312</v>
      </c>
      <c r="S28" s="104"/>
      <c r="T28" s="71">
        <v>-3070</v>
      </c>
      <c r="U28" s="71">
        <v>-3539.8461538461561</v>
      </c>
    </row>
    <row r="29" spans="1:256" x14ac:dyDescent="0.2">
      <c r="A29" s="77" t="s">
        <v>4979</v>
      </c>
      <c r="B29" s="70" t="s">
        <v>453</v>
      </c>
      <c r="C29" s="71">
        <v>10215</v>
      </c>
      <c r="D29" s="71">
        <v>11926</v>
      </c>
      <c r="E29" s="71">
        <v>10679</v>
      </c>
      <c r="F29" s="71">
        <v>13604</v>
      </c>
      <c r="G29" s="71">
        <v>12418</v>
      </c>
      <c r="H29" s="71">
        <v>12683</v>
      </c>
      <c r="I29" s="71">
        <v>13509</v>
      </c>
      <c r="J29" s="71">
        <v>13459</v>
      </c>
      <c r="K29" s="71">
        <v>16928</v>
      </c>
      <c r="L29" s="71">
        <v>12603</v>
      </c>
      <c r="M29" s="71">
        <v>14243</v>
      </c>
      <c r="N29" s="71">
        <v>11515</v>
      </c>
      <c r="O29" s="71">
        <v>10435</v>
      </c>
      <c r="P29" s="84">
        <v>12632.076923076924</v>
      </c>
      <c r="Q29" s="77">
        <v>12395</v>
      </c>
      <c r="R29" s="71">
        <v>13141.923076923076</v>
      </c>
      <c r="S29" s="104"/>
      <c r="T29" s="71">
        <v>-1960</v>
      </c>
      <c r="U29" s="71">
        <v>-509.84615384615245</v>
      </c>
    </row>
    <row r="30" spans="1:256" x14ac:dyDescent="0.2">
      <c r="A30" s="79" t="s">
        <v>454</v>
      </c>
      <c r="B30" s="70" t="s">
        <v>455</v>
      </c>
      <c r="C30" s="70">
        <v>9</v>
      </c>
      <c r="D30" s="70">
        <v>9</v>
      </c>
      <c r="E30" s="70">
        <v>9</v>
      </c>
      <c r="F30" s="70">
        <v>9</v>
      </c>
      <c r="G30" s="70">
        <v>9</v>
      </c>
      <c r="H30" s="70">
        <v>9</v>
      </c>
      <c r="I30" s="70">
        <v>9</v>
      </c>
      <c r="J30" s="70">
        <v>9</v>
      </c>
      <c r="K30" s="70">
        <v>9</v>
      </c>
      <c r="L30" s="70">
        <v>9</v>
      </c>
      <c r="M30" s="70">
        <v>9</v>
      </c>
      <c r="N30" s="70">
        <v>9</v>
      </c>
      <c r="O30" s="70">
        <v>9</v>
      </c>
      <c r="P30" s="84">
        <v>9</v>
      </c>
      <c r="Q30" s="79">
        <v>9</v>
      </c>
      <c r="R30" s="70">
        <v>9</v>
      </c>
      <c r="S30" s="104"/>
      <c r="T30" s="70">
        <v>0</v>
      </c>
      <c r="U30" s="70">
        <v>0</v>
      </c>
    </row>
    <row r="31" spans="1:256" x14ac:dyDescent="0.2">
      <c r="A31" s="79" t="s">
        <v>5503</v>
      </c>
      <c r="B31" s="70" t="s">
        <v>456</v>
      </c>
      <c r="C31" s="71">
        <v>2410</v>
      </c>
      <c r="D31" s="71">
        <v>3410</v>
      </c>
      <c r="E31" s="71">
        <v>2410</v>
      </c>
      <c r="F31" s="71">
        <v>6410</v>
      </c>
      <c r="G31" s="71">
        <v>4610</v>
      </c>
      <c r="H31" s="71">
        <v>4310</v>
      </c>
      <c r="I31" s="71">
        <v>4910</v>
      </c>
      <c r="J31" s="71">
        <v>4810</v>
      </c>
      <c r="K31" s="71">
        <v>7810</v>
      </c>
      <c r="L31" s="71">
        <v>2810</v>
      </c>
      <c r="M31" s="71">
        <v>5810</v>
      </c>
      <c r="N31" s="71">
        <v>3810</v>
      </c>
      <c r="O31" s="71">
        <v>3520</v>
      </c>
      <c r="P31" s="84">
        <v>4387.6923076923076</v>
      </c>
      <c r="Q31" s="79">
        <v>5480</v>
      </c>
      <c r="R31" s="71">
        <v>4897.5384615384619</v>
      </c>
      <c r="S31" s="104"/>
      <c r="T31" s="71">
        <v>-1960</v>
      </c>
      <c r="U31" s="71">
        <v>-509.84615384615427</v>
      </c>
    </row>
    <row r="32" spans="1:256" x14ac:dyDescent="0.2">
      <c r="A32" s="80" t="s">
        <v>5505</v>
      </c>
      <c r="B32" s="106" t="s">
        <v>457</v>
      </c>
      <c r="C32" s="71">
        <v>701</v>
      </c>
      <c r="D32" s="71">
        <v>0</v>
      </c>
      <c r="E32" s="71">
        <v>0</v>
      </c>
      <c r="F32" s="71">
        <v>0</v>
      </c>
      <c r="G32" s="71">
        <v>0</v>
      </c>
      <c r="H32" s="71">
        <v>0</v>
      </c>
      <c r="I32" s="71">
        <v>0</v>
      </c>
      <c r="J32" s="71">
        <v>0</v>
      </c>
      <c r="K32" s="71">
        <v>0</v>
      </c>
      <c r="L32" s="71">
        <v>0</v>
      </c>
      <c r="M32" s="71">
        <v>0</v>
      </c>
      <c r="N32" s="71">
        <v>0</v>
      </c>
      <c r="O32" s="71">
        <v>0</v>
      </c>
      <c r="P32" s="84">
        <v>53.92307692307692</v>
      </c>
      <c r="Q32" s="79">
        <v>0</v>
      </c>
      <c r="R32" s="71">
        <v>53.92307692307692</v>
      </c>
      <c r="S32" s="104"/>
      <c r="T32" s="71">
        <v>0</v>
      </c>
      <c r="U32" s="71">
        <v>0</v>
      </c>
    </row>
    <row r="33" spans="1:21" x14ac:dyDescent="0.2">
      <c r="A33" s="79" t="s">
        <v>5507</v>
      </c>
      <c r="B33" s="70" t="s">
        <v>458</v>
      </c>
      <c r="C33" s="71">
        <v>0</v>
      </c>
      <c r="D33" s="71">
        <v>0</v>
      </c>
      <c r="E33" s="71">
        <v>0</v>
      </c>
      <c r="F33" s="71">
        <v>0</v>
      </c>
      <c r="G33" s="71">
        <v>0</v>
      </c>
      <c r="H33" s="71">
        <v>0</v>
      </c>
      <c r="I33" s="71">
        <v>0</v>
      </c>
      <c r="J33" s="71">
        <v>0</v>
      </c>
      <c r="K33" s="71">
        <v>0</v>
      </c>
      <c r="L33" s="71">
        <v>0</v>
      </c>
      <c r="M33" s="71">
        <v>0</v>
      </c>
      <c r="N33" s="71">
        <v>0</v>
      </c>
      <c r="O33" s="71">
        <v>0</v>
      </c>
      <c r="P33" s="84">
        <v>0</v>
      </c>
      <c r="Q33" s="79">
        <v>0</v>
      </c>
      <c r="R33" s="71">
        <v>0</v>
      </c>
      <c r="S33" s="104"/>
      <c r="T33" s="71">
        <v>0</v>
      </c>
      <c r="U33" s="71">
        <v>0</v>
      </c>
    </row>
    <row r="34" spans="1:21" x14ac:dyDescent="0.2">
      <c r="A34" s="79" t="s">
        <v>5515</v>
      </c>
      <c r="B34" s="70" t="s">
        <v>459</v>
      </c>
      <c r="C34" s="71">
        <v>5790</v>
      </c>
      <c r="D34" s="71">
        <v>7202</v>
      </c>
      <c r="E34" s="71">
        <v>6955</v>
      </c>
      <c r="F34" s="71">
        <v>5880</v>
      </c>
      <c r="G34" s="71">
        <v>6494</v>
      </c>
      <c r="H34" s="71">
        <v>7059</v>
      </c>
      <c r="I34" s="71">
        <v>7285</v>
      </c>
      <c r="J34" s="71">
        <v>7335</v>
      </c>
      <c r="K34" s="71">
        <v>7804</v>
      </c>
      <c r="L34" s="71">
        <v>8479</v>
      </c>
      <c r="M34" s="71">
        <v>7119</v>
      </c>
      <c r="N34" s="71">
        <v>6391</v>
      </c>
      <c r="O34" s="71">
        <v>5601</v>
      </c>
      <c r="P34" s="84">
        <v>6876.4615384615381</v>
      </c>
      <c r="Q34" s="79">
        <v>5601</v>
      </c>
      <c r="R34" s="71">
        <v>6876.4615384615381</v>
      </c>
      <c r="S34" s="104"/>
      <c r="T34" s="71">
        <v>0</v>
      </c>
      <c r="U34" s="71">
        <v>0</v>
      </c>
    </row>
    <row r="35" spans="1:21" x14ac:dyDescent="0.2">
      <c r="A35" s="80" t="s">
        <v>4959</v>
      </c>
      <c r="B35" s="70" t="s">
        <v>460</v>
      </c>
      <c r="C35" s="71">
        <v>1305</v>
      </c>
      <c r="D35" s="71">
        <v>1305</v>
      </c>
      <c r="E35" s="71">
        <v>1305</v>
      </c>
      <c r="F35" s="71">
        <v>1305</v>
      </c>
      <c r="G35" s="71">
        <v>1305</v>
      </c>
      <c r="H35" s="71">
        <v>1305</v>
      </c>
      <c r="I35" s="71">
        <v>1305</v>
      </c>
      <c r="J35" s="71">
        <v>1305</v>
      </c>
      <c r="K35" s="71">
        <v>1305</v>
      </c>
      <c r="L35" s="71">
        <v>1305</v>
      </c>
      <c r="M35" s="71">
        <v>1305</v>
      </c>
      <c r="N35" s="71">
        <v>1305</v>
      </c>
      <c r="O35" s="71">
        <v>1305</v>
      </c>
      <c r="P35" s="84">
        <v>1305</v>
      </c>
      <c r="Q35" s="79">
        <v>1305</v>
      </c>
      <c r="R35" s="71">
        <v>1305</v>
      </c>
      <c r="S35" s="104"/>
      <c r="T35" s="71">
        <v>0</v>
      </c>
      <c r="U35" s="71">
        <v>0</v>
      </c>
    </row>
    <row r="36" spans="1:21" ht="15.75" x14ac:dyDescent="0.25">
      <c r="A36" s="78" t="s">
        <v>4984</v>
      </c>
      <c r="B36" s="70" t="s">
        <v>461</v>
      </c>
      <c r="C36" s="86">
        <v>-548</v>
      </c>
      <c r="D36" s="71">
        <v>-491</v>
      </c>
      <c r="E36" s="71">
        <v>-531</v>
      </c>
      <c r="F36" s="71">
        <v>-582</v>
      </c>
      <c r="G36" s="71">
        <v>-670</v>
      </c>
      <c r="H36" s="71">
        <v>-820</v>
      </c>
      <c r="I36" s="71">
        <v>-1080</v>
      </c>
      <c r="J36" s="71">
        <v>-1322</v>
      </c>
      <c r="K36" s="71">
        <v>-1493</v>
      </c>
      <c r="L36" s="71">
        <v>-1669</v>
      </c>
      <c r="M36" s="71">
        <v>-1579</v>
      </c>
      <c r="N36" s="71">
        <v>-705</v>
      </c>
      <c r="O36" s="71">
        <v>-402</v>
      </c>
      <c r="P36" s="84">
        <v>-914.76923076923072</v>
      </c>
      <c r="Q36" s="78">
        <v>-402</v>
      </c>
      <c r="R36" s="71">
        <v>-914.76923076923072</v>
      </c>
      <c r="S36" s="104"/>
      <c r="T36" s="71">
        <v>0</v>
      </c>
      <c r="U36" s="71">
        <v>0</v>
      </c>
    </row>
    <row r="37" spans="1:21" x14ac:dyDescent="0.2">
      <c r="A37" s="77" t="s">
        <v>1815</v>
      </c>
      <c r="B37" s="70" t="s">
        <v>462</v>
      </c>
      <c r="C37" s="71">
        <v>8462</v>
      </c>
      <c r="D37" s="71">
        <v>27063</v>
      </c>
      <c r="E37" s="71">
        <v>27084</v>
      </c>
      <c r="F37" s="71">
        <v>27091</v>
      </c>
      <c r="G37" s="71">
        <v>6719</v>
      </c>
      <c r="H37" s="71">
        <v>6848</v>
      </c>
      <c r="I37" s="71">
        <v>6654</v>
      </c>
      <c r="J37" s="71">
        <v>6661</v>
      </c>
      <c r="K37" s="71">
        <v>6672</v>
      </c>
      <c r="L37" s="71">
        <v>6715</v>
      </c>
      <c r="M37" s="71">
        <v>6717</v>
      </c>
      <c r="N37" s="71">
        <v>6741</v>
      </c>
      <c r="O37" s="71">
        <v>7563</v>
      </c>
      <c r="P37" s="84">
        <v>11614.615384615385</v>
      </c>
      <c r="Q37" s="77">
        <v>8883</v>
      </c>
      <c r="R37" s="71">
        <v>9194.1538461538457</v>
      </c>
      <c r="S37" s="104"/>
      <c r="T37" s="71">
        <v>-1320</v>
      </c>
      <c r="U37" s="71">
        <v>2420.461538461539</v>
      </c>
    </row>
    <row r="38" spans="1:21" x14ac:dyDescent="0.2">
      <c r="A38" s="79" t="s">
        <v>463</v>
      </c>
      <c r="B38" s="70" t="s">
        <v>464</v>
      </c>
      <c r="C38" s="71">
        <v>86</v>
      </c>
      <c r="D38" s="71">
        <v>87</v>
      </c>
      <c r="E38" s="71">
        <v>87</v>
      </c>
      <c r="F38" s="71">
        <v>87</v>
      </c>
      <c r="G38" s="71">
        <v>87</v>
      </c>
      <c r="H38" s="71">
        <v>100</v>
      </c>
      <c r="I38" s="71">
        <v>88</v>
      </c>
      <c r="J38" s="71">
        <v>88</v>
      </c>
      <c r="K38" s="71">
        <v>88</v>
      </c>
      <c r="L38" s="71">
        <v>88</v>
      </c>
      <c r="M38" s="71">
        <v>88</v>
      </c>
      <c r="N38" s="71">
        <v>88</v>
      </c>
      <c r="O38" s="71">
        <v>198</v>
      </c>
      <c r="P38" s="84">
        <v>96.92307692307692</v>
      </c>
      <c r="Q38" s="79">
        <v>198</v>
      </c>
      <c r="R38" s="71">
        <v>96.92307692307692</v>
      </c>
      <c r="S38" s="104"/>
      <c r="T38" s="71">
        <v>0</v>
      </c>
      <c r="U38" s="71">
        <v>0</v>
      </c>
    </row>
    <row r="39" spans="1:21" x14ac:dyDescent="0.2">
      <c r="A39" s="80" t="s">
        <v>4985</v>
      </c>
      <c r="B39" s="92" t="s">
        <v>4986</v>
      </c>
      <c r="C39" s="91">
        <v>1</v>
      </c>
      <c r="D39" s="71">
        <v>2</v>
      </c>
      <c r="E39" s="71">
        <v>2</v>
      </c>
      <c r="F39" s="71">
        <v>2</v>
      </c>
      <c r="G39" s="71">
        <v>2</v>
      </c>
      <c r="H39" s="71">
        <v>2</v>
      </c>
      <c r="I39" s="71">
        <v>2</v>
      </c>
      <c r="J39" s="71">
        <v>2</v>
      </c>
      <c r="K39" s="71">
        <v>2</v>
      </c>
      <c r="L39" s="71">
        <v>2</v>
      </c>
      <c r="M39" s="71">
        <v>2</v>
      </c>
      <c r="N39" s="71">
        <v>2</v>
      </c>
      <c r="O39" s="71">
        <v>2</v>
      </c>
      <c r="P39" s="84">
        <v>1.9230769230769231</v>
      </c>
      <c r="Q39" s="79">
        <v>2</v>
      </c>
      <c r="R39" s="71">
        <v>1.9230769230769231</v>
      </c>
      <c r="S39" s="104"/>
      <c r="T39" s="71">
        <v>0</v>
      </c>
      <c r="U39" s="71">
        <v>0</v>
      </c>
    </row>
    <row r="40" spans="1:21" x14ac:dyDescent="0.2">
      <c r="A40" s="80" t="s">
        <v>4987</v>
      </c>
      <c r="B40" s="92" t="s">
        <v>4988</v>
      </c>
      <c r="C40" s="91">
        <v>1</v>
      </c>
      <c r="D40" s="71">
        <v>0</v>
      </c>
      <c r="E40" s="71">
        <v>0</v>
      </c>
      <c r="F40" s="71">
        <v>0</v>
      </c>
      <c r="G40" s="71">
        <v>0</v>
      </c>
      <c r="H40" s="71">
        <v>0</v>
      </c>
      <c r="I40" s="71">
        <v>0</v>
      </c>
      <c r="J40" s="71">
        <v>0</v>
      </c>
      <c r="K40" s="71">
        <v>0</v>
      </c>
      <c r="L40" s="71">
        <v>0</v>
      </c>
      <c r="M40" s="71">
        <v>0</v>
      </c>
      <c r="N40" s="71">
        <v>0</v>
      </c>
      <c r="O40" s="71">
        <v>0</v>
      </c>
      <c r="P40" s="84">
        <v>7.6923076923076927E-2</v>
      </c>
      <c r="Q40" s="79">
        <v>0</v>
      </c>
      <c r="R40" s="71">
        <v>7.6923076923076927E-2</v>
      </c>
      <c r="S40" s="104"/>
      <c r="T40" s="71">
        <v>0</v>
      </c>
      <c r="U40" s="71">
        <v>0</v>
      </c>
    </row>
    <row r="41" spans="1:21" x14ac:dyDescent="0.2">
      <c r="A41" s="80" t="s">
        <v>4989</v>
      </c>
      <c r="B41" s="92" t="s">
        <v>4990</v>
      </c>
      <c r="C41" s="91">
        <v>1</v>
      </c>
      <c r="D41" s="71">
        <v>0</v>
      </c>
      <c r="E41" s="71">
        <v>0</v>
      </c>
      <c r="F41" s="71">
        <v>0</v>
      </c>
      <c r="G41" s="71">
        <v>0</v>
      </c>
      <c r="H41" s="71">
        <v>0</v>
      </c>
      <c r="I41" s="71">
        <v>0</v>
      </c>
      <c r="J41" s="71">
        <v>0</v>
      </c>
      <c r="K41" s="71">
        <v>0</v>
      </c>
      <c r="L41" s="71">
        <v>0</v>
      </c>
      <c r="M41" s="71">
        <v>0</v>
      </c>
      <c r="N41" s="71">
        <v>0</v>
      </c>
      <c r="O41" s="71">
        <v>0</v>
      </c>
      <c r="P41" s="84">
        <v>7.6923076923076927E-2</v>
      </c>
      <c r="Q41" s="79">
        <v>0</v>
      </c>
      <c r="R41" s="71">
        <v>7.6923076923076927E-2</v>
      </c>
      <c r="S41" s="104"/>
      <c r="T41" s="71">
        <v>0</v>
      </c>
      <c r="U41" s="71">
        <v>0</v>
      </c>
    </row>
    <row r="42" spans="1:21" x14ac:dyDescent="0.2">
      <c r="A42" s="80" t="s">
        <v>4991</v>
      </c>
      <c r="B42" s="92" t="s">
        <v>4992</v>
      </c>
      <c r="C42" s="91">
        <v>121</v>
      </c>
      <c r="D42" s="71">
        <v>0</v>
      </c>
      <c r="E42" s="71">
        <v>0</v>
      </c>
      <c r="F42" s="71">
        <v>0</v>
      </c>
      <c r="G42" s="71">
        <v>0</v>
      </c>
      <c r="H42" s="71">
        <v>0</v>
      </c>
      <c r="I42" s="71">
        <v>0</v>
      </c>
      <c r="J42" s="71">
        <v>0</v>
      </c>
      <c r="K42" s="71">
        <v>0</v>
      </c>
      <c r="L42" s="71">
        <v>0</v>
      </c>
      <c r="M42" s="71">
        <v>0</v>
      </c>
      <c r="N42" s="71">
        <v>0</v>
      </c>
      <c r="O42" s="71">
        <v>0</v>
      </c>
      <c r="P42" s="84">
        <v>9.3076923076923084</v>
      </c>
      <c r="Q42" s="79">
        <v>80</v>
      </c>
      <c r="R42" s="71">
        <v>83.15384615384616</v>
      </c>
      <c r="S42" s="104"/>
      <c r="T42" s="71">
        <v>-80</v>
      </c>
      <c r="U42" s="71">
        <v>-73.846153846153854</v>
      </c>
    </row>
    <row r="43" spans="1:21" x14ac:dyDescent="0.2">
      <c r="A43" s="80" t="s">
        <v>4997</v>
      </c>
      <c r="B43" s="92" t="s">
        <v>4998</v>
      </c>
      <c r="C43" s="91">
        <v>410</v>
      </c>
      <c r="D43" s="71">
        <v>321</v>
      </c>
      <c r="E43" s="71">
        <v>318</v>
      </c>
      <c r="F43" s="71">
        <v>317</v>
      </c>
      <c r="G43" s="71">
        <v>320</v>
      </c>
      <c r="H43" s="71">
        <v>321</v>
      </c>
      <c r="I43" s="71">
        <v>316</v>
      </c>
      <c r="J43" s="71">
        <v>322</v>
      </c>
      <c r="K43" s="71">
        <v>318</v>
      </c>
      <c r="L43" s="71">
        <v>323</v>
      </c>
      <c r="M43" s="71">
        <v>321</v>
      </c>
      <c r="N43" s="71">
        <v>316</v>
      </c>
      <c r="O43" s="71">
        <v>365</v>
      </c>
      <c r="P43" s="84">
        <v>329.84615384615387</v>
      </c>
      <c r="Q43" s="79">
        <v>365</v>
      </c>
      <c r="R43" s="71">
        <v>329.84615384615387</v>
      </c>
      <c r="S43" s="104"/>
      <c r="T43" s="71">
        <v>0</v>
      </c>
      <c r="U43" s="71">
        <v>0</v>
      </c>
    </row>
    <row r="44" spans="1:21" x14ac:dyDescent="0.2">
      <c r="A44" s="80" t="s">
        <v>4999</v>
      </c>
      <c r="B44" s="92" t="s">
        <v>5000</v>
      </c>
      <c r="C44" s="91">
        <v>113</v>
      </c>
      <c r="D44" s="71">
        <v>0</v>
      </c>
      <c r="E44" s="71">
        <v>0</v>
      </c>
      <c r="F44" s="71">
        <v>0</v>
      </c>
      <c r="G44" s="71">
        <v>0</v>
      </c>
      <c r="H44" s="71">
        <v>0</v>
      </c>
      <c r="I44" s="71">
        <v>0</v>
      </c>
      <c r="J44" s="71">
        <v>0</v>
      </c>
      <c r="K44" s="71">
        <v>0</v>
      </c>
      <c r="L44" s="71">
        <v>0</v>
      </c>
      <c r="M44" s="71">
        <v>0</v>
      </c>
      <c r="N44" s="71">
        <v>0</v>
      </c>
      <c r="O44" s="71">
        <v>0</v>
      </c>
      <c r="P44" s="84">
        <v>8.6923076923076916</v>
      </c>
      <c r="Q44" s="79">
        <v>51</v>
      </c>
      <c r="R44" s="71">
        <v>55.769230769230766</v>
      </c>
      <c r="S44" s="104"/>
      <c r="T44" s="71">
        <v>-51</v>
      </c>
      <c r="U44" s="71">
        <v>-47.076923076923073</v>
      </c>
    </row>
    <row r="45" spans="1:21" x14ac:dyDescent="0.2">
      <c r="A45" s="80" t="s">
        <v>5001</v>
      </c>
      <c r="B45" s="92" t="s">
        <v>5002</v>
      </c>
      <c r="C45" s="91">
        <v>66</v>
      </c>
      <c r="D45" s="71">
        <v>73</v>
      </c>
      <c r="E45" s="71">
        <v>73</v>
      </c>
      <c r="F45" s="71">
        <v>73</v>
      </c>
      <c r="G45" s="71">
        <v>73</v>
      </c>
      <c r="H45" s="71">
        <v>73</v>
      </c>
      <c r="I45" s="71">
        <v>73</v>
      </c>
      <c r="J45" s="71">
        <v>73</v>
      </c>
      <c r="K45" s="71">
        <v>73</v>
      </c>
      <c r="L45" s="71">
        <v>73</v>
      </c>
      <c r="M45" s="71">
        <v>73</v>
      </c>
      <c r="N45" s="71">
        <v>73</v>
      </c>
      <c r="O45" s="71">
        <v>73</v>
      </c>
      <c r="P45" s="84">
        <v>72.461538461538467</v>
      </c>
      <c r="Q45" s="79">
        <v>73</v>
      </c>
      <c r="R45" s="71">
        <v>72.461538461538467</v>
      </c>
      <c r="S45" s="104"/>
      <c r="T45" s="71">
        <v>0</v>
      </c>
      <c r="U45" s="71">
        <v>0</v>
      </c>
    </row>
    <row r="46" spans="1:21" x14ac:dyDescent="0.2">
      <c r="A46" s="80" t="s">
        <v>5003</v>
      </c>
      <c r="B46" s="92" t="s">
        <v>5004</v>
      </c>
      <c r="C46" s="91">
        <v>0</v>
      </c>
      <c r="D46" s="71">
        <v>0</v>
      </c>
      <c r="E46" s="71">
        <v>0</v>
      </c>
      <c r="F46" s="71">
        <v>0</v>
      </c>
      <c r="G46" s="71">
        <v>0</v>
      </c>
      <c r="H46" s="71">
        <v>0</v>
      </c>
      <c r="I46" s="71">
        <v>0</v>
      </c>
      <c r="J46" s="71">
        <v>0</v>
      </c>
      <c r="K46" s="71">
        <v>0</v>
      </c>
      <c r="L46" s="71">
        <v>0</v>
      </c>
      <c r="M46" s="71">
        <v>0</v>
      </c>
      <c r="N46" s="71">
        <v>0</v>
      </c>
      <c r="O46" s="71">
        <v>0</v>
      </c>
      <c r="P46" s="84">
        <v>0</v>
      </c>
      <c r="Q46" s="79">
        <v>0</v>
      </c>
      <c r="R46" s="71">
        <v>0</v>
      </c>
      <c r="S46" s="104"/>
      <c r="T46" s="71">
        <v>0</v>
      </c>
      <c r="U46" s="71">
        <v>0</v>
      </c>
    </row>
    <row r="47" spans="1:21" x14ac:dyDescent="0.2">
      <c r="A47" s="79" t="s">
        <v>5005</v>
      </c>
      <c r="B47" s="92" t="s">
        <v>5006</v>
      </c>
      <c r="C47" s="91">
        <v>102</v>
      </c>
      <c r="D47" s="71">
        <v>102</v>
      </c>
      <c r="E47" s="71">
        <v>102</v>
      </c>
      <c r="F47" s="71">
        <v>102</v>
      </c>
      <c r="G47" s="71">
        <v>102</v>
      </c>
      <c r="H47" s="71">
        <v>102</v>
      </c>
      <c r="I47" s="71">
        <v>102</v>
      </c>
      <c r="J47" s="71">
        <v>102</v>
      </c>
      <c r="K47" s="71">
        <v>102</v>
      </c>
      <c r="L47" s="71">
        <v>102</v>
      </c>
      <c r="M47" s="71">
        <v>102</v>
      </c>
      <c r="N47" s="71">
        <v>102</v>
      </c>
      <c r="O47" s="71">
        <v>102</v>
      </c>
      <c r="P47" s="84">
        <v>102</v>
      </c>
      <c r="Q47" s="79">
        <v>102</v>
      </c>
      <c r="R47" s="71">
        <v>102</v>
      </c>
      <c r="S47" s="104"/>
      <c r="T47" s="71">
        <v>0</v>
      </c>
      <c r="U47" s="71">
        <v>0</v>
      </c>
    </row>
    <row r="48" spans="1:21" x14ac:dyDescent="0.2">
      <c r="A48" s="80" t="s">
        <v>5009</v>
      </c>
      <c r="B48" s="92" t="s">
        <v>5010</v>
      </c>
      <c r="C48" s="91">
        <v>0</v>
      </c>
      <c r="D48" s="71">
        <v>0</v>
      </c>
      <c r="E48" s="71">
        <v>0</v>
      </c>
      <c r="F48" s="71">
        <v>0</v>
      </c>
      <c r="G48" s="71">
        <v>0</v>
      </c>
      <c r="H48" s="71">
        <v>0</v>
      </c>
      <c r="I48" s="71">
        <v>0</v>
      </c>
      <c r="J48" s="71">
        <v>0</v>
      </c>
      <c r="K48" s="71">
        <v>0</v>
      </c>
      <c r="L48" s="71">
        <v>0</v>
      </c>
      <c r="M48" s="71">
        <v>0</v>
      </c>
      <c r="N48" s="71">
        <v>0</v>
      </c>
      <c r="O48" s="71">
        <v>0</v>
      </c>
      <c r="P48" s="84">
        <v>0</v>
      </c>
      <c r="Q48" s="79">
        <v>0</v>
      </c>
      <c r="R48" s="71">
        <v>0</v>
      </c>
      <c r="S48" s="104"/>
      <c r="T48" s="71">
        <v>0</v>
      </c>
      <c r="U48" s="71">
        <v>0</v>
      </c>
    </row>
    <row r="49" spans="1:21" x14ac:dyDescent="0.2">
      <c r="A49" s="79" t="s">
        <v>5011</v>
      </c>
      <c r="B49" s="92" t="s">
        <v>5012</v>
      </c>
      <c r="C49" s="91">
        <v>0</v>
      </c>
      <c r="D49" s="71">
        <v>0</v>
      </c>
      <c r="E49" s="71">
        <v>0</v>
      </c>
      <c r="F49" s="71">
        <v>0</v>
      </c>
      <c r="G49" s="71">
        <v>0</v>
      </c>
      <c r="H49" s="71">
        <v>0</v>
      </c>
      <c r="I49" s="71">
        <v>0</v>
      </c>
      <c r="J49" s="71">
        <v>0</v>
      </c>
      <c r="K49" s="71">
        <v>0</v>
      </c>
      <c r="L49" s="71">
        <v>0</v>
      </c>
      <c r="M49" s="71">
        <v>0</v>
      </c>
      <c r="N49" s="71">
        <v>0</v>
      </c>
      <c r="O49" s="71">
        <v>0</v>
      </c>
      <c r="P49" s="84">
        <v>0</v>
      </c>
      <c r="Q49" s="79">
        <v>0</v>
      </c>
      <c r="R49" s="71">
        <v>0</v>
      </c>
      <c r="S49" s="104"/>
      <c r="T49" s="71">
        <v>0</v>
      </c>
      <c r="U49" s="71">
        <v>0</v>
      </c>
    </row>
    <row r="50" spans="1:21" x14ac:dyDescent="0.2">
      <c r="A50" s="80" t="s">
        <v>5013</v>
      </c>
      <c r="B50" s="92" t="s">
        <v>5014</v>
      </c>
      <c r="C50" s="91">
        <v>0</v>
      </c>
      <c r="D50" s="71">
        <v>0</v>
      </c>
      <c r="E50" s="71">
        <v>0</v>
      </c>
      <c r="F50" s="71">
        <v>0</v>
      </c>
      <c r="G50" s="71">
        <v>0</v>
      </c>
      <c r="H50" s="71">
        <v>0</v>
      </c>
      <c r="I50" s="71">
        <v>0</v>
      </c>
      <c r="J50" s="71">
        <v>0</v>
      </c>
      <c r="K50" s="71">
        <v>0</v>
      </c>
      <c r="L50" s="71">
        <v>0</v>
      </c>
      <c r="M50" s="71">
        <v>0</v>
      </c>
      <c r="N50" s="71">
        <v>0</v>
      </c>
      <c r="O50" s="71">
        <v>0</v>
      </c>
      <c r="P50" s="84">
        <v>0</v>
      </c>
      <c r="Q50" s="79">
        <v>0</v>
      </c>
      <c r="R50" s="71">
        <v>0</v>
      </c>
      <c r="S50" s="104"/>
      <c r="T50" s="71">
        <v>0</v>
      </c>
      <c r="U50" s="71">
        <v>0</v>
      </c>
    </row>
    <row r="51" spans="1:21" x14ac:dyDescent="0.2">
      <c r="A51" s="79" t="s">
        <v>5015</v>
      </c>
      <c r="B51" s="92" t="s">
        <v>5016</v>
      </c>
      <c r="C51" s="91">
        <v>0</v>
      </c>
      <c r="D51" s="71">
        <v>0</v>
      </c>
      <c r="E51" s="71">
        <v>0</v>
      </c>
      <c r="F51" s="71">
        <v>0</v>
      </c>
      <c r="G51" s="71">
        <v>0</v>
      </c>
      <c r="H51" s="71">
        <v>0</v>
      </c>
      <c r="I51" s="71">
        <v>0</v>
      </c>
      <c r="J51" s="71">
        <v>0</v>
      </c>
      <c r="K51" s="71">
        <v>0</v>
      </c>
      <c r="L51" s="71">
        <v>0</v>
      </c>
      <c r="M51" s="71">
        <v>0</v>
      </c>
      <c r="N51" s="71">
        <v>0</v>
      </c>
      <c r="O51" s="71">
        <v>0</v>
      </c>
      <c r="P51" s="84">
        <v>0</v>
      </c>
      <c r="Q51" s="79">
        <v>0</v>
      </c>
      <c r="R51" s="71">
        <v>0</v>
      </c>
      <c r="S51" s="104"/>
      <c r="T51" s="71">
        <v>0</v>
      </c>
      <c r="U51" s="71">
        <v>0</v>
      </c>
    </row>
    <row r="52" spans="1:21" ht="15.75" x14ac:dyDescent="0.25">
      <c r="A52" s="81" t="s">
        <v>465</v>
      </c>
      <c r="B52" s="93" t="s">
        <v>466</v>
      </c>
      <c r="C52" s="91">
        <v>0</v>
      </c>
      <c r="D52" s="71">
        <v>20080</v>
      </c>
      <c r="E52" s="71">
        <v>20080</v>
      </c>
      <c r="F52" s="71">
        <v>20080</v>
      </c>
      <c r="G52" s="71">
        <v>0</v>
      </c>
      <c r="H52" s="71">
        <v>0</v>
      </c>
      <c r="I52" s="71">
        <v>0</v>
      </c>
      <c r="J52" s="71">
        <v>0</v>
      </c>
      <c r="K52" s="71">
        <v>0</v>
      </c>
      <c r="L52" s="71">
        <v>0</v>
      </c>
      <c r="M52" s="71">
        <v>0</v>
      </c>
      <c r="N52" s="71">
        <v>0</v>
      </c>
      <c r="O52" s="71">
        <v>0</v>
      </c>
      <c r="P52" s="84">
        <v>4633.8461538461543</v>
      </c>
      <c r="Q52" s="79">
        <v>0</v>
      </c>
      <c r="R52" s="71">
        <v>0</v>
      </c>
      <c r="S52" s="104"/>
      <c r="T52" s="71">
        <v>0</v>
      </c>
      <c r="U52" s="71">
        <v>4633.8461538461543</v>
      </c>
    </row>
    <row r="53" spans="1:21" x14ac:dyDescent="0.2">
      <c r="A53" s="79" t="s">
        <v>5017</v>
      </c>
      <c r="B53" s="92" t="s">
        <v>5018</v>
      </c>
      <c r="C53" s="91">
        <v>0</v>
      </c>
      <c r="D53" s="71">
        <v>0</v>
      </c>
      <c r="E53" s="71">
        <v>0</v>
      </c>
      <c r="F53" s="71">
        <v>0</v>
      </c>
      <c r="G53" s="71">
        <v>0</v>
      </c>
      <c r="H53" s="71">
        <v>0</v>
      </c>
      <c r="I53" s="71">
        <v>0</v>
      </c>
      <c r="J53" s="71">
        <v>0</v>
      </c>
      <c r="K53" s="71">
        <v>0</v>
      </c>
      <c r="L53" s="71">
        <v>0</v>
      </c>
      <c r="M53" s="71">
        <v>0</v>
      </c>
      <c r="N53" s="71">
        <v>0</v>
      </c>
      <c r="O53" s="71">
        <v>0</v>
      </c>
      <c r="P53" s="84">
        <v>0</v>
      </c>
      <c r="Q53" s="79">
        <v>0</v>
      </c>
      <c r="R53" s="71">
        <v>0</v>
      </c>
      <c r="S53" s="104"/>
      <c r="T53" s="71">
        <v>0</v>
      </c>
      <c r="U53" s="71">
        <v>0</v>
      </c>
    </row>
    <row r="54" spans="1:21" x14ac:dyDescent="0.2">
      <c r="A54" s="80" t="s">
        <v>5019</v>
      </c>
      <c r="B54" s="92" t="s">
        <v>1939</v>
      </c>
      <c r="C54" s="91">
        <v>0</v>
      </c>
      <c r="D54" s="71">
        <v>0</v>
      </c>
      <c r="E54" s="71">
        <v>0</v>
      </c>
      <c r="F54" s="71">
        <v>0</v>
      </c>
      <c r="G54" s="71">
        <v>0</v>
      </c>
      <c r="H54" s="71">
        <v>0</v>
      </c>
      <c r="I54" s="71">
        <v>0</v>
      </c>
      <c r="J54" s="71">
        <v>0</v>
      </c>
      <c r="K54" s="71">
        <v>0</v>
      </c>
      <c r="L54" s="71">
        <v>0</v>
      </c>
      <c r="M54" s="71">
        <v>0</v>
      </c>
      <c r="N54" s="71">
        <v>0</v>
      </c>
      <c r="O54" s="71">
        <v>0</v>
      </c>
      <c r="P54" s="84">
        <v>0</v>
      </c>
      <c r="Q54" s="79">
        <v>0</v>
      </c>
      <c r="R54" s="71">
        <v>0</v>
      </c>
      <c r="S54" s="104"/>
      <c r="T54" s="71">
        <v>0</v>
      </c>
      <c r="U54" s="71">
        <v>0</v>
      </c>
    </row>
    <row r="55" spans="1:21" x14ac:dyDescent="0.2">
      <c r="A55" s="80" t="s">
        <v>1940</v>
      </c>
      <c r="B55" s="92" t="s">
        <v>1941</v>
      </c>
      <c r="C55" s="91">
        <v>0</v>
      </c>
      <c r="D55" s="71">
        <v>0</v>
      </c>
      <c r="E55" s="71">
        <v>0</v>
      </c>
      <c r="F55" s="71">
        <v>0</v>
      </c>
      <c r="G55" s="71">
        <v>0</v>
      </c>
      <c r="H55" s="71">
        <v>0</v>
      </c>
      <c r="I55" s="71">
        <v>0</v>
      </c>
      <c r="J55" s="71">
        <v>0</v>
      </c>
      <c r="K55" s="71">
        <v>0</v>
      </c>
      <c r="L55" s="71">
        <v>0</v>
      </c>
      <c r="M55" s="71">
        <v>0</v>
      </c>
      <c r="N55" s="71">
        <v>0</v>
      </c>
      <c r="O55" s="71">
        <v>0</v>
      </c>
      <c r="P55" s="84">
        <v>0</v>
      </c>
      <c r="Q55" s="79">
        <v>0</v>
      </c>
      <c r="R55" s="71">
        <v>0</v>
      </c>
      <c r="S55" s="104"/>
      <c r="T55" s="71">
        <v>0</v>
      </c>
      <c r="U55" s="71">
        <v>0</v>
      </c>
    </row>
    <row r="56" spans="1:21" x14ac:dyDescent="0.2">
      <c r="A56" s="77" t="s">
        <v>1942</v>
      </c>
      <c r="B56" s="92" t="s">
        <v>1943</v>
      </c>
      <c r="C56" s="91">
        <v>0</v>
      </c>
      <c r="D56" s="71">
        <v>0</v>
      </c>
      <c r="E56" s="71">
        <v>0</v>
      </c>
      <c r="F56" s="71">
        <v>0</v>
      </c>
      <c r="G56" s="71">
        <v>0</v>
      </c>
      <c r="H56" s="71">
        <v>0</v>
      </c>
      <c r="I56" s="71">
        <v>0</v>
      </c>
      <c r="J56" s="71">
        <v>0</v>
      </c>
      <c r="K56" s="71">
        <v>0</v>
      </c>
      <c r="L56" s="71">
        <v>0</v>
      </c>
      <c r="M56" s="71">
        <v>0</v>
      </c>
      <c r="N56" s="71">
        <v>0</v>
      </c>
      <c r="O56" s="71">
        <v>0</v>
      </c>
      <c r="P56" s="84">
        <v>0</v>
      </c>
      <c r="Q56" s="77">
        <v>0</v>
      </c>
      <c r="R56" s="71">
        <v>0</v>
      </c>
      <c r="S56" s="104"/>
      <c r="T56" s="71">
        <v>0</v>
      </c>
      <c r="U56" s="71">
        <v>0</v>
      </c>
    </row>
    <row r="57" spans="1:21" x14ac:dyDescent="0.2">
      <c r="A57" s="80" t="s">
        <v>1944</v>
      </c>
      <c r="B57" s="92" t="s">
        <v>1945</v>
      </c>
      <c r="C57" s="91">
        <v>35</v>
      </c>
      <c r="D57" s="71">
        <v>31</v>
      </c>
      <c r="E57" s="71">
        <v>30</v>
      </c>
      <c r="F57" s="71">
        <v>33</v>
      </c>
      <c r="G57" s="71">
        <v>45</v>
      </c>
      <c r="H57" s="71">
        <v>41</v>
      </c>
      <c r="I57" s="71">
        <v>42</v>
      </c>
      <c r="J57" s="71">
        <v>43</v>
      </c>
      <c r="K57" s="71">
        <v>33</v>
      </c>
      <c r="L57" s="71">
        <v>46</v>
      </c>
      <c r="M57" s="71">
        <v>40</v>
      </c>
      <c r="N57" s="71">
        <v>44</v>
      </c>
      <c r="O57" s="71">
        <v>31</v>
      </c>
      <c r="P57" s="84">
        <v>38</v>
      </c>
      <c r="Q57" s="77">
        <v>31</v>
      </c>
      <c r="R57" s="71">
        <v>38</v>
      </c>
      <c r="S57" s="104"/>
      <c r="T57" s="71">
        <v>0</v>
      </c>
      <c r="U57" s="71">
        <v>0</v>
      </c>
    </row>
    <row r="58" spans="1:21" x14ac:dyDescent="0.2">
      <c r="A58" s="80" t="s">
        <v>1948</v>
      </c>
      <c r="B58" s="92" t="s">
        <v>1949</v>
      </c>
      <c r="C58" s="91">
        <v>0</v>
      </c>
      <c r="D58" s="71">
        <v>0</v>
      </c>
      <c r="E58" s="71">
        <v>0</v>
      </c>
      <c r="F58" s="71">
        <v>0</v>
      </c>
      <c r="G58" s="71">
        <v>0</v>
      </c>
      <c r="H58" s="71">
        <v>0</v>
      </c>
      <c r="I58" s="71">
        <v>0</v>
      </c>
      <c r="J58" s="71">
        <v>0</v>
      </c>
      <c r="K58" s="71">
        <v>0</v>
      </c>
      <c r="L58" s="71">
        <v>0</v>
      </c>
      <c r="M58" s="71">
        <v>0</v>
      </c>
      <c r="N58" s="71">
        <v>0</v>
      </c>
      <c r="O58" s="71">
        <v>0</v>
      </c>
      <c r="P58" s="84">
        <v>0</v>
      </c>
      <c r="Q58" s="77">
        <v>0</v>
      </c>
      <c r="R58" s="71">
        <v>0</v>
      </c>
      <c r="S58" s="104"/>
      <c r="T58" s="71">
        <v>0</v>
      </c>
      <c r="U58" s="71">
        <v>0</v>
      </c>
    </row>
    <row r="59" spans="1:21" x14ac:dyDescent="0.2">
      <c r="A59" s="78" t="s">
        <v>1950</v>
      </c>
      <c r="B59" s="92" t="s">
        <v>1951</v>
      </c>
      <c r="C59" s="91">
        <v>0</v>
      </c>
      <c r="D59" s="71">
        <v>0</v>
      </c>
      <c r="E59" s="71">
        <v>0</v>
      </c>
      <c r="F59" s="71">
        <v>0</v>
      </c>
      <c r="G59" s="71">
        <v>0</v>
      </c>
      <c r="H59" s="71">
        <v>0</v>
      </c>
      <c r="I59" s="71">
        <v>0</v>
      </c>
      <c r="J59" s="71">
        <v>0</v>
      </c>
      <c r="K59" s="71">
        <v>0</v>
      </c>
      <c r="L59" s="71">
        <v>0</v>
      </c>
      <c r="M59" s="71">
        <v>0</v>
      </c>
      <c r="N59" s="71">
        <v>0</v>
      </c>
      <c r="O59" s="71">
        <v>0</v>
      </c>
      <c r="P59" s="84">
        <v>0</v>
      </c>
      <c r="Q59" s="77">
        <v>0</v>
      </c>
      <c r="R59" s="71">
        <v>0</v>
      </c>
      <c r="S59" s="104"/>
      <c r="T59" s="71">
        <v>0</v>
      </c>
      <c r="U59" s="71">
        <v>0</v>
      </c>
    </row>
    <row r="60" spans="1:21" x14ac:dyDescent="0.2">
      <c r="A60" s="78" t="s">
        <v>1954</v>
      </c>
      <c r="B60" s="92" t="s">
        <v>1955</v>
      </c>
      <c r="C60" s="91">
        <v>0</v>
      </c>
      <c r="D60" s="71">
        <v>0</v>
      </c>
      <c r="E60" s="71">
        <v>0</v>
      </c>
      <c r="F60" s="71">
        <v>0</v>
      </c>
      <c r="G60" s="71">
        <v>0</v>
      </c>
      <c r="H60" s="71">
        <v>0</v>
      </c>
      <c r="I60" s="71">
        <v>0</v>
      </c>
      <c r="J60" s="71">
        <v>0</v>
      </c>
      <c r="K60" s="71">
        <v>0</v>
      </c>
      <c r="L60" s="71">
        <v>0</v>
      </c>
      <c r="M60" s="71">
        <v>0</v>
      </c>
      <c r="N60" s="71">
        <v>0</v>
      </c>
      <c r="O60" s="71">
        <v>0</v>
      </c>
      <c r="P60" s="84">
        <v>0</v>
      </c>
      <c r="Q60" s="77">
        <v>0</v>
      </c>
      <c r="R60" s="71">
        <v>0</v>
      </c>
      <c r="S60" s="104"/>
      <c r="T60" s="71">
        <v>0</v>
      </c>
      <c r="U60" s="71">
        <v>0</v>
      </c>
    </row>
    <row r="61" spans="1:21" x14ac:dyDescent="0.2">
      <c r="A61" s="78" t="s">
        <v>1956</v>
      </c>
      <c r="B61" s="92" t="s">
        <v>1957</v>
      </c>
      <c r="C61" s="91">
        <v>0</v>
      </c>
      <c r="D61" s="71">
        <v>0</v>
      </c>
      <c r="E61" s="71">
        <v>0</v>
      </c>
      <c r="F61" s="71">
        <v>0</v>
      </c>
      <c r="G61" s="71">
        <v>0</v>
      </c>
      <c r="H61" s="71">
        <v>0</v>
      </c>
      <c r="I61" s="71">
        <v>0</v>
      </c>
      <c r="J61" s="71">
        <v>0</v>
      </c>
      <c r="K61" s="71">
        <v>0</v>
      </c>
      <c r="L61" s="71">
        <v>0</v>
      </c>
      <c r="M61" s="71">
        <v>0</v>
      </c>
      <c r="N61" s="71">
        <v>0</v>
      </c>
      <c r="O61" s="71">
        <v>0</v>
      </c>
      <c r="P61" s="84">
        <v>0</v>
      </c>
      <c r="Q61" s="77">
        <v>0</v>
      </c>
      <c r="R61" s="71">
        <v>0</v>
      </c>
      <c r="S61" s="104"/>
      <c r="T61" s="71">
        <v>0</v>
      </c>
      <c r="U61" s="71">
        <v>0</v>
      </c>
    </row>
    <row r="62" spans="1:21" ht="15.75" x14ac:dyDescent="0.25">
      <c r="A62" s="82" t="s">
        <v>1958</v>
      </c>
      <c r="B62" s="94" t="s">
        <v>1959</v>
      </c>
      <c r="C62" s="91">
        <v>6733</v>
      </c>
      <c r="D62" s="86">
        <v>5623</v>
      </c>
      <c r="E62" s="71">
        <v>5648</v>
      </c>
      <c r="F62" s="71">
        <v>5673</v>
      </c>
      <c r="G62" s="71">
        <v>5278</v>
      </c>
      <c r="H62" s="71">
        <v>5303</v>
      </c>
      <c r="I62" s="71">
        <v>5328</v>
      </c>
      <c r="J62" s="71">
        <v>5353</v>
      </c>
      <c r="K62" s="71">
        <v>5378</v>
      </c>
      <c r="L62" s="71">
        <v>5403</v>
      </c>
      <c r="M62" s="71">
        <v>5428</v>
      </c>
      <c r="N62" s="71">
        <v>5453</v>
      </c>
      <c r="O62" s="71">
        <v>5478</v>
      </c>
      <c r="P62" s="84">
        <v>5544.5384615384619</v>
      </c>
      <c r="Q62" s="77">
        <v>6667</v>
      </c>
      <c r="R62" s="71">
        <v>7637</v>
      </c>
      <c r="S62" s="104"/>
      <c r="T62" s="71">
        <v>-1189</v>
      </c>
      <c r="U62" s="71">
        <v>-2092.4615384615381</v>
      </c>
    </row>
    <row r="63" spans="1:21" x14ac:dyDescent="0.2">
      <c r="A63" s="77" t="s">
        <v>1960</v>
      </c>
      <c r="B63" s="95" t="s">
        <v>1961</v>
      </c>
      <c r="C63" s="91">
        <v>567</v>
      </c>
      <c r="D63" s="71">
        <v>567</v>
      </c>
      <c r="E63" s="71">
        <v>567</v>
      </c>
      <c r="F63" s="71">
        <v>567</v>
      </c>
      <c r="G63" s="71">
        <v>567</v>
      </c>
      <c r="H63" s="71">
        <v>567</v>
      </c>
      <c r="I63" s="71">
        <v>567</v>
      </c>
      <c r="J63" s="71">
        <v>567</v>
      </c>
      <c r="K63" s="71">
        <v>567</v>
      </c>
      <c r="L63" s="71">
        <v>567</v>
      </c>
      <c r="M63" s="71">
        <v>567</v>
      </c>
      <c r="N63" s="71">
        <v>567</v>
      </c>
      <c r="O63" s="71">
        <v>567</v>
      </c>
      <c r="P63" s="84">
        <v>567</v>
      </c>
      <c r="Q63" s="78">
        <v>567</v>
      </c>
      <c r="R63" s="71">
        <v>567</v>
      </c>
      <c r="S63" s="104"/>
      <c r="T63" s="71">
        <v>0</v>
      </c>
      <c r="U63" s="71">
        <v>0</v>
      </c>
    </row>
    <row r="64" spans="1:21" x14ac:dyDescent="0.2">
      <c r="A64" s="78" t="s">
        <v>1964</v>
      </c>
      <c r="B64" s="92" t="s">
        <v>1965</v>
      </c>
      <c r="C64" s="91">
        <v>0</v>
      </c>
      <c r="D64" s="71">
        <v>0</v>
      </c>
      <c r="E64" s="71">
        <v>0</v>
      </c>
      <c r="F64" s="71">
        <v>0</v>
      </c>
      <c r="G64" s="71">
        <v>0</v>
      </c>
      <c r="H64" s="71">
        <v>0</v>
      </c>
      <c r="I64" s="71">
        <v>0</v>
      </c>
      <c r="J64" s="71">
        <v>0</v>
      </c>
      <c r="K64" s="71">
        <v>0</v>
      </c>
      <c r="L64" s="71">
        <v>0</v>
      </c>
      <c r="M64" s="71">
        <v>0</v>
      </c>
      <c r="N64" s="71">
        <v>0</v>
      </c>
      <c r="O64" s="71">
        <v>0</v>
      </c>
      <c r="P64" s="84">
        <v>0</v>
      </c>
      <c r="Q64" s="77">
        <v>0</v>
      </c>
      <c r="R64" s="71">
        <v>0</v>
      </c>
      <c r="S64" s="104"/>
      <c r="T64" s="71">
        <v>0</v>
      </c>
      <c r="U64" s="71">
        <v>0</v>
      </c>
    </row>
    <row r="65" spans="1:21" x14ac:dyDescent="0.2">
      <c r="A65" s="78" t="s">
        <v>1966</v>
      </c>
      <c r="B65" s="92" t="s">
        <v>1965</v>
      </c>
      <c r="C65" s="91">
        <v>0</v>
      </c>
      <c r="D65" s="71">
        <v>0</v>
      </c>
      <c r="E65" s="71">
        <v>0</v>
      </c>
      <c r="F65" s="71">
        <v>0</v>
      </c>
      <c r="G65" s="71">
        <v>0</v>
      </c>
      <c r="H65" s="71">
        <v>0</v>
      </c>
      <c r="I65" s="71">
        <v>0</v>
      </c>
      <c r="J65" s="71">
        <v>0</v>
      </c>
      <c r="K65" s="71">
        <v>0</v>
      </c>
      <c r="L65" s="71">
        <v>0</v>
      </c>
      <c r="M65" s="71">
        <v>0</v>
      </c>
      <c r="N65" s="71">
        <v>0</v>
      </c>
      <c r="O65" s="71">
        <v>0</v>
      </c>
      <c r="P65" s="84">
        <v>0</v>
      </c>
      <c r="Q65" s="77">
        <v>0</v>
      </c>
      <c r="R65" s="71">
        <v>0</v>
      </c>
      <c r="S65" s="104"/>
      <c r="T65" s="71">
        <v>0</v>
      </c>
      <c r="U65" s="71">
        <v>0</v>
      </c>
    </row>
    <row r="66" spans="1:21" x14ac:dyDescent="0.2">
      <c r="A66" s="78" t="s">
        <v>1967</v>
      </c>
      <c r="B66" s="92" t="s">
        <v>1968</v>
      </c>
      <c r="C66" s="91">
        <v>0</v>
      </c>
      <c r="D66" s="71">
        <v>0</v>
      </c>
      <c r="E66" s="71">
        <v>0</v>
      </c>
      <c r="F66" s="71">
        <v>0</v>
      </c>
      <c r="G66" s="71">
        <v>0</v>
      </c>
      <c r="H66" s="71">
        <v>0</v>
      </c>
      <c r="I66" s="71">
        <v>0</v>
      </c>
      <c r="J66" s="71">
        <v>0</v>
      </c>
      <c r="K66" s="71">
        <v>0</v>
      </c>
      <c r="L66" s="71">
        <v>0</v>
      </c>
      <c r="M66" s="71">
        <v>0</v>
      </c>
      <c r="N66" s="71">
        <v>0</v>
      </c>
      <c r="O66" s="71">
        <v>0</v>
      </c>
      <c r="P66" s="84">
        <v>0</v>
      </c>
      <c r="Q66" s="77">
        <v>0</v>
      </c>
      <c r="R66" s="71">
        <v>0</v>
      </c>
      <c r="S66" s="104"/>
      <c r="T66" s="71">
        <v>0</v>
      </c>
      <c r="U66" s="71">
        <v>0</v>
      </c>
    </row>
    <row r="67" spans="1:21" x14ac:dyDescent="0.2">
      <c r="A67" s="78" t="s">
        <v>1969</v>
      </c>
      <c r="B67" s="92" t="s">
        <v>1970</v>
      </c>
      <c r="C67" s="91">
        <v>41</v>
      </c>
      <c r="D67" s="71">
        <v>42</v>
      </c>
      <c r="E67" s="71">
        <v>42</v>
      </c>
      <c r="F67" s="71">
        <v>42</v>
      </c>
      <c r="G67" s="71">
        <v>42</v>
      </c>
      <c r="H67" s="71">
        <v>42</v>
      </c>
      <c r="I67" s="71">
        <v>42</v>
      </c>
      <c r="J67" s="71">
        <v>42</v>
      </c>
      <c r="K67" s="71">
        <v>42</v>
      </c>
      <c r="L67" s="71">
        <v>42</v>
      </c>
      <c r="M67" s="71">
        <v>42</v>
      </c>
      <c r="N67" s="71">
        <v>42</v>
      </c>
      <c r="O67" s="71">
        <v>42</v>
      </c>
      <c r="P67" s="84">
        <v>41.92307692307692</v>
      </c>
      <c r="Q67" s="77">
        <v>42</v>
      </c>
      <c r="R67" s="71">
        <v>41.92307692307692</v>
      </c>
      <c r="S67" s="104"/>
      <c r="T67" s="71">
        <v>0</v>
      </c>
      <c r="U67" s="71">
        <v>0</v>
      </c>
    </row>
    <row r="68" spans="1:21" x14ac:dyDescent="0.2">
      <c r="A68" s="78" t="s">
        <v>1971</v>
      </c>
      <c r="B68" s="92" t="s">
        <v>1972</v>
      </c>
      <c r="C68" s="91">
        <v>137</v>
      </c>
      <c r="D68" s="71">
        <v>87</v>
      </c>
      <c r="E68" s="71">
        <v>87</v>
      </c>
      <c r="F68" s="71">
        <v>67</v>
      </c>
      <c r="G68" s="71">
        <v>155</v>
      </c>
      <c r="H68" s="71">
        <v>228</v>
      </c>
      <c r="I68" s="71">
        <v>46</v>
      </c>
      <c r="J68" s="71">
        <v>21</v>
      </c>
      <c r="K68" s="71">
        <v>21</v>
      </c>
      <c r="L68" s="71">
        <v>21</v>
      </c>
      <c r="M68" s="71">
        <v>6</v>
      </c>
      <c r="N68" s="71">
        <v>6</v>
      </c>
      <c r="O68" s="71">
        <v>464</v>
      </c>
      <c r="P68" s="84">
        <v>103.53846153846153</v>
      </c>
      <c r="Q68" s="77">
        <v>464</v>
      </c>
      <c r="R68" s="71">
        <v>103.53846153846153</v>
      </c>
      <c r="S68" s="104"/>
      <c r="T68" s="71">
        <v>0</v>
      </c>
      <c r="U68" s="71">
        <v>0</v>
      </c>
    </row>
    <row r="69" spans="1:21" x14ac:dyDescent="0.2">
      <c r="A69" s="78" t="s">
        <v>1973</v>
      </c>
      <c r="B69" s="92" t="s">
        <v>1974</v>
      </c>
      <c r="C69" s="91">
        <v>0</v>
      </c>
      <c r="D69" s="71">
        <v>0</v>
      </c>
      <c r="E69" s="71">
        <v>0</v>
      </c>
      <c r="F69" s="71">
        <v>0</v>
      </c>
      <c r="G69" s="71">
        <v>0</v>
      </c>
      <c r="H69" s="71">
        <v>0</v>
      </c>
      <c r="I69" s="71">
        <v>0</v>
      </c>
      <c r="J69" s="71">
        <v>0</v>
      </c>
      <c r="K69" s="71">
        <v>0</v>
      </c>
      <c r="L69" s="71">
        <v>0</v>
      </c>
      <c r="M69" s="71">
        <v>0</v>
      </c>
      <c r="N69" s="71">
        <v>0</v>
      </c>
      <c r="O69" s="71">
        <v>0</v>
      </c>
      <c r="P69" s="84">
        <v>0</v>
      </c>
      <c r="Q69" s="77">
        <v>0</v>
      </c>
      <c r="R69" s="71">
        <v>0</v>
      </c>
      <c r="S69" s="104"/>
      <c r="T69" s="71">
        <v>0</v>
      </c>
      <c r="U69" s="71">
        <v>0</v>
      </c>
    </row>
    <row r="70" spans="1:21" x14ac:dyDescent="0.2">
      <c r="A70" s="77" t="s">
        <v>1975</v>
      </c>
      <c r="B70" s="92" t="s">
        <v>1976</v>
      </c>
      <c r="C70" s="91">
        <v>48</v>
      </c>
      <c r="D70" s="71">
        <v>48</v>
      </c>
      <c r="E70" s="71">
        <v>48</v>
      </c>
      <c r="F70" s="71">
        <v>48</v>
      </c>
      <c r="G70" s="71">
        <v>48</v>
      </c>
      <c r="H70" s="71">
        <v>48</v>
      </c>
      <c r="I70" s="71">
        <v>48</v>
      </c>
      <c r="J70" s="71">
        <v>48</v>
      </c>
      <c r="K70" s="71">
        <v>48</v>
      </c>
      <c r="L70" s="71">
        <v>48</v>
      </c>
      <c r="M70" s="71">
        <v>48</v>
      </c>
      <c r="N70" s="71">
        <v>48</v>
      </c>
      <c r="O70" s="71">
        <v>145</v>
      </c>
      <c r="P70" s="84">
        <v>55.46153846153846</v>
      </c>
      <c r="Q70" s="77">
        <v>145</v>
      </c>
      <c r="R70" s="71">
        <v>55.46153846153846</v>
      </c>
      <c r="S70" s="104"/>
      <c r="T70" s="71">
        <v>0</v>
      </c>
      <c r="U70" s="71">
        <v>0</v>
      </c>
    </row>
    <row r="71" spans="1:21" x14ac:dyDescent="0.2">
      <c r="A71" s="77" t="s">
        <v>1983</v>
      </c>
      <c r="B71" s="92" t="s">
        <v>1810</v>
      </c>
      <c r="C71" s="91">
        <v>0</v>
      </c>
      <c r="D71" s="71">
        <v>0</v>
      </c>
      <c r="E71" s="71">
        <v>0</v>
      </c>
      <c r="F71" s="71">
        <v>0</v>
      </c>
      <c r="G71" s="71">
        <v>0</v>
      </c>
      <c r="H71" s="71">
        <v>21</v>
      </c>
      <c r="I71" s="71">
        <v>0</v>
      </c>
      <c r="J71" s="71">
        <v>0</v>
      </c>
      <c r="K71" s="71">
        <v>0</v>
      </c>
      <c r="L71" s="71">
        <v>0</v>
      </c>
      <c r="M71" s="71">
        <v>0</v>
      </c>
      <c r="N71" s="71">
        <v>0</v>
      </c>
      <c r="O71" s="71">
        <v>96</v>
      </c>
      <c r="P71" s="84">
        <v>9</v>
      </c>
      <c r="Q71" s="77">
        <v>96</v>
      </c>
      <c r="R71" s="71">
        <v>9</v>
      </c>
      <c r="S71" s="104"/>
      <c r="T71" s="71">
        <v>0</v>
      </c>
      <c r="U71" s="71">
        <v>0</v>
      </c>
    </row>
    <row r="72" spans="1:21" x14ac:dyDescent="0.2">
      <c r="A72" s="77" t="s">
        <v>1832</v>
      </c>
      <c r="B72" s="70" t="s">
        <v>467</v>
      </c>
      <c r="C72" s="71">
        <v>65803</v>
      </c>
      <c r="D72" s="71">
        <v>61309</v>
      </c>
      <c r="E72" s="71">
        <v>66003</v>
      </c>
      <c r="F72" s="71">
        <v>60805</v>
      </c>
      <c r="G72" s="71">
        <v>66783</v>
      </c>
      <c r="H72" s="71">
        <v>72282</v>
      </c>
      <c r="I72" s="71">
        <v>75009</v>
      </c>
      <c r="J72" s="71">
        <v>78052</v>
      </c>
      <c r="K72" s="71">
        <v>80008</v>
      </c>
      <c r="L72" s="71">
        <v>79722</v>
      </c>
      <c r="M72" s="71">
        <v>75627</v>
      </c>
      <c r="N72" s="71">
        <v>76404</v>
      </c>
      <c r="O72" s="71">
        <v>81569</v>
      </c>
      <c r="P72" s="84">
        <v>72259.692307692312</v>
      </c>
      <c r="Q72" s="77">
        <v>71420</v>
      </c>
      <c r="R72" s="71">
        <v>76681.846153846156</v>
      </c>
      <c r="S72" s="104"/>
      <c r="T72" s="71">
        <v>10149</v>
      </c>
      <c r="U72" s="71">
        <v>-4422.1538461538439</v>
      </c>
    </row>
    <row r="73" spans="1:21" x14ac:dyDescent="0.2">
      <c r="A73" s="77" t="s">
        <v>888</v>
      </c>
      <c r="B73" s="70" t="s">
        <v>468</v>
      </c>
      <c r="C73" s="71">
        <v>1</v>
      </c>
      <c r="D73" s="71">
        <v>0</v>
      </c>
      <c r="E73" s="71">
        <v>0</v>
      </c>
      <c r="F73" s="71">
        <v>0</v>
      </c>
      <c r="G73" s="71">
        <v>0</v>
      </c>
      <c r="H73" s="71">
        <v>0</v>
      </c>
      <c r="I73" s="71">
        <v>0</v>
      </c>
      <c r="J73" s="71">
        <v>0</v>
      </c>
      <c r="K73" s="71">
        <v>0</v>
      </c>
      <c r="L73" s="71">
        <v>0</v>
      </c>
      <c r="M73" s="71">
        <v>0</v>
      </c>
      <c r="N73" s="71">
        <v>0</v>
      </c>
      <c r="O73" s="71">
        <v>0</v>
      </c>
      <c r="P73" s="84">
        <v>7.6923076923076927E-2</v>
      </c>
      <c r="Q73" s="77">
        <v>1</v>
      </c>
      <c r="R73" s="71">
        <v>1</v>
      </c>
      <c r="S73" s="104"/>
      <c r="T73" s="71">
        <v>-1</v>
      </c>
      <c r="U73" s="71">
        <v>-0.92307692307692313</v>
      </c>
    </row>
    <row r="74" spans="1:21" x14ac:dyDescent="0.2">
      <c r="A74" s="77" t="s">
        <v>918</v>
      </c>
      <c r="B74" s="70" t="s">
        <v>469</v>
      </c>
      <c r="C74" s="71">
        <v>56649</v>
      </c>
      <c r="D74" s="71">
        <v>56649</v>
      </c>
      <c r="E74" s="71">
        <v>56549</v>
      </c>
      <c r="F74" s="71">
        <v>56449</v>
      </c>
      <c r="G74" s="71">
        <v>56349</v>
      </c>
      <c r="H74" s="71">
        <v>56449</v>
      </c>
      <c r="I74" s="71">
        <v>56549</v>
      </c>
      <c r="J74" s="71">
        <v>56649</v>
      </c>
      <c r="K74" s="71">
        <v>56649</v>
      </c>
      <c r="L74" s="71">
        <v>56649</v>
      </c>
      <c r="M74" s="71">
        <v>56649</v>
      </c>
      <c r="N74" s="71">
        <v>56549</v>
      </c>
      <c r="O74" s="71">
        <v>56449</v>
      </c>
      <c r="P74" s="84">
        <v>56556.692307692305</v>
      </c>
      <c r="Q74" s="77">
        <v>56449</v>
      </c>
      <c r="R74" s="71">
        <v>56556.692307692305</v>
      </c>
      <c r="S74" s="104"/>
      <c r="T74" s="71">
        <v>0</v>
      </c>
      <c r="U74" s="71">
        <v>0</v>
      </c>
    </row>
    <row r="75" spans="1:21" x14ac:dyDescent="0.2">
      <c r="A75" s="77" t="s">
        <v>921</v>
      </c>
      <c r="B75" s="70" t="s">
        <v>470</v>
      </c>
      <c r="C75" s="71">
        <v>0</v>
      </c>
      <c r="D75" s="71">
        <v>0</v>
      </c>
      <c r="E75" s="71">
        <v>0</v>
      </c>
      <c r="F75" s="71">
        <v>0</v>
      </c>
      <c r="G75" s="71">
        <v>0</v>
      </c>
      <c r="H75" s="71">
        <v>0</v>
      </c>
      <c r="I75" s="71">
        <v>0</v>
      </c>
      <c r="J75" s="71">
        <v>0</v>
      </c>
      <c r="K75" s="71">
        <v>11</v>
      </c>
      <c r="L75" s="71">
        <v>21</v>
      </c>
      <c r="M75" s="71">
        <v>31</v>
      </c>
      <c r="N75" s="71">
        <v>41</v>
      </c>
      <c r="O75" s="71">
        <v>51</v>
      </c>
      <c r="P75" s="84">
        <v>11.923076923076923</v>
      </c>
      <c r="Q75" s="77">
        <v>51</v>
      </c>
      <c r="R75" s="71">
        <v>11.923076923076923</v>
      </c>
      <c r="S75" s="104"/>
      <c r="T75" s="71">
        <v>0</v>
      </c>
      <c r="U75" s="71">
        <v>0</v>
      </c>
    </row>
    <row r="76" spans="1:21" x14ac:dyDescent="0.2">
      <c r="A76" s="77" t="s">
        <v>1040</v>
      </c>
      <c r="B76" s="70" t="s">
        <v>471</v>
      </c>
      <c r="C76" s="71">
        <v>0</v>
      </c>
      <c r="D76" s="71">
        <v>0</v>
      </c>
      <c r="E76" s="71">
        <v>0</v>
      </c>
      <c r="F76" s="71">
        <v>0</v>
      </c>
      <c r="G76" s="71">
        <v>0</v>
      </c>
      <c r="H76" s="71">
        <v>0</v>
      </c>
      <c r="I76" s="71">
        <v>0</v>
      </c>
      <c r="J76" s="71">
        <v>0</v>
      </c>
      <c r="K76" s="71">
        <v>0</v>
      </c>
      <c r="L76" s="71">
        <v>0</v>
      </c>
      <c r="M76" s="71">
        <v>0</v>
      </c>
      <c r="N76" s="71">
        <v>0</v>
      </c>
      <c r="O76" s="71">
        <v>0</v>
      </c>
      <c r="P76" s="84">
        <v>0</v>
      </c>
      <c r="Q76" s="77">
        <v>0</v>
      </c>
      <c r="R76" s="71">
        <v>0</v>
      </c>
      <c r="S76" s="104"/>
      <c r="T76" s="71">
        <v>0</v>
      </c>
      <c r="U76" s="71">
        <v>0</v>
      </c>
    </row>
    <row r="77" spans="1:21" x14ac:dyDescent="0.2">
      <c r="A77" s="77" t="s">
        <v>2379</v>
      </c>
      <c r="B77" s="70" t="s">
        <v>472</v>
      </c>
      <c r="C77" s="71">
        <v>10442</v>
      </c>
      <c r="D77" s="71">
        <v>13043</v>
      </c>
      <c r="E77" s="71">
        <v>11039</v>
      </c>
      <c r="F77" s="71">
        <v>9537</v>
      </c>
      <c r="G77" s="71">
        <v>17849</v>
      </c>
      <c r="H77" s="71">
        <v>16273</v>
      </c>
      <c r="I77" s="71">
        <v>14719</v>
      </c>
      <c r="J77" s="71">
        <v>16536</v>
      </c>
      <c r="K77" s="71">
        <v>14926</v>
      </c>
      <c r="L77" s="71">
        <v>13315</v>
      </c>
      <c r="M77" s="71">
        <v>11726</v>
      </c>
      <c r="N77" s="71">
        <v>10115</v>
      </c>
      <c r="O77" s="71">
        <v>8506</v>
      </c>
      <c r="P77" s="84">
        <v>12925.076923076924</v>
      </c>
      <c r="Q77" s="79">
        <v>9324</v>
      </c>
      <c r="R77" s="71">
        <v>13641.307692307691</v>
      </c>
      <c r="S77" s="104"/>
      <c r="T77" s="71">
        <v>-818</v>
      </c>
      <c r="U77" s="71">
        <v>-716.23076923076769</v>
      </c>
    </row>
    <row r="78" spans="1:21" x14ac:dyDescent="0.2">
      <c r="A78" s="79" t="s">
        <v>1041</v>
      </c>
      <c r="B78" s="70" t="s">
        <v>473</v>
      </c>
      <c r="C78" s="71">
        <v>3789</v>
      </c>
      <c r="D78" s="71">
        <v>2791</v>
      </c>
      <c r="E78" s="71">
        <v>1787</v>
      </c>
      <c r="F78" s="71">
        <v>783</v>
      </c>
      <c r="G78" s="71">
        <v>9590</v>
      </c>
      <c r="H78" s="71">
        <v>8511</v>
      </c>
      <c r="I78" s="71">
        <v>7452</v>
      </c>
      <c r="J78" s="71">
        <v>9766</v>
      </c>
      <c r="K78" s="71">
        <v>8653</v>
      </c>
      <c r="L78" s="71">
        <v>7538</v>
      </c>
      <c r="M78" s="71">
        <v>6445</v>
      </c>
      <c r="N78" s="71">
        <v>5331</v>
      </c>
      <c r="O78" s="71">
        <v>4219</v>
      </c>
      <c r="P78" s="84">
        <v>5896.5384615384619</v>
      </c>
      <c r="Q78" s="79">
        <v>4219</v>
      </c>
      <c r="R78" s="71">
        <v>5896.5384615384619</v>
      </c>
      <c r="S78" s="104"/>
      <c r="T78" s="71">
        <v>0</v>
      </c>
      <c r="U78" s="71">
        <v>0</v>
      </c>
    </row>
    <row r="79" spans="1:21" x14ac:dyDescent="0.2">
      <c r="A79" s="79" t="s">
        <v>2345</v>
      </c>
      <c r="B79" s="70" t="s">
        <v>474</v>
      </c>
      <c r="C79" s="71">
        <v>0</v>
      </c>
      <c r="D79" s="71">
        <v>0</v>
      </c>
      <c r="E79" s="71">
        <v>0</v>
      </c>
      <c r="F79" s="71">
        <v>0</v>
      </c>
      <c r="G79" s="71">
        <v>0</v>
      </c>
      <c r="H79" s="71">
        <v>0</v>
      </c>
      <c r="I79" s="71">
        <v>0</v>
      </c>
      <c r="J79" s="71">
        <v>0</v>
      </c>
      <c r="K79" s="71">
        <v>0</v>
      </c>
      <c r="L79" s="71">
        <v>0</v>
      </c>
      <c r="M79" s="71">
        <v>0</v>
      </c>
      <c r="N79" s="71">
        <v>0</v>
      </c>
      <c r="O79" s="71">
        <v>0</v>
      </c>
      <c r="P79" s="84">
        <v>0</v>
      </c>
      <c r="Q79" s="80">
        <v>0</v>
      </c>
      <c r="R79" s="71">
        <v>0</v>
      </c>
      <c r="S79" s="104"/>
      <c r="T79" s="71">
        <v>0</v>
      </c>
      <c r="U79" s="71">
        <v>0</v>
      </c>
    </row>
    <row r="80" spans="1:21" x14ac:dyDescent="0.2">
      <c r="A80" s="80" t="s">
        <v>2349</v>
      </c>
      <c r="B80" s="70" t="s">
        <v>475</v>
      </c>
      <c r="C80" s="71">
        <v>3863</v>
      </c>
      <c r="D80" s="71">
        <v>3827</v>
      </c>
      <c r="E80" s="71">
        <v>3792</v>
      </c>
      <c r="F80" s="71">
        <v>3756</v>
      </c>
      <c r="G80" s="71">
        <v>3721</v>
      </c>
      <c r="H80" s="71">
        <v>3685</v>
      </c>
      <c r="I80" s="71">
        <v>3649</v>
      </c>
      <c r="J80" s="71">
        <v>3614</v>
      </c>
      <c r="K80" s="71">
        <v>3578</v>
      </c>
      <c r="L80" s="71">
        <v>3543</v>
      </c>
      <c r="M80" s="71">
        <v>3507</v>
      </c>
      <c r="N80" s="71">
        <v>3471</v>
      </c>
      <c r="O80" s="71">
        <v>3436</v>
      </c>
      <c r="P80" s="84">
        <v>3649.3846153846152</v>
      </c>
      <c r="Q80" s="79">
        <v>3436</v>
      </c>
      <c r="R80" s="71">
        <v>3649.3846153846152</v>
      </c>
      <c r="S80" s="104"/>
      <c r="T80" s="71">
        <v>0</v>
      </c>
      <c r="U80" s="71">
        <v>0</v>
      </c>
    </row>
    <row r="81" spans="1:21" x14ac:dyDescent="0.2">
      <c r="A81" s="79" t="s">
        <v>2351</v>
      </c>
      <c r="B81" s="70" t="s">
        <v>476</v>
      </c>
      <c r="C81" s="71">
        <v>30</v>
      </c>
      <c r="D81" s="71">
        <v>30</v>
      </c>
      <c r="E81" s="71">
        <v>30</v>
      </c>
      <c r="F81" s="71">
        <v>30</v>
      </c>
      <c r="G81" s="71">
        <v>30</v>
      </c>
      <c r="H81" s="71">
        <v>30</v>
      </c>
      <c r="I81" s="71">
        <v>30</v>
      </c>
      <c r="J81" s="71">
        <v>30</v>
      </c>
      <c r="K81" s="71">
        <v>30</v>
      </c>
      <c r="L81" s="71">
        <v>30</v>
      </c>
      <c r="M81" s="71">
        <v>30</v>
      </c>
      <c r="N81" s="71">
        <v>30</v>
      </c>
      <c r="O81" s="71">
        <v>30</v>
      </c>
      <c r="P81" s="84">
        <v>30</v>
      </c>
      <c r="Q81" s="79">
        <v>30</v>
      </c>
      <c r="R81" s="71">
        <v>30</v>
      </c>
      <c r="S81" s="104"/>
      <c r="T81" s="71">
        <v>0</v>
      </c>
      <c r="U81" s="71">
        <v>0</v>
      </c>
    </row>
    <row r="82" spans="1:21" x14ac:dyDescent="0.2">
      <c r="A82" s="79" t="s">
        <v>2353</v>
      </c>
      <c r="B82" s="70" t="s">
        <v>477</v>
      </c>
      <c r="C82" s="71">
        <v>0</v>
      </c>
      <c r="D82" s="71">
        <v>0</v>
      </c>
      <c r="E82" s="71">
        <v>0</v>
      </c>
      <c r="F82" s="71">
        <v>0</v>
      </c>
      <c r="G82" s="71">
        <v>0</v>
      </c>
      <c r="H82" s="71">
        <v>0</v>
      </c>
      <c r="I82" s="71">
        <v>0</v>
      </c>
      <c r="J82" s="71">
        <v>0</v>
      </c>
      <c r="K82" s="71">
        <v>0</v>
      </c>
      <c r="L82" s="71">
        <v>0</v>
      </c>
      <c r="M82" s="71">
        <v>0</v>
      </c>
      <c r="N82" s="71">
        <v>0</v>
      </c>
      <c r="O82" s="71">
        <v>0</v>
      </c>
      <c r="P82" s="84">
        <v>0</v>
      </c>
      <c r="Q82" s="80">
        <v>0</v>
      </c>
      <c r="R82" s="71">
        <v>0</v>
      </c>
      <c r="S82" s="104"/>
      <c r="T82" s="71">
        <v>0</v>
      </c>
      <c r="U82" s="71">
        <v>0</v>
      </c>
    </row>
    <row r="83" spans="1:21" x14ac:dyDescent="0.2">
      <c r="A83" s="80" t="s">
        <v>2355</v>
      </c>
      <c r="B83" s="70" t="s">
        <v>478</v>
      </c>
      <c r="C83" s="70">
        <v>246</v>
      </c>
      <c r="D83" s="71">
        <v>244</v>
      </c>
      <c r="E83" s="71">
        <v>243</v>
      </c>
      <c r="F83" s="71">
        <v>241</v>
      </c>
      <c r="G83" s="71">
        <v>240</v>
      </c>
      <c r="H83" s="71">
        <v>238</v>
      </c>
      <c r="I83" s="71">
        <v>237</v>
      </c>
      <c r="J83" s="71">
        <v>235</v>
      </c>
      <c r="K83" s="71">
        <v>233</v>
      </c>
      <c r="L83" s="71">
        <v>231</v>
      </c>
      <c r="M83" s="71">
        <v>230</v>
      </c>
      <c r="N83" s="71">
        <v>228</v>
      </c>
      <c r="O83" s="71">
        <v>226</v>
      </c>
      <c r="P83" s="84">
        <v>236.30769230769232</v>
      </c>
      <c r="Q83" s="80">
        <v>226</v>
      </c>
      <c r="R83" s="71">
        <v>236.30769230769232</v>
      </c>
      <c r="S83" s="104"/>
      <c r="T83" s="71">
        <v>0</v>
      </c>
      <c r="U83" s="71">
        <v>0</v>
      </c>
    </row>
    <row r="84" spans="1:21" x14ac:dyDescent="0.2">
      <c r="A84" s="80" t="s">
        <v>2357</v>
      </c>
      <c r="B84" s="70" t="s">
        <v>479</v>
      </c>
      <c r="C84" s="70">
        <v>786</v>
      </c>
      <c r="D84" s="71">
        <v>770</v>
      </c>
      <c r="E84" s="71">
        <v>754</v>
      </c>
      <c r="F84" s="71">
        <v>738</v>
      </c>
      <c r="G84" s="71">
        <v>722</v>
      </c>
      <c r="H84" s="71">
        <v>706</v>
      </c>
      <c r="I84" s="71">
        <v>691</v>
      </c>
      <c r="J84" s="71">
        <v>675</v>
      </c>
      <c r="K84" s="71">
        <v>659</v>
      </c>
      <c r="L84" s="71">
        <v>643</v>
      </c>
      <c r="M84" s="71">
        <v>627</v>
      </c>
      <c r="N84" s="71">
        <v>611</v>
      </c>
      <c r="O84" s="71">
        <v>595</v>
      </c>
      <c r="P84" s="84">
        <v>690.53846153846155</v>
      </c>
      <c r="Q84" s="80">
        <v>595</v>
      </c>
      <c r="R84" s="71">
        <v>690.53846153846155</v>
      </c>
      <c r="S84" s="104"/>
      <c r="T84" s="71">
        <v>0</v>
      </c>
      <c r="U84" s="71">
        <v>0</v>
      </c>
    </row>
    <row r="85" spans="1:21" x14ac:dyDescent="0.2">
      <c r="A85" s="80" t="s">
        <v>2359</v>
      </c>
      <c r="B85" s="70" t="s">
        <v>480</v>
      </c>
      <c r="C85" s="70">
        <v>0</v>
      </c>
      <c r="D85" s="71">
        <v>69</v>
      </c>
      <c r="E85" s="71">
        <v>63</v>
      </c>
      <c r="F85" s="71">
        <v>56</v>
      </c>
      <c r="G85" s="71">
        <v>50</v>
      </c>
      <c r="H85" s="71">
        <v>44</v>
      </c>
      <c r="I85" s="71">
        <v>38</v>
      </c>
      <c r="J85" s="71">
        <v>31</v>
      </c>
      <c r="K85" s="71">
        <v>25</v>
      </c>
      <c r="L85" s="71">
        <v>19</v>
      </c>
      <c r="M85" s="71">
        <v>13</v>
      </c>
      <c r="N85" s="71">
        <v>7</v>
      </c>
      <c r="O85" s="71">
        <v>0</v>
      </c>
      <c r="P85" s="84">
        <v>31.923076923076923</v>
      </c>
      <c r="Q85" s="79">
        <v>0</v>
      </c>
      <c r="R85" s="71">
        <v>31.923076923076923</v>
      </c>
      <c r="S85" s="104"/>
      <c r="T85" s="71">
        <v>0</v>
      </c>
      <c r="U85" s="71">
        <v>0</v>
      </c>
    </row>
    <row r="86" spans="1:21" x14ac:dyDescent="0.2">
      <c r="A86" s="79" t="s">
        <v>2361</v>
      </c>
      <c r="B86" s="70" t="s">
        <v>481</v>
      </c>
      <c r="C86" s="71">
        <v>0</v>
      </c>
      <c r="D86" s="71">
        <v>0</v>
      </c>
      <c r="E86" s="71">
        <v>0</v>
      </c>
      <c r="F86" s="71">
        <v>0</v>
      </c>
      <c r="G86" s="71">
        <v>0</v>
      </c>
      <c r="H86" s="71">
        <v>0</v>
      </c>
      <c r="I86" s="71">
        <v>0</v>
      </c>
      <c r="J86" s="71">
        <v>0</v>
      </c>
      <c r="K86" s="71">
        <v>0</v>
      </c>
      <c r="L86" s="71">
        <v>0</v>
      </c>
      <c r="M86" s="71">
        <v>0</v>
      </c>
      <c r="N86" s="71">
        <v>0</v>
      </c>
      <c r="O86" s="71">
        <v>0</v>
      </c>
      <c r="P86" s="84">
        <v>0</v>
      </c>
      <c r="Q86" s="79">
        <v>0</v>
      </c>
      <c r="R86" s="71">
        <v>0</v>
      </c>
      <c r="S86" s="104"/>
      <c r="T86" s="71">
        <v>0</v>
      </c>
      <c r="U86" s="71">
        <v>0</v>
      </c>
    </row>
    <row r="87" spans="1:21" x14ac:dyDescent="0.2">
      <c r="A87" s="79" t="s">
        <v>2363</v>
      </c>
      <c r="B87" s="96" t="s">
        <v>482</v>
      </c>
      <c r="C87" s="71">
        <v>0</v>
      </c>
      <c r="D87" s="71">
        <v>0</v>
      </c>
      <c r="E87" s="71">
        <v>0</v>
      </c>
      <c r="F87" s="71">
        <v>0</v>
      </c>
      <c r="G87" s="71">
        <v>0</v>
      </c>
      <c r="H87" s="71">
        <v>0</v>
      </c>
      <c r="I87" s="71">
        <v>0</v>
      </c>
      <c r="J87" s="71">
        <v>0</v>
      </c>
      <c r="K87" s="71">
        <v>0</v>
      </c>
      <c r="L87" s="71">
        <v>0</v>
      </c>
      <c r="M87" s="71">
        <v>0</v>
      </c>
      <c r="N87" s="71">
        <v>0</v>
      </c>
      <c r="O87" s="71">
        <v>0</v>
      </c>
      <c r="P87" s="84">
        <v>0</v>
      </c>
      <c r="Q87" s="79">
        <v>0</v>
      </c>
      <c r="R87" s="71">
        <v>0</v>
      </c>
      <c r="S87" s="104"/>
      <c r="T87" s="71">
        <v>0</v>
      </c>
      <c r="U87" s="71">
        <v>0</v>
      </c>
    </row>
    <row r="88" spans="1:21" x14ac:dyDescent="0.2">
      <c r="A88" s="79" t="s">
        <v>2365</v>
      </c>
      <c r="B88" s="97" t="s">
        <v>483</v>
      </c>
      <c r="C88" s="71">
        <v>917</v>
      </c>
      <c r="D88" s="71">
        <v>4807</v>
      </c>
      <c r="E88" s="71">
        <v>4370</v>
      </c>
      <c r="F88" s="71">
        <v>3933</v>
      </c>
      <c r="G88" s="71">
        <v>3496</v>
      </c>
      <c r="H88" s="71">
        <v>3059</v>
      </c>
      <c r="I88" s="71">
        <v>2622</v>
      </c>
      <c r="J88" s="71">
        <v>2185</v>
      </c>
      <c r="K88" s="71">
        <v>1748</v>
      </c>
      <c r="L88" s="71">
        <v>1311</v>
      </c>
      <c r="M88" s="71">
        <v>874</v>
      </c>
      <c r="N88" s="71">
        <v>437</v>
      </c>
      <c r="O88" s="71">
        <v>0</v>
      </c>
      <c r="P88" s="84">
        <v>2289.1538461538462</v>
      </c>
      <c r="Q88" s="79">
        <v>7</v>
      </c>
      <c r="R88" s="71">
        <v>2295.6153846153848</v>
      </c>
      <c r="S88" s="104"/>
      <c r="T88" s="71">
        <v>-7</v>
      </c>
      <c r="U88" s="71">
        <v>-6.4615384615385665</v>
      </c>
    </row>
    <row r="89" spans="1:21" x14ac:dyDescent="0.2">
      <c r="A89" s="79" t="s">
        <v>2367</v>
      </c>
      <c r="B89" s="97" t="s">
        <v>484</v>
      </c>
      <c r="C89" s="71">
        <v>0</v>
      </c>
      <c r="D89" s="71">
        <v>0</v>
      </c>
      <c r="E89" s="71">
        <v>0</v>
      </c>
      <c r="F89" s="71">
        <v>0</v>
      </c>
      <c r="G89" s="71">
        <v>0</v>
      </c>
      <c r="H89" s="71">
        <v>0</v>
      </c>
      <c r="I89" s="71">
        <v>0</v>
      </c>
      <c r="J89" s="71">
        <v>0</v>
      </c>
      <c r="K89" s="71">
        <v>0</v>
      </c>
      <c r="L89" s="71">
        <v>0</v>
      </c>
      <c r="M89" s="71">
        <v>0</v>
      </c>
      <c r="N89" s="71">
        <v>0</v>
      </c>
      <c r="O89" s="71">
        <v>0</v>
      </c>
      <c r="P89" s="84">
        <v>0</v>
      </c>
      <c r="Q89" s="80">
        <v>0</v>
      </c>
      <c r="R89" s="71">
        <v>0</v>
      </c>
      <c r="S89" s="104"/>
      <c r="T89" s="71">
        <v>0</v>
      </c>
      <c r="U89" s="71">
        <v>0</v>
      </c>
    </row>
    <row r="90" spans="1:21" x14ac:dyDescent="0.2">
      <c r="A90" s="80" t="s">
        <v>2371</v>
      </c>
      <c r="B90" s="97" t="s">
        <v>485</v>
      </c>
      <c r="C90" s="71">
        <v>0</v>
      </c>
      <c r="D90" s="71">
        <v>0</v>
      </c>
      <c r="E90" s="71">
        <v>0</v>
      </c>
      <c r="F90" s="71">
        <v>0</v>
      </c>
      <c r="G90" s="71">
        <v>0</v>
      </c>
      <c r="H90" s="71">
        <v>0</v>
      </c>
      <c r="I90" s="71">
        <v>0</v>
      </c>
      <c r="J90" s="71">
        <v>0</v>
      </c>
      <c r="K90" s="71">
        <v>0</v>
      </c>
      <c r="L90" s="71">
        <v>0</v>
      </c>
      <c r="M90" s="71">
        <v>0</v>
      </c>
      <c r="N90" s="71">
        <v>0</v>
      </c>
      <c r="O90" s="71">
        <v>0</v>
      </c>
      <c r="P90" s="84">
        <v>0</v>
      </c>
      <c r="Q90" s="80">
        <v>0</v>
      </c>
      <c r="R90" s="71">
        <v>0</v>
      </c>
      <c r="S90" s="104"/>
      <c r="T90" s="71">
        <v>0</v>
      </c>
      <c r="U90" s="71">
        <v>0</v>
      </c>
    </row>
    <row r="91" spans="1:21" x14ac:dyDescent="0.2">
      <c r="A91" s="80" t="s">
        <v>2373</v>
      </c>
      <c r="B91" s="97" t="s">
        <v>486</v>
      </c>
      <c r="C91" s="71">
        <v>0</v>
      </c>
      <c r="D91" s="71">
        <v>0</v>
      </c>
      <c r="E91" s="71">
        <v>0</v>
      </c>
      <c r="F91" s="71">
        <v>0</v>
      </c>
      <c r="G91" s="71">
        <v>0</v>
      </c>
      <c r="H91" s="71">
        <v>0</v>
      </c>
      <c r="I91" s="71">
        <v>0</v>
      </c>
      <c r="J91" s="71">
        <v>0</v>
      </c>
      <c r="K91" s="71">
        <v>0</v>
      </c>
      <c r="L91" s="71">
        <v>0</v>
      </c>
      <c r="M91" s="71">
        <v>0</v>
      </c>
      <c r="N91" s="71">
        <v>0</v>
      </c>
      <c r="O91" s="71">
        <v>0</v>
      </c>
      <c r="P91" s="84">
        <v>0</v>
      </c>
      <c r="Q91" s="80">
        <v>0</v>
      </c>
      <c r="R91" s="71">
        <v>0</v>
      </c>
      <c r="S91" s="104"/>
      <c r="T91" s="71">
        <v>0</v>
      </c>
      <c r="U91" s="71">
        <v>0</v>
      </c>
    </row>
    <row r="92" spans="1:21" x14ac:dyDescent="0.2">
      <c r="A92" s="80" t="s">
        <v>2375</v>
      </c>
      <c r="B92" s="97" t="s">
        <v>487</v>
      </c>
      <c r="C92" s="71">
        <v>811</v>
      </c>
      <c r="D92" s="71">
        <v>505</v>
      </c>
      <c r="E92" s="71">
        <v>0</v>
      </c>
      <c r="F92" s="71">
        <v>0</v>
      </c>
      <c r="G92" s="71">
        <v>0</v>
      </c>
      <c r="H92" s="71">
        <v>0</v>
      </c>
      <c r="I92" s="71">
        <v>0</v>
      </c>
      <c r="J92" s="71">
        <v>0</v>
      </c>
      <c r="K92" s="71">
        <v>0</v>
      </c>
      <c r="L92" s="71">
        <v>0</v>
      </c>
      <c r="M92" s="71">
        <v>0</v>
      </c>
      <c r="N92" s="71">
        <v>0</v>
      </c>
      <c r="O92" s="71">
        <v>0</v>
      </c>
      <c r="P92" s="84">
        <v>101.23076923076923</v>
      </c>
      <c r="Q92" s="80">
        <v>811</v>
      </c>
      <c r="R92" s="71">
        <v>811</v>
      </c>
      <c r="S92" s="104"/>
      <c r="T92" s="71">
        <v>-811</v>
      </c>
      <c r="U92" s="71">
        <v>-709.76923076923072</v>
      </c>
    </row>
    <row r="93" spans="1:21" x14ac:dyDescent="0.2">
      <c r="A93" s="80" t="s">
        <v>2377</v>
      </c>
      <c r="B93" s="97" t="s">
        <v>488</v>
      </c>
      <c r="C93" s="71">
        <v>0</v>
      </c>
      <c r="D93" s="71">
        <v>0</v>
      </c>
      <c r="E93" s="71">
        <v>0</v>
      </c>
      <c r="F93" s="71">
        <v>0</v>
      </c>
      <c r="G93" s="71">
        <v>0</v>
      </c>
      <c r="H93" s="71">
        <v>0</v>
      </c>
      <c r="I93" s="71">
        <v>0</v>
      </c>
      <c r="J93" s="71">
        <v>0</v>
      </c>
      <c r="K93" s="71">
        <v>0</v>
      </c>
      <c r="L93" s="71">
        <v>0</v>
      </c>
      <c r="M93" s="71">
        <v>0</v>
      </c>
      <c r="N93" s="71">
        <v>0</v>
      </c>
      <c r="O93" s="71">
        <v>0</v>
      </c>
      <c r="P93" s="84">
        <v>0</v>
      </c>
      <c r="Q93" s="77">
        <v>0</v>
      </c>
      <c r="R93" s="71">
        <v>0</v>
      </c>
      <c r="S93" s="104"/>
      <c r="T93" s="71">
        <v>0</v>
      </c>
      <c r="U93" s="71">
        <v>0</v>
      </c>
    </row>
    <row r="94" spans="1:21" x14ac:dyDescent="0.2">
      <c r="A94" s="77" t="s">
        <v>2384</v>
      </c>
      <c r="B94" s="70" t="s">
        <v>489</v>
      </c>
      <c r="C94" s="71">
        <v>6</v>
      </c>
      <c r="D94" s="71">
        <v>1</v>
      </c>
      <c r="E94" s="71">
        <v>1</v>
      </c>
      <c r="F94" s="71">
        <v>1</v>
      </c>
      <c r="G94" s="71">
        <v>1</v>
      </c>
      <c r="H94" s="71">
        <v>1</v>
      </c>
      <c r="I94" s="71">
        <v>1</v>
      </c>
      <c r="J94" s="71">
        <v>1</v>
      </c>
      <c r="K94" s="71">
        <v>1</v>
      </c>
      <c r="L94" s="71">
        <v>1</v>
      </c>
      <c r="M94" s="71">
        <v>1</v>
      </c>
      <c r="N94" s="71">
        <v>1</v>
      </c>
      <c r="O94" s="71">
        <v>1</v>
      </c>
      <c r="P94" s="84">
        <v>1.3846153846153846</v>
      </c>
      <c r="Q94" s="79">
        <v>1</v>
      </c>
      <c r="R94" s="71">
        <v>1.3846153846153846</v>
      </c>
      <c r="S94" s="104"/>
      <c r="T94" s="71">
        <v>0</v>
      </c>
      <c r="U94" s="71">
        <v>0</v>
      </c>
    </row>
    <row r="95" spans="1:21" ht="15.75" x14ac:dyDescent="0.25">
      <c r="A95" s="79" t="s">
        <v>2380</v>
      </c>
      <c r="B95" s="70" t="s">
        <v>2935</v>
      </c>
      <c r="C95" s="71">
        <v>6</v>
      </c>
      <c r="D95" s="71">
        <v>1</v>
      </c>
      <c r="E95" s="71">
        <v>1</v>
      </c>
      <c r="F95" s="71">
        <v>1</v>
      </c>
      <c r="G95" s="71">
        <v>1</v>
      </c>
      <c r="H95" s="71">
        <v>1</v>
      </c>
      <c r="I95" s="71">
        <v>1</v>
      </c>
      <c r="J95" s="71">
        <v>1</v>
      </c>
      <c r="K95" s="71">
        <v>1</v>
      </c>
      <c r="L95" s="71">
        <v>1</v>
      </c>
      <c r="M95" s="71">
        <v>1</v>
      </c>
      <c r="N95" s="71">
        <v>1</v>
      </c>
      <c r="O95" s="86">
        <v>1</v>
      </c>
      <c r="P95" s="84">
        <v>1.3846153846153846</v>
      </c>
      <c r="Q95" s="80">
        <v>1</v>
      </c>
      <c r="R95" s="86">
        <v>1.3846153846153846</v>
      </c>
      <c r="S95" s="104"/>
      <c r="T95" s="86">
        <v>0</v>
      </c>
      <c r="U95" s="86">
        <v>0</v>
      </c>
    </row>
    <row r="96" spans="1:21" x14ac:dyDescent="0.2">
      <c r="A96" s="80" t="s">
        <v>2382</v>
      </c>
      <c r="B96" s="70" t="s">
        <v>2936</v>
      </c>
      <c r="C96" s="71">
        <v>0</v>
      </c>
      <c r="D96" s="71">
        <v>0</v>
      </c>
      <c r="E96" s="71">
        <v>0</v>
      </c>
      <c r="F96" s="71">
        <v>0</v>
      </c>
      <c r="G96" s="71">
        <v>0</v>
      </c>
      <c r="H96" s="71">
        <v>0</v>
      </c>
      <c r="I96" s="71">
        <v>0</v>
      </c>
      <c r="J96" s="71">
        <v>0</v>
      </c>
      <c r="K96" s="71">
        <v>0</v>
      </c>
      <c r="L96" s="71">
        <v>0</v>
      </c>
      <c r="M96" s="71">
        <v>0</v>
      </c>
      <c r="N96" s="71">
        <v>0</v>
      </c>
      <c r="O96" s="71">
        <v>0</v>
      </c>
      <c r="P96" s="84">
        <v>0</v>
      </c>
      <c r="Q96" s="77">
        <v>0</v>
      </c>
      <c r="R96" s="71">
        <v>0</v>
      </c>
      <c r="S96" s="104"/>
      <c r="T96" s="71">
        <v>0</v>
      </c>
      <c r="U96" s="71">
        <v>0</v>
      </c>
    </row>
    <row r="97" spans="1:35" x14ac:dyDescent="0.2">
      <c r="A97" s="77" t="s">
        <v>2389</v>
      </c>
      <c r="B97" s="70" t="s">
        <v>2937</v>
      </c>
      <c r="C97" s="71">
        <v>32677</v>
      </c>
      <c r="D97" s="71">
        <v>31472</v>
      </c>
      <c r="E97" s="71">
        <v>29635</v>
      </c>
      <c r="F97" s="71">
        <v>32353</v>
      </c>
      <c r="G97" s="71">
        <v>32917</v>
      </c>
      <c r="H97" s="71">
        <v>42125</v>
      </c>
      <c r="I97" s="71">
        <v>42939</v>
      </c>
      <c r="J97" s="71">
        <v>45311</v>
      </c>
      <c r="K97" s="71">
        <v>48111</v>
      </c>
      <c r="L97" s="71">
        <v>40522</v>
      </c>
      <c r="M97" s="71">
        <v>40149</v>
      </c>
      <c r="N97" s="71">
        <v>36471</v>
      </c>
      <c r="O97" s="71">
        <v>34439</v>
      </c>
      <c r="P97" s="84">
        <v>37624.692307692305</v>
      </c>
      <c r="Q97" s="78">
        <v>31541</v>
      </c>
      <c r="R97" s="71">
        <v>34949.615384615383</v>
      </c>
      <c r="S97" s="104"/>
      <c r="T97" s="71">
        <v>2898</v>
      </c>
      <c r="U97" s="71">
        <v>2675.076923076922</v>
      </c>
    </row>
    <row r="98" spans="1:35" x14ac:dyDescent="0.2">
      <c r="A98" s="78" t="s">
        <v>2385</v>
      </c>
      <c r="B98" s="70" t="s">
        <v>2938</v>
      </c>
      <c r="C98" s="71">
        <v>32296</v>
      </c>
      <c r="D98" s="71">
        <v>31091</v>
      </c>
      <c r="E98" s="71">
        <v>29254</v>
      </c>
      <c r="F98" s="71">
        <v>31972</v>
      </c>
      <c r="G98" s="71">
        <v>32536</v>
      </c>
      <c r="H98" s="71">
        <v>41744</v>
      </c>
      <c r="I98" s="71">
        <v>42558</v>
      </c>
      <c r="J98" s="71">
        <v>44930</v>
      </c>
      <c r="K98" s="71">
        <v>47730</v>
      </c>
      <c r="L98" s="71">
        <v>40141</v>
      </c>
      <c r="M98" s="71">
        <v>39768</v>
      </c>
      <c r="N98" s="71">
        <v>36090</v>
      </c>
      <c r="O98" s="71">
        <v>34058</v>
      </c>
      <c r="P98" s="84">
        <v>37243.692307692305</v>
      </c>
      <c r="Q98" s="78">
        <v>31160</v>
      </c>
      <c r="R98" s="71">
        <v>34568.615384615383</v>
      </c>
      <c r="S98" s="104"/>
      <c r="T98" s="71">
        <v>2898</v>
      </c>
      <c r="U98" s="71">
        <v>2675.076923076922</v>
      </c>
    </row>
    <row r="99" spans="1:35" x14ac:dyDescent="0.2">
      <c r="A99" s="78" t="s">
        <v>2387</v>
      </c>
      <c r="B99" s="70" t="s">
        <v>2939</v>
      </c>
      <c r="C99" s="71">
        <v>381</v>
      </c>
      <c r="D99" s="71">
        <v>381</v>
      </c>
      <c r="E99" s="71">
        <v>381</v>
      </c>
      <c r="F99" s="71">
        <v>381</v>
      </c>
      <c r="G99" s="71">
        <v>381</v>
      </c>
      <c r="H99" s="71">
        <v>381</v>
      </c>
      <c r="I99" s="71">
        <v>381</v>
      </c>
      <c r="J99" s="71">
        <v>381</v>
      </c>
      <c r="K99" s="71">
        <v>381</v>
      </c>
      <c r="L99" s="71">
        <v>381</v>
      </c>
      <c r="M99" s="71">
        <v>381</v>
      </c>
      <c r="N99" s="71">
        <v>381</v>
      </c>
      <c r="O99" s="71">
        <v>381</v>
      </c>
      <c r="P99" s="84">
        <v>381</v>
      </c>
      <c r="Q99" s="78">
        <v>381</v>
      </c>
      <c r="R99" s="71">
        <v>381</v>
      </c>
      <c r="S99" s="104"/>
      <c r="T99" s="71">
        <v>0</v>
      </c>
      <c r="U99" s="71">
        <v>0</v>
      </c>
    </row>
    <row r="100" spans="1:35" x14ac:dyDescent="0.2">
      <c r="A100" s="78" t="s">
        <v>2406</v>
      </c>
      <c r="B100" s="70" t="s">
        <v>2940</v>
      </c>
      <c r="C100" s="83">
        <v>13124</v>
      </c>
      <c r="D100" s="83">
        <v>10700</v>
      </c>
      <c r="E100" s="83">
        <v>8091</v>
      </c>
      <c r="F100" s="83">
        <v>5791</v>
      </c>
      <c r="G100" s="83">
        <v>5288</v>
      </c>
      <c r="H100" s="83">
        <v>5079</v>
      </c>
      <c r="I100" s="83">
        <v>4770</v>
      </c>
      <c r="J100" s="83">
        <v>4500</v>
      </c>
      <c r="K100" s="83">
        <v>4372</v>
      </c>
      <c r="L100" s="83">
        <v>4306</v>
      </c>
      <c r="M100" s="83">
        <v>4221</v>
      </c>
      <c r="N100" s="83">
        <v>3990</v>
      </c>
      <c r="O100" s="83">
        <v>3689</v>
      </c>
      <c r="P100" s="84">
        <v>5993.9230769230771</v>
      </c>
      <c r="Q100" s="78">
        <v>3689</v>
      </c>
      <c r="R100" s="83">
        <v>5993.9230769230771</v>
      </c>
      <c r="S100" s="104"/>
      <c r="T100" s="83">
        <v>0</v>
      </c>
      <c r="U100" s="83">
        <v>0</v>
      </c>
    </row>
    <row r="101" spans="1:35" x14ac:dyDescent="0.2">
      <c r="A101" s="78" t="s">
        <v>2390</v>
      </c>
      <c r="B101" s="70" t="s">
        <v>2941</v>
      </c>
      <c r="C101" s="83">
        <v>259</v>
      </c>
      <c r="D101" s="83">
        <v>133</v>
      </c>
      <c r="E101" s="83">
        <v>0</v>
      </c>
      <c r="F101" s="83">
        <v>0</v>
      </c>
      <c r="G101" s="83">
        <v>0</v>
      </c>
      <c r="H101" s="83">
        <v>0</v>
      </c>
      <c r="I101" s="83">
        <v>0</v>
      </c>
      <c r="J101" s="83">
        <v>0</v>
      </c>
      <c r="K101" s="83">
        <v>0</v>
      </c>
      <c r="L101" s="83">
        <v>0</v>
      </c>
      <c r="M101" s="83">
        <v>0</v>
      </c>
      <c r="N101" s="83">
        <v>0</v>
      </c>
      <c r="O101" s="83">
        <v>0</v>
      </c>
      <c r="P101" s="84">
        <v>30.153846153846153</v>
      </c>
      <c r="Q101" s="78">
        <v>0</v>
      </c>
      <c r="R101" s="83">
        <v>30.153846153846153</v>
      </c>
      <c r="S101" s="104"/>
      <c r="T101" s="83">
        <v>0</v>
      </c>
      <c r="U101" s="83">
        <v>0</v>
      </c>
      <c r="AI101" s="70">
        <v>-126</v>
      </c>
    </row>
    <row r="102" spans="1:35" x14ac:dyDescent="0.2">
      <c r="A102" s="78" t="s">
        <v>2392</v>
      </c>
      <c r="B102" s="70" t="s">
        <v>5039</v>
      </c>
      <c r="C102" s="83">
        <v>11348</v>
      </c>
      <c r="D102" s="83">
        <v>9111</v>
      </c>
      <c r="E102" s="83">
        <v>6659</v>
      </c>
      <c r="F102" s="83">
        <v>4359</v>
      </c>
      <c r="G102" s="83">
        <v>3883</v>
      </c>
      <c r="H102" s="83">
        <v>3682</v>
      </c>
      <c r="I102" s="83">
        <v>3379</v>
      </c>
      <c r="J102" s="83">
        <v>3115</v>
      </c>
      <c r="K102" s="83">
        <v>3021</v>
      </c>
      <c r="L102" s="83">
        <v>2974</v>
      </c>
      <c r="M102" s="83">
        <v>2889</v>
      </c>
      <c r="N102" s="83">
        <v>2658</v>
      </c>
      <c r="O102" s="83">
        <v>2357</v>
      </c>
      <c r="P102" s="84">
        <v>4571.9230769230771</v>
      </c>
      <c r="Q102" s="78">
        <v>2357</v>
      </c>
      <c r="R102" s="83">
        <v>4571.9230769230771</v>
      </c>
      <c r="S102" s="104"/>
      <c r="T102" s="83">
        <v>0</v>
      </c>
      <c r="U102" s="83">
        <v>0</v>
      </c>
      <c r="AI102" s="70">
        <v>-2237</v>
      </c>
    </row>
    <row r="103" spans="1:35" x14ac:dyDescent="0.2">
      <c r="A103" s="78" t="s">
        <v>2394</v>
      </c>
      <c r="B103" s="70" t="s">
        <v>5040</v>
      </c>
      <c r="C103" s="83">
        <v>0</v>
      </c>
      <c r="D103" s="83">
        <v>0</v>
      </c>
      <c r="E103" s="83">
        <v>0</v>
      </c>
      <c r="F103" s="83">
        <v>0</v>
      </c>
      <c r="G103" s="83">
        <v>0</v>
      </c>
      <c r="H103" s="83">
        <v>0</v>
      </c>
      <c r="I103" s="83">
        <v>0</v>
      </c>
      <c r="J103" s="83">
        <v>0</v>
      </c>
      <c r="K103" s="83">
        <v>0</v>
      </c>
      <c r="L103" s="83">
        <v>0</v>
      </c>
      <c r="M103" s="83">
        <v>0</v>
      </c>
      <c r="N103" s="83">
        <v>0</v>
      </c>
      <c r="O103" s="83">
        <v>0</v>
      </c>
      <c r="P103" s="84">
        <v>0</v>
      </c>
      <c r="Q103" s="78">
        <v>0</v>
      </c>
      <c r="R103" s="83">
        <v>0</v>
      </c>
      <c r="S103" s="104"/>
      <c r="T103" s="83">
        <v>0</v>
      </c>
      <c r="U103" s="83">
        <v>0</v>
      </c>
      <c r="AI103" s="70">
        <v>0</v>
      </c>
    </row>
    <row r="104" spans="1:35" x14ac:dyDescent="0.2">
      <c r="A104" s="78" t="s">
        <v>2396</v>
      </c>
      <c r="B104" s="70" t="s">
        <v>5041</v>
      </c>
      <c r="C104" s="83">
        <v>1442</v>
      </c>
      <c r="D104" s="83">
        <v>1401</v>
      </c>
      <c r="E104" s="83">
        <v>1377</v>
      </c>
      <c r="F104" s="83">
        <v>1377</v>
      </c>
      <c r="G104" s="83">
        <v>1350</v>
      </c>
      <c r="H104" s="83">
        <v>1342</v>
      </c>
      <c r="I104" s="83">
        <v>1336</v>
      </c>
      <c r="J104" s="83">
        <v>1330</v>
      </c>
      <c r="K104" s="83">
        <v>1296</v>
      </c>
      <c r="L104" s="83">
        <v>1277</v>
      </c>
      <c r="M104" s="83">
        <v>1277</v>
      </c>
      <c r="N104" s="83">
        <v>1277</v>
      </c>
      <c r="O104" s="83">
        <v>1277</v>
      </c>
      <c r="P104" s="84">
        <v>1335.3076923076924</v>
      </c>
      <c r="Q104" s="78">
        <v>1277</v>
      </c>
      <c r="R104" s="83">
        <v>1335.3076923076924</v>
      </c>
      <c r="S104" s="104"/>
      <c r="T104" s="83">
        <v>0</v>
      </c>
      <c r="U104" s="83">
        <v>0</v>
      </c>
      <c r="AI104" s="70">
        <v>-41</v>
      </c>
    </row>
    <row r="105" spans="1:35" x14ac:dyDescent="0.2">
      <c r="A105" s="78" t="s">
        <v>2398</v>
      </c>
      <c r="B105" s="70" t="s">
        <v>5042</v>
      </c>
      <c r="C105" s="83">
        <v>20</v>
      </c>
      <c r="D105" s="83">
        <v>0</v>
      </c>
      <c r="E105" s="83">
        <v>0</v>
      </c>
      <c r="F105" s="83">
        <v>0</v>
      </c>
      <c r="G105" s="83">
        <v>0</v>
      </c>
      <c r="H105" s="83">
        <v>0</v>
      </c>
      <c r="I105" s="83">
        <v>0</v>
      </c>
      <c r="J105" s="83">
        <v>0</v>
      </c>
      <c r="K105" s="83">
        <v>0</v>
      </c>
      <c r="L105" s="83">
        <v>0</v>
      </c>
      <c r="M105" s="83">
        <v>0</v>
      </c>
      <c r="N105" s="83">
        <v>0</v>
      </c>
      <c r="O105" s="83">
        <v>0</v>
      </c>
      <c r="P105" s="84">
        <v>1.5384615384615385</v>
      </c>
      <c r="Q105" s="77">
        <v>0</v>
      </c>
      <c r="R105" s="83">
        <v>1.5384615384615385</v>
      </c>
      <c r="S105" s="104"/>
      <c r="T105" s="83">
        <v>0</v>
      </c>
      <c r="U105" s="83">
        <v>0</v>
      </c>
      <c r="AI105" s="70">
        <v>-20</v>
      </c>
    </row>
    <row r="106" spans="1:35" x14ac:dyDescent="0.2">
      <c r="A106" s="78" t="s">
        <v>2400</v>
      </c>
      <c r="B106" s="70" t="s">
        <v>5043</v>
      </c>
      <c r="C106" s="83">
        <v>0</v>
      </c>
      <c r="D106" s="83">
        <v>0</v>
      </c>
      <c r="E106" s="83">
        <v>0</v>
      </c>
      <c r="F106" s="83">
        <v>0</v>
      </c>
      <c r="G106" s="83">
        <v>0</v>
      </c>
      <c r="H106" s="83">
        <v>0</v>
      </c>
      <c r="I106" s="83">
        <v>0</v>
      </c>
      <c r="J106" s="83">
        <v>0</v>
      </c>
      <c r="K106" s="83">
        <v>0</v>
      </c>
      <c r="L106" s="83">
        <v>0</v>
      </c>
      <c r="M106" s="83">
        <v>0</v>
      </c>
      <c r="N106" s="83">
        <v>0</v>
      </c>
      <c r="O106" s="83">
        <v>0</v>
      </c>
      <c r="P106" s="84">
        <v>0</v>
      </c>
      <c r="Q106" s="77">
        <v>0</v>
      </c>
      <c r="R106" s="83">
        <v>0</v>
      </c>
      <c r="S106" s="104"/>
      <c r="T106" s="83">
        <v>0</v>
      </c>
      <c r="U106" s="83">
        <v>0</v>
      </c>
    </row>
    <row r="107" spans="1:35" x14ac:dyDescent="0.2">
      <c r="A107" s="78" t="s">
        <v>2404</v>
      </c>
      <c r="B107" s="70" t="s">
        <v>5041</v>
      </c>
      <c r="C107" s="83">
        <v>55</v>
      </c>
      <c r="D107" s="83">
        <v>55</v>
      </c>
      <c r="E107" s="83">
        <v>55</v>
      </c>
      <c r="F107" s="83">
        <v>55</v>
      </c>
      <c r="G107" s="83">
        <v>55</v>
      </c>
      <c r="H107" s="83">
        <v>55</v>
      </c>
      <c r="I107" s="83">
        <v>55</v>
      </c>
      <c r="J107" s="83">
        <v>55</v>
      </c>
      <c r="K107" s="83">
        <v>55</v>
      </c>
      <c r="L107" s="83">
        <v>55</v>
      </c>
      <c r="M107" s="83">
        <v>55</v>
      </c>
      <c r="N107" s="83">
        <v>55</v>
      </c>
      <c r="O107" s="83">
        <v>55</v>
      </c>
      <c r="P107" s="84">
        <v>55</v>
      </c>
      <c r="Q107" s="77">
        <v>55</v>
      </c>
      <c r="R107" s="83">
        <v>55</v>
      </c>
      <c r="S107" s="104"/>
      <c r="T107" s="83">
        <v>0</v>
      </c>
      <c r="U107" s="83">
        <v>0</v>
      </c>
    </row>
    <row r="108" spans="1:35" x14ac:dyDescent="0.2">
      <c r="A108" s="77" t="s">
        <v>3142</v>
      </c>
      <c r="B108" s="70" t="s">
        <v>5044</v>
      </c>
      <c r="C108" s="71">
        <v>20661</v>
      </c>
      <c r="D108" s="71">
        <v>20473</v>
      </c>
      <c r="E108" s="71">
        <v>20285</v>
      </c>
      <c r="F108" s="71">
        <v>21048</v>
      </c>
      <c r="G108" s="71">
        <v>21063</v>
      </c>
      <c r="H108" s="71">
        <v>21587</v>
      </c>
      <c r="I108" s="71">
        <v>21375</v>
      </c>
      <c r="J108" s="71">
        <v>21163</v>
      </c>
      <c r="K108" s="71">
        <v>20951</v>
      </c>
      <c r="L108" s="71">
        <v>20739</v>
      </c>
      <c r="M108" s="71">
        <v>20527</v>
      </c>
      <c r="N108" s="71">
        <v>20315</v>
      </c>
      <c r="O108" s="71">
        <v>20103</v>
      </c>
      <c r="P108" s="84">
        <v>20791.538461538461</v>
      </c>
      <c r="Q108" s="77">
        <v>19874</v>
      </c>
      <c r="R108" s="71">
        <v>20445.76923076923</v>
      </c>
      <c r="S108" s="104"/>
      <c r="T108" s="71">
        <v>229</v>
      </c>
      <c r="U108" s="71">
        <v>345.76923076923049</v>
      </c>
    </row>
    <row r="109" spans="1:35" x14ac:dyDescent="0.2">
      <c r="A109" s="77" t="s">
        <v>746</v>
      </c>
      <c r="B109" s="70" t="s">
        <v>5045</v>
      </c>
      <c r="C109" s="71">
        <v>209534</v>
      </c>
      <c r="D109" s="71">
        <v>203307</v>
      </c>
      <c r="E109" s="71">
        <v>204891</v>
      </c>
      <c r="F109" s="71">
        <v>211013</v>
      </c>
      <c r="G109" s="71">
        <v>219263</v>
      </c>
      <c r="H109" s="71">
        <v>235828</v>
      </c>
      <c r="I109" s="71">
        <v>242897</v>
      </c>
      <c r="J109" s="71">
        <v>256866</v>
      </c>
      <c r="K109" s="71">
        <v>275122</v>
      </c>
      <c r="L109" s="71">
        <v>273005</v>
      </c>
      <c r="M109" s="71">
        <v>268100</v>
      </c>
      <c r="N109" s="71">
        <v>261243</v>
      </c>
      <c r="O109" s="71">
        <v>269294</v>
      </c>
      <c r="P109" s="84">
        <v>240797.15384615384</v>
      </c>
      <c r="Q109" s="77">
        <v>203567</v>
      </c>
      <c r="R109" s="71">
        <v>213844.53846153847</v>
      </c>
      <c r="S109" s="104"/>
      <c r="T109" s="71">
        <v>65727</v>
      </c>
      <c r="U109" s="71">
        <v>26952.615384615376</v>
      </c>
    </row>
    <row r="110" spans="1:35" x14ac:dyDescent="0.2">
      <c r="A110" s="78" t="s">
        <v>5046</v>
      </c>
      <c r="B110" s="70" t="s">
        <v>1984</v>
      </c>
      <c r="C110" s="71">
        <v>1</v>
      </c>
      <c r="D110" s="71">
        <v>1</v>
      </c>
      <c r="E110" s="71">
        <v>1</v>
      </c>
      <c r="F110" s="71">
        <v>1</v>
      </c>
      <c r="G110" s="71">
        <v>1</v>
      </c>
      <c r="H110" s="71">
        <v>1</v>
      </c>
      <c r="I110" s="71">
        <v>1</v>
      </c>
      <c r="J110" s="71">
        <v>1</v>
      </c>
      <c r="K110" s="71">
        <v>1</v>
      </c>
      <c r="L110" s="71">
        <v>1</v>
      </c>
      <c r="M110" s="71">
        <v>1</v>
      </c>
      <c r="N110" s="71">
        <v>1</v>
      </c>
      <c r="O110" s="71">
        <v>1</v>
      </c>
      <c r="P110" s="84">
        <v>1</v>
      </c>
      <c r="Q110" s="77">
        <v>1</v>
      </c>
      <c r="R110" s="71">
        <v>1</v>
      </c>
      <c r="S110" s="104"/>
      <c r="T110" s="71">
        <v>0</v>
      </c>
      <c r="U110" s="71">
        <v>0</v>
      </c>
    </row>
    <row r="111" spans="1:35" x14ac:dyDescent="0.2">
      <c r="A111" s="78" t="s">
        <v>3143</v>
      </c>
      <c r="B111" s="70" t="s">
        <v>5047</v>
      </c>
      <c r="C111" s="71">
        <v>185</v>
      </c>
      <c r="D111" s="71">
        <v>185</v>
      </c>
      <c r="E111" s="71">
        <v>185</v>
      </c>
      <c r="F111" s="71">
        <v>185</v>
      </c>
      <c r="G111" s="71">
        <v>185</v>
      </c>
      <c r="H111" s="71">
        <v>185</v>
      </c>
      <c r="I111" s="71">
        <v>185</v>
      </c>
      <c r="J111" s="71">
        <v>185</v>
      </c>
      <c r="K111" s="71">
        <v>185</v>
      </c>
      <c r="L111" s="71">
        <v>185</v>
      </c>
      <c r="M111" s="71">
        <v>185</v>
      </c>
      <c r="N111" s="71">
        <v>185</v>
      </c>
      <c r="O111" s="71">
        <v>185</v>
      </c>
      <c r="P111" s="84">
        <v>185</v>
      </c>
      <c r="Q111" s="77">
        <v>185</v>
      </c>
      <c r="R111" s="71">
        <v>185</v>
      </c>
      <c r="S111" s="104"/>
      <c r="T111" s="71">
        <v>0</v>
      </c>
      <c r="U111" s="71">
        <v>0</v>
      </c>
    </row>
    <row r="112" spans="1:35" ht="15.75" x14ac:dyDescent="0.25">
      <c r="A112" s="77" t="s">
        <v>3145</v>
      </c>
      <c r="B112" s="70" t="s">
        <v>5048</v>
      </c>
      <c r="C112" s="71">
        <v>4003</v>
      </c>
      <c r="D112" s="71">
        <v>4023</v>
      </c>
      <c r="E112" s="71">
        <v>4043</v>
      </c>
      <c r="F112" s="71">
        <v>4063</v>
      </c>
      <c r="G112" s="71">
        <v>4083</v>
      </c>
      <c r="H112" s="71">
        <v>4103</v>
      </c>
      <c r="I112" s="71">
        <v>4123</v>
      </c>
      <c r="J112" s="71">
        <v>4143</v>
      </c>
      <c r="K112" s="71">
        <v>4163</v>
      </c>
      <c r="L112" s="71">
        <v>4183</v>
      </c>
      <c r="M112" s="71">
        <v>4203</v>
      </c>
      <c r="N112" s="71">
        <v>4223</v>
      </c>
      <c r="O112" s="71">
        <v>4243</v>
      </c>
      <c r="P112" s="84">
        <v>4123</v>
      </c>
      <c r="Q112" s="82">
        <v>4243</v>
      </c>
      <c r="R112" s="71">
        <v>4123</v>
      </c>
      <c r="S112" s="104"/>
      <c r="T112" s="71">
        <v>0</v>
      </c>
      <c r="U112" s="71">
        <v>0</v>
      </c>
    </row>
    <row r="113" spans="1:21" x14ac:dyDescent="0.2">
      <c r="A113" s="77" t="s">
        <v>3147</v>
      </c>
      <c r="B113" s="70" t="s">
        <v>5049</v>
      </c>
      <c r="C113" s="70">
        <v>62495</v>
      </c>
      <c r="D113" s="71">
        <v>62458</v>
      </c>
      <c r="E113" s="71">
        <v>62421</v>
      </c>
      <c r="F113" s="71">
        <v>62384</v>
      </c>
      <c r="G113" s="71">
        <v>62347</v>
      </c>
      <c r="H113" s="71">
        <v>62310</v>
      </c>
      <c r="I113" s="71">
        <v>62273</v>
      </c>
      <c r="J113" s="71">
        <v>62236</v>
      </c>
      <c r="K113" s="71">
        <v>62199</v>
      </c>
      <c r="L113" s="71">
        <v>62162</v>
      </c>
      <c r="M113" s="71">
        <v>62125</v>
      </c>
      <c r="N113" s="71">
        <v>62088</v>
      </c>
      <c r="O113" s="71">
        <v>62051</v>
      </c>
      <c r="P113" s="84">
        <v>62273</v>
      </c>
      <c r="Q113" s="77">
        <v>59954</v>
      </c>
      <c r="R113" s="71">
        <v>61224.615384615383</v>
      </c>
      <c r="S113" s="104"/>
      <c r="T113" s="71">
        <v>2097</v>
      </c>
      <c r="U113" s="71">
        <v>1048.3846153846171</v>
      </c>
    </row>
    <row r="114" spans="1:21" x14ac:dyDescent="0.2">
      <c r="A114" s="77" t="s">
        <v>3149</v>
      </c>
      <c r="B114" s="70" t="s">
        <v>5050</v>
      </c>
      <c r="C114" s="70">
        <v>0</v>
      </c>
      <c r="D114" s="71">
        <v>0</v>
      </c>
      <c r="E114" s="71">
        <v>0</v>
      </c>
      <c r="F114" s="71">
        <v>0</v>
      </c>
      <c r="G114" s="71">
        <v>0</v>
      </c>
      <c r="H114" s="71">
        <v>0</v>
      </c>
      <c r="I114" s="71">
        <v>0</v>
      </c>
      <c r="J114" s="71">
        <v>0</v>
      </c>
      <c r="K114" s="71">
        <v>0</v>
      </c>
      <c r="L114" s="71">
        <v>0</v>
      </c>
      <c r="M114" s="71">
        <v>0</v>
      </c>
      <c r="N114" s="71">
        <v>0</v>
      </c>
      <c r="O114" s="71">
        <v>0</v>
      </c>
      <c r="P114" s="84">
        <v>0</v>
      </c>
      <c r="Q114" s="77">
        <v>0</v>
      </c>
      <c r="R114" s="71">
        <v>0</v>
      </c>
      <c r="S114" s="104"/>
      <c r="T114" s="71">
        <v>0</v>
      </c>
      <c r="U114" s="71">
        <v>0</v>
      </c>
    </row>
    <row r="115" spans="1:21" x14ac:dyDescent="0.2">
      <c r="A115" s="77" t="s">
        <v>3150</v>
      </c>
      <c r="B115" s="70" t="s">
        <v>5051</v>
      </c>
      <c r="C115" s="91">
        <v>0</v>
      </c>
      <c r="D115" s="71">
        <v>0</v>
      </c>
      <c r="E115" s="71">
        <v>0</v>
      </c>
      <c r="F115" s="71">
        <v>0</v>
      </c>
      <c r="G115" s="71">
        <v>110</v>
      </c>
      <c r="H115" s="71">
        <v>116</v>
      </c>
      <c r="I115" s="71">
        <v>0</v>
      </c>
      <c r="J115" s="71">
        <v>0</v>
      </c>
      <c r="K115" s="71">
        <v>0</v>
      </c>
      <c r="L115" s="71">
        <v>0</v>
      </c>
      <c r="M115" s="71">
        <v>0</v>
      </c>
      <c r="N115" s="71">
        <v>0</v>
      </c>
      <c r="O115" s="71">
        <v>0</v>
      </c>
      <c r="P115" s="84">
        <v>17.384615384615383</v>
      </c>
      <c r="Q115" s="77">
        <v>0</v>
      </c>
      <c r="R115" s="71">
        <v>0</v>
      </c>
      <c r="S115" s="104"/>
      <c r="T115" s="71">
        <v>0</v>
      </c>
      <c r="U115" s="71">
        <v>17.384615384615383</v>
      </c>
    </row>
    <row r="116" spans="1:21" x14ac:dyDescent="0.2">
      <c r="A116" s="77" t="s">
        <v>3152</v>
      </c>
      <c r="B116" s="70" t="s">
        <v>5052</v>
      </c>
      <c r="C116" s="71">
        <v>5728</v>
      </c>
      <c r="D116" s="71">
        <v>0</v>
      </c>
      <c r="E116" s="71">
        <v>409</v>
      </c>
      <c r="F116" s="71">
        <v>5186</v>
      </c>
      <c r="G116" s="71">
        <v>12505</v>
      </c>
      <c r="H116" s="71">
        <v>28225</v>
      </c>
      <c r="I116" s="71">
        <v>37267</v>
      </c>
      <c r="J116" s="71">
        <v>53169</v>
      </c>
      <c r="K116" s="71">
        <v>73358</v>
      </c>
      <c r="L116" s="71">
        <v>74038</v>
      </c>
      <c r="M116" s="71">
        <v>71119</v>
      </c>
      <c r="N116" s="71">
        <v>65303</v>
      </c>
      <c r="O116" s="71">
        <v>73857</v>
      </c>
      <c r="P116" s="84">
        <v>38474.153846153844</v>
      </c>
      <c r="Q116" s="77">
        <v>22704</v>
      </c>
      <c r="R116" s="71">
        <v>18125</v>
      </c>
      <c r="S116" s="104"/>
      <c r="T116" s="71">
        <v>51153</v>
      </c>
      <c r="U116" s="71">
        <v>20349.153846153844</v>
      </c>
    </row>
    <row r="117" spans="1:21" x14ac:dyDescent="0.2">
      <c r="A117" s="77" t="s">
        <v>3154</v>
      </c>
      <c r="B117" s="70" t="s">
        <v>5053</v>
      </c>
      <c r="C117" s="71">
        <v>27392</v>
      </c>
      <c r="D117" s="71">
        <v>27303</v>
      </c>
      <c r="E117" s="71">
        <v>28885</v>
      </c>
      <c r="F117" s="71">
        <v>30438</v>
      </c>
      <c r="G117" s="71">
        <v>31387</v>
      </c>
      <c r="H117" s="71">
        <v>31776</v>
      </c>
      <c r="I117" s="71">
        <v>29781</v>
      </c>
      <c r="J117" s="71">
        <v>27342</v>
      </c>
      <c r="K117" s="71">
        <v>24935</v>
      </c>
      <c r="L117" s="71">
        <v>22443</v>
      </c>
      <c r="M117" s="71">
        <v>20895</v>
      </c>
      <c r="N117" s="71">
        <v>20363</v>
      </c>
      <c r="O117" s="71">
        <v>19891</v>
      </c>
      <c r="P117" s="84">
        <v>26371.615384615383</v>
      </c>
      <c r="Q117" s="77">
        <v>9249</v>
      </c>
      <c r="R117" s="71">
        <v>21852.615384615383</v>
      </c>
      <c r="S117" s="104"/>
      <c r="T117" s="71">
        <v>10642</v>
      </c>
      <c r="U117" s="71">
        <v>4519</v>
      </c>
    </row>
    <row r="118" spans="1:21" x14ac:dyDescent="0.2">
      <c r="A118" s="77" t="s">
        <v>3156</v>
      </c>
      <c r="B118" s="70" t="s">
        <v>5054</v>
      </c>
      <c r="C118" s="90">
        <v>0</v>
      </c>
      <c r="D118" s="71">
        <v>0</v>
      </c>
      <c r="E118" s="71">
        <v>0</v>
      </c>
      <c r="F118" s="71">
        <v>0</v>
      </c>
      <c r="G118" s="71">
        <v>39</v>
      </c>
      <c r="H118" s="71">
        <v>608</v>
      </c>
      <c r="I118" s="71">
        <v>864</v>
      </c>
      <c r="J118" s="71">
        <v>1385</v>
      </c>
      <c r="K118" s="71">
        <v>2129</v>
      </c>
      <c r="L118" s="71">
        <v>2098</v>
      </c>
      <c r="M118" s="71">
        <v>1923</v>
      </c>
      <c r="N118" s="71">
        <v>1668</v>
      </c>
      <c r="O118" s="71">
        <v>1893</v>
      </c>
      <c r="P118" s="84">
        <v>969.76923076923072</v>
      </c>
      <c r="Q118" s="77">
        <v>0</v>
      </c>
      <c r="R118" s="71">
        <v>0</v>
      </c>
      <c r="S118" s="104"/>
      <c r="T118" s="71">
        <v>1893</v>
      </c>
      <c r="U118" s="71">
        <v>969.76923076923072</v>
      </c>
    </row>
    <row r="119" spans="1:21" x14ac:dyDescent="0.2">
      <c r="A119" s="77" t="s">
        <v>674</v>
      </c>
      <c r="B119" s="107" t="s">
        <v>5055</v>
      </c>
      <c r="C119" s="71">
        <v>131</v>
      </c>
      <c r="D119" s="71">
        <v>69</v>
      </c>
      <c r="E119" s="71">
        <v>7</v>
      </c>
      <c r="F119" s="71">
        <v>61</v>
      </c>
      <c r="G119" s="71">
        <v>73</v>
      </c>
      <c r="H119" s="71">
        <v>132</v>
      </c>
      <c r="I119" s="71">
        <v>192</v>
      </c>
      <c r="J119" s="71">
        <v>356</v>
      </c>
      <c r="K119" s="71">
        <v>267</v>
      </c>
      <c r="L119" s="71">
        <v>173</v>
      </c>
      <c r="M119" s="71">
        <v>90</v>
      </c>
      <c r="N119" s="71">
        <v>19</v>
      </c>
      <c r="O119" s="71">
        <v>-55</v>
      </c>
      <c r="P119" s="84">
        <v>116.53846153846153</v>
      </c>
      <c r="Q119" s="77">
        <v>3</v>
      </c>
      <c r="R119" s="71">
        <v>67.615384615384613</v>
      </c>
      <c r="S119" s="104"/>
      <c r="T119" s="71">
        <v>-58</v>
      </c>
      <c r="U119" s="71">
        <v>48.92307692307692</v>
      </c>
    </row>
    <row r="120" spans="1:21" x14ac:dyDescent="0.2">
      <c r="A120" s="77" t="s">
        <v>678</v>
      </c>
      <c r="B120" s="70" t="s">
        <v>5056</v>
      </c>
      <c r="C120" s="90">
        <v>0</v>
      </c>
      <c r="D120" s="71">
        <v>0</v>
      </c>
      <c r="E120" s="71">
        <v>0</v>
      </c>
      <c r="F120" s="71">
        <v>0</v>
      </c>
      <c r="G120" s="71">
        <v>0</v>
      </c>
      <c r="H120" s="71">
        <v>0</v>
      </c>
      <c r="I120" s="71">
        <v>0</v>
      </c>
      <c r="J120" s="71">
        <v>0</v>
      </c>
      <c r="K120" s="71">
        <v>0</v>
      </c>
      <c r="L120" s="71">
        <v>0</v>
      </c>
      <c r="M120" s="71">
        <v>0</v>
      </c>
      <c r="N120" s="71">
        <v>0</v>
      </c>
      <c r="O120" s="71">
        <v>0</v>
      </c>
      <c r="P120" s="84">
        <v>0</v>
      </c>
      <c r="Q120" s="77">
        <v>0</v>
      </c>
      <c r="R120" s="71">
        <v>0</v>
      </c>
      <c r="S120" s="104"/>
      <c r="T120" s="71">
        <v>0</v>
      </c>
      <c r="U120" s="71">
        <v>0</v>
      </c>
    </row>
    <row r="121" spans="1:21" x14ac:dyDescent="0.2">
      <c r="A121" s="78" t="s">
        <v>680</v>
      </c>
      <c r="B121" s="70" t="s">
        <v>5057</v>
      </c>
      <c r="C121" s="90">
        <v>75304</v>
      </c>
      <c r="D121" s="71">
        <v>75304</v>
      </c>
      <c r="E121" s="71">
        <v>75304</v>
      </c>
      <c r="F121" s="71">
        <v>75304</v>
      </c>
      <c r="G121" s="71">
        <v>75304</v>
      </c>
      <c r="H121" s="71">
        <v>75304</v>
      </c>
      <c r="I121" s="71">
        <v>75304</v>
      </c>
      <c r="J121" s="71">
        <v>75304</v>
      </c>
      <c r="K121" s="71">
        <v>75304</v>
      </c>
      <c r="L121" s="71">
        <v>75304</v>
      </c>
      <c r="M121" s="71">
        <v>75304</v>
      </c>
      <c r="N121" s="71">
        <v>75304</v>
      </c>
      <c r="O121" s="71">
        <v>75304</v>
      </c>
      <c r="P121" s="84">
        <v>75304</v>
      </c>
      <c r="Q121" s="77">
        <v>75304</v>
      </c>
      <c r="R121" s="71">
        <v>75304</v>
      </c>
      <c r="S121" s="104"/>
      <c r="T121" s="71">
        <v>0</v>
      </c>
      <c r="U121" s="71">
        <v>0</v>
      </c>
    </row>
    <row r="122" spans="1:21" x14ac:dyDescent="0.2">
      <c r="A122" s="78" t="s">
        <v>682</v>
      </c>
      <c r="B122" s="70" t="s">
        <v>5058</v>
      </c>
      <c r="C122" s="90">
        <v>9878</v>
      </c>
      <c r="D122" s="71">
        <v>9878</v>
      </c>
      <c r="E122" s="71">
        <v>9878</v>
      </c>
      <c r="F122" s="71">
        <v>9878</v>
      </c>
      <c r="G122" s="71">
        <v>9878</v>
      </c>
      <c r="H122" s="71">
        <v>9878</v>
      </c>
      <c r="I122" s="71">
        <v>9878</v>
      </c>
      <c r="J122" s="71">
        <v>9878</v>
      </c>
      <c r="K122" s="71">
        <v>9878</v>
      </c>
      <c r="L122" s="71">
        <v>9878</v>
      </c>
      <c r="M122" s="71">
        <v>9878</v>
      </c>
      <c r="N122" s="71">
        <v>9878</v>
      </c>
      <c r="O122" s="71">
        <v>9878</v>
      </c>
      <c r="P122" s="84">
        <v>9878</v>
      </c>
      <c r="Q122" s="77">
        <v>9878</v>
      </c>
      <c r="R122" s="71">
        <v>9878</v>
      </c>
      <c r="S122" s="104"/>
      <c r="T122" s="71">
        <v>0</v>
      </c>
      <c r="U122" s="71">
        <v>0</v>
      </c>
    </row>
    <row r="123" spans="1:21" x14ac:dyDescent="0.2">
      <c r="A123" s="78" t="s">
        <v>683</v>
      </c>
      <c r="B123" s="70" t="s">
        <v>5059</v>
      </c>
      <c r="C123" s="71">
        <v>3170</v>
      </c>
      <c r="D123" s="71">
        <v>3111</v>
      </c>
      <c r="E123" s="71">
        <v>3053</v>
      </c>
      <c r="F123" s="71">
        <v>2994</v>
      </c>
      <c r="G123" s="71">
        <v>2936</v>
      </c>
      <c r="H123" s="71">
        <v>2879</v>
      </c>
      <c r="I123" s="71">
        <v>2822</v>
      </c>
      <c r="J123" s="71">
        <v>2765</v>
      </c>
      <c r="K123" s="71">
        <v>2708</v>
      </c>
      <c r="L123" s="71">
        <v>2651</v>
      </c>
      <c r="M123" s="71">
        <v>2594</v>
      </c>
      <c r="N123" s="71">
        <v>2537</v>
      </c>
      <c r="O123" s="71">
        <v>2480</v>
      </c>
      <c r="P123" s="84">
        <v>2823.0769230769229</v>
      </c>
      <c r="Q123" s="77">
        <v>2480</v>
      </c>
      <c r="R123" s="71">
        <v>2823.2307692307691</v>
      </c>
      <c r="S123" s="104"/>
      <c r="T123" s="71">
        <v>0</v>
      </c>
      <c r="U123" s="71">
        <v>-0.15384615384618883</v>
      </c>
    </row>
    <row r="124" spans="1:21" x14ac:dyDescent="0.2">
      <c r="A124" s="77" t="s">
        <v>695</v>
      </c>
      <c r="B124" s="70" t="s">
        <v>5060</v>
      </c>
      <c r="C124" s="71">
        <v>528</v>
      </c>
      <c r="D124" s="71">
        <v>484</v>
      </c>
      <c r="E124" s="71">
        <v>442</v>
      </c>
      <c r="F124" s="71">
        <v>403</v>
      </c>
      <c r="G124" s="71">
        <v>365</v>
      </c>
      <c r="H124" s="71">
        <v>329</v>
      </c>
      <c r="I124" s="71">
        <v>295</v>
      </c>
      <c r="J124" s="71">
        <v>263</v>
      </c>
      <c r="K124" s="71">
        <v>233</v>
      </c>
      <c r="L124" s="71">
        <v>205</v>
      </c>
      <c r="M124" s="71">
        <v>180</v>
      </c>
      <c r="N124" s="71">
        <v>156</v>
      </c>
      <c r="O124" s="71">
        <v>135</v>
      </c>
      <c r="P124" s="84">
        <v>309.07692307692309</v>
      </c>
      <c r="Q124" s="77">
        <v>135</v>
      </c>
      <c r="R124" s="71">
        <v>309.07692307692309</v>
      </c>
      <c r="S124" s="104"/>
      <c r="T124" s="71">
        <v>0</v>
      </c>
      <c r="U124" s="71">
        <v>0</v>
      </c>
    </row>
    <row r="125" spans="1:21" x14ac:dyDescent="0.2">
      <c r="A125" s="77" t="s">
        <v>697</v>
      </c>
      <c r="B125" s="70" t="s">
        <v>5061</v>
      </c>
      <c r="C125" s="71">
        <v>3</v>
      </c>
      <c r="D125" s="71">
        <v>3</v>
      </c>
      <c r="E125" s="71">
        <v>3</v>
      </c>
      <c r="F125" s="71">
        <v>3</v>
      </c>
      <c r="G125" s="71">
        <v>2</v>
      </c>
      <c r="H125" s="71">
        <v>2</v>
      </c>
      <c r="I125" s="71">
        <v>2</v>
      </c>
      <c r="J125" s="71">
        <v>2</v>
      </c>
      <c r="K125" s="71">
        <v>2</v>
      </c>
      <c r="L125" s="71">
        <v>2</v>
      </c>
      <c r="M125" s="71">
        <v>2</v>
      </c>
      <c r="N125" s="71">
        <v>1</v>
      </c>
      <c r="O125" s="71">
        <v>1</v>
      </c>
      <c r="P125" s="84">
        <v>2.1538461538461537</v>
      </c>
      <c r="Q125" s="77">
        <v>1</v>
      </c>
      <c r="R125" s="71">
        <v>2.1538461538461537</v>
      </c>
      <c r="S125" s="104"/>
      <c r="T125" s="71">
        <v>0</v>
      </c>
      <c r="U125" s="71">
        <v>0</v>
      </c>
    </row>
    <row r="126" spans="1:21" x14ac:dyDescent="0.2">
      <c r="A126" s="78" t="s">
        <v>699</v>
      </c>
      <c r="B126" s="70" t="s">
        <v>5062</v>
      </c>
      <c r="C126" s="71">
        <v>0</v>
      </c>
      <c r="D126" s="71">
        <v>0</v>
      </c>
      <c r="E126" s="71">
        <v>0</v>
      </c>
      <c r="F126" s="71">
        <v>82</v>
      </c>
      <c r="G126" s="71">
        <v>245</v>
      </c>
      <c r="H126" s="71">
        <v>404</v>
      </c>
      <c r="I126" s="71">
        <v>562</v>
      </c>
      <c r="J126" s="71">
        <v>716</v>
      </c>
      <c r="K126" s="71">
        <v>867</v>
      </c>
      <c r="L126" s="71">
        <v>1016</v>
      </c>
      <c r="M126" s="71">
        <v>1162</v>
      </c>
      <c r="N126" s="71">
        <v>1306</v>
      </c>
      <c r="O126" s="71">
        <v>1446</v>
      </c>
      <c r="P126" s="84">
        <v>600.46153846153845</v>
      </c>
      <c r="Q126" s="77">
        <v>1446</v>
      </c>
      <c r="R126" s="71">
        <v>600.46153846153845</v>
      </c>
      <c r="S126" s="104"/>
      <c r="T126" s="71">
        <v>0</v>
      </c>
      <c r="U126" s="71">
        <v>0</v>
      </c>
    </row>
    <row r="127" spans="1:21" ht="15.75" x14ac:dyDescent="0.25">
      <c r="A127" s="78" t="s">
        <v>703</v>
      </c>
      <c r="B127" s="70" t="s">
        <v>5063</v>
      </c>
      <c r="C127" s="71">
        <v>0</v>
      </c>
      <c r="D127" s="86">
        <v>0</v>
      </c>
      <c r="E127" s="86">
        <v>0</v>
      </c>
      <c r="F127" s="86">
        <v>0</v>
      </c>
      <c r="G127" s="86">
        <v>0</v>
      </c>
      <c r="H127" s="86">
        <v>0</v>
      </c>
      <c r="I127" s="86">
        <v>0</v>
      </c>
      <c r="J127" s="86">
        <v>0</v>
      </c>
      <c r="K127" s="86">
        <v>0</v>
      </c>
      <c r="L127" s="86">
        <v>0</v>
      </c>
      <c r="M127" s="86">
        <v>0</v>
      </c>
      <c r="N127" s="86">
        <v>0</v>
      </c>
      <c r="O127" s="86">
        <v>0</v>
      </c>
      <c r="P127" s="84">
        <v>0</v>
      </c>
      <c r="Q127" s="77">
        <v>0</v>
      </c>
      <c r="R127" s="86">
        <v>0</v>
      </c>
      <c r="S127" s="104"/>
      <c r="T127" s="86">
        <v>0</v>
      </c>
      <c r="U127" s="86">
        <v>0</v>
      </c>
    </row>
    <row r="128" spans="1:21" x14ac:dyDescent="0.2">
      <c r="A128" s="77" t="s">
        <v>725</v>
      </c>
      <c r="B128" s="70" t="s">
        <v>5064</v>
      </c>
      <c r="C128" s="71">
        <v>20716</v>
      </c>
      <c r="D128" s="71">
        <v>20488</v>
      </c>
      <c r="E128" s="71">
        <v>20260</v>
      </c>
      <c r="F128" s="71">
        <v>20031</v>
      </c>
      <c r="G128" s="71">
        <v>19803</v>
      </c>
      <c r="H128" s="71">
        <v>19576</v>
      </c>
      <c r="I128" s="71">
        <v>19348</v>
      </c>
      <c r="J128" s="71">
        <v>19121</v>
      </c>
      <c r="K128" s="71">
        <v>18893</v>
      </c>
      <c r="L128" s="71">
        <v>18666</v>
      </c>
      <c r="M128" s="71">
        <v>18439</v>
      </c>
      <c r="N128" s="71">
        <v>18211</v>
      </c>
      <c r="O128" s="71">
        <v>17984</v>
      </c>
      <c r="P128" s="84">
        <v>19348.923076923078</v>
      </c>
      <c r="Q128" s="77">
        <v>17984</v>
      </c>
      <c r="R128" s="71">
        <v>19348.76923076923</v>
      </c>
      <c r="S128" s="104"/>
      <c r="T128" s="71">
        <v>0</v>
      </c>
      <c r="U128" s="71">
        <v>0.15384615384755307</v>
      </c>
    </row>
    <row r="129" spans="1:35" x14ac:dyDescent="0.2">
      <c r="A129" s="78" t="s">
        <v>705</v>
      </c>
      <c r="B129" s="70" t="s">
        <v>5065</v>
      </c>
      <c r="C129" s="71">
        <v>3422</v>
      </c>
      <c r="D129" s="71">
        <v>3420</v>
      </c>
      <c r="E129" s="71">
        <v>3417</v>
      </c>
      <c r="F129" s="71">
        <v>3415</v>
      </c>
      <c r="G129" s="71">
        <v>3412</v>
      </c>
      <c r="H129" s="71">
        <v>3410</v>
      </c>
      <c r="I129" s="71">
        <v>3407</v>
      </c>
      <c r="J129" s="71">
        <v>3404</v>
      </c>
      <c r="K129" s="71">
        <v>3402</v>
      </c>
      <c r="L129" s="71">
        <v>3400</v>
      </c>
      <c r="M129" s="71">
        <v>3397</v>
      </c>
      <c r="N129" s="71">
        <v>3395</v>
      </c>
      <c r="O129" s="71">
        <v>3392</v>
      </c>
      <c r="P129" s="84">
        <v>3407.1538461538462</v>
      </c>
      <c r="Q129" s="77">
        <v>3392</v>
      </c>
      <c r="R129" s="71">
        <v>3407.1538461538462</v>
      </c>
      <c r="S129" s="104"/>
      <c r="T129" s="71">
        <v>0</v>
      </c>
      <c r="U129" s="71">
        <v>0</v>
      </c>
    </row>
    <row r="130" spans="1:35" x14ac:dyDescent="0.2">
      <c r="A130" s="78" t="s">
        <v>708</v>
      </c>
      <c r="B130" s="70" t="s">
        <v>5066</v>
      </c>
      <c r="C130" s="71">
        <v>20464</v>
      </c>
      <c r="D130" s="71">
        <v>20180</v>
      </c>
      <c r="E130" s="71">
        <v>19896</v>
      </c>
      <c r="F130" s="71">
        <v>19611</v>
      </c>
      <c r="G130" s="71">
        <v>19327</v>
      </c>
      <c r="H130" s="71">
        <v>19045</v>
      </c>
      <c r="I130" s="71">
        <v>18763</v>
      </c>
      <c r="J130" s="71">
        <v>18481</v>
      </c>
      <c r="K130" s="71">
        <v>18199</v>
      </c>
      <c r="L130" s="71">
        <v>17917</v>
      </c>
      <c r="M130" s="71">
        <v>17635</v>
      </c>
      <c r="N130" s="71">
        <v>17353</v>
      </c>
      <c r="O130" s="71">
        <v>17072</v>
      </c>
      <c r="P130" s="84">
        <v>18764.846153846152</v>
      </c>
      <c r="Q130" s="77">
        <v>17072</v>
      </c>
      <c r="R130" s="71">
        <v>18764.846153846152</v>
      </c>
      <c r="S130" s="104"/>
      <c r="T130" s="71">
        <v>0</v>
      </c>
      <c r="U130" s="71">
        <v>0</v>
      </c>
    </row>
    <row r="131" spans="1:35" x14ac:dyDescent="0.2">
      <c r="A131" s="77" t="s">
        <v>4443</v>
      </c>
      <c r="B131" s="70" t="s">
        <v>5067</v>
      </c>
      <c r="C131" s="71">
        <v>9252</v>
      </c>
      <c r="D131" s="71">
        <v>9315</v>
      </c>
      <c r="E131" s="71">
        <v>9479</v>
      </c>
      <c r="F131" s="71">
        <v>9781</v>
      </c>
      <c r="G131" s="71">
        <v>10612</v>
      </c>
      <c r="H131" s="71">
        <v>11095</v>
      </c>
      <c r="I131" s="71">
        <v>11348</v>
      </c>
      <c r="J131" s="71">
        <v>11589</v>
      </c>
      <c r="K131" s="71">
        <v>11936</v>
      </c>
      <c r="L131" s="71">
        <v>12168</v>
      </c>
      <c r="M131" s="71">
        <v>12414</v>
      </c>
      <c r="N131" s="71">
        <v>12576</v>
      </c>
      <c r="O131" s="71">
        <v>12681</v>
      </c>
      <c r="P131" s="84">
        <v>11095.846153846154</v>
      </c>
      <c r="Q131" s="77">
        <v>12681</v>
      </c>
      <c r="R131" s="71">
        <v>11095.846153846154</v>
      </c>
      <c r="S131" s="104"/>
      <c r="T131" s="71">
        <v>0</v>
      </c>
      <c r="U131" s="71">
        <v>0</v>
      </c>
    </row>
    <row r="132" spans="1:35" x14ac:dyDescent="0.2">
      <c r="A132" s="77" t="s">
        <v>299</v>
      </c>
      <c r="B132" s="70" t="s">
        <v>5068</v>
      </c>
      <c r="C132" s="71">
        <v>-2</v>
      </c>
      <c r="D132" s="71">
        <v>0</v>
      </c>
      <c r="E132" s="71">
        <v>0</v>
      </c>
      <c r="F132" s="71">
        <v>0</v>
      </c>
      <c r="G132" s="71">
        <v>0</v>
      </c>
      <c r="H132" s="71">
        <v>0</v>
      </c>
      <c r="I132" s="71">
        <v>0</v>
      </c>
      <c r="J132" s="71">
        <v>0</v>
      </c>
      <c r="K132" s="71">
        <v>0</v>
      </c>
      <c r="L132" s="71">
        <v>0</v>
      </c>
      <c r="M132" s="71">
        <v>0</v>
      </c>
      <c r="N132" s="71">
        <v>0</v>
      </c>
      <c r="O132" s="71">
        <v>0</v>
      </c>
      <c r="P132" s="84">
        <v>-0.15384615384615385</v>
      </c>
      <c r="Q132" s="77">
        <v>0</v>
      </c>
      <c r="R132" s="71">
        <v>-0.15384615384615385</v>
      </c>
      <c r="S132" s="104"/>
      <c r="T132" s="71">
        <v>0</v>
      </c>
      <c r="U132" s="71">
        <v>0</v>
      </c>
      <c r="AI132" s="70">
        <v>2</v>
      </c>
    </row>
    <row r="133" spans="1:35" x14ac:dyDescent="0.2">
      <c r="A133" s="77" t="s">
        <v>330</v>
      </c>
      <c r="B133" s="70" t="s">
        <v>5069</v>
      </c>
      <c r="C133" s="71">
        <v>2284</v>
      </c>
      <c r="D133" s="71">
        <v>2178</v>
      </c>
      <c r="E133" s="71">
        <v>2062</v>
      </c>
      <c r="F133" s="71">
        <v>2079</v>
      </c>
      <c r="G133" s="71">
        <v>1940</v>
      </c>
      <c r="H133" s="71">
        <v>1799</v>
      </c>
      <c r="I133" s="71">
        <v>1918</v>
      </c>
      <c r="J133" s="71">
        <v>1762</v>
      </c>
      <c r="K133" s="71">
        <v>1691</v>
      </c>
      <c r="L133" s="71">
        <v>1923</v>
      </c>
      <c r="M133" s="71">
        <v>1927</v>
      </c>
      <c r="N133" s="71">
        <v>1893</v>
      </c>
      <c r="O133" s="71">
        <v>2032</v>
      </c>
      <c r="P133" s="84">
        <v>1960.6153846153845</v>
      </c>
      <c r="Q133" s="79">
        <v>2032</v>
      </c>
      <c r="R133" s="71">
        <v>1960.6153846153845</v>
      </c>
      <c r="S133" s="104"/>
      <c r="T133" s="71">
        <v>0</v>
      </c>
      <c r="U133" s="71">
        <v>0</v>
      </c>
      <c r="AI133" s="70">
        <v>-106</v>
      </c>
    </row>
    <row r="134" spans="1:35" x14ac:dyDescent="0.2">
      <c r="A134" s="79" t="s">
        <v>5070</v>
      </c>
      <c r="B134" s="70" t="s">
        <v>5071</v>
      </c>
      <c r="C134" s="71">
        <v>2284</v>
      </c>
      <c r="D134" s="71">
        <v>2178</v>
      </c>
      <c r="E134" s="71">
        <v>2062</v>
      </c>
      <c r="F134" s="71">
        <v>2079</v>
      </c>
      <c r="G134" s="71">
        <v>1940</v>
      </c>
      <c r="H134" s="71">
        <v>1799</v>
      </c>
      <c r="I134" s="71">
        <v>1918</v>
      </c>
      <c r="J134" s="71">
        <v>1762</v>
      </c>
      <c r="K134" s="71">
        <v>1691</v>
      </c>
      <c r="L134" s="71">
        <v>1923</v>
      </c>
      <c r="M134" s="71">
        <v>1927</v>
      </c>
      <c r="N134" s="71">
        <v>1893</v>
      </c>
      <c r="O134" s="71">
        <v>2032</v>
      </c>
      <c r="P134" s="84">
        <v>1960.6153846153845</v>
      </c>
      <c r="Q134" s="80">
        <v>2032</v>
      </c>
      <c r="R134" s="71">
        <v>1960.6153846153845</v>
      </c>
      <c r="S134" s="104"/>
      <c r="T134" s="71">
        <v>0</v>
      </c>
      <c r="U134" s="71">
        <v>0</v>
      </c>
      <c r="AI134" s="70">
        <v>-106</v>
      </c>
    </row>
    <row r="135" spans="1:35" x14ac:dyDescent="0.2">
      <c r="A135" s="80" t="s">
        <v>302</v>
      </c>
      <c r="B135" s="70" t="s">
        <v>5072</v>
      </c>
      <c r="C135" s="71">
        <v>0</v>
      </c>
      <c r="D135" s="71">
        <v>0</v>
      </c>
      <c r="E135" s="71">
        <v>0</v>
      </c>
      <c r="F135" s="71">
        <v>0</v>
      </c>
      <c r="G135" s="71">
        <v>0</v>
      </c>
      <c r="H135" s="71">
        <v>0</v>
      </c>
      <c r="I135" s="71">
        <v>0</v>
      </c>
      <c r="J135" s="71">
        <v>0</v>
      </c>
      <c r="K135" s="71">
        <v>0</v>
      </c>
      <c r="L135" s="71">
        <v>0</v>
      </c>
      <c r="M135" s="71">
        <v>0</v>
      </c>
      <c r="N135" s="71">
        <v>0</v>
      </c>
      <c r="O135" s="71">
        <v>0</v>
      </c>
      <c r="P135" s="84">
        <v>0</v>
      </c>
      <c r="Q135" s="80">
        <v>0</v>
      </c>
      <c r="R135" s="71">
        <v>0</v>
      </c>
      <c r="S135" s="104"/>
      <c r="T135" s="71">
        <v>0</v>
      </c>
      <c r="U135" s="71">
        <v>0</v>
      </c>
    </row>
    <row r="136" spans="1:35" x14ac:dyDescent="0.2">
      <c r="A136" s="80" t="s">
        <v>5073</v>
      </c>
      <c r="B136" s="70" t="s">
        <v>5074</v>
      </c>
      <c r="C136" s="71">
        <v>0</v>
      </c>
      <c r="D136" s="71">
        <v>0</v>
      </c>
      <c r="E136" s="71">
        <v>0</v>
      </c>
      <c r="F136" s="71">
        <v>0</v>
      </c>
      <c r="G136" s="71">
        <v>0</v>
      </c>
      <c r="H136" s="71">
        <v>0</v>
      </c>
      <c r="I136" s="71">
        <v>0</v>
      </c>
      <c r="J136" s="71">
        <v>0</v>
      </c>
      <c r="K136" s="71">
        <v>0</v>
      </c>
      <c r="L136" s="71">
        <v>0</v>
      </c>
      <c r="M136" s="71">
        <v>0</v>
      </c>
      <c r="N136" s="71">
        <v>0</v>
      </c>
      <c r="O136" s="71">
        <v>0</v>
      </c>
      <c r="P136" s="84">
        <v>0</v>
      </c>
      <c r="Q136" s="80">
        <v>0</v>
      </c>
      <c r="R136" s="71">
        <v>0</v>
      </c>
      <c r="S136" s="104"/>
      <c r="T136" s="71">
        <v>0</v>
      </c>
      <c r="U136" s="71">
        <v>0</v>
      </c>
    </row>
    <row r="137" spans="1:35" x14ac:dyDescent="0.2">
      <c r="A137" s="80" t="s">
        <v>326</v>
      </c>
      <c r="B137" s="70" t="s">
        <v>5075</v>
      </c>
      <c r="C137" s="71">
        <v>0</v>
      </c>
      <c r="D137" s="71">
        <v>0</v>
      </c>
      <c r="E137" s="71">
        <v>0</v>
      </c>
      <c r="F137" s="71">
        <v>0</v>
      </c>
      <c r="G137" s="71">
        <v>0</v>
      </c>
      <c r="H137" s="71">
        <v>0</v>
      </c>
      <c r="I137" s="71">
        <v>0</v>
      </c>
      <c r="J137" s="71">
        <v>0</v>
      </c>
      <c r="K137" s="71">
        <v>0</v>
      </c>
      <c r="L137" s="71">
        <v>0</v>
      </c>
      <c r="M137" s="71">
        <v>0</v>
      </c>
      <c r="N137" s="71">
        <v>0</v>
      </c>
      <c r="O137" s="71">
        <v>0</v>
      </c>
      <c r="P137" s="84">
        <v>0</v>
      </c>
      <c r="Q137" s="77">
        <v>0</v>
      </c>
      <c r="R137" s="71">
        <v>0</v>
      </c>
      <c r="S137" s="104"/>
      <c r="T137" s="71">
        <v>0</v>
      </c>
      <c r="U137" s="71">
        <v>0</v>
      </c>
    </row>
    <row r="138" spans="1:35" ht="15.75" x14ac:dyDescent="0.25">
      <c r="A138" s="77" t="s">
        <v>333</v>
      </c>
      <c r="B138" s="70" t="s">
        <v>5069</v>
      </c>
      <c r="C138" s="71">
        <v>0</v>
      </c>
      <c r="D138" s="71">
        <v>0</v>
      </c>
      <c r="E138" s="71">
        <v>0</v>
      </c>
      <c r="F138" s="71">
        <v>0</v>
      </c>
      <c r="G138" s="71">
        <v>0</v>
      </c>
      <c r="H138" s="71">
        <v>0</v>
      </c>
      <c r="I138" s="71">
        <v>0</v>
      </c>
      <c r="J138" s="71">
        <v>0</v>
      </c>
      <c r="K138" s="71">
        <v>0</v>
      </c>
      <c r="L138" s="71">
        <v>0</v>
      </c>
      <c r="M138" s="71">
        <v>0</v>
      </c>
      <c r="N138" s="71">
        <v>0</v>
      </c>
      <c r="O138" s="71">
        <v>0</v>
      </c>
      <c r="P138" s="84">
        <v>0</v>
      </c>
      <c r="Q138" s="82">
        <v>0</v>
      </c>
      <c r="R138" s="71">
        <v>0</v>
      </c>
      <c r="S138" s="104"/>
      <c r="T138" s="71">
        <v>0</v>
      </c>
      <c r="U138" s="71">
        <v>0</v>
      </c>
    </row>
    <row r="139" spans="1:35" ht="15.75" x14ac:dyDescent="0.25">
      <c r="A139" s="82" t="s">
        <v>1590</v>
      </c>
      <c r="B139" s="73" t="s">
        <v>5076</v>
      </c>
      <c r="C139" s="71">
        <v>173272</v>
      </c>
      <c r="D139" s="71">
        <v>174212</v>
      </c>
      <c r="E139" s="71">
        <v>175182</v>
      </c>
      <c r="F139" s="71">
        <v>177078</v>
      </c>
      <c r="G139" s="71">
        <v>177355</v>
      </c>
      <c r="H139" s="71">
        <v>176306</v>
      </c>
      <c r="I139" s="71">
        <v>176420</v>
      </c>
      <c r="J139" s="71">
        <v>176459</v>
      </c>
      <c r="K139" s="71">
        <v>176442</v>
      </c>
      <c r="L139" s="71">
        <v>176411</v>
      </c>
      <c r="M139" s="71">
        <v>176460</v>
      </c>
      <c r="N139" s="71">
        <v>176531</v>
      </c>
      <c r="O139" s="71">
        <v>176612</v>
      </c>
      <c r="P139" s="84">
        <v>176056.92307692306</v>
      </c>
      <c r="Q139" s="82">
        <v>176222</v>
      </c>
      <c r="R139" s="71">
        <v>175706.84615384616</v>
      </c>
      <c r="S139" s="104"/>
      <c r="T139" s="71">
        <v>390</v>
      </c>
      <c r="U139" s="71">
        <v>350.07692307690741</v>
      </c>
    </row>
    <row r="140" spans="1:35" ht="15.75" x14ac:dyDescent="0.25">
      <c r="A140" s="82" t="s">
        <v>5077</v>
      </c>
      <c r="B140" s="73" t="s">
        <v>5078</v>
      </c>
      <c r="C140" s="70">
        <v>124188</v>
      </c>
      <c r="D140" s="71">
        <v>124349</v>
      </c>
      <c r="E140" s="71">
        <v>124511</v>
      </c>
      <c r="F140" s="71">
        <v>124673</v>
      </c>
      <c r="G140" s="71">
        <v>124835</v>
      </c>
      <c r="H140" s="71">
        <v>124997</v>
      </c>
      <c r="I140" s="71">
        <v>125159</v>
      </c>
      <c r="J140" s="71">
        <v>125321</v>
      </c>
      <c r="K140" s="71">
        <v>125482</v>
      </c>
      <c r="L140" s="71">
        <v>125644</v>
      </c>
      <c r="M140" s="71">
        <v>125806</v>
      </c>
      <c r="N140" s="71">
        <v>125968</v>
      </c>
      <c r="O140" s="71">
        <v>126130</v>
      </c>
      <c r="P140" s="84">
        <v>125158.69230769231</v>
      </c>
      <c r="Q140" s="85">
        <v>126130</v>
      </c>
      <c r="R140" s="71">
        <v>125158.69230769231</v>
      </c>
      <c r="S140" s="104"/>
      <c r="T140" s="71">
        <v>0</v>
      </c>
      <c r="U140" s="71">
        <v>0</v>
      </c>
    </row>
    <row r="141" spans="1:35" ht="15.75" x14ac:dyDescent="0.25">
      <c r="A141" s="85" t="s">
        <v>4161</v>
      </c>
      <c r="B141" s="73" t="s">
        <v>5079</v>
      </c>
      <c r="C141" s="70">
        <v>4</v>
      </c>
      <c r="D141" s="70">
        <v>4</v>
      </c>
      <c r="E141" s="70">
        <v>4</v>
      </c>
      <c r="F141" s="70">
        <v>4</v>
      </c>
      <c r="G141" s="70">
        <v>4</v>
      </c>
      <c r="H141" s="70">
        <v>5</v>
      </c>
      <c r="I141" s="70">
        <v>5</v>
      </c>
      <c r="J141" s="70">
        <v>5</v>
      </c>
      <c r="K141" s="70">
        <v>5</v>
      </c>
      <c r="L141" s="70">
        <v>6</v>
      </c>
      <c r="M141" s="70">
        <v>6</v>
      </c>
      <c r="N141" s="70">
        <v>6</v>
      </c>
      <c r="O141" s="70">
        <v>6</v>
      </c>
      <c r="P141" s="84">
        <v>4.9230769230769234</v>
      </c>
      <c r="Q141" s="85">
        <v>6</v>
      </c>
      <c r="R141" s="70">
        <v>4.9230769230769234</v>
      </c>
      <c r="S141" s="104"/>
      <c r="T141" s="70">
        <v>0</v>
      </c>
      <c r="U141" s="70">
        <v>0</v>
      </c>
    </row>
    <row r="142" spans="1:35" ht="15.75" x14ac:dyDescent="0.25">
      <c r="A142" s="85" t="s">
        <v>4163</v>
      </c>
      <c r="B142" s="73" t="s">
        <v>5079</v>
      </c>
      <c r="C142" s="70">
        <v>419</v>
      </c>
      <c r="D142" s="70">
        <v>421</v>
      </c>
      <c r="E142" s="70">
        <v>422</v>
      </c>
      <c r="F142" s="70">
        <v>423</v>
      </c>
      <c r="G142" s="70">
        <v>425</v>
      </c>
      <c r="H142" s="70">
        <v>426</v>
      </c>
      <c r="I142" s="70">
        <v>427</v>
      </c>
      <c r="J142" s="70">
        <v>429</v>
      </c>
      <c r="K142" s="70">
        <v>430</v>
      </c>
      <c r="L142" s="70">
        <v>431</v>
      </c>
      <c r="M142" s="70">
        <v>433</v>
      </c>
      <c r="N142" s="70">
        <v>434</v>
      </c>
      <c r="O142" s="70">
        <v>436</v>
      </c>
      <c r="P142" s="84">
        <v>427.38461538461536</v>
      </c>
      <c r="Q142" s="82">
        <v>436</v>
      </c>
      <c r="R142" s="70">
        <v>427.38461538461536</v>
      </c>
      <c r="S142" s="104"/>
      <c r="T142" s="70">
        <v>0</v>
      </c>
      <c r="U142" s="70">
        <v>0</v>
      </c>
    </row>
    <row r="143" spans="1:35" ht="15.75" x14ac:dyDescent="0.25">
      <c r="A143" s="82" t="s">
        <v>1576</v>
      </c>
      <c r="B143" s="73" t="s">
        <v>5080</v>
      </c>
      <c r="C143" s="70">
        <v>7508</v>
      </c>
      <c r="D143" s="70">
        <v>7459</v>
      </c>
      <c r="E143" s="70">
        <v>7409</v>
      </c>
      <c r="F143" s="70">
        <v>7360</v>
      </c>
      <c r="G143" s="70">
        <v>7310</v>
      </c>
      <c r="H143" s="70">
        <v>7261</v>
      </c>
      <c r="I143" s="70">
        <v>7211</v>
      </c>
      <c r="J143" s="70">
        <v>7162</v>
      </c>
      <c r="K143" s="70">
        <v>7112</v>
      </c>
      <c r="L143" s="70">
        <v>7063</v>
      </c>
      <c r="M143" s="70">
        <v>7013</v>
      </c>
      <c r="N143" s="70">
        <v>6964</v>
      </c>
      <c r="O143" s="70">
        <v>6914</v>
      </c>
      <c r="P143" s="84">
        <v>7211.2307692307695</v>
      </c>
      <c r="Q143" s="77">
        <v>6121</v>
      </c>
      <c r="R143" s="70">
        <v>6814.9230769230771</v>
      </c>
      <c r="S143" s="104"/>
      <c r="T143" s="70">
        <v>793</v>
      </c>
      <c r="U143" s="70">
        <v>396.30769230769238</v>
      </c>
    </row>
    <row r="144" spans="1:35" ht="15.75" x14ac:dyDescent="0.25">
      <c r="A144" s="108" t="s">
        <v>1578</v>
      </c>
      <c r="B144" s="73" t="s">
        <v>5081</v>
      </c>
      <c r="C144" s="70">
        <v>28174</v>
      </c>
      <c r="D144" s="70">
        <v>28174</v>
      </c>
      <c r="E144" s="70">
        <v>28174</v>
      </c>
      <c r="F144" s="70">
        <v>28174</v>
      </c>
      <c r="G144" s="70">
        <v>28174</v>
      </c>
      <c r="H144" s="70">
        <v>28174</v>
      </c>
      <c r="I144" s="70">
        <v>28174</v>
      </c>
      <c r="J144" s="70">
        <v>28174</v>
      </c>
      <c r="K144" s="70">
        <v>28174</v>
      </c>
      <c r="L144" s="70">
        <v>28174</v>
      </c>
      <c r="M144" s="70">
        <v>28174</v>
      </c>
      <c r="N144" s="70">
        <v>28174</v>
      </c>
      <c r="O144" s="70">
        <v>28174</v>
      </c>
      <c r="P144" s="84">
        <v>28174</v>
      </c>
      <c r="Q144" s="77">
        <v>28174</v>
      </c>
      <c r="R144" s="70">
        <v>28174</v>
      </c>
      <c r="S144" s="104"/>
      <c r="T144" s="70">
        <v>0</v>
      </c>
      <c r="U144" s="70">
        <v>0</v>
      </c>
    </row>
    <row r="145" spans="1:21" ht="15.75" x14ac:dyDescent="0.25">
      <c r="A145" s="108" t="s">
        <v>1580</v>
      </c>
      <c r="B145" s="73" t="s">
        <v>5082</v>
      </c>
      <c r="C145" s="70">
        <v>4685</v>
      </c>
      <c r="D145" s="70">
        <v>4685</v>
      </c>
      <c r="E145" s="70">
        <v>4685</v>
      </c>
      <c r="F145" s="70">
        <v>4685</v>
      </c>
      <c r="G145" s="70">
        <v>4685</v>
      </c>
      <c r="H145" s="70">
        <v>4685</v>
      </c>
      <c r="I145" s="70">
        <v>4685</v>
      </c>
      <c r="J145" s="70">
        <v>4685</v>
      </c>
      <c r="K145" s="70">
        <v>4685</v>
      </c>
      <c r="L145" s="70">
        <v>4685</v>
      </c>
      <c r="M145" s="70">
        <v>4685</v>
      </c>
      <c r="N145" s="70">
        <v>4685</v>
      </c>
      <c r="O145" s="70">
        <v>4685</v>
      </c>
      <c r="P145" s="84">
        <v>4685</v>
      </c>
      <c r="Q145" s="77">
        <v>4685</v>
      </c>
      <c r="R145" s="70">
        <v>4685</v>
      </c>
      <c r="S145" s="104"/>
      <c r="T145" s="70">
        <v>0</v>
      </c>
      <c r="U145" s="70">
        <v>0</v>
      </c>
    </row>
    <row r="146" spans="1:21" ht="15.75" x14ac:dyDescent="0.25">
      <c r="A146" s="108" t="s">
        <v>1582</v>
      </c>
      <c r="B146" s="73" t="s">
        <v>5083</v>
      </c>
      <c r="C146" s="70">
        <v>719</v>
      </c>
      <c r="D146" s="70">
        <v>837</v>
      </c>
      <c r="E146" s="70">
        <v>959</v>
      </c>
      <c r="F146" s="70">
        <v>1077</v>
      </c>
      <c r="G146" s="70">
        <v>1100</v>
      </c>
      <c r="H146" s="70">
        <v>1102</v>
      </c>
      <c r="I146" s="70">
        <v>1106</v>
      </c>
      <c r="J146" s="70">
        <v>1099</v>
      </c>
      <c r="K146" s="70">
        <v>1084</v>
      </c>
      <c r="L146" s="70">
        <v>1067</v>
      </c>
      <c r="M146" s="70">
        <v>1061</v>
      </c>
      <c r="N146" s="70">
        <v>1059</v>
      </c>
      <c r="O146" s="70">
        <v>1058</v>
      </c>
      <c r="P146" s="84">
        <v>1025.2307692307693</v>
      </c>
      <c r="Q146" s="77">
        <v>1058</v>
      </c>
      <c r="R146" s="70">
        <v>1025.2307692307693</v>
      </c>
      <c r="S146" s="104"/>
      <c r="T146" s="70">
        <v>0</v>
      </c>
      <c r="U146" s="70">
        <v>0</v>
      </c>
    </row>
    <row r="147" spans="1:21" ht="15.75" x14ac:dyDescent="0.25">
      <c r="A147" s="108" t="s">
        <v>1584</v>
      </c>
      <c r="B147" s="73" t="s">
        <v>5084</v>
      </c>
      <c r="C147" s="70">
        <v>4322</v>
      </c>
      <c r="D147" s="70">
        <v>5030</v>
      </c>
      <c r="E147" s="70">
        <v>5765</v>
      </c>
      <c r="F147" s="70">
        <v>6476</v>
      </c>
      <c r="G147" s="70">
        <v>6616</v>
      </c>
      <c r="H147" s="70">
        <v>6627</v>
      </c>
      <c r="I147" s="70">
        <v>6650</v>
      </c>
      <c r="J147" s="70">
        <v>6606</v>
      </c>
      <c r="K147" s="70">
        <v>6518</v>
      </c>
      <c r="L147" s="70">
        <v>6414</v>
      </c>
      <c r="M147" s="70">
        <v>6380</v>
      </c>
      <c r="N147" s="70">
        <v>6365</v>
      </c>
      <c r="O147" s="70">
        <v>6359</v>
      </c>
      <c r="P147" s="84">
        <v>6163.6923076923076</v>
      </c>
      <c r="Q147" s="77">
        <v>6359</v>
      </c>
      <c r="R147" s="70">
        <v>6163.6923076923076</v>
      </c>
      <c r="S147" s="104"/>
      <c r="T147" s="70">
        <v>0</v>
      </c>
      <c r="U147" s="70">
        <v>0</v>
      </c>
    </row>
    <row r="148" spans="1:21" ht="15.75" x14ac:dyDescent="0.25">
      <c r="A148" s="108" t="s">
        <v>1586</v>
      </c>
      <c r="B148" s="73" t="s">
        <v>5085</v>
      </c>
      <c r="C148" s="70">
        <v>464</v>
      </c>
      <c r="D148" s="70">
        <v>464</v>
      </c>
      <c r="E148" s="70">
        <v>464</v>
      </c>
      <c r="F148" s="70">
        <v>600</v>
      </c>
      <c r="G148" s="70">
        <v>600</v>
      </c>
      <c r="H148" s="70">
        <v>432</v>
      </c>
      <c r="I148" s="70">
        <v>428</v>
      </c>
      <c r="J148" s="70">
        <v>425</v>
      </c>
      <c r="K148" s="70">
        <v>421</v>
      </c>
      <c r="L148" s="70">
        <v>417</v>
      </c>
      <c r="M148" s="70">
        <v>414</v>
      </c>
      <c r="N148" s="70">
        <v>410</v>
      </c>
      <c r="O148" s="70">
        <v>406</v>
      </c>
      <c r="P148" s="84">
        <v>457.30769230769232</v>
      </c>
      <c r="Q148" s="77">
        <v>464</v>
      </c>
      <c r="R148" s="70">
        <v>464</v>
      </c>
      <c r="S148" s="104"/>
      <c r="T148" s="70">
        <v>-58</v>
      </c>
      <c r="U148" s="70">
        <v>-6.6923076923076792</v>
      </c>
    </row>
    <row r="149" spans="1:21" ht="15.75" x14ac:dyDescent="0.25">
      <c r="A149" s="108" t="s">
        <v>1588</v>
      </c>
      <c r="B149" s="73" t="s">
        <v>5086</v>
      </c>
      <c r="C149" s="70">
        <v>2789</v>
      </c>
      <c r="D149" s="70">
        <v>2789</v>
      </c>
      <c r="E149" s="70">
        <v>2789</v>
      </c>
      <c r="F149" s="70">
        <v>3606</v>
      </c>
      <c r="G149" s="70">
        <v>3606</v>
      </c>
      <c r="H149" s="70">
        <v>2597</v>
      </c>
      <c r="I149" s="70">
        <v>2575</v>
      </c>
      <c r="J149" s="70">
        <v>2553</v>
      </c>
      <c r="K149" s="70">
        <v>2531</v>
      </c>
      <c r="L149" s="70">
        <v>2510</v>
      </c>
      <c r="M149" s="70">
        <v>2488</v>
      </c>
      <c r="N149" s="70">
        <v>2466</v>
      </c>
      <c r="O149" s="70">
        <v>2444</v>
      </c>
      <c r="P149" s="84">
        <v>2749.4615384615386</v>
      </c>
      <c r="Q149" s="77">
        <v>2789</v>
      </c>
      <c r="R149" s="70">
        <v>2789</v>
      </c>
      <c r="S149" s="104"/>
      <c r="T149" s="70">
        <v>-345</v>
      </c>
      <c r="U149" s="70">
        <v>-39.538461538461434</v>
      </c>
    </row>
    <row r="150" spans="1:21" x14ac:dyDescent="0.2">
      <c r="A150" s="77" t="s">
        <v>1593</v>
      </c>
      <c r="B150" s="70" t="s">
        <v>5087</v>
      </c>
      <c r="C150" s="71">
        <v>-119697</v>
      </c>
      <c r="D150" s="71">
        <v>-119697</v>
      </c>
      <c r="E150" s="71">
        <v>-119697</v>
      </c>
      <c r="F150" s="71">
        <v>-119697</v>
      </c>
      <c r="G150" s="71">
        <v>-119697</v>
      </c>
      <c r="H150" s="71">
        <v>-119697</v>
      </c>
      <c r="I150" s="71">
        <v>-119697</v>
      </c>
      <c r="J150" s="71">
        <v>-119697</v>
      </c>
      <c r="K150" s="71">
        <v>-119697</v>
      </c>
      <c r="L150" s="71">
        <v>-119697</v>
      </c>
      <c r="M150" s="71">
        <v>-119697</v>
      </c>
      <c r="N150" s="71">
        <v>-119697</v>
      </c>
      <c r="O150" s="71">
        <v>-119697</v>
      </c>
      <c r="P150" s="84">
        <v>-119697</v>
      </c>
      <c r="Q150" s="77">
        <v>-119697</v>
      </c>
      <c r="R150" s="71">
        <v>-119697</v>
      </c>
      <c r="S150" s="104"/>
      <c r="T150" s="71">
        <v>0</v>
      </c>
      <c r="U150" s="71">
        <v>0</v>
      </c>
    </row>
    <row r="151" spans="1:21" x14ac:dyDescent="0.2">
      <c r="A151" s="77" t="s">
        <v>5088</v>
      </c>
      <c r="B151" s="70" t="s">
        <v>5089</v>
      </c>
      <c r="C151" s="71">
        <v>0</v>
      </c>
      <c r="D151" s="71">
        <v>0</v>
      </c>
      <c r="E151" s="71">
        <v>0</v>
      </c>
      <c r="F151" s="71">
        <v>0</v>
      </c>
      <c r="G151" s="71">
        <v>0</v>
      </c>
      <c r="H151" s="71">
        <v>0</v>
      </c>
      <c r="I151" s="71">
        <v>0</v>
      </c>
      <c r="J151" s="71">
        <v>0</v>
      </c>
      <c r="K151" s="71">
        <v>0</v>
      </c>
      <c r="L151" s="71">
        <v>0</v>
      </c>
      <c r="M151" s="71">
        <v>0</v>
      </c>
      <c r="N151" s="71">
        <v>0</v>
      </c>
      <c r="O151" s="71">
        <v>0</v>
      </c>
      <c r="P151" s="84">
        <v>0</v>
      </c>
      <c r="Q151" s="77">
        <v>0</v>
      </c>
      <c r="R151" s="71">
        <v>0</v>
      </c>
      <c r="S151" s="104"/>
      <c r="T151" s="71">
        <v>0</v>
      </c>
      <c r="U151" s="71">
        <v>0</v>
      </c>
    </row>
    <row r="152" spans="1:21" x14ac:dyDescent="0.2">
      <c r="A152" s="77" t="s">
        <v>5088</v>
      </c>
      <c r="B152" s="70" t="s">
        <v>5090</v>
      </c>
      <c r="C152" s="71">
        <v>-1154040</v>
      </c>
      <c r="D152" s="71">
        <v>-1235840</v>
      </c>
      <c r="E152" s="71">
        <v>-1285840</v>
      </c>
      <c r="F152" s="71">
        <v>-1335840</v>
      </c>
      <c r="G152" s="71">
        <v>-1385840</v>
      </c>
      <c r="H152" s="71">
        <v>-1385840</v>
      </c>
      <c r="I152" s="71">
        <v>-1385840</v>
      </c>
      <c r="J152" s="71">
        <v>-1385840</v>
      </c>
      <c r="K152" s="71">
        <v>-1385840</v>
      </c>
      <c r="L152" s="71">
        <v>-1385840</v>
      </c>
      <c r="M152" s="71">
        <v>-1435840</v>
      </c>
      <c r="N152" s="71">
        <v>-1435840</v>
      </c>
      <c r="O152" s="71">
        <v>-1535840</v>
      </c>
      <c r="P152" s="84">
        <v>-1364163.076923077</v>
      </c>
      <c r="Q152" s="109">
        <v>-1425840</v>
      </c>
      <c r="R152" s="71">
        <v>-1344163.076923077</v>
      </c>
      <c r="S152" s="104"/>
      <c r="T152" s="71">
        <v>-110000</v>
      </c>
      <c r="U152" s="71">
        <v>-20000</v>
      </c>
    </row>
    <row r="153" spans="1:21" ht="15.75" x14ac:dyDescent="0.25">
      <c r="A153" s="109" t="s">
        <v>5088</v>
      </c>
      <c r="B153" s="110" t="s">
        <v>5091</v>
      </c>
      <c r="C153" s="71">
        <v>-81800</v>
      </c>
      <c r="D153" s="86">
        <v>-50000</v>
      </c>
      <c r="E153" s="86">
        <v>-50000</v>
      </c>
      <c r="F153" s="86">
        <v>-50000</v>
      </c>
      <c r="G153" s="86">
        <v>0</v>
      </c>
      <c r="H153" s="86">
        <v>0</v>
      </c>
      <c r="I153" s="86">
        <v>0</v>
      </c>
      <c r="J153" s="86">
        <v>0</v>
      </c>
      <c r="K153" s="86">
        <v>0</v>
      </c>
      <c r="L153" s="86">
        <v>-50000</v>
      </c>
      <c r="M153" s="86">
        <v>0</v>
      </c>
      <c r="N153" s="86">
        <v>-100000</v>
      </c>
      <c r="O153" s="86">
        <v>-50000</v>
      </c>
      <c r="P153" s="84">
        <v>-33215.384615384617</v>
      </c>
      <c r="Q153" s="77">
        <v>0</v>
      </c>
      <c r="R153" s="71">
        <v>-20907.692307692309</v>
      </c>
      <c r="S153" s="104"/>
      <c r="T153" s="71">
        <v>-50000</v>
      </c>
      <c r="U153" s="71">
        <v>-12307.692307692309</v>
      </c>
    </row>
    <row r="154" spans="1:21" x14ac:dyDescent="0.2">
      <c r="A154" s="77" t="s">
        <v>1596</v>
      </c>
      <c r="B154" s="70" t="s">
        <v>5092</v>
      </c>
      <c r="C154" s="71">
        <v>-1235840</v>
      </c>
      <c r="D154" s="71">
        <v>-1285840</v>
      </c>
      <c r="E154" s="71">
        <v>-1335840</v>
      </c>
      <c r="F154" s="71">
        <v>-1385840</v>
      </c>
      <c r="G154" s="71">
        <v>-1385840</v>
      </c>
      <c r="H154" s="71">
        <v>-1385840</v>
      </c>
      <c r="I154" s="71">
        <v>-1385840</v>
      </c>
      <c r="J154" s="71">
        <v>-1385840</v>
      </c>
      <c r="K154" s="71">
        <v>-1385840</v>
      </c>
      <c r="L154" s="71">
        <v>-1435840</v>
      </c>
      <c r="M154" s="71">
        <v>-1435840</v>
      </c>
      <c r="N154" s="71">
        <v>-1535840</v>
      </c>
      <c r="O154" s="71">
        <v>-1585840</v>
      </c>
      <c r="P154" s="84">
        <v>-1397378.4615384615</v>
      </c>
      <c r="Q154" s="77">
        <v>-1425840</v>
      </c>
      <c r="R154" s="71">
        <v>-1365070.7692307692</v>
      </c>
      <c r="S154" s="104"/>
      <c r="T154" s="71">
        <v>-160000</v>
      </c>
      <c r="U154" s="71">
        <v>-32307.692307692254</v>
      </c>
    </row>
    <row r="155" spans="1:21" x14ac:dyDescent="0.2">
      <c r="A155" s="77" t="s">
        <v>1603</v>
      </c>
      <c r="B155" s="70" t="s">
        <v>5093</v>
      </c>
      <c r="C155" s="71">
        <v>701</v>
      </c>
      <c r="D155" s="71">
        <v>701</v>
      </c>
      <c r="E155" s="71">
        <v>701</v>
      </c>
      <c r="F155" s="71">
        <v>701</v>
      </c>
      <c r="G155" s="71">
        <v>701</v>
      </c>
      <c r="H155" s="71">
        <v>701</v>
      </c>
      <c r="I155" s="71">
        <v>701</v>
      </c>
      <c r="J155" s="71">
        <v>701</v>
      </c>
      <c r="K155" s="71">
        <v>701</v>
      </c>
      <c r="L155" s="71">
        <v>701</v>
      </c>
      <c r="M155" s="71">
        <v>701</v>
      </c>
      <c r="N155" s="71">
        <v>701</v>
      </c>
      <c r="O155" s="71">
        <v>701</v>
      </c>
      <c r="P155" s="84">
        <v>701</v>
      </c>
      <c r="Q155" s="109">
        <v>701</v>
      </c>
      <c r="R155" s="71">
        <v>701</v>
      </c>
      <c r="S155" s="104"/>
      <c r="T155" s="71">
        <v>0</v>
      </c>
      <c r="U155" s="71">
        <v>0</v>
      </c>
    </row>
    <row r="156" spans="1:21" ht="14.25" customHeight="1" x14ac:dyDescent="0.2">
      <c r="A156" s="109" t="s">
        <v>5088</v>
      </c>
      <c r="B156" s="70" t="s">
        <v>5094</v>
      </c>
      <c r="C156" s="71">
        <v>-176474</v>
      </c>
      <c r="D156" s="71">
        <v>-183031</v>
      </c>
      <c r="E156" s="71">
        <v>-153070</v>
      </c>
      <c r="F156" s="71">
        <v>-159283</v>
      </c>
      <c r="G156" s="71">
        <v>-164498</v>
      </c>
      <c r="H156" s="71">
        <v>-149142</v>
      </c>
      <c r="I156" s="71">
        <v>-166620</v>
      </c>
      <c r="J156" s="71">
        <v>-184627</v>
      </c>
      <c r="K156" s="71">
        <v>-176323</v>
      </c>
      <c r="L156" s="71">
        <v>-197762</v>
      </c>
      <c r="M156" s="71">
        <v>-212722</v>
      </c>
      <c r="N156" s="71">
        <v>-167693</v>
      </c>
      <c r="O156" s="71">
        <v>-176405</v>
      </c>
      <c r="P156" s="84">
        <v>-174434.61538461538</v>
      </c>
      <c r="Q156" s="77">
        <v>-177078</v>
      </c>
      <c r="R156" s="71">
        <v>-174245.23076923078</v>
      </c>
      <c r="S156" s="104"/>
      <c r="T156" s="71">
        <v>673</v>
      </c>
      <c r="U156" s="71">
        <v>-189.38461538459524</v>
      </c>
    </row>
    <row r="157" spans="1:21" ht="14.25" customHeight="1" x14ac:dyDescent="0.2">
      <c r="A157" s="77" t="s">
        <v>5088</v>
      </c>
      <c r="B157" s="70" t="s">
        <v>5095</v>
      </c>
      <c r="C157" s="71">
        <v>-6555</v>
      </c>
      <c r="D157" s="71">
        <v>-9545</v>
      </c>
      <c r="E157" s="71">
        <v>-6213</v>
      </c>
      <c r="F157" s="71">
        <v>-5215</v>
      </c>
      <c r="G157" s="71">
        <v>-6958</v>
      </c>
      <c r="H157" s="71">
        <v>-17478</v>
      </c>
      <c r="I157" s="71">
        <v>-18007</v>
      </c>
      <c r="J157" s="71">
        <v>-21348</v>
      </c>
      <c r="K157" s="71">
        <v>-21439</v>
      </c>
      <c r="L157" s="71">
        <v>-14960</v>
      </c>
      <c r="M157" s="71">
        <v>-15768</v>
      </c>
      <c r="N157" s="71">
        <v>-8712</v>
      </c>
      <c r="O157" s="71">
        <v>-7582</v>
      </c>
      <c r="P157" s="84">
        <v>-12290.76923076923</v>
      </c>
      <c r="Q157" s="70">
        <v>-7268</v>
      </c>
      <c r="R157" s="71">
        <v>-12181.923076923076</v>
      </c>
      <c r="S157" s="104"/>
      <c r="T157" s="71">
        <v>-314</v>
      </c>
      <c r="U157" s="71">
        <v>-108.84615384615427</v>
      </c>
    </row>
    <row r="158" spans="1:21" ht="14.25" customHeight="1" x14ac:dyDescent="0.2">
      <c r="B158" s="70" t="s">
        <v>5096</v>
      </c>
      <c r="C158" s="71">
        <v>0</v>
      </c>
      <c r="D158" s="71">
        <v>39506</v>
      </c>
      <c r="E158" s="71">
        <v>0</v>
      </c>
      <c r="F158" s="71">
        <v>0</v>
      </c>
      <c r="G158" s="71">
        <v>22314</v>
      </c>
      <c r="H158" s="71">
        <v>0</v>
      </c>
      <c r="I158" s="71">
        <v>0</v>
      </c>
      <c r="J158" s="71">
        <v>29652</v>
      </c>
      <c r="K158" s="71">
        <v>0</v>
      </c>
      <c r="L158" s="71">
        <v>0</v>
      </c>
      <c r="M158" s="71">
        <v>60797</v>
      </c>
      <c r="N158" s="71">
        <v>0</v>
      </c>
      <c r="O158" s="71">
        <v>0</v>
      </c>
      <c r="P158" s="84">
        <v>11713</v>
      </c>
      <c r="Q158" s="70">
        <v>0</v>
      </c>
      <c r="R158" s="71">
        <v>11576.538461538461</v>
      </c>
      <c r="S158" s="104"/>
      <c r="T158" s="71">
        <v>0</v>
      </c>
      <c r="U158" s="71">
        <v>136.46153846153902</v>
      </c>
    </row>
    <row r="159" spans="1:21" x14ac:dyDescent="0.2">
      <c r="B159" s="90" t="s">
        <v>5097</v>
      </c>
      <c r="C159" s="90">
        <v>0</v>
      </c>
      <c r="D159" s="90">
        <v>0</v>
      </c>
      <c r="E159" s="90">
        <v>0</v>
      </c>
      <c r="F159" s="90">
        <v>0</v>
      </c>
      <c r="G159" s="90">
        <v>0</v>
      </c>
      <c r="H159" s="90">
        <v>0</v>
      </c>
      <c r="I159" s="90">
        <v>0</v>
      </c>
      <c r="J159" s="90">
        <v>0</v>
      </c>
      <c r="K159" s="90">
        <v>0</v>
      </c>
      <c r="L159" s="90">
        <v>0</v>
      </c>
      <c r="M159" s="90">
        <v>0</v>
      </c>
      <c r="N159" s="90">
        <v>0</v>
      </c>
      <c r="O159" s="90">
        <v>0</v>
      </c>
      <c r="P159" s="84">
        <v>0</v>
      </c>
      <c r="Q159" s="77">
        <v>0</v>
      </c>
      <c r="R159" s="90">
        <v>0</v>
      </c>
      <c r="S159" s="104"/>
      <c r="T159" s="90">
        <v>0</v>
      </c>
      <c r="U159" s="90">
        <v>0</v>
      </c>
    </row>
    <row r="160" spans="1:21" ht="14.25" customHeight="1" x14ac:dyDescent="0.2">
      <c r="A160" s="77" t="s">
        <v>1606</v>
      </c>
      <c r="B160" s="70" t="s">
        <v>5098</v>
      </c>
      <c r="C160" s="71">
        <v>-183031</v>
      </c>
      <c r="D160" s="71">
        <v>-153070</v>
      </c>
      <c r="E160" s="71">
        <v>-159283</v>
      </c>
      <c r="F160" s="71">
        <v>-164498</v>
      </c>
      <c r="G160" s="71">
        <v>-149142</v>
      </c>
      <c r="H160" s="71">
        <v>-166620</v>
      </c>
      <c r="I160" s="71">
        <v>-184627</v>
      </c>
      <c r="J160" s="71">
        <v>-176323</v>
      </c>
      <c r="K160" s="71">
        <v>-197762</v>
      </c>
      <c r="L160" s="71">
        <v>-212722</v>
      </c>
      <c r="M160" s="71">
        <v>-167693</v>
      </c>
      <c r="N160" s="71">
        <v>-176405</v>
      </c>
      <c r="O160" s="71">
        <v>-183987</v>
      </c>
      <c r="P160" s="84">
        <v>-175012.53846153847</v>
      </c>
      <c r="Q160" s="77">
        <v>-184346</v>
      </c>
      <c r="R160" s="71">
        <v>-174850.76923076922</v>
      </c>
      <c r="S160" s="104"/>
      <c r="T160" s="71">
        <v>359</v>
      </c>
      <c r="U160" s="71">
        <v>-161.76923076924868</v>
      </c>
    </row>
    <row r="161" spans="1:21" x14ac:dyDescent="0.2">
      <c r="A161" s="77" t="s">
        <v>1615</v>
      </c>
      <c r="B161" s="70" t="s">
        <v>5099</v>
      </c>
      <c r="C161" s="71">
        <v>5180</v>
      </c>
      <c r="D161" s="71">
        <v>5180</v>
      </c>
      <c r="E161" s="71">
        <v>5180</v>
      </c>
      <c r="F161" s="71">
        <v>6696</v>
      </c>
      <c r="G161" s="71">
        <v>6696</v>
      </c>
      <c r="H161" s="71">
        <v>4822</v>
      </c>
      <c r="I161" s="71">
        <v>4782</v>
      </c>
      <c r="J161" s="71">
        <v>4741</v>
      </c>
      <c r="K161" s="71">
        <v>4701</v>
      </c>
      <c r="L161" s="71">
        <v>4661</v>
      </c>
      <c r="M161" s="71">
        <v>4620</v>
      </c>
      <c r="N161" s="71">
        <v>4580</v>
      </c>
      <c r="O161" s="71">
        <v>4540</v>
      </c>
      <c r="P161" s="84">
        <v>5106.0769230769229</v>
      </c>
      <c r="Q161" s="77">
        <v>5180</v>
      </c>
      <c r="R161" s="71">
        <v>5180</v>
      </c>
      <c r="S161" s="104"/>
      <c r="T161" s="71">
        <v>-640</v>
      </c>
      <c r="U161" s="71">
        <v>-73.923076923077133</v>
      </c>
    </row>
    <row r="162" spans="1:21" ht="15.75" x14ac:dyDescent="0.25">
      <c r="A162" s="77" t="s">
        <v>1662</v>
      </c>
      <c r="B162" s="70" t="s">
        <v>5100</v>
      </c>
      <c r="C162" s="71">
        <v>-1663835</v>
      </c>
      <c r="D162" s="71">
        <v>-1663835</v>
      </c>
      <c r="E162" s="71">
        <v>-1663835</v>
      </c>
      <c r="F162" s="71">
        <v>-1568835</v>
      </c>
      <c r="G162" s="71">
        <v>-1568835</v>
      </c>
      <c r="H162" s="71">
        <v>-1668835</v>
      </c>
      <c r="I162" s="71">
        <v>-1668835</v>
      </c>
      <c r="J162" s="71">
        <v>-1668835</v>
      </c>
      <c r="K162" s="71">
        <v>-1668835</v>
      </c>
      <c r="L162" s="71">
        <v>-1668835</v>
      </c>
      <c r="M162" s="71">
        <v>-1668835</v>
      </c>
      <c r="N162" s="71">
        <v>-1668835</v>
      </c>
      <c r="O162" s="86">
        <v>-1668835</v>
      </c>
      <c r="P162" s="84">
        <v>-1652296.5384615385</v>
      </c>
      <c r="Q162" s="79">
        <v>-1763835</v>
      </c>
      <c r="R162" s="86">
        <v>-1717681.1538461538</v>
      </c>
      <c r="S162" s="104"/>
      <c r="T162" s="86">
        <v>95000</v>
      </c>
      <c r="U162" s="86">
        <v>65384.615384615259</v>
      </c>
    </row>
    <row r="163" spans="1:21" ht="15.75" x14ac:dyDescent="0.25">
      <c r="A163" s="79" t="s">
        <v>1619</v>
      </c>
      <c r="B163" s="70" t="s">
        <v>5101</v>
      </c>
      <c r="C163" s="71">
        <v>0</v>
      </c>
      <c r="D163" s="71">
        <v>0</v>
      </c>
      <c r="E163" s="71">
        <v>0</v>
      </c>
      <c r="F163" s="71">
        <v>0</v>
      </c>
      <c r="G163" s="71">
        <v>0</v>
      </c>
      <c r="H163" s="71">
        <v>0</v>
      </c>
      <c r="I163" s="71">
        <v>0</v>
      </c>
      <c r="J163" s="71">
        <v>0</v>
      </c>
      <c r="K163" s="71">
        <v>0</v>
      </c>
      <c r="L163" s="71">
        <v>0</v>
      </c>
      <c r="M163" s="71">
        <v>0</v>
      </c>
      <c r="N163" s="71">
        <v>0</v>
      </c>
      <c r="O163" s="86">
        <v>0</v>
      </c>
      <c r="P163" s="84">
        <v>0</v>
      </c>
      <c r="Q163" s="79">
        <v>0</v>
      </c>
      <c r="R163" s="86">
        <v>0</v>
      </c>
      <c r="S163" s="104"/>
      <c r="T163" s="86">
        <v>0</v>
      </c>
      <c r="U163" s="86">
        <v>0</v>
      </c>
    </row>
    <row r="164" spans="1:21" ht="15.75" x14ac:dyDescent="0.25">
      <c r="A164" s="79" t="s">
        <v>1625</v>
      </c>
      <c r="B164" s="70" t="s">
        <v>5102</v>
      </c>
      <c r="C164" s="71">
        <v>0</v>
      </c>
      <c r="D164" s="71">
        <v>0</v>
      </c>
      <c r="E164" s="71">
        <v>0</v>
      </c>
      <c r="F164" s="71">
        <v>0</v>
      </c>
      <c r="G164" s="71">
        <v>0</v>
      </c>
      <c r="H164" s="71">
        <v>0</v>
      </c>
      <c r="I164" s="71">
        <v>0</v>
      </c>
      <c r="J164" s="71">
        <v>0</v>
      </c>
      <c r="K164" s="71">
        <v>0</v>
      </c>
      <c r="L164" s="71">
        <v>0</v>
      </c>
      <c r="M164" s="71">
        <v>0</v>
      </c>
      <c r="N164" s="71">
        <v>0</v>
      </c>
      <c r="O164" s="86">
        <v>0</v>
      </c>
      <c r="P164" s="84">
        <v>0</v>
      </c>
      <c r="Q164" s="77">
        <v>0</v>
      </c>
      <c r="R164" s="86">
        <v>0</v>
      </c>
      <c r="S164" s="104"/>
      <c r="T164" s="86">
        <v>0</v>
      </c>
      <c r="U164" s="86">
        <v>0</v>
      </c>
    </row>
    <row r="165" spans="1:21" ht="15.75" x14ac:dyDescent="0.25">
      <c r="A165" s="77" t="s">
        <v>1627</v>
      </c>
      <c r="B165" s="70" t="s">
        <v>5103</v>
      </c>
      <c r="C165" s="71">
        <v>-250000</v>
      </c>
      <c r="D165" s="71">
        <v>-250000</v>
      </c>
      <c r="E165" s="71">
        <v>-250000</v>
      </c>
      <c r="F165" s="71">
        <v>-250000</v>
      </c>
      <c r="G165" s="71">
        <v>-250000</v>
      </c>
      <c r="H165" s="71">
        <v>-250000</v>
      </c>
      <c r="I165" s="71">
        <v>-250000</v>
      </c>
      <c r="J165" s="71">
        <v>-250000</v>
      </c>
      <c r="K165" s="71">
        <v>-250000</v>
      </c>
      <c r="L165" s="71">
        <v>-250000</v>
      </c>
      <c r="M165" s="71">
        <v>-250000</v>
      </c>
      <c r="N165" s="71">
        <v>-250000</v>
      </c>
      <c r="O165" s="86">
        <v>-250000</v>
      </c>
      <c r="P165" s="84">
        <v>-250000</v>
      </c>
      <c r="Q165" s="79">
        <v>-250000</v>
      </c>
      <c r="R165" s="86">
        <v>-250000</v>
      </c>
      <c r="S165" s="104"/>
      <c r="T165" s="86">
        <v>0</v>
      </c>
      <c r="U165" s="86">
        <v>0</v>
      </c>
    </row>
    <row r="166" spans="1:21" ht="15.75" x14ac:dyDescent="0.25">
      <c r="A166" s="79" t="s">
        <v>1631</v>
      </c>
      <c r="B166" s="70" t="s">
        <v>5104</v>
      </c>
      <c r="C166" s="71">
        <v>0</v>
      </c>
      <c r="D166" s="71">
        <v>0</v>
      </c>
      <c r="E166" s="71">
        <v>0</v>
      </c>
      <c r="F166" s="71">
        <v>0</v>
      </c>
      <c r="G166" s="71">
        <v>0</v>
      </c>
      <c r="H166" s="71">
        <v>0</v>
      </c>
      <c r="I166" s="71">
        <v>0</v>
      </c>
      <c r="J166" s="71">
        <v>0</v>
      </c>
      <c r="K166" s="71">
        <v>0</v>
      </c>
      <c r="L166" s="71">
        <v>0</v>
      </c>
      <c r="M166" s="71">
        <v>0</v>
      </c>
      <c r="N166" s="71">
        <v>0</v>
      </c>
      <c r="O166" s="86">
        <v>0</v>
      </c>
      <c r="P166" s="84">
        <v>0</v>
      </c>
      <c r="Q166" s="79">
        <v>0</v>
      </c>
      <c r="R166" s="86">
        <v>0</v>
      </c>
      <c r="S166" s="104"/>
      <c r="T166" s="86">
        <v>0</v>
      </c>
      <c r="U166" s="86">
        <v>0</v>
      </c>
    </row>
    <row r="167" spans="1:21" ht="15.75" x14ac:dyDescent="0.25">
      <c r="A167" s="80" t="s">
        <v>1616</v>
      </c>
      <c r="B167" s="70" t="s">
        <v>5105</v>
      </c>
      <c r="C167" s="71">
        <v>-75000</v>
      </c>
      <c r="D167" s="71">
        <v>-75000</v>
      </c>
      <c r="E167" s="71">
        <v>-75000</v>
      </c>
      <c r="F167" s="71">
        <v>0</v>
      </c>
      <c r="G167" s="71">
        <v>0</v>
      </c>
      <c r="H167" s="71">
        <v>0</v>
      </c>
      <c r="I167" s="71">
        <v>0</v>
      </c>
      <c r="J167" s="71">
        <v>0</v>
      </c>
      <c r="K167" s="71">
        <v>0</v>
      </c>
      <c r="L167" s="71">
        <v>0</v>
      </c>
      <c r="M167" s="71">
        <v>0</v>
      </c>
      <c r="N167" s="71">
        <v>0</v>
      </c>
      <c r="O167" s="86">
        <v>0</v>
      </c>
      <c r="P167" s="84">
        <v>-17307.692307692309</v>
      </c>
      <c r="Q167" s="79">
        <v>-75000</v>
      </c>
      <c r="R167" s="86">
        <v>-75000</v>
      </c>
      <c r="S167" s="104"/>
      <c r="T167" s="86">
        <v>75000</v>
      </c>
      <c r="U167" s="86">
        <v>57692.307692307688</v>
      </c>
    </row>
    <row r="168" spans="1:21" ht="15.75" x14ac:dyDescent="0.25">
      <c r="A168" s="79" t="s">
        <v>1635</v>
      </c>
      <c r="B168" s="70" t="s">
        <v>5106</v>
      </c>
      <c r="C168" s="71">
        <v>0</v>
      </c>
      <c r="D168" s="71">
        <v>0</v>
      </c>
      <c r="E168" s="71">
        <v>0</v>
      </c>
      <c r="F168" s="71">
        <v>0</v>
      </c>
      <c r="G168" s="71">
        <v>0</v>
      </c>
      <c r="H168" s="71">
        <v>0</v>
      </c>
      <c r="I168" s="71">
        <v>0</v>
      </c>
      <c r="J168" s="71">
        <v>0</v>
      </c>
      <c r="K168" s="71">
        <v>0</v>
      </c>
      <c r="L168" s="71">
        <v>0</v>
      </c>
      <c r="M168" s="71">
        <v>0</v>
      </c>
      <c r="N168" s="71">
        <v>0</v>
      </c>
      <c r="O168" s="86">
        <v>0</v>
      </c>
      <c r="P168" s="84">
        <v>0</v>
      </c>
      <c r="Q168" s="80">
        <v>0</v>
      </c>
      <c r="R168" s="86">
        <v>0</v>
      </c>
      <c r="S168" s="104"/>
      <c r="T168" s="86">
        <v>0</v>
      </c>
      <c r="U168" s="86">
        <v>0</v>
      </c>
    </row>
    <row r="169" spans="1:21" ht="15.75" x14ac:dyDescent="0.25">
      <c r="A169" s="80" t="s">
        <v>1639</v>
      </c>
      <c r="B169" s="70" t="s">
        <v>5107</v>
      </c>
      <c r="C169" s="71">
        <v>-85950</v>
      </c>
      <c r="D169" s="71">
        <v>-85950</v>
      </c>
      <c r="E169" s="71">
        <v>-85950</v>
      </c>
      <c r="F169" s="71">
        <v>-85950</v>
      </c>
      <c r="G169" s="71">
        <v>-85950</v>
      </c>
      <c r="H169" s="71">
        <v>-85950</v>
      </c>
      <c r="I169" s="71">
        <v>-85950</v>
      </c>
      <c r="J169" s="71">
        <v>-85950</v>
      </c>
      <c r="K169" s="71">
        <v>-85950</v>
      </c>
      <c r="L169" s="71">
        <v>-85950</v>
      </c>
      <c r="M169" s="71">
        <v>-85950</v>
      </c>
      <c r="N169" s="71">
        <v>-85950</v>
      </c>
      <c r="O169" s="86">
        <v>-85950</v>
      </c>
      <c r="P169" s="84">
        <v>-85950</v>
      </c>
      <c r="Q169" s="80">
        <v>-85950</v>
      </c>
      <c r="R169" s="86">
        <v>-85950</v>
      </c>
      <c r="S169" s="104"/>
      <c r="T169" s="86">
        <v>0</v>
      </c>
      <c r="U169" s="86">
        <v>0</v>
      </c>
    </row>
    <row r="170" spans="1:21" ht="15.75" x14ac:dyDescent="0.25">
      <c r="A170" s="80" t="s">
        <v>1640</v>
      </c>
      <c r="B170" s="70" t="s">
        <v>5108</v>
      </c>
      <c r="C170" s="71">
        <v>-210000</v>
      </c>
      <c r="D170" s="71">
        <v>-210000</v>
      </c>
      <c r="E170" s="71">
        <v>-210000</v>
      </c>
      <c r="F170" s="71">
        <v>-210000</v>
      </c>
      <c r="G170" s="71">
        <v>-210000</v>
      </c>
      <c r="H170" s="71">
        <v>-210000</v>
      </c>
      <c r="I170" s="71">
        <v>-210000</v>
      </c>
      <c r="J170" s="71">
        <v>-210000</v>
      </c>
      <c r="K170" s="71">
        <v>-210000</v>
      </c>
      <c r="L170" s="71">
        <v>-210000</v>
      </c>
      <c r="M170" s="71">
        <v>-210000</v>
      </c>
      <c r="N170" s="71">
        <v>-210000</v>
      </c>
      <c r="O170" s="86">
        <v>-210000</v>
      </c>
      <c r="P170" s="84">
        <v>-210000</v>
      </c>
      <c r="Q170" s="80">
        <v>-210000</v>
      </c>
      <c r="R170" s="86">
        <v>-210000</v>
      </c>
      <c r="S170" s="104"/>
      <c r="T170" s="86">
        <v>0</v>
      </c>
      <c r="U170" s="86">
        <v>0</v>
      </c>
    </row>
    <row r="171" spans="1:21" ht="15.75" x14ac:dyDescent="0.25">
      <c r="A171" s="80" t="s">
        <v>1642</v>
      </c>
      <c r="B171" s="70" t="s">
        <v>5109</v>
      </c>
      <c r="C171" s="71">
        <v>-60685</v>
      </c>
      <c r="D171" s="71">
        <v>-60685</v>
      </c>
      <c r="E171" s="71">
        <v>-60685</v>
      </c>
      <c r="F171" s="71">
        <v>-60685</v>
      </c>
      <c r="G171" s="71">
        <v>-60685</v>
      </c>
      <c r="H171" s="71">
        <v>-60685</v>
      </c>
      <c r="I171" s="71">
        <v>-60685</v>
      </c>
      <c r="J171" s="71">
        <v>-60685</v>
      </c>
      <c r="K171" s="71">
        <v>-60685</v>
      </c>
      <c r="L171" s="71">
        <v>-60685</v>
      </c>
      <c r="M171" s="71">
        <v>-60685</v>
      </c>
      <c r="N171" s="71">
        <v>-60685</v>
      </c>
      <c r="O171" s="86">
        <v>-60685</v>
      </c>
      <c r="P171" s="84">
        <v>-60685</v>
      </c>
      <c r="Q171" s="80">
        <v>-60685</v>
      </c>
      <c r="R171" s="86">
        <v>-60685</v>
      </c>
      <c r="S171" s="104"/>
      <c r="T171" s="86">
        <v>0</v>
      </c>
      <c r="U171" s="86">
        <v>0</v>
      </c>
    </row>
    <row r="172" spans="1:21" ht="15.75" x14ac:dyDescent="0.25">
      <c r="A172" s="80" t="s">
        <v>1644</v>
      </c>
      <c r="B172" s="70" t="s">
        <v>5110</v>
      </c>
      <c r="C172" s="71">
        <v>-86400</v>
      </c>
      <c r="D172" s="71">
        <v>-86400</v>
      </c>
      <c r="E172" s="71">
        <v>-86400</v>
      </c>
      <c r="F172" s="71">
        <v>-86400</v>
      </c>
      <c r="G172" s="71">
        <v>-86400</v>
      </c>
      <c r="H172" s="71">
        <v>-86400</v>
      </c>
      <c r="I172" s="71">
        <v>-86400</v>
      </c>
      <c r="J172" s="71">
        <v>-86400</v>
      </c>
      <c r="K172" s="71">
        <v>-86400</v>
      </c>
      <c r="L172" s="71">
        <v>-86400</v>
      </c>
      <c r="M172" s="71">
        <v>-86400</v>
      </c>
      <c r="N172" s="71">
        <v>-86400</v>
      </c>
      <c r="O172" s="86">
        <v>-86400</v>
      </c>
      <c r="P172" s="84">
        <v>-86400</v>
      </c>
      <c r="Q172" s="80">
        <v>-86400</v>
      </c>
      <c r="R172" s="86">
        <v>-86400</v>
      </c>
      <c r="S172" s="104"/>
      <c r="T172" s="86">
        <v>0</v>
      </c>
      <c r="U172" s="86">
        <v>0</v>
      </c>
    </row>
    <row r="173" spans="1:21" ht="15.75" x14ac:dyDescent="0.25">
      <c r="A173" s="80" t="s">
        <v>1646</v>
      </c>
      <c r="B173" s="70" t="s">
        <v>5111</v>
      </c>
      <c r="C173" s="71">
        <v>-330000</v>
      </c>
      <c r="D173" s="71">
        <v>-330000</v>
      </c>
      <c r="E173" s="71">
        <v>-330000</v>
      </c>
      <c r="F173" s="71">
        <v>-330000</v>
      </c>
      <c r="G173" s="71">
        <v>-330000</v>
      </c>
      <c r="H173" s="71">
        <v>-330000</v>
      </c>
      <c r="I173" s="71">
        <v>-330000</v>
      </c>
      <c r="J173" s="71">
        <v>-330000</v>
      </c>
      <c r="K173" s="71">
        <v>-330000</v>
      </c>
      <c r="L173" s="71">
        <v>-330000</v>
      </c>
      <c r="M173" s="71">
        <v>-330000</v>
      </c>
      <c r="N173" s="71">
        <v>-330000</v>
      </c>
      <c r="O173" s="86">
        <v>-330000</v>
      </c>
      <c r="P173" s="84">
        <v>-330000</v>
      </c>
      <c r="Q173" s="80">
        <v>-330000</v>
      </c>
      <c r="R173" s="86">
        <v>-330000</v>
      </c>
      <c r="S173" s="104"/>
      <c r="T173" s="86">
        <v>0</v>
      </c>
      <c r="U173" s="86">
        <v>0</v>
      </c>
    </row>
    <row r="174" spans="1:21" ht="15.75" x14ac:dyDescent="0.25">
      <c r="A174" s="80" t="s">
        <v>5112</v>
      </c>
      <c r="B174" s="98" t="s">
        <v>363</v>
      </c>
      <c r="C174" s="71">
        <v>0</v>
      </c>
      <c r="D174" s="71">
        <v>0</v>
      </c>
      <c r="E174" s="71">
        <v>0</v>
      </c>
      <c r="F174" s="71">
        <v>0</v>
      </c>
      <c r="G174" s="71">
        <v>0</v>
      </c>
      <c r="H174" s="71">
        <v>-100000</v>
      </c>
      <c r="I174" s="71">
        <v>-100000</v>
      </c>
      <c r="J174" s="71">
        <v>-100000</v>
      </c>
      <c r="K174" s="71">
        <v>-100000</v>
      </c>
      <c r="L174" s="71">
        <v>-100000</v>
      </c>
      <c r="M174" s="71">
        <v>-100000</v>
      </c>
      <c r="N174" s="71">
        <v>-100000</v>
      </c>
      <c r="O174" s="86">
        <v>-100000</v>
      </c>
      <c r="P174" s="84">
        <v>-61538.461538461539</v>
      </c>
      <c r="Q174" s="80">
        <v>-100000</v>
      </c>
      <c r="R174" s="86">
        <v>-53846.153846153844</v>
      </c>
      <c r="S174" s="104"/>
      <c r="T174" s="86">
        <v>0</v>
      </c>
      <c r="U174" s="86">
        <v>-7692.3076923076951</v>
      </c>
    </row>
    <row r="175" spans="1:21" ht="15.75" x14ac:dyDescent="0.25">
      <c r="A175" s="80" t="s">
        <v>1649</v>
      </c>
      <c r="B175" s="70" t="s">
        <v>5113</v>
      </c>
      <c r="C175" s="71">
        <v>-250000</v>
      </c>
      <c r="D175" s="71">
        <v>-250000</v>
      </c>
      <c r="E175" s="71">
        <v>-250000</v>
      </c>
      <c r="F175" s="71">
        <v>-250000</v>
      </c>
      <c r="G175" s="71">
        <v>-250000</v>
      </c>
      <c r="H175" s="71">
        <v>-250000</v>
      </c>
      <c r="I175" s="71">
        <v>-250000</v>
      </c>
      <c r="J175" s="71">
        <v>-250000</v>
      </c>
      <c r="K175" s="71">
        <v>-250000</v>
      </c>
      <c r="L175" s="71">
        <v>-250000</v>
      </c>
      <c r="M175" s="71">
        <v>-250000</v>
      </c>
      <c r="N175" s="71">
        <v>-250000</v>
      </c>
      <c r="O175" s="86">
        <v>-250000</v>
      </c>
      <c r="P175" s="84">
        <v>-250000</v>
      </c>
      <c r="Q175" s="79">
        <v>-250000</v>
      </c>
      <c r="R175" s="86">
        <v>-250000</v>
      </c>
      <c r="S175" s="104"/>
      <c r="T175" s="86">
        <v>0</v>
      </c>
      <c r="U175" s="86">
        <v>0</v>
      </c>
    </row>
    <row r="176" spans="1:21" ht="15.75" x14ac:dyDescent="0.25">
      <c r="A176" s="79" t="s">
        <v>1658</v>
      </c>
      <c r="B176" s="70" t="s">
        <v>5114</v>
      </c>
      <c r="C176" s="71">
        <v>0</v>
      </c>
      <c r="D176" s="71">
        <v>0</v>
      </c>
      <c r="E176" s="71">
        <v>0</v>
      </c>
      <c r="F176" s="71">
        <v>0</v>
      </c>
      <c r="G176" s="71">
        <v>0</v>
      </c>
      <c r="H176" s="71">
        <v>0</v>
      </c>
      <c r="I176" s="71">
        <v>0</v>
      </c>
      <c r="J176" s="71">
        <v>0</v>
      </c>
      <c r="K176" s="71">
        <v>0</v>
      </c>
      <c r="L176" s="71">
        <v>0</v>
      </c>
      <c r="M176" s="71">
        <v>0</v>
      </c>
      <c r="N176" s="71">
        <v>0</v>
      </c>
      <c r="O176" s="86">
        <v>0</v>
      </c>
      <c r="P176" s="84">
        <v>0</v>
      </c>
      <c r="Q176" s="80">
        <v>0</v>
      </c>
      <c r="R176" s="86">
        <v>0</v>
      </c>
      <c r="S176" s="104"/>
      <c r="T176" s="86">
        <v>0</v>
      </c>
      <c r="U176" s="86">
        <v>0</v>
      </c>
    </row>
    <row r="177" spans="1:34" ht="15.75" x14ac:dyDescent="0.25">
      <c r="A177" s="80" t="s">
        <v>1637</v>
      </c>
      <c r="B177" s="70" t="s">
        <v>5115</v>
      </c>
      <c r="C177" s="71">
        <v>-190000</v>
      </c>
      <c r="D177" s="71">
        <v>-190000</v>
      </c>
      <c r="E177" s="71">
        <v>-190000</v>
      </c>
      <c r="F177" s="71">
        <v>-190000</v>
      </c>
      <c r="G177" s="71">
        <v>-190000</v>
      </c>
      <c r="H177" s="71">
        <v>-190000</v>
      </c>
      <c r="I177" s="71">
        <v>-190000</v>
      </c>
      <c r="J177" s="71">
        <v>-190000</v>
      </c>
      <c r="K177" s="71">
        <v>-190000</v>
      </c>
      <c r="L177" s="71">
        <v>-190000</v>
      </c>
      <c r="M177" s="71">
        <v>-190000</v>
      </c>
      <c r="N177" s="71">
        <v>-190000</v>
      </c>
      <c r="O177" s="86">
        <v>-190000</v>
      </c>
      <c r="P177" s="84">
        <v>-190000</v>
      </c>
      <c r="Q177" s="79">
        <v>-190000</v>
      </c>
      <c r="R177" s="86">
        <v>-190000</v>
      </c>
      <c r="S177" s="104"/>
      <c r="T177" s="86">
        <v>0</v>
      </c>
      <c r="U177" s="86">
        <v>0</v>
      </c>
    </row>
    <row r="178" spans="1:34" ht="15.75" x14ac:dyDescent="0.25">
      <c r="A178" s="80" t="s">
        <v>1651</v>
      </c>
      <c r="B178" s="98" t="s">
        <v>5116</v>
      </c>
      <c r="C178" s="71">
        <v>-54200</v>
      </c>
      <c r="D178" s="71">
        <v>-54200</v>
      </c>
      <c r="E178" s="71">
        <v>-54200</v>
      </c>
      <c r="F178" s="71">
        <v>-54200</v>
      </c>
      <c r="G178" s="71">
        <v>-54200</v>
      </c>
      <c r="H178" s="71">
        <v>-54200</v>
      </c>
      <c r="I178" s="71">
        <v>-54200</v>
      </c>
      <c r="J178" s="71">
        <v>-54200</v>
      </c>
      <c r="K178" s="71">
        <v>-54200</v>
      </c>
      <c r="L178" s="71">
        <v>-54200</v>
      </c>
      <c r="M178" s="71">
        <v>-54200</v>
      </c>
      <c r="N178" s="71">
        <v>-54200</v>
      </c>
      <c r="O178" s="86">
        <v>-54200</v>
      </c>
      <c r="P178" s="84">
        <v>-54200</v>
      </c>
      <c r="Q178" s="77">
        <v>-54200</v>
      </c>
      <c r="R178" s="86">
        <v>-54200</v>
      </c>
      <c r="S178" s="104"/>
      <c r="T178" s="86">
        <v>0</v>
      </c>
      <c r="U178" s="86">
        <v>0</v>
      </c>
    </row>
    <row r="179" spans="1:34" ht="15.75" x14ac:dyDescent="0.25">
      <c r="A179" s="80" t="s">
        <v>1652</v>
      </c>
      <c r="B179" s="98" t="s">
        <v>5117</v>
      </c>
      <c r="C179" s="71">
        <v>-51600</v>
      </c>
      <c r="D179" s="71">
        <v>-51600</v>
      </c>
      <c r="E179" s="71">
        <v>-51600</v>
      </c>
      <c r="F179" s="71">
        <v>-51600</v>
      </c>
      <c r="G179" s="71">
        <v>-51600</v>
      </c>
      <c r="H179" s="71">
        <v>-51600</v>
      </c>
      <c r="I179" s="71">
        <v>-51600</v>
      </c>
      <c r="J179" s="71">
        <v>-51600</v>
      </c>
      <c r="K179" s="71">
        <v>-51600</v>
      </c>
      <c r="L179" s="71">
        <v>-51600</v>
      </c>
      <c r="M179" s="71">
        <v>-51600</v>
      </c>
      <c r="N179" s="71">
        <v>-51600</v>
      </c>
      <c r="O179" s="86">
        <v>-51600</v>
      </c>
      <c r="P179" s="84">
        <v>-51600</v>
      </c>
      <c r="Q179" s="77">
        <v>-51600</v>
      </c>
      <c r="R179" s="86">
        <v>-51600</v>
      </c>
      <c r="S179" s="104"/>
      <c r="T179" s="86">
        <v>0</v>
      </c>
      <c r="U179" s="86">
        <v>0</v>
      </c>
    </row>
    <row r="180" spans="1:34" ht="15.75" x14ac:dyDescent="0.25">
      <c r="A180" s="80" t="s">
        <v>1654</v>
      </c>
      <c r="B180" s="98" t="s">
        <v>5118</v>
      </c>
      <c r="C180" s="71">
        <v>-20000</v>
      </c>
      <c r="D180" s="71">
        <v>-20000</v>
      </c>
      <c r="E180" s="71">
        <v>-20000</v>
      </c>
      <c r="F180" s="71">
        <v>0</v>
      </c>
      <c r="G180" s="71">
        <v>0</v>
      </c>
      <c r="H180" s="71">
        <v>0</v>
      </c>
      <c r="I180" s="71">
        <v>0</v>
      </c>
      <c r="J180" s="71">
        <v>0</v>
      </c>
      <c r="K180" s="71">
        <v>0</v>
      </c>
      <c r="L180" s="71">
        <v>0</v>
      </c>
      <c r="M180" s="71">
        <v>0</v>
      </c>
      <c r="N180" s="71">
        <v>0</v>
      </c>
      <c r="O180" s="86">
        <v>0</v>
      </c>
      <c r="P180" s="84">
        <v>-4615.3846153846152</v>
      </c>
      <c r="Q180" s="77">
        <v>-20000</v>
      </c>
      <c r="R180" s="86">
        <v>-20000</v>
      </c>
      <c r="S180" s="104"/>
      <c r="T180" s="86">
        <v>20000</v>
      </c>
      <c r="U180" s="86">
        <v>15384.615384615385</v>
      </c>
    </row>
    <row r="181" spans="1:34" ht="14.25" customHeight="1" x14ac:dyDescent="0.2">
      <c r="A181" s="77" t="s">
        <v>1669</v>
      </c>
      <c r="B181" s="70" t="s">
        <v>5119</v>
      </c>
      <c r="C181" s="71">
        <v>-542</v>
      </c>
      <c r="D181" s="71">
        <v>-534</v>
      </c>
      <c r="E181" s="71">
        <v>-526</v>
      </c>
      <c r="F181" s="71">
        <v>-518</v>
      </c>
      <c r="G181" s="71">
        <v>-510</v>
      </c>
      <c r="H181" s="71">
        <v>-503</v>
      </c>
      <c r="I181" s="71">
        <v>-495</v>
      </c>
      <c r="J181" s="71">
        <v>-487</v>
      </c>
      <c r="K181" s="71">
        <v>-479</v>
      </c>
      <c r="L181" s="71">
        <v>-471</v>
      </c>
      <c r="M181" s="71">
        <v>-463</v>
      </c>
      <c r="N181" s="71">
        <v>-456</v>
      </c>
      <c r="O181" s="71">
        <v>-448</v>
      </c>
      <c r="P181" s="84">
        <v>-494.76923076923077</v>
      </c>
      <c r="Q181" s="77">
        <v>-448</v>
      </c>
      <c r="R181" s="71">
        <v>-494.69230769230768</v>
      </c>
      <c r="S181" s="104"/>
      <c r="T181" s="71">
        <v>0</v>
      </c>
      <c r="U181" s="71">
        <v>-7.6923076923094413E-2</v>
      </c>
    </row>
    <row r="182" spans="1:34" x14ac:dyDescent="0.2">
      <c r="A182" s="77" t="s">
        <v>1494</v>
      </c>
      <c r="B182" s="70" t="s">
        <v>5120</v>
      </c>
      <c r="C182" s="71">
        <v>4918</v>
      </c>
      <c r="D182" s="71">
        <v>4878</v>
      </c>
      <c r="E182" s="71">
        <v>4837</v>
      </c>
      <c r="F182" s="71">
        <v>4797</v>
      </c>
      <c r="G182" s="71">
        <v>4757</v>
      </c>
      <c r="H182" s="71">
        <v>4716</v>
      </c>
      <c r="I182" s="71">
        <v>4676</v>
      </c>
      <c r="J182" s="71">
        <v>4635</v>
      </c>
      <c r="K182" s="71">
        <v>4595</v>
      </c>
      <c r="L182" s="71">
        <v>4555</v>
      </c>
      <c r="M182" s="71">
        <v>4514</v>
      </c>
      <c r="N182" s="71">
        <v>4474</v>
      </c>
      <c r="O182" s="71">
        <v>4433</v>
      </c>
      <c r="P182" s="84">
        <v>4675.7692307692305</v>
      </c>
      <c r="Q182" s="77">
        <v>4431</v>
      </c>
      <c r="R182" s="71">
        <v>4674.9230769230771</v>
      </c>
      <c r="S182" s="104"/>
      <c r="T182" s="71">
        <v>2</v>
      </c>
      <c r="U182" s="71">
        <v>0.84615384615335643</v>
      </c>
    </row>
    <row r="183" spans="1:34" x14ac:dyDescent="0.2">
      <c r="A183" s="77" t="s">
        <v>1523</v>
      </c>
      <c r="B183" s="70" t="s">
        <v>5121</v>
      </c>
      <c r="C183" s="71">
        <v>-190995</v>
      </c>
      <c r="D183" s="71">
        <v>-191932</v>
      </c>
      <c r="E183" s="71">
        <v>-192870</v>
      </c>
      <c r="F183" s="71">
        <v>-193359</v>
      </c>
      <c r="G183" s="71">
        <v>-194297</v>
      </c>
      <c r="H183" s="71">
        <v>-195235</v>
      </c>
      <c r="I183" s="71">
        <v>-196173</v>
      </c>
      <c r="J183" s="71">
        <v>-197111</v>
      </c>
      <c r="K183" s="71">
        <v>-199049</v>
      </c>
      <c r="L183" s="71">
        <v>-193969</v>
      </c>
      <c r="M183" s="71">
        <v>-194907</v>
      </c>
      <c r="N183" s="71">
        <v>-195845</v>
      </c>
      <c r="O183" s="71">
        <v>-200086</v>
      </c>
      <c r="P183" s="84">
        <v>-195063.69230769231</v>
      </c>
      <c r="Q183" s="79">
        <v>-200086</v>
      </c>
      <c r="R183" s="71">
        <v>-195063.69230769231</v>
      </c>
      <c r="S183" s="104"/>
      <c r="T183" s="71">
        <v>0</v>
      </c>
      <c r="U183" s="71">
        <v>0</v>
      </c>
    </row>
    <row r="184" spans="1:34" x14ac:dyDescent="0.2">
      <c r="A184" s="79" t="s">
        <v>1495</v>
      </c>
      <c r="B184" s="70" t="s">
        <v>5122</v>
      </c>
      <c r="C184" s="71">
        <v>-20310</v>
      </c>
      <c r="D184" s="71">
        <v>-20643</v>
      </c>
      <c r="E184" s="71">
        <v>-20976</v>
      </c>
      <c r="F184" s="71">
        <v>-21310</v>
      </c>
      <c r="G184" s="71">
        <v>-21643</v>
      </c>
      <c r="H184" s="71">
        <v>-21976</v>
      </c>
      <c r="I184" s="71">
        <v>-22310</v>
      </c>
      <c r="J184" s="71">
        <v>-22643</v>
      </c>
      <c r="K184" s="71">
        <v>-22976</v>
      </c>
      <c r="L184" s="71">
        <v>-23310</v>
      </c>
      <c r="M184" s="71">
        <v>-23643</v>
      </c>
      <c r="N184" s="71">
        <v>-23976</v>
      </c>
      <c r="O184" s="71">
        <v>-24310</v>
      </c>
      <c r="P184" s="84">
        <v>-22309.692307692309</v>
      </c>
      <c r="Q184" s="79">
        <v>-24310</v>
      </c>
      <c r="R184" s="71">
        <v>-22309.692307692309</v>
      </c>
      <c r="S184" s="104"/>
      <c r="T184" s="71">
        <v>0</v>
      </c>
      <c r="U184" s="71">
        <v>0</v>
      </c>
      <c r="AH184" s="70">
        <v>-333</v>
      </c>
    </row>
    <row r="185" spans="1:34" x14ac:dyDescent="0.2">
      <c r="A185" s="79" t="s">
        <v>1497</v>
      </c>
      <c r="B185" s="70" t="s">
        <v>5123</v>
      </c>
      <c r="C185" s="71">
        <v>-8895</v>
      </c>
      <c r="D185" s="71">
        <v>-8933</v>
      </c>
      <c r="E185" s="71">
        <v>-8971</v>
      </c>
      <c r="F185" s="71">
        <v>-9009</v>
      </c>
      <c r="G185" s="71">
        <v>-9047</v>
      </c>
      <c r="H185" s="71">
        <v>-9085</v>
      </c>
      <c r="I185" s="71">
        <v>-9123</v>
      </c>
      <c r="J185" s="71">
        <v>-9161</v>
      </c>
      <c r="K185" s="71">
        <v>-9199</v>
      </c>
      <c r="L185" s="71">
        <v>-9237</v>
      </c>
      <c r="M185" s="71">
        <v>-9275</v>
      </c>
      <c r="N185" s="71">
        <v>-9313</v>
      </c>
      <c r="O185" s="71">
        <v>-9355</v>
      </c>
      <c r="P185" s="84">
        <v>-9123.3076923076915</v>
      </c>
      <c r="Q185" s="79">
        <v>-9355</v>
      </c>
      <c r="R185" s="71">
        <v>-9123.3076923076915</v>
      </c>
      <c r="S185" s="104"/>
      <c r="T185" s="71">
        <v>0</v>
      </c>
      <c r="U185" s="71">
        <v>0</v>
      </c>
      <c r="AH185" s="70">
        <v>-38</v>
      </c>
    </row>
    <row r="186" spans="1:34" x14ac:dyDescent="0.2">
      <c r="A186" s="79" t="s">
        <v>1499</v>
      </c>
      <c r="B186" s="70" t="s">
        <v>5124</v>
      </c>
      <c r="C186" s="71">
        <v>-10101</v>
      </c>
      <c r="D186" s="71">
        <v>-10134</v>
      </c>
      <c r="E186" s="71">
        <v>-10167</v>
      </c>
      <c r="F186" s="71">
        <v>-10200</v>
      </c>
      <c r="G186" s="71">
        <v>-10233</v>
      </c>
      <c r="H186" s="71">
        <v>-10266</v>
      </c>
      <c r="I186" s="71">
        <v>-10299</v>
      </c>
      <c r="J186" s="71">
        <v>-10332</v>
      </c>
      <c r="K186" s="71">
        <v>-10365</v>
      </c>
      <c r="L186" s="71">
        <v>-10398</v>
      </c>
      <c r="M186" s="71">
        <v>-10431</v>
      </c>
      <c r="N186" s="71">
        <v>-10464</v>
      </c>
      <c r="O186" s="71">
        <v>-10501</v>
      </c>
      <c r="P186" s="84">
        <v>-10299.307692307691</v>
      </c>
      <c r="Q186" s="79">
        <v>-10501</v>
      </c>
      <c r="R186" s="71">
        <v>-10299.307692307691</v>
      </c>
      <c r="S186" s="104"/>
      <c r="T186" s="71">
        <v>0</v>
      </c>
      <c r="U186" s="71">
        <v>0</v>
      </c>
      <c r="AH186" s="70">
        <v>-33</v>
      </c>
    </row>
    <row r="187" spans="1:34" x14ac:dyDescent="0.2">
      <c r="A187" s="79" t="s">
        <v>1503</v>
      </c>
      <c r="B187" s="70" t="s">
        <v>4</v>
      </c>
      <c r="C187" s="71">
        <v>-284</v>
      </c>
      <c r="D187" s="71">
        <v>-286</v>
      </c>
      <c r="E187" s="71">
        <v>-288</v>
      </c>
      <c r="F187" s="71">
        <v>-290</v>
      </c>
      <c r="G187" s="71">
        <v>-292</v>
      </c>
      <c r="H187" s="71">
        <v>-294</v>
      </c>
      <c r="I187" s="71">
        <v>-296</v>
      </c>
      <c r="J187" s="71">
        <v>-298</v>
      </c>
      <c r="K187" s="71">
        <v>-300</v>
      </c>
      <c r="L187" s="71">
        <v>-302</v>
      </c>
      <c r="M187" s="71">
        <v>-304</v>
      </c>
      <c r="N187" s="71">
        <v>-306</v>
      </c>
      <c r="O187" s="71">
        <v>-304</v>
      </c>
      <c r="P187" s="84">
        <v>-295.69230769230768</v>
      </c>
      <c r="Q187" s="79">
        <v>-304</v>
      </c>
      <c r="R187" s="71">
        <v>-295.69230769230768</v>
      </c>
      <c r="S187" s="104"/>
      <c r="T187" s="71">
        <v>0</v>
      </c>
      <c r="U187" s="71">
        <v>0</v>
      </c>
      <c r="AH187" s="70">
        <v>-2</v>
      </c>
    </row>
    <row r="188" spans="1:34" x14ac:dyDescent="0.2">
      <c r="A188" s="79" t="s">
        <v>1505</v>
      </c>
      <c r="B188" s="70" t="s">
        <v>5</v>
      </c>
      <c r="C188" s="71">
        <v>37637</v>
      </c>
      <c r="D188" s="71">
        <v>37075</v>
      </c>
      <c r="E188" s="71">
        <v>36513</v>
      </c>
      <c r="F188" s="71">
        <v>35951</v>
      </c>
      <c r="G188" s="71">
        <v>35389</v>
      </c>
      <c r="H188" s="71">
        <v>34827</v>
      </c>
      <c r="I188" s="71">
        <v>34266</v>
      </c>
      <c r="J188" s="71">
        <v>33704</v>
      </c>
      <c r="K188" s="71">
        <v>33142</v>
      </c>
      <c r="L188" s="71">
        <v>38599</v>
      </c>
      <c r="M188" s="71">
        <v>38037</v>
      </c>
      <c r="N188" s="71">
        <v>37475</v>
      </c>
      <c r="O188" s="71">
        <v>36914</v>
      </c>
      <c r="P188" s="84">
        <v>36117.615384615383</v>
      </c>
      <c r="Q188" s="79">
        <v>36914</v>
      </c>
      <c r="R188" s="71">
        <v>36117.615384615383</v>
      </c>
      <c r="S188" s="104"/>
      <c r="T188" s="71">
        <v>0</v>
      </c>
      <c r="U188" s="71">
        <v>0</v>
      </c>
      <c r="AH188" s="70">
        <v>-562</v>
      </c>
    </row>
    <row r="189" spans="1:34" x14ac:dyDescent="0.2">
      <c r="A189" s="80" t="s">
        <v>1507</v>
      </c>
      <c r="B189" s="70" t="s">
        <v>6</v>
      </c>
      <c r="C189" s="71">
        <v>-43232</v>
      </c>
      <c r="D189" s="71">
        <v>-43232</v>
      </c>
      <c r="E189" s="71">
        <v>-43232</v>
      </c>
      <c r="F189" s="71">
        <v>-43232</v>
      </c>
      <c r="G189" s="71">
        <v>-43232</v>
      </c>
      <c r="H189" s="71">
        <v>-43232</v>
      </c>
      <c r="I189" s="71">
        <v>-43232</v>
      </c>
      <c r="J189" s="71">
        <v>-43232</v>
      </c>
      <c r="K189" s="71">
        <v>-43232</v>
      </c>
      <c r="L189" s="71">
        <v>-43232</v>
      </c>
      <c r="M189" s="71">
        <v>-43232</v>
      </c>
      <c r="N189" s="71">
        <v>-43232</v>
      </c>
      <c r="O189" s="71">
        <v>-43232</v>
      </c>
      <c r="P189" s="84">
        <v>-43232</v>
      </c>
      <c r="Q189" s="79">
        <v>-43232</v>
      </c>
      <c r="R189" s="71">
        <v>-43232</v>
      </c>
      <c r="S189" s="104"/>
      <c r="T189" s="71">
        <v>0</v>
      </c>
      <c r="U189" s="71">
        <v>0</v>
      </c>
    </row>
    <row r="190" spans="1:34" x14ac:dyDescent="0.2">
      <c r="A190" s="80" t="s">
        <v>1509</v>
      </c>
      <c r="B190" s="70" t="s">
        <v>7</v>
      </c>
      <c r="C190" s="71">
        <v>0</v>
      </c>
      <c r="D190" s="71">
        <v>0</v>
      </c>
      <c r="E190" s="71">
        <v>0</v>
      </c>
      <c r="F190" s="71">
        <v>0</v>
      </c>
      <c r="G190" s="71">
        <v>0</v>
      </c>
      <c r="H190" s="71">
        <v>0</v>
      </c>
      <c r="I190" s="71">
        <v>0</v>
      </c>
      <c r="J190" s="71">
        <v>0</v>
      </c>
      <c r="K190" s="71">
        <v>0</v>
      </c>
      <c r="L190" s="71">
        <v>0</v>
      </c>
      <c r="M190" s="71">
        <v>0</v>
      </c>
      <c r="N190" s="71">
        <v>0</v>
      </c>
      <c r="O190" s="71">
        <v>0</v>
      </c>
      <c r="P190" s="84">
        <v>0</v>
      </c>
      <c r="Q190" s="79">
        <v>0</v>
      </c>
      <c r="R190" s="71">
        <v>0</v>
      </c>
      <c r="S190" s="104"/>
      <c r="T190" s="71">
        <v>0</v>
      </c>
      <c r="U190" s="71">
        <v>0</v>
      </c>
    </row>
    <row r="191" spans="1:34" x14ac:dyDescent="0.2">
      <c r="A191" s="79" t="s">
        <v>1511</v>
      </c>
      <c r="B191" s="70" t="s">
        <v>8</v>
      </c>
      <c r="C191" s="71">
        <v>-5979</v>
      </c>
      <c r="D191" s="71">
        <v>-6034</v>
      </c>
      <c r="E191" s="71">
        <v>-6089</v>
      </c>
      <c r="F191" s="71">
        <v>-5694</v>
      </c>
      <c r="G191" s="71">
        <v>-5749</v>
      </c>
      <c r="H191" s="71">
        <v>-5804</v>
      </c>
      <c r="I191" s="71">
        <v>-5859</v>
      </c>
      <c r="J191" s="71">
        <v>-5914</v>
      </c>
      <c r="K191" s="71">
        <v>-5969</v>
      </c>
      <c r="L191" s="71">
        <v>-6024</v>
      </c>
      <c r="M191" s="71">
        <v>-6079</v>
      </c>
      <c r="N191" s="71">
        <v>-6134</v>
      </c>
      <c r="O191" s="71">
        <v>-6188</v>
      </c>
      <c r="P191" s="84">
        <v>-5962.7692307692305</v>
      </c>
      <c r="Q191" s="79">
        <v>-6188</v>
      </c>
      <c r="R191" s="71">
        <v>-5962.7692307692305</v>
      </c>
      <c r="S191" s="104"/>
      <c r="T191" s="71">
        <v>0</v>
      </c>
      <c r="U191" s="71">
        <v>0</v>
      </c>
      <c r="AH191" s="70">
        <v>-55</v>
      </c>
    </row>
    <row r="192" spans="1:34" x14ac:dyDescent="0.2">
      <c r="A192" s="79" t="s">
        <v>1513</v>
      </c>
      <c r="B192" s="70" t="s">
        <v>9</v>
      </c>
      <c r="C192" s="71">
        <v>-89135</v>
      </c>
      <c r="D192" s="71">
        <v>-89360</v>
      </c>
      <c r="E192" s="71">
        <v>-89585</v>
      </c>
      <c r="F192" s="71">
        <v>-89810</v>
      </c>
      <c r="G192" s="71">
        <v>-90035</v>
      </c>
      <c r="H192" s="71">
        <v>-90260</v>
      </c>
      <c r="I192" s="71">
        <v>-90485</v>
      </c>
      <c r="J192" s="71">
        <v>-90710</v>
      </c>
      <c r="K192" s="71">
        <v>-90935</v>
      </c>
      <c r="L192" s="71">
        <v>-91160</v>
      </c>
      <c r="M192" s="71">
        <v>-91385</v>
      </c>
      <c r="N192" s="71">
        <v>-91610</v>
      </c>
      <c r="O192" s="71">
        <v>-91835</v>
      </c>
      <c r="P192" s="84">
        <v>-90485</v>
      </c>
      <c r="Q192" s="79">
        <v>-91835</v>
      </c>
      <c r="R192" s="71">
        <v>-90485</v>
      </c>
      <c r="S192" s="104"/>
      <c r="T192" s="71">
        <v>0</v>
      </c>
      <c r="U192" s="71">
        <v>0</v>
      </c>
      <c r="AH192" s="70">
        <v>-225</v>
      </c>
    </row>
    <row r="193" spans="1:34" x14ac:dyDescent="0.2">
      <c r="A193" s="79" t="s">
        <v>1515</v>
      </c>
      <c r="B193" s="70" t="s">
        <v>10</v>
      </c>
      <c r="C193" s="71">
        <v>-18623</v>
      </c>
      <c r="D193" s="71">
        <v>-18313</v>
      </c>
      <c r="E193" s="71">
        <v>-18003</v>
      </c>
      <c r="F193" s="71">
        <v>-17693</v>
      </c>
      <c r="G193" s="71">
        <v>-17383</v>
      </c>
      <c r="H193" s="71">
        <v>-17073</v>
      </c>
      <c r="I193" s="71">
        <v>-16763</v>
      </c>
      <c r="J193" s="71">
        <v>-16453</v>
      </c>
      <c r="K193" s="71">
        <v>-17143</v>
      </c>
      <c r="L193" s="71">
        <v>-16833</v>
      </c>
      <c r="M193" s="71">
        <v>-16523</v>
      </c>
      <c r="N193" s="71">
        <v>-16213</v>
      </c>
      <c r="O193" s="71">
        <v>-19203</v>
      </c>
      <c r="P193" s="84">
        <v>-17401.461538461539</v>
      </c>
      <c r="Q193" s="77">
        <v>-19203</v>
      </c>
      <c r="R193" s="71">
        <v>-17401.461538461539</v>
      </c>
      <c r="S193" s="104"/>
      <c r="T193" s="71">
        <v>0</v>
      </c>
      <c r="U193" s="71">
        <v>0</v>
      </c>
      <c r="AH193" s="70">
        <v>310</v>
      </c>
    </row>
    <row r="194" spans="1:34" x14ac:dyDescent="0.2">
      <c r="A194" s="80" t="s">
        <v>1517</v>
      </c>
      <c r="B194" s="70" t="s">
        <v>11</v>
      </c>
      <c r="C194" s="71">
        <v>0</v>
      </c>
      <c r="D194" s="71">
        <v>0</v>
      </c>
      <c r="E194" s="71">
        <v>0</v>
      </c>
      <c r="F194" s="71">
        <v>0</v>
      </c>
      <c r="G194" s="71">
        <v>0</v>
      </c>
      <c r="H194" s="71">
        <v>0</v>
      </c>
      <c r="I194" s="71">
        <v>0</v>
      </c>
      <c r="J194" s="71">
        <v>0</v>
      </c>
      <c r="K194" s="71">
        <v>0</v>
      </c>
      <c r="L194" s="71">
        <v>0</v>
      </c>
      <c r="M194" s="71">
        <v>0</v>
      </c>
      <c r="N194" s="71">
        <v>0</v>
      </c>
      <c r="O194" s="71">
        <v>0</v>
      </c>
      <c r="P194" s="84">
        <v>0</v>
      </c>
      <c r="Q194" s="77">
        <v>0</v>
      </c>
      <c r="R194" s="71">
        <v>0</v>
      </c>
      <c r="S194" s="104"/>
      <c r="T194" s="71">
        <v>0</v>
      </c>
      <c r="U194" s="71">
        <v>0</v>
      </c>
    </row>
    <row r="195" spans="1:34" x14ac:dyDescent="0.2">
      <c r="A195" s="80" t="s">
        <v>1519</v>
      </c>
      <c r="B195" s="70" t="s">
        <v>12</v>
      </c>
      <c r="C195" s="71">
        <v>-30829</v>
      </c>
      <c r="D195" s="71">
        <v>-30829</v>
      </c>
      <c r="E195" s="71">
        <v>-30829</v>
      </c>
      <c r="F195" s="71">
        <v>-30829</v>
      </c>
      <c r="G195" s="71">
        <v>-30829</v>
      </c>
      <c r="H195" s="71">
        <v>-30829</v>
      </c>
      <c r="I195" s="71">
        <v>-30829</v>
      </c>
      <c r="J195" s="71">
        <v>-30829</v>
      </c>
      <c r="K195" s="71">
        <v>-30829</v>
      </c>
      <c r="L195" s="71">
        <v>-30829</v>
      </c>
      <c r="M195" s="71">
        <v>-30829</v>
      </c>
      <c r="N195" s="71">
        <v>-30829</v>
      </c>
      <c r="O195" s="71">
        <v>-30829</v>
      </c>
      <c r="P195" s="84">
        <v>-30829</v>
      </c>
      <c r="Q195" s="77">
        <v>-30829</v>
      </c>
      <c r="R195" s="71">
        <v>-30829</v>
      </c>
      <c r="S195" s="104"/>
      <c r="T195" s="71">
        <v>0</v>
      </c>
      <c r="U195" s="71">
        <v>0</v>
      </c>
    </row>
    <row r="196" spans="1:34" x14ac:dyDescent="0.2">
      <c r="A196" s="80" t="s">
        <v>1521</v>
      </c>
      <c r="B196" s="70" t="s">
        <v>13</v>
      </c>
      <c r="C196" s="71">
        <v>-1243</v>
      </c>
      <c r="D196" s="71">
        <v>-1243</v>
      </c>
      <c r="E196" s="71">
        <v>-1243</v>
      </c>
      <c r="F196" s="71">
        <v>-1243</v>
      </c>
      <c r="G196" s="71">
        <v>-1243</v>
      </c>
      <c r="H196" s="71">
        <v>-1243</v>
      </c>
      <c r="I196" s="71">
        <v>-1243</v>
      </c>
      <c r="J196" s="71">
        <v>-1243</v>
      </c>
      <c r="K196" s="71">
        <v>-1243</v>
      </c>
      <c r="L196" s="71">
        <v>-1243</v>
      </c>
      <c r="M196" s="71">
        <v>-1243</v>
      </c>
      <c r="N196" s="71">
        <v>-1243</v>
      </c>
      <c r="O196" s="71">
        <v>-1243</v>
      </c>
      <c r="P196" s="84">
        <v>-1243</v>
      </c>
      <c r="Q196" s="77">
        <v>-1243</v>
      </c>
      <c r="R196" s="71">
        <v>-1243</v>
      </c>
      <c r="S196" s="104"/>
      <c r="T196" s="71">
        <v>0</v>
      </c>
      <c r="U196" s="71">
        <v>0</v>
      </c>
    </row>
    <row r="197" spans="1:34" x14ac:dyDescent="0.2">
      <c r="A197" s="77" t="s">
        <v>1532</v>
      </c>
      <c r="B197" s="70" t="s">
        <v>431</v>
      </c>
      <c r="C197" s="71">
        <v>-27069</v>
      </c>
      <c r="D197" s="71">
        <v>-27071</v>
      </c>
      <c r="E197" s="71">
        <v>-27073</v>
      </c>
      <c r="F197" s="71">
        <v>-27075</v>
      </c>
      <c r="G197" s="71">
        <v>-27077</v>
      </c>
      <c r="H197" s="71">
        <v>-27079</v>
      </c>
      <c r="I197" s="71">
        <v>-27081</v>
      </c>
      <c r="J197" s="71">
        <v>-27083</v>
      </c>
      <c r="K197" s="71">
        <v>-27085</v>
      </c>
      <c r="L197" s="71">
        <v>-27087</v>
      </c>
      <c r="M197" s="71">
        <v>-27089</v>
      </c>
      <c r="N197" s="71">
        <v>-27091</v>
      </c>
      <c r="O197" s="71">
        <v>-27093</v>
      </c>
      <c r="P197" s="84">
        <v>-27081</v>
      </c>
      <c r="Q197" s="109">
        <v>-27093</v>
      </c>
      <c r="R197" s="71">
        <v>-27081</v>
      </c>
      <c r="S197" s="104"/>
      <c r="T197" s="71">
        <v>0</v>
      </c>
      <c r="U197" s="71">
        <v>0</v>
      </c>
    </row>
    <row r="198" spans="1:34" ht="14.25" customHeight="1" x14ac:dyDescent="0.25">
      <c r="A198" s="109" t="s">
        <v>1543</v>
      </c>
      <c r="B198" s="90" t="s">
        <v>14</v>
      </c>
      <c r="C198" s="110">
        <v>-370</v>
      </c>
      <c r="D198" s="110">
        <v>0</v>
      </c>
      <c r="E198" s="110">
        <v>0</v>
      </c>
      <c r="F198" s="110">
        <v>-15752</v>
      </c>
      <c r="G198" s="110">
        <v>-45621</v>
      </c>
      <c r="H198" s="110">
        <v>-16732</v>
      </c>
      <c r="I198" s="110">
        <v>-25535</v>
      </c>
      <c r="J198" s="110">
        <v>-33996</v>
      </c>
      <c r="K198" s="110">
        <v>-55935</v>
      </c>
      <c r="L198" s="110">
        <v>-38386</v>
      </c>
      <c r="M198" s="110">
        <v>-30072</v>
      </c>
      <c r="N198" s="110">
        <v>-43801</v>
      </c>
      <c r="O198" s="110">
        <v>-50809</v>
      </c>
      <c r="P198" s="84">
        <v>-27462.23076923077</v>
      </c>
      <c r="Q198" s="111">
        <v>-58522</v>
      </c>
      <c r="R198" s="110">
        <v>-6350.7692307692305</v>
      </c>
      <c r="S198" s="104"/>
      <c r="T198" s="110">
        <v>7713</v>
      </c>
      <c r="U198" s="110">
        <v>-21111.461538461539</v>
      </c>
    </row>
    <row r="199" spans="1:34" ht="15.75" x14ac:dyDescent="0.25">
      <c r="A199" s="111" t="s">
        <v>1533</v>
      </c>
      <c r="B199" s="90" t="s">
        <v>15</v>
      </c>
      <c r="C199" s="110">
        <v>-370</v>
      </c>
      <c r="D199" s="110">
        <v>0</v>
      </c>
      <c r="E199" s="110">
        <v>0</v>
      </c>
      <c r="F199" s="110">
        <v>-15752</v>
      </c>
      <c r="G199" s="110">
        <v>-45621</v>
      </c>
      <c r="H199" s="110">
        <v>-16732</v>
      </c>
      <c r="I199" s="110">
        <v>-25535</v>
      </c>
      <c r="J199" s="110">
        <v>-33996</v>
      </c>
      <c r="K199" s="110">
        <v>-55935</v>
      </c>
      <c r="L199" s="110">
        <v>-38386</v>
      </c>
      <c r="M199" s="110">
        <v>-30072</v>
      </c>
      <c r="N199" s="110">
        <v>-43801</v>
      </c>
      <c r="O199" s="110">
        <v>-50809</v>
      </c>
      <c r="P199" s="84">
        <v>-27462.23076923077</v>
      </c>
      <c r="Q199" s="77">
        <v>-58522</v>
      </c>
      <c r="R199" s="110">
        <v>-6350.7692307692305</v>
      </c>
      <c r="S199" s="104"/>
      <c r="T199" s="110">
        <v>7713</v>
      </c>
      <c r="U199" s="110">
        <v>-21111.461538461539</v>
      </c>
    </row>
    <row r="200" spans="1:34" x14ac:dyDescent="0.2">
      <c r="A200" s="77" t="s">
        <v>3195</v>
      </c>
      <c r="B200" s="70" t="s">
        <v>16</v>
      </c>
      <c r="C200" s="71">
        <v>-172907</v>
      </c>
      <c r="D200" s="71">
        <v>-155830</v>
      </c>
      <c r="E200" s="71">
        <v>-156434</v>
      </c>
      <c r="F200" s="71">
        <v>-165251</v>
      </c>
      <c r="G200" s="71">
        <v>-150614</v>
      </c>
      <c r="H200" s="71">
        <v>-157093</v>
      </c>
      <c r="I200" s="71">
        <v>-158973</v>
      </c>
      <c r="J200" s="71">
        <v>-165271</v>
      </c>
      <c r="K200" s="71">
        <v>-179866</v>
      </c>
      <c r="L200" s="71">
        <v>-160462</v>
      </c>
      <c r="M200" s="71">
        <v>-157893</v>
      </c>
      <c r="N200" s="71">
        <v>-152142</v>
      </c>
      <c r="O200" s="71">
        <v>-170401</v>
      </c>
      <c r="P200" s="84">
        <v>-161779.76923076922</v>
      </c>
      <c r="Q200" s="77">
        <v>-176462</v>
      </c>
      <c r="R200" s="71">
        <v>-166614.23076923078</v>
      </c>
      <c r="S200" s="104"/>
      <c r="T200" s="71">
        <v>6061</v>
      </c>
      <c r="U200" s="71">
        <v>4834.4615384615608</v>
      </c>
    </row>
    <row r="201" spans="1:34" x14ac:dyDescent="0.2">
      <c r="A201" s="77" t="s">
        <v>17</v>
      </c>
      <c r="B201" s="70" t="s">
        <v>18</v>
      </c>
      <c r="C201" s="91">
        <v>-8339</v>
      </c>
      <c r="D201" s="71">
        <v>-13613</v>
      </c>
      <c r="E201" s="71">
        <v>-11849</v>
      </c>
      <c r="F201" s="71">
        <v>-8138</v>
      </c>
      <c r="G201" s="71">
        <v>-10768</v>
      </c>
      <c r="H201" s="71">
        <v>-13802</v>
      </c>
      <c r="I201" s="71">
        <v>-8736</v>
      </c>
      <c r="J201" s="71">
        <v>-12664</v>
      </c>
      <c r="K201" s="71">
        <v>-15893</v>
      </c>
      <c r="L201" s="71">
        <v>-8840</v>
      </c>
      <c r="M201" s="71">
        <v>-11140</v>
      </c>
      <c r="N201" s="71">
        <v>-12663</v>
      </c>
      <c r="O201" s="71">
        <v>-8828</v>
      </c>
      <c r="P201" s="84">
        <v>-11174.846153846154</v>
      </c>
      <c r="Q201" s="77">
        <v>-7538</v>
      </c>
      <c r="R201" s="71">
        <v>-10031.384615384615</v>
      </c>
      <c r="S201" s="104"/>
      <c r="T201" s="71">
        <v>-1290</v>
      </c>
      <c r="U201" s="71">
        <v>-1143.461538461539</v>
      </c>
    </row>
    <row r="202" spans="1:34" x14ac:dyDescent="0.2">
      <c r="A202" s="77" t="s">
        <v>1544</v>
      </c>
      <c r="B202" s="70" t="s">
        <v>19</v>
      </c>
      <c r="C202" s="71">
        <v>-19411</v>
      </c>
      <c r="D202" s="71">
        <v>-8411</v>
      </c>
      <c r="E202" s="71">
        <v>-8911</v>
      </c>
      <c r="F202" s="71">
        <v>-10411</v>
      </c>
      <c r="G202" s="71">
        <v>-8911</v>
      </c>
      <c r="H202" s="71">
        <v>-8911</v>
      </c>
      <c r="I202" s="71">
        <v>-10411</v>
      </c>
      <c r="J202" s="71">
        <v>-8911</v>
      </c>
      <c r="K202" s="71">
        <v>-8911</v>
      </c>
      <c r="L202" s="71">
        <v>-10411</v>
      </c>
      <c r="M202" s="71">
        <v>-10411</v>
      </c>
      <c r="N202" s="71">
        <v>-10411</v>
      </c>
      <c r="O202" s="71">
        <v>-15411</v>
      </c>
      <c r="P202" s="84">
        <v>-10757.153846153846</v>
      </c>
      <c r="Q202" s="77">
        <v>-15411</v>
      </c>
      <c r="R202" s="71">
        <v>-10757.153846153846</v>
      </c>
      <c r="S202" s="104"/>
      <c r="T202" s="71">
        <v>0</v>
      </c>
      <c r="U202" s="71">
        <v>0</v>
      </c>
    </row>
    <row r="203" spans="1:34" x14ac:dyDescent="0.2">
      <c r="A203" s="77" t="s">
        <v>1546</v>
      </c>
      <c r="B203" s="70" t="s">
        <v>20</v>
      </c>
      <c r="C203" s="71">
        <v>-17673</v>
      </c>
      <c r="D203" s="71">
        <v>-9765</v>
      </c>
      <c r="E203" s="71">
        <v>-18621</v>
      </c>
      <c r="F203" s="71">
        <v>-21722</v>
      </c>
      <c r="G203" s="71">
        <v>-18423</v>
      </c>
      <c r="H203" s="71">
        <v>-17177</v>
      </c>
      <c r="I203" s="71">
        <v>-15132</v>
      </c>
      <c r="J203" s="71">
        <v>-18494</v>
      </c>
      <c r="K203" s="71">
        <v>-19652</v>
      </c>
      <c r="L203" s="71">
        <v>-14282</v>
      </c>
      <c r="M203" s="71">
        <v>-8455</v>
      </c>
      <c r="N203" s="71">
        <v>-17168</v>
      </c>
      <c r="O203" s="71">
        <v>-7182</v>
      </c>
      <c r="P203" s="84">
        <v>-15672.76923076923</v>
      </c>
      <c r="Q203" s="77">
        <v>-19371</v>
      </c>
      <c r="R203" s="71">
        <v>-23418.384615384617</v>
      </c>
      <c r="S203" s="104"/>
      <c r="T203" s="71">
        <v>12189</v>
      </c>
      <c r="U203" s="71">
        <v>7745.6153846153866</v>
      </c>
    </row>
    <row r="204" spans="1:34" x14ac:dyDescent="0.2">
      <c r="A204" s="77" t="s">
        <v>1548</v>
      </c>
      <c r="B204" s="70" t="s">
        <v>21</v>
      </c>
      <c r="C204" s="71">
        <v>-22683</v>
      </c>
      <c r="D204" s="71">
        <v>-19123</v>
      </c>
      <c r="E204" s="71">
        <v>-21477</v>
      </c>
      <c r="F204" s="71">
        <v>-21891</v>
      </c>
      <c r="G204" s="71">
        <v>-27546</v>
      </c>
      <c r="H204" s="71">
        <v>-28475</v>
      </c>
      <c r="I204" s="71">
        <v>-28768</v>
      </c>
      <c r="J204" s="71">
        <v>-30463</v>
      </c>
      <c r="K204" s="71">
        <v>-30763</v>
      </c>
      <c r="L204" s="71">
        <v>-29266</v>
      </c>
      <c r="M204" s="71">
        <v>-27198</v>
      </c>
      <c r="N204" s="71">
        <v>-25777</v>
      </c>
      <c r="O204" s="71">
        <v>-25860</v>
      </c>
      <c r="P204" s="84">
        <v>-26099.23076923077</v>
      </c>
      <c r="Q204" s="77">
        <v>-24500</v>
      </c>
      <c r="R204" s="71">
        <v>-28217</v>
      </c>
      <c r="S204" s="104"/>
      <c r="T204" s="71">
        <v>-1360</v>
      </c>
      <c r="U204" s="71">
        <v>2117.7692307692305</v>
      </c>
    </row>
    <row r="205" spans="1:34" x14ac:dyDescent="0.2">
      <c r="A205" s="77" t="s">
        <v>1552</v>
      </c>
      <c r="B205" s="70" t="s">
        <v>22</v>
      </c>
      <c r="C205" s="71">
        <v>-40617</v>
      </c>
      <c r="D205" s="71">
        <v>-39682</v>
      </c>
      <c r="E205" s="71">
        <v>-44522</v>
      </c>
      <c r="F205" s="71">
        <v>-44472</v>
      </c>
      <c r="G205" s="71">
        <v>-19947</v>
      </c>
      <c r="H205" s="71">
        <v>-14997</v>
      </c>
      <c r="I205" s="71">
        <v>-17557</v>
      </c>
      <c r="J205" s="71">
        <v>-13422</v>
      </c>
      <c r="K205" s="71">
        <v>-16522</v>
      </c>
      <c r="L205" s="71">
        <v>-20897</v>
      </c>
      <c r="M205" s="71">
        <v>-31122</v>
      </c>
      <c r="N205" s="71">
        <v>-35672</v>
      </c>
      <c r="O205" s="71">
        <v>-33727</v>
      </c>
      <c r="P205" s="84">
        <v>-28704.307692307691</v>
      </c>
      <c r="Q205" s="77">
        <v>-33727</v>
      </c>
      <c r="R205" s="71">
        <v>-28704.307692307691</v>
      </c>
      <c r="S205" s="104"/>
      <c r="T205" s="71">
        <v>0</v>
      </c>
      <c r="U205" s="71">
        <v>0</v>
      </c>
    </row>
    <row r="206" spans="1:34" x14ac:dyDescent="0.2">
      <c r="A206" s="77" t="s">
        <v>1554</v>
      </c>
      <c r="B206" s="70" t="s">
        <v>23</v>
      </c>
      <c r="C206" s="71">
        <v>-5362</v>
      </c>
      <c r="D206" s="71">
        <v>-5546</v>
      </c>
      <c r="E206" s="71">
        <v>-8443</v>
      </c>
      <c r="F206" s="71">
        <v>-14187</v>
      </c>
      <c r="G206" s="71">
        <v>-10090</v>
      </c>
      <c r="H206" s="71">
        <v>-5458</v>
      </c>
      <c r="I206" s="71">
        <v>-7766</v>
      </c>
      <c r="J206" s="71">
        <v>-10902</v>
      </c>
      <c r="K206" s="71">
        <v>-13012</v>
      </c>
      <c r="L206" s="71">
        <v>-10857</v>
      </c>
      <c r="M206" s="71">
        <v>-5488</v>
      </c>
      <c r="N206" s="71">
        <v>-2455</v>
      </c>
      <c r="O206" s="71">
        <v>-2696</v>
      </c>
      <c r="P206" s="84">
        <v>-7866.3076923076924</v>
      </c>
      <c r="Q206" s="77">
        <v>-8110</v>
      </c>
      <c r="R206" s="71">
        <v>-11571.846153846154</v>
      </c>
      <c r="S206" s="104"/>
      <c r="T206" s="71">
        <v>5414</v>
      </c>
      <c r="U206" s="71">
        <v>3705.5384615384619</v>
      </c>
    </row>
    <row r="207" spans="1:34" x14ac:dyDescent="0.2">
      <c r="A207" s="77" t="s">
        <v>1560</v>
      </c>
      <c r="B207" s="70" t="s">
        <v>24</v>
      </c>
      <c r="C207" s="71">
        <v>-12881</v>
      </c>
      <c r="D207" s="71">
        <v>-14016</v>
      </c>
      <c r="E207" s="71">
        <v>-2236</v>
      </c>
      <c r="F207" s="71">
        <v>-3144</v>
      </c>
      <c r="G207" s="71">
        <v>-4052</v>
      </c>
      <c r="H207" s="71">
        <v>-4542</v>
      </c>
      <c r="I207" s="71">
        <v>-5450</v>
      </c>
      <c r="J207" s="71">
        <v>-6358</v>
      </c>
      <c r="K207" s="71">
        <v>-7267</v>
      </c>
      <c r="L207" s="71">
        <v>-8175</v>
      </c>
      <c r="M207" s="71">
        <v>-9083</v>
      </c>
      <c r="N207" s="71">
        <v>-9992</v>
      </c>
      <c r="O207" s="71">
        <v>-10900</v>
      </c>
      <c r="P207" s="84">
        <v>-7545.8461538461543</v>
      </c>
      <c r="Q207" s="79">
        <v>-13718</v>
      </c>
      <c r="R207" s="71">
        <v>-9041.9230769230762</v>
      </c>
      <c r="S207" s="104"/>
      <c r="T207" s="71">
        <v>2818</v>
      </c>
      <c r="U207" s="71">
        <v>1496.076923076922</v>
      </c>
    </row>
    <row r="208" spans="1:34" x14ac:dyDescent="0.2">
      <c r="A208" s="79" t="s">
        <v>1564</v>
      </c>
      <c r="B208" s="70" t="s">
        <v>25</v>
      </c>
      <c r="C208" s="71">
        <v>-5970</v>
      </c>
      <c r="D208" s="71">
        <v>-915</v>
      </c>
      <c r="E208" s="71">
        <v>-1415</v>
      </c>
      <c r="F208" s="71">
        <v>-2914</v>
      </c>
      <c r="G208" s="71">
        <v>-3914</v>
      </c>
      <c r="H208" s="71">
        <v>-5414</v>
      </c>
      <c r="I208" s="71">
        <v>-6413</v>
      </c>
      <c r="J208" s="71">
        <v>-915</v>
      </c>
      <c r="K208" s="71">
        <v>-2415</v>
      </c>
      <c r="L208" s="71">
        <v>-3414</v>
      </c>
      <c r="M208" s="71">
        <v>-4914</v>
      </c>
      <c r="N208" s="71">
        <v>-5914</v>
      </c>
      <c r="O208" s="71">
        <v>-7413</v>
      </c>
      <c r="P208" s="84">
        <v>-3995.3846153846152</v>
      </c>
      <c r="Q208" s="79">
        <v>-7413</v>
      </c>
      <c r="R208" s="71">
        <v>-3995.3846153846152</v>
      </c>
      <c r="S208" s="104"/>
      <c r="T208" s="71">
        <v>0</v>
      </c>
      <c r="U208" s="71">
        <v>0</v>
      </c>
    </row>
    <row r="209" spans="1:21" x14ac:dyDescent="0.2">
      <c r="A209" s="79" t="s">
        <v>4871</v>
      </c>
      <c r="B209" s="70" t="s">
        <v>26</v>
      </c>
      <c r="C209" s="71">
        <v>-37922</v>
      </c>
      <c r="D209" s="71">
        <v>-42698</v>
      </c>
      <c r="E209" s="71">
        <v>-36887</v>
      </c>
      <c r="F209" s="71">
        <v>-36286</v>
      </c>
      <c r="G209" s="71">
        <v>-44865</v>
      </c>
      <c r="H209" s="71">
        <v>-56207</v>
      </c>
      <c r="I209" s="71">
        <v>-56618</v>
      </c>
      <c r="J209" s="71">
        <v>-61008</v>
      </c>
      <c r="K209" s="71">
        <v>-63285</v>
      </c>
      <c r="L209" s="71">
        <v>-52161</v>
      </c>
      <c r="M209" s="71">
        <v>-47911</v>
      </c>
      <c r="N209" s="71">
        <v>-29907</v>
      </c>
      <c r="O209" s="71">
        <v>-56189</v>
      </c>
      <c r="P209" s="84">
        <v>-47841.846153846156</v>
      </c>
      <c r="Q209" s="80">
        <v>-44479</v>
      </c>
      <c r="R209" s="71">
        <v>-38754.769230769234</v>
      </c>
      <c r="S209" s="104"/>
      <c r="T209" s="71">
        <v>-11710</v>
      </c>
      <c r="U209" s="71">
        <v>-9087.076923076922</v>
      </c>
    </row>
    <row r="210" spans="1:21" x14ac:dyDescent="0.2">
      <c r="A210" s="80" t="s">
        <v>4897</v>
      </c>
      <c r="B210" s="70" t="s">
        <v>27</v>
      </c>
      <c r="C210" s="71">
        <v>-2049</v>
      </c>
      <c r="D210" s="71">
        <v>-2061</v>
      </c>
      <c r="E210" s="71">
        <v>-2073</v>
      </c>
      <c r="F210" s="71">
        <v>-2086</v>
      </c>
      <c r="G210" s="71">
        <v>-2098</v>
      </c>
      <c r="H210" s="71">
        <v>-2110</v>
      </c>
      <c r="I210" s="71">
        <v>-2122</v>
      </c>
      <c r="J210" s="71">
        <v>-2134</v>
      </c>
      <c r="K210" s="71">
        <v>-2146</v>
      </c>
      <c r="L210" s="71">
        <v>-2159</v>
      </c>
      <c r="M210" s="71">
        <v>-2171</v>
      </c>
      <c r="N210" s="71">
        <v>-2183</v>
      </c>
      <c r="O210" s="71">
        <v>-2195</v>
      </c>
      <c r="P210" s="84">
        <v>-2122.0769230769229</v>
      </c>
      <c r="Q210" s="79">
        <v>-2195</v>
      </c>
      <c r="R210" s="71">
        <v>-2122.0769230769229</v>
      </c>
      <c r="S210" s="104"/>
      <c r="T210" s="71">
        <v>0</v>
      </c>
      <c r="U210" s="71">
        <v>0</v>
      </c>
    </row>
    <row r="211" spans="1:21" x14ac:dyDescent="0.2">
      <c r="A211" s="79" t="s">
        <v>3179</v>
      </c>
      <c r="B211" s="70" t="s">
        <v>28</v>
      </c>
      <c r="C211" s="71">
        <v>0</v>
      </c>
      <c r="D211" s="71">
        <v>0</v>
      </c>
      <c r="E211" s="71">
        <v>0</v>
      </c>
      <c r="F211" s="71">
        <v>0</v>
      </c>
      <c r="G211" s="71">
        <v>0</v>
      </c>
      <c r="H211" s="71">
        <v>0</v>
      </c>
      <c r="I211" s="71">
        <v>0</v>
      </c>
      <c r="J211" s="71">
        <v>0</v>
      </c>
      <c r="K211" s="71">
        <v>0</v>
      </c>
      <c r="L211" s="71">
        <v>0</v>
      </c>
      <c r="M211" s="71">
        <v>0</v>
      </c>
      <c r="N211" s="71">
        <v>0</v>
      </c>
      <c r="O211" s="71">
        <v>0</v>
      </c>
      <c r="P211" s="84">
        <v>0</v>
      </c>
      <c r="Q211" s="77">
        <v>0</v>
      </c>
      <c r="R211" s="71">
        <v>0</v>
      </c>
      <c r="S211" s="104"/>
      <c r="T211" s="71">
        <v>0</v>
      </c>
      <c r="U211" s="71">
        <v>0</v>
      </c>
    </row>
    <row r="212" spans="1:21" x14ac:dyDescent="0.2">
      <c r="A212" s="77" t="s">
        <v>3220</v>
      </c>
      <c r="B212" s="70" t="s">
        <v>29</v>
      </c>
      <c r="C212" s="71">
        <v>-11065</v>
      </c>
      <c r="D212" s="71">
        <v>-6230</v>
      </c>
      <c r="E212" s="71">
        <v>-6212</v>
      </c>
      <c r="F212" s="71">
        <v>-6918</v>
      </c>
      <c r="G212" s="71">
        <v>-17385</v>
      </c>
      <c r="H212" s="71">
        <v>-8241</v>
      </c>
      <c r="I212" s="71">
        <v>-10621</v>
      </c>
      <c r="J212" s="71">
        <v>-8590</v>
      </c>
      <c r="K212" s="71">
        <v>-7831</v>
      </c>
      <c r="L212" s="71">
        <v>-7233</v>
      </c>
      <c r="M212" s="71">
        <v>-7445</v>
      </c>
      <c r="N212" s="71">
        <v>-7126</v>
      </c>
      <c r="O212" s="71">
        <v>-7414</v>
      </c>
      <c r="P212" s="84">
        <v>-8639.3076923076915</v>
      </c>
      <c r="Q212" s="77">
        <v>-11868</v>
      </c>
      <c r="R212" s="71">
        <v>-15315.153846153846</v>
      </c>
      <c r="S212" s="104"/>
      <c r="T212" s="71">
        <v>4454</v>
      </c>
      <c r="U212" s="71">
        <v>6675.8461538461543</v>
      </c>
    </row>
    <row r="213" spans="1:21" x14ac:dyDescent="0.2">
      <c r="A213" s="77" t="s">
        <v>30</v>
      </c>
      <c r="B213" s="70" t="s">
        <v>31</v>
      </c>
      <c r="C213" s="98">
        <v>-1</v>
      </c>
      <c r="D213" s="70">
        <v>0</v>
      </c>
      <c r="E213" s="70">
        <v>0</v>
      </c>
      <c r="F213" s="70">
        <v>0</v>
      </c>
      <c r="G213" s="70">
        <v>0</v>
      </c>
      <c r="H213" s="70">
        <v>0</v>
      </c>
      <c r="I213" s="70">
        <v>0</v>
      </c>
      <c r="J213" s="70">
        <v>0</v>
      </c>
      <c r="K213" s="70">
        <v>0</v>
      </c>
      <c r="L213" s="70">
        <v>0</v>
      </c>
      <c r="M213" s="70">
        <v>0</v>
      </c>
      <c r="N213" s="70">
        <v>0</v>
      </c>
      <c r="O213" s="70">
        <v>0</v>
      </c>
      <c r="P213" s="84">
        <v>-7.6923076923076927E-2</v>
      </c>
      <c r="Q213" s="79">
        <v>0</v>
      </c>
      <c r="R213" s="70">
        <v>-7.6923076923076927E-2</v>
      </c>
      <c r="S213" s="104"/>
      <c r="T213" s="70">
        <v>0</v>
      </c>
      <c r="U213" s="70">
        <v>0</v>
      </c>
    </row>
    <row r="214" spans="1:21" x14ac:dyDescent="0.2">
      <c r="A214" s="79" t="s">
        <v>3196</v>
      </c>
      <c r="B214" s="70" t="s">
        <v>32</v>
      </c>
      <c r="C214" s="71">
        <v>0</v>
      </c>
      <c r="D214" s="71">
        <v>0</v>
      </c>
      <c r="E214" s="71">
        <v>0</v>
      </c>
      <c r="F214" s="71">
        <v>0</v>
      </c>
      <c r="G214" s="71">
        <v>0</v>
      </c>
      <c r="H214" s="71">
        <v>0</v>
      </c>
      <c r="I214" s="71">
        <v>0</v>
      </c>
      <c r="J214" s="71">
        <v>0</v>
      </c>
      <c r="K214" s="71">
        <v>0</v>
      </c>
      <c r="L214" s="71">
        <v>0</v>
      </c>
      <c r="M214" s="71">
        <v>0</v>
      </c>
      <c r="N214" s="71">
        <v>0</v>
      </c>
      <c r="O214" s="71">
        <v>0</v>
      </c>
      <c r="P214" s="84">
        <v>0</v>
      </c>
      <c r="Q214" s="77">
        <v>-642</v>
      </c>
      <c r="R214" s="71">
        <v>-2009.6153846153845</v>
      </c>
      <c r="S214" s="104"/>
      <c r="T214" s="71">
        <v>642</v>
      </c>
      <c r="U214" s="71">
        <v>2009.6153846153845</v>
      </c>
    </row>
    <row r="215" spans="1:21" x14ac:dyDescent="0.2">
      <c r="A215" s="77" t="s">
        <v>3198</v>
      </c>
      <c r="B215" s="70" t="s">
        <v>33</v>
      </c>
      <c r="C215" s="71">
        <v>0</v>
      </c>
      <c r="D215" s="71">
        <v>0</v>
      </c>
      <c r="E215" s="71">
        <v>0</v>
      </c>
      <c r="F215" s="71">
        <v>0</v>
      </c>
      <c r="G215" s="71">
        <v>0</v>
      </c>
      <c r="H215" s="71">
        <v>0</v>
      </c>
      <c r="I215" s="71">
        <v>0</v>
      </c>
      <c r="J215" s="71">
        <v>0</v>
      </c>
      <c r="K215" s="71">
        <v>0</v>
      </c>
      <c r="L215" s="71">
        <v>0</v>
      </c>
      <c r="M215" s="71">
        <v>0</v>
      </c>
      <c r="N215" s="71">
        <v>0</v>
      </c>
      <c r="O215" s="71">
        <v>0</v>
      </c>
      <c r="P215" s="84">
        <v>0</v>
      </c>
      <c r="Q215" s="79">
        <v>0</v>
      </c>
      <c r="R215" s="71">
        <v>0</v>
      </c>
      <c r="S215" s="104"/>
      <c r="T215" s="71">
        <v>0</v>
      </c>
      <c r="U215" s="71">
        <v>0</v>
      </c>
    </row>
    <row r="216" spans="1:21" x14ac:dyDescent="0.2">
      <c r="A216" s="79" t="s">
        <v>3200</v>
      </c>
      <c r="B216" s="70" t="s">
        <v>34</v>
      </c>
      <c r="C216" s="71">
        <v>0</v>
      </c>
      <c r="D216" s="71">
        <v>0</v>
      </c>
      <c r="E216" s="71">
        <v>0</v>
      </c>
      <c r="F216" s="71">
        <v>0</v>
      </c>
      <c r="G216" s="71">
        <v>0</v>
      </c>
      <c r="H216" s="71">
        <v>0</v>
      </c>
      <c r="I216" s="71">
        <v>0</v>
      </c>
      <c r="J216" s="71">
        <v>0</v>
      </c>
      <c r="K216" s="71">
        <v>0</v>
      </c>
      <c r="L216" s="71">
        <v>0</v>
      </c>
      <c r="M216" s="71">
        <v>0</v>
      </c>
      <c r="N216" s="71">
        <v>0</v>
      </c>
      <c r="O216" s="71">
        <v>0</v>
      </c>
      <c r="P216" s="84">
        <v>0</v>
      </c>
      <c r="Q216" s="79">
        <v>0</v>
      </c>
      <c r="R216" s="71">
        <v>0</v>
      </c>
      <c r="S216" s="104"/>
      <c r="T216" s="71">
        <v>0</v>
      </c>
      <c r="U216" s="71">
        <v>0</v>
      </c>
    </row>
    <row r="217" spans="1:21" x14ac:dyDescent="0.2">
      <c r="A217" s="79" t="s">
        <v>3204</v>
      </c>
      <c r="B217" s="70" t="s">
        <v>35</v>
      </c>
      <c r="C217" s="71">
        <v>-5430</v>
      </c>
      <c r="D217" s="71">
        <v>-5728</v>
      </c>
      <c r="E217" s="71">
        <v>-5814</v>
      </c>
      <c r="F217" s="71">
        <v>-5598</v>
      </c>
      <c r="G217" s="71">
        <v>-15294</v>
      </c>
      <c r="H217" s="71">
        <v>-6144</v>
      </c>
      <c r="I217" s="71">
        <v>-8524</v>
      </c>
      <c r="J217" s="71">
        <v>-6493</v>
      </c>
      <c r="K217" s="71">
        <v>-5734</v>
      </c>
      <c r="L217" s="71">
        <v>-5136</v>
      </c>
      <c r="M217" s="71">
        <v>-5348</v>
      </c>
      <c r="N217" s="71">
        <v>-5029</v>
      </c>
      <c r="O217" s="71">
        <v>-5317</v>
      </c>
      <c r="P217" s="84">
        <v>-6583.7692307692305</v>
      </c>
      <c r="Q217" s="77">
        <v>-4967</v>
      </c>
      <c r="R217" s="71">
        <v>-7343.3076923076924</v>
      </c>
      <c r="S217" s="104"/>
      <c r="T217" s="71">
        <v>-350</v>
      </c>
      <c r="U217" s="71">
        <v>759.53846153846189</v>
      </c>
    </row>
    <row r="218" spans="1:21" x14ac:dyDescent="0.2">
      <c r="A218" s="80" t="s">
        <v>3206</v>
      </c>
      <c r="B218" s="70" t="s">
        <v>5020</v>
      </c>
      <c r="C218" s="71">
        <v>0</v>
      </c>
      <c r="D218" s="71">
        <v>0</v>
      </c>
      <c r="E218" s="71">
        <v>0</v>
      </c>
      <c r="F218" s="71">
        <v>0</v>
      </c>
      <c r="G218" s="71">
        <v>0</v>
      </c>
      <c r="H218" s="71">
        <v>0</v>
      </c>
      <c r="I218" s="71">
        <v>0</v>
      </c>
      <c r="J218" s="71">
        <v>0</v>
      </c>
      <c r="K218" s="71">
        <v>0</v>
      </c>
      <c r="L218" s="71">
        <v>0</v>
      </c>
      <c r="M218" s="71">
        <v>0</v>
      </c>
      <c r="N218" s="71">
        <v>0</v>
      </c>
      <c r="O218" s="71">
        <v>0</v>
      </c>
      <c r="P218" s="84">
        <v>0</v>
      </c>
      <c r="Q218" s="77">
        <v>0</v>
      </c>
      <c r="R218" s="71">
        <v>0</v>
      </c>
      <c r="S218" s="104"/>
      <c r="T218" s="71">
        <v>0</v>
      </c>
      <c r="U218" s="71">
        <v>0</v>
      </c>
    </row>
    <row r="219" spans="1:21" x14ac:dyDescent="0.2">
      <c r="A219" s="77" t="s">
        <v>4075</v>
      </c>
      <c r="B219" s="70" t="s">
        <v>5021</v>
      </c>
      <c r="C219" s="71">
        <v>0</v>
      </c>
      <c r="D219" s="71">
        <v>0</v>
      </c>
      <c r="E219" s="71">
        <v>0</v>
      </c>
      <c r="F219" s="71">
        <v>0</v>
      </c>
      <c r="G219" s="71">
        <v>0</v>
      </c>
      <c r="H219" s="71">
        <v>0</v>
      </c>
      <c r="I219" s="71">
        <v>0</v>
      </c>
      <c r="J219" s="71">
        <v>0</v>
      </c>
      <c r="K219" s="71">
        <v>0</v>
      </c>
      <c r="L219" s="71">
        <v>0</v>
      </c>
      <c r="M219" s="71">
        <v>0</v>
      </c>
      <c r="N219" s="71">
        <v>0</v>
      </c>
      <c r="O219" s="71">
        <v>0</v>
      </c>
      <c r="P219" s="84">
        <v>0</v>
      </c>
      <c r="Q219" s="79">
        <v>0</v>
      </c>
      <c r="R219" s="71">
        <v>0</v>
      </c>
      <c r="S219" s="104"/>
      <c r="T219" s="71">
        <v>0</v>
      </c>
      <c r="U219" s="71">
        <v>0</v>
      </c>
    </row>
    <row r="220" spans="1:21" x14ac:dyDescent="0.2">
      <c r="A220" s="79" t="s">
        <v>4077</v>
      </c>
      <c r="B220" s="70" t="s">
        <v>5022</v>
      </c>
      <c r="C220" s="71">
        <v>0</v>
      </c>
      <c r="D220" s="71">
        <v>0</v>
      </c>
      <c r="E220" s="71">
        <v>0</v>
      </c>
      <c r="F220" s="71">
        <v>0</v>
      </c>
      <c r="G220" s="71">
        <v>0</v>
      </c>
      <c r="H220" s="71">
        <v>0</v>
      </c>
      <c r="I220" s="71">
        <v>0</v>
      </c>
      <c r="J220" s="71">
        <v>0</v>
      </c>
      <c r="K220" s="71">
        <v>0</v>
      </c>
      <c r="L220" s="71">
        <v>0</v>
      </c>
      <c r="M220" s="71">
        <v>0</v>
      </c>
      <c r="N220" s="71">
        <v>0</v>
      </c>
      <c r="O220" s="71">
        <v>0</v>
      </c>
      <c r="P220" s="84">
        <v>0</v>
      </c>
      <c r="Q220" s="77">
        <v>0</v>
      </c>
      <c r="R220" s="71">
        <v>0</v>
      </c>
      <c r="S220" s="104"/>
      <c r="T220" s="71">
        <v>0</v>
      </c>
      <c r="U220" s="71">
        <v>0</v>
      </c>
    </row>
    <row r="221" spans="1:21" x14ac:dyDescent="0.2">
      <c r="A221" s="77" t="s">
        <v>627</v>
      </c>
      <c r="B221" s="70" t="s">
        <v>5023</v>
      </c>
      <c r="C221" s="71">
        <v>0</v>
      </c>
      <c r="D221" s="71">
        <v>0</v>
      </c>
      <c r="E221" s="71">
        <v>0</v>
      </c>
      <c r="F221" s="71">
        <v>0</v>
      </c>
      <c r="G221" s="71">
        <v>0</v>
      </c>
      <c r="H221" s="71">
        <v>0</v>
      </c>
      <c r="I221" s="71">
        <v>0</v>
      </c>
      <c r="J221" s="71">
        <v>0</v>
      </c>
      <c r="K221" s="71">
        <v>0</v>
      </c>
      <c r="L221" s="71">
        <v>0</v>
      </c>
      <c r="M221" s="71">
        <v>0</v>
      </c>
      <c r="N221" s="71">
        <v>0</v>
      </c>
      <c r="O221" s="71">
        <v>0</v>
      </c>
      <c r="P221" s="84">
        <v>0</v>
      </c>
      <c r="Q221" s="77">
        <v>0</v>
      </c>
      <c r="R221" s="71">
        <v>0</v>
      </c>
      <c r="S221" s="104"/>
      <c r="T221" s="71">
        <v>0</v>
      </c>
      <c r="U221" s="71">
        <v>0</v>
      </c>
    </row>
    <row r="222" spans="1:21" x14ac:dyDescent="0.2">
      <c r="A222" s="77" t="s">
        <v>629</v>
      </c>
      <c r="B222" s="70" t="s">
        <v>26</v>
      </c>
      <c r="C222" s="71">
        <v>-364</v>
      </c>
      <c r="D222" s="71">
        <v>-194</v>
      </c>
      <c r="E222" s="71">
        <v>-88</v>
      </c>
      <c r="F222" s="71">
        <v>-1002</v>
      </c>
      <c r="G222" s="71">
        <v>-1785</v>
      </c>
      <c r="H222" s="71">
        <v>-1785</v>
      </c>
      <c r="I222" s="71">
        <v>-1785</v>
      </c>
      <c r="J222" s="71">
        <v>-1785</v>
      </c>
      <c r="K222" s="71">
        <v>-1785</v>
      </c>
      <c r="L222" s="71">
        <v>-1785</v>
      </c>
      <c r="M222" s="71">
        <v>-1785</v>
      </c>
      <c r="N222" s="71">
        <v>-1785</v>
      </c>
      <c r="O222" s="71">
        <v>-1785</v>
      </c>
      <c r="P222" s="84">
        <v>-1362.5384615384614</v>
      </c>
      <c r="Q222" s="77">
        <v>-364</v>
      </c>
      <c r="R222" s="71">
        <v>-364</v>
      </c>
      <c r="S222" s="104"/>
      <c r="T222" s="71">
        <v>-1421</v>
      </c>
      <c r="U222" s="71">
        <v>-998.53846153846143</v>
      </c>
    </row>
    <row r="223" spans="1:21" x14ac:dyDescent="0.2">
      <c r="A223" s="77" t="s">
        <v>631</v>
      </c>
      <c r="B223" s="70" t="s">
        <v>5024</v>
      </c>
      <c r="C223" s="71">
        <v>0</v>
      </c>
      <c r="D223" s="71">
        <v>0</v>
      </c>
      <c r="E223" s="71">
        <v>0</v>
      </c>
      <c r="F223" s="71">
        <v>0</v>
      </c>
      <c r="G223" s="71">
        <v>0</v>
      </c>
      <c r="H223" s="71">
        <v>0</v>
      </c>
      <c r="I223" s="71">
        <v>0</v>
      </c>
      <c r="J223" s="71">
        <v>0</v>
      </c>
      <c r="K223" s="71">
        <v>0</v>
      </c>
      <c r="L223" s="71">
        <v>0</v>
      </c>
      <c r="M223" s="71">
        <v>0</v>
      </c>
      <c r="N223" s="71">
        <v>0</v>
      </c>
      <c r="O223" s="71">
        <v>0</v>
      </c>
      <c r="P223" s="84">
        <v>0</v>
      </c>
      <c r="Q223" s="79">
        <v>0</v>
      </c>
      <c r="R223" s="71">
        <v>0</v>
      </c>
      <c r="S223" s="104"/>
      <c r="T223" s="71">
        <v>0</v>
      </c>
      <c r="U223" s="71">
        <v>0</v>
      </c>
    </row>
    <row r="224" spans="1:21" x14ac:dyDescent="0.2">
      <c r="A224" s="79" t="s">
        <v>3214</v>
      </c>
      <c r="B224" s="70" t="s">
        <v>5025</v>
      </c>
      <c r="C224" s="71">
        <v>-5307</v>
      </c>
      <c r="D224" s="71">
        <v>-345</v>
      </c>
      <c r="E224" s="71">
        <v>-310</v>
      </c>
      <c r="F224" s="71">
        <v>-318</v>
      </c>
      <c r="G224" s="71">
        <v>-306</v>
      </c>
      <c r="H224" s="71">
        <v>-312</v>
      </c>
      <c r="I224" s="71">
        <v>-312</v>
      </c>
      <c r="J224" s="71">
        <v>-312</v>
      </c>
      <c r="K224" s="71">
        <v>-312</v>
      </c>
      <c r="L224" s="71">
        <v>-312</v>
      </c>
      <c r="M224" s="71">
        <v>-312</v>
      </c>
      <c r="N224" s="71">
        <v>-312</v>
      </c>
      <c r="O224" s="71">
        <v>-312</v>
      </c>
      <c r="P224" s="84">
        <v>-698.61538461538464</v>
      </c>
      <c r="Q224" s="79">
        <v>-5895</v>
      </c>
      <c r="R224" s="71">
        <v>-5601</v>
      </c>
      <c r="S224" s="104"/>
      <c r="T224" s="71">
        <v>5583</v>
      </c>
      <c r="U224" s="71">
        <v>4902.3846153846152</v>
      </c>
    </row>
    <row r="225" spans="1:21" x14ac:dyDescent="0.2">
      <c r="A225" s="79" t="s">
        <v>3216</v>
      </c>
      <c r="B225" s="70" t="s">
        <v>5026</v>
      </c>
      <c r="C225" s="71">
        <v>0</v>
      </c>
      <c r="D225" s="71">
        <v>0</v>
      </c>
      <c r="E225" s="71">
        <v>0</v>
      </c>
      <c r="F225" s="71">
        <v>0</v>
      </c>
      <c r="G225" s="71">
        <v>0</v>
      </c>
      <c r="H225" s="71">
        <v>0</v>
      </c>
      <c r="I225" s="71">
        <v>0</v>
      </c>
      <c r="J225" s="71">
        <v>0</v>
      </c>
      <c r="K225" s="71">
        <v>0</v>
      </c>
      <c r="L225" s="71">
        <v>0</v>
      </c>
      <c r="M225" s="71">
        <v>0</v>
      </c>
      <c r="N225" s="71">
        <v>0</v>
      </c>
      <c r="O225" s="71">
        <v>0</v>
      </c>
      <c r="P225" s="84">
        <v>0</v>
      </c>
      <c r="Q225" s="79">
        <v>0</v>
      </c>
      <c r="R225" s="71">
        <v>0</v>
      </c>
      <c r="S225" s="104"/>
      <c r="T225" s="71">
        <v>0</v>
      </c>
      <c r="U225" s="71">
        <v>0</v>
      </c>
    </row>
    <row r="226" spans="1:21" x14ac:dyDescent="0.2">
      <c r="A226" s="79" t="s">
        <v>3218</v>
      </c>
      <c r="B226" s="70" t="s">
        <v>5027</v>
      </c>
      <c r="C226" s="71">
        <v>37</v>
      </c>
      <c r="D226" s="71">
        <v>37</v>
      </c>
      <c r="E226" s="71">
        <v>0</v>
      </c>
      <c r="F226" s="71">
        <v>0</v>
      </c>
      <c r="G226" s="71">
        <v>0</v>
      </c>
      <c r="H226" s="71">
        <v>0</v>
      </c>
      <c r="I226" s="71">
        <v>0</v>
      </c>
      <c r="J226" s="71">
        <v>0</v>
      </c>
      <c r="K226" s="71">
        <v>0</v>
      </c>
      <c r="L226" s="71">
        <v>0</v>
      </c>
      <c r="M226" s="71">
        <v>0</v>
      </c>
      <c r="N226" s="71">
        <v>0</v>
      </c>
      <c r="O226" s="71">
        <v>0</v>
      </c>
      <c r="P226" s="84">
        <v>5.6923076923076925</v>
      </c>
      <c r="Q226" s="77">
        <v>0</v>
      </c>
      <c r="R226" s="71">
        <v>2.8461538461538463</v>
      </c>
      <c r="S226" s="104"/>
      <c r="T226" s="71">
        <v>0</v>
      </c>
      <c r="U226" s="71">
        <v>2.8461538461538463</v>
      </c>
    </row>
    <row r="227" spans="1:21" x14ac:dyDescent="0.2">
      <c r="A227" s="77" t="s">
        <v>3223</v>
      </c>
      <c r="B227" s="70" t="s">
        <v>5028</v>
      </c>
      <c r="C227" s="71">
        <v>-103480</v>
      </c>
      <c r="D227" s="71">
        <v>-104420</v>
      </c>
      <c r="E227" s="71">
        <v>-105368</v>
      </c>
      <c r="F227" s="71">
        <v>-106325</v>
      </c>
      <c r="G227" s="71">
        <v>-107290</v>
      </c>
      <c r="H227" s="71">
        <v>-108264</v>
      </c>
      <c r="I227" s="71">
        <v>-109246</v>
      </c>
      <c r="J227" s="71">
        <v>-110237</v>
      </c>
      <c r="K227" s="71">
        <v>-111237</v>
      </c>
      <c r="L227" s="71">
        <v>-112246</v>
      </c>
      <c r="M227" s="71">
        <v>-113264</v>
      </c>
      <c r="N227" s="71">
        <v>-114291</v>
      </c>
      <c r="O227" s="71">
        <v>-115325</v>
      </c>
      <c r="P227" s="84">
        <v>-109307.15384615384</v>
      </c>
      <c r="Q227" s="79">
        <v>-115325</v>
      </c>
      <c r="R227" s="71">
        <v>-109307.15384615384</v>
      </c>
      <c r="S227" s="104"/>
      <c r="T227" s="71">
        <v>0</v>
      </c>
      <c r="U227" s="71">
        <v>0</v>
      </c>
    </row>
    <row r="228" spans="1:21" x14ac:dyDescent="0.2">
      <c r="A228" s="79" t="s">
        <v>3221</v>
      </c>
      <c r="B228" s="70" t="s">
        <v>5029</v>
      </c>
      <c r="C228" s="71">
        <v>-103480</v>
      </c>
      <c r="D228" s="71">
        <v>-104420</v>
      </c>
      <c r="E228" s="71">
        <v>-105368</v>
      </c>
      <c r="F228" s="71">
        <v>-106325</v>
      </c>
      <c r="G228" s="71">
        <v>-107290</v>
      </c>
      <c r="H228" s="71">
        <v>-108264</v>
      </c>
      <c r="I228" s="71">
        <v>-109246</v>
      </c>
      <c r="J228" s="71">
        <v>-110237</v>
      </c>
      <c r="K228" s="71">
        <v>-111237</v>
      </c>
      <c r="L228" s="71">
        <v>-112246</v>
      </c>
      <c r="M228" s="71">
        <v>-113264</v>
      </c>
      <c r="N228" s="71">
        <v>-114291</v>
      </c>
      <c r="O228" s="71">
        <v>-115325</v>
      </c>
      <c r="P228" s="84">
        <v>-109307.15384615384</v>
      </c>
      <c r="Q228" s="77">
        <v>-115325</v>
      </c>
      <c r="R228" s="71">
        <v>-109307.15384615384</v>
      </c>
      <c r="S228" s="104"/>
      <c r="T228" s="71">
        <v>0</v>
      </c>
      <c r="U228" s="71">
        <v>0</v>
      </c>
    </row>
    <row r="229" spans="1:21" ht="14.25" customHeight="1" x14ac:dyDescent="0.25">
      <c r="A229" s="77" t="s">
        <v>99</v>
      </c>
      <c r="B229" s="70" t="s">
        <v>5030</v>
      </c>
      <c r="C229" s="71">
        <v>-12545</v>
      </c>
      <c r="D229" s="71">
        <v>-14137</v>
      </c>
      <c r="E229" s="71">
        <v>-17653</v>
      </c>
      <c r="F229" s="71">
        <v>-20584</v>
      </c>
      <c r="G229" s="71">
        <v>-19805</v>
      </c>
      <c r="H229" s="71">
        <v>-21853</v>
      </c>
      <c r="I229" s="71">
        <v>-28654</v>
      </c>
      <c r="J229" s="71">
        <v>-36036</v>
      </c>
      <c r="K229" s="71">
        <v>-44214</v>
      </c>
      <c r="L229" s="71">
        <v>-52518</v>
      </c>
      <c r="M229" s="71">
        <v>-63005</v>
      </c>
      <c r="N229" s="71">
        <v>-27084</v>
      </c>
      <c r="O229" s="71">
        <v>-14194</v>
      </c>
      <c r="P229" s="84">
        <v>-28637.076923076922</v>
      </c>
      <c r="Q229" s="85">
        <v>-14226</v>
      </c>
      <c r="R229" s="71">
        <v>-37136.615384615383</v>
      </c>
      <c r="S229" s="104"/>
      <c r="T229" s="71">
        <v>32</v>
      </c>
      <c r="U229" s="71">
        <v>8499.538461538461</v>
      </c>
    </row>
    <row r="230" spans="1:21" ht="15.75" x14ac:dyDescent="0.25">
      <c r="A230" s="85" t="s">
        <v>3224</v>
      </c>
      <c r="B230" s="73" t="s">
        <v>5031</v>
      </c>
      <c r="C230" s="70">
        <v>0</v>
      </c>
      <c r="D230" s="70">
        <v>0</v>
      </c>
      <c r="E230" s="70">
        <v>0</v>
      </c>
      <c r="F230" s="70">
        <v>0</v>
      </c>
      <c r="G230" s="70">
        <v>0</v>
      </c>
      <c r="H230" s="70">
        <v>0</v>
      </c>
      <c r="I230" s="70">
        <v>0</v>
      </c>
      <c r="J230" s="70">
        <v>0</v>
      </c>
      <c r="K230" s="70">
        <v>0</v>
      </c>
      <c r="L230" s="70">
        <v>0</v>
      </c>
      <c r="M230" s="70">
        <v>0</v>
      </c>
      <c r="N230" s="70">
        <v>0</v>
      </c>
      <c r="O230" s="70">
        <v>0</v>
      </c>
      <c r="P230" s="84">
        <v>0</v>
      </c>
      <c r="Q230" s="85">
        <v>0</v>
      </c>
      <c r="R230" s="70">
        <v>0</v>
      </c>
      <c r="S230" s="104"/>
      <c r="T230" s="70">
        <v>0</v>
      </c>
      <c r="U230" s="70">
        <v>0</v>
      </c>
    </row>
    <row r="231" spans="1:21" ht="15.75" x14ac:dyDescent="0.25">
      <c r="A231" s="85" t="s">
        <v>3226</v>
      </c>
      <c r="B231" s="73" t="s">
        <v>5032</v>
      </c>
      <c r="C231" s="70">
        <v>0</v>
      </c>
      <c r="D231" s="70">
        <v>701</v>
      </c>
      <c r="E231" s="70">
        <v>701</v>
      </c>
      <c r="F231" s="70">
        <v>0</v>
      </c>
      <c r="G231" s="70">
        <v>0</v>
      </c>
      <c r="H231" s="70">
        <v>0</v>
      </c>
      <c r="I231" s="70">
        <v>0</v>
      </c>
      <c r="J231" s="70">
        <v>0</v>
      </c>
      <c r="K231" s="70">
        <v>0</v>
      </c>
      <c r="L231" s="70">
        <v>0</v>
      </c>
      <c r="M231" s="70">
        <v>0</v>
      </c>
      <c r="N231" s="70">
        <v>0</v>
      </c>
      <c r="O231" s="70">
        <v>0</v>
      </c>
      <c r="P231" s="84">
        <v>107.84615384615384</v>
      </c>
      <c r="Q231" s="85">
        <v>-701</v>
      </c>
      <c r="R231" s="70">
        <v>-539.23076923076928</v>
      </c>
      <c r="S231" s="104"/>
      <c r="T231" s="70">
        <v>701</v>
      </c>
      <c r="U231" s="70">
        <v>647.07692307692309</v>
      </c>
    </row>
    <row r="232" spans="1:21" ht="15.75" x14ac:dyDescent="0.25">
      <c r="A232" s="85" t="s">
        <v>3228</v>
      </c>
      <c r="B232" s="73" t="s">
        <v>5033</v>
      </c>
      <c r="C232" s="70">
        <v>0</v>
      </c>
      <c r="D232" s="70">
        <v>-5558</v>
      </c>
      <c r="E232" s="70">
        <v>-5669</v>
      </c>
      <c r="F232" s="70">
        <v>-4304</v>
      </c>
      <c r="G232" s="70">
        <v>1113</v>
      </c>
      <c r="H232" s="70">
        <v>1770</v>
      </c>
      <c r="I232" s="70">
        <v>672</v>
      </c>
      <c r="J232" s="70">
        <v>-4254</v>
      </c>
      <c r="K232" s="70">
        <v>-7762</v>
      </c>
      <c r="L232" s="70">
        <v>-11165</v>
      </c>
      <c r="M232" s="70">
        <v>-19147</v>
      </c>
      <c r="N232" s="70">
        <v>-23891</v>
      </c>
      <c r="O232" s="70">
        <v>-4128</v>
      </c>
      <c r="P232" s="84">
        <v>-6332.5384615384619</v>
      </c>
      <c r="Q232" s="79">
        <v>-2987</v>
      </c>
      <c r="R232" s="70">
        <v>-11606.23076923077</v>
      </c>
      <c r="S232" s="104"/>
      <c r="T232" s="70">
        <v>-1141</v>
      </c>
      <c r="U232" s="70">
        <v>5273.6923076923076</v>
      </c>
    </row>
    <row r="233" spans="1:21" ht="15.75" x14ac:dyDescent="0.25">
      <c r="A233" s="79" t="s">
        <v>3230</v>
      </c>
      <c r="B233" s="70" t="s">
        <v>5034</v>
      </c>
      <c r="C233" s="70">
        <v>-3</v>
      </c>
      <c r="D233" s="70">
        <v>-3</v>
      </c>
      <c r="E233" s="70">
        <v>-3</v>
      </c>
      <c r="F233" s="70">
        <v>-3</v>
      </c>
      <c r="G233" s="70">
        <v>-3</v>
      </c>
      <c r="H233" s="70">
        <v>-3</v>
      </c>
      <c r="I233" s="70">
        <v>-3</v>
      </c>
      <c r="J233" s="70">
        <v>-3</v>
      </c>
      <c r="K233" s="70">
        <v>-3</v>
      </c>
      <c r="L233" s="70">
        <v>-3</v>
      </c>
      <c r="M233" s="70">
        <v>-3</v>
      </c>
      <c r="N233" s="70">
        <v>-3</v>
      </c>
      <c r="O233" s="70">
        <v>-3</v>
      </c>
      <c r="P233" s="84">
        <v>-3</v>
      </c>
      <c r="Q233" s="85">
        <v>-3</v>
      </c>
      <c r="R233" s="70">
        <v>-3</v>
      </c>
      <c r="S233" s="104"/>
      <c r="T233" s="70">
        <v>0</v>
      </c>
      <c r="U233" s="70">
        <v>0</v>
      </c>
    </row>
    <row r="234" spans="1:21" ht="15.75" x14ac:dyDescent="0.25">
      <c r="A234" s="85" t="s">
        <v>5191</v>
      </c>
      <c r="B234" s="73" t="s">
        <v>5035</v>
      </c>
      <c r="C234" s="70">
        <v>-4393</v>
      </c>
      <c r="D234" s="70">
        <v>-875</v>
      </c>
      <c r="E234" s="70">
        <v>-1096</v>
      </c>
      <c r="F234" s="70">
        <v>-1070</v>
      </c>
      <c r="G234" s="70">
        <v>-1337</v>
      </c>
      <c r="H234" s="70">
        <v>625</v>
      </c>
      <c r="I234" s="70">
        <v>-474</v>
      </c>
      <c r="J234" s="70">
        <v>560</v>
      </c>
      <c r="K234" s="70">
        <v>-225</v>
      </c>
      <c r="L234" s="70">
        <v>-1541</v>
      </c>
      <c r="M234" s="70">
        <v>-1014</v>
      </c>
      <c r="N234" s="70">
        <v>-2005</v>
      </c>
      <c r="O234" s="70">
        <v>-2055</v>
      </c>
      <c r="P234" s="84">
        <v>-1146.1538461538462</v>
      </c>
      <c r="Q234" s="79">
        <v>-2692</v>
      </c>
      <c r="R234" s="70">
        <v>-1302.3846153846155</v>
      </c>
      <c r="S234" s="104"/>
      <c r="T234" s="70">
        <v>637</v>
      </c>
      <c r="U234" s="70">
        <v>156.23076923076928</v>
      </c>
    </row>
    <row r="235" spans="1:21" x14ac:dyDescent="0.2">
      <c r="A235" s="79" t="s">
        <v>1998</v>
      </c>
      <c r="B235" s="70" t="s">
        <v>5036</v>
      </c>
      <c r="C235" s="71">
        <v>-8149</v>
      </c>
      <c r="D235" s="71">
        <v>-4660</v>
      </c>
      <c r="E235" s="71">
        <v>-4103</v>
      </c>
      <c r="F235" s="71">
        <v>-3982</v>
      </c>
      <c r="G235" s="71">
        <v>-4611</v>
      </c>
      <c r="H235" s="71">
        <v>-5537</v>
      </c>
      <c r="I235" s="71">
        <v>-6399</v>
      </c>
      <c r="J235" s="71">
        <v>-6147</v>
      </c>
      <c r="K235" s="71">
        <v>-6291</v>
      </c>
      <c r="L235" s="71">
        <v>-6134</v>
      </c>
      <c r="M235" s="71">
        <v>-5424</v>
      </c>
      <c r="N235" s="71">
        <v>-4927</v>
      </c>
      <c r="O235" s="71">
        <v>-8008</v>
      </c>
      <c r="P235" s="84">
        <v>-5720.9230769230771</v>
      </c>
      <c r="Q235" s="77">
        <v>-7843</v>
      </c>
      <c r="R235" s="71">
        <v>-8141.7692307692305</v>
      </c>
      <c r="S235" s="104"/>
      <c r="T235" s="71">
        <v>-165</v>
      </c>
      <c r="U235" s="71">
        <v>2420.8461538461534</v>
      </c>
    </row>
    <row r="236" spans="1:21" ht="14.25" customHeight="1" x14ac:dyDescent="0.2">
      <c r="A236" s="77" t="s">
        <v>2004</v>
      </c>
      <c r="B236" s="70" t="s">
        <v>5037</v>
      </c>
      <c r="C236" s="71">
        <v>0</v>
      </c>
      <c r="D236" s="71">
        <v>-3742</v>
      </c>
      <c r="E236" s="71">
        <v>-7483</v>
      </c>
      <c r="F236" s="71">
        <v>-11225</v>
      </c>
      <c r="G236" s="71">
        <v>-14967</v>
      </c>
      <c r="H236" s="71">
        <v>-18708</v>
      </c>
      <c r="I236" s="71">
        <v>-22450</v>
      </c>
      <c r="J236" s="71">
        <v>-26192</v>
      </c>
      <c r="K236" s="71">
        <v>-29933</v>
      </c>
      <c r="L236" s="71">
        <v>-33675</v>
      </c>
      <c r="M236" s="71">
        <v>-37417</v>
      </c>
      <c r="N236" s="71">
        <v>3742</v>
      </c>
      <c r="O236" s="71">
        <v>0</v>
      </c>
      <c r="P236" s="84">
        <v>-15542.307692307691</v>
      </c>
      <c r="Q236" s="77">
        <v>0</v>
      </c>
      <c r="R236" s="71">
        <v>-15544</v>
      </c>
      <c r="S236" s="104"/>
      <c r="T236" s="71">
        <v>0</v>
      </c>
      <c r="U236" s="71">
        <v>1.6923076923085318</v>
      </c>
    </row>
    <row r="237" spans="1:21" ht="14.25" customHeight="1" x14ac:dyDescent="0.2">
      <c r="A237" s="77" t="s">
        <v>158</v>
      </c>
      <c r="B237" s="70" t="s">
        <v>5038</v>
      </c>
      <c r="C237" s="90">
        <v>-19507</v>
      </c>
      <c r="D237" s="90">
        <v>-26745</v>
      </c>
      <c r="E237" s="90">
        <v>-24135</v>
      </c>
      <c r="F237" s="90">
        <v>-31673</v>
      </c>
      <c r="G237" s="90">
        <v>-28625</v>
      </c>
      <c r="H237" s="90">
        <v>-23450.166666666668</v>
      </c>
      <c r="I237" s="90">
        <v>-25257.5</v>
      </c>
      <c r="J237" s="90">
        <v>-34313.833333333336</v>
      </c>
      <c r="K237" s="90">
        <v>-32888.166666666664</v>
      </c>
      <c r="L237" s="90">
        <v>-37496.5</v>
      </c>
      <c r="M237" s="90">
        <v>-34727.833333333328</v>
      </c>
      <c r="N237" s="90">
        <v>-26942.166666666668</v>
      </c>
      <c r="O237" s="90">
        <v>-23485.5</v>
      </c>
      <c r="P237" s="84">
        <v>-28403.589743589742</v>
      </c>
      <c r="Q237" s="79">
        <v>-19887</v>
      </c>
      <c r="R237" s="90">
        <v>-27070.846153846152</v>
      </c>
      <c r="S237" s="104"/>
      <c r="T237" s="90">
        <v>-3598.5</v>
      </c>
      <c r="U237" s="90">
        <v>-1332.7435897435898</v>
      </c>
    </row>
    <row r="238" spans="1:21" ht="14.25" customHeight="1" x14ac:dyDescent="0.2">
      <c r="A238" s="80" t="s">
        <v>100</v>
      </c>
      <c r="B238" s="70" t="s">
        <v>2018</v>
      </c>
      <c r="C238" s="71">
        <v>-240</v>
      </c>
      <c r="D238" s="71">
        <v>-173</v>
      </c>
      <c r="E238" s="71">
        <v>-234</v>
      </c>
      <c r="F238" s="71">
        <v>0</v>
      </c>
      <c r="G238" s="71">
        <v>-1</v>
      </c>
      <c r="H238" s="71">
        <v>-17</v>
      </c>
      <c r="I238" s="71">
        <v>0</v>
      </c>
      <c r="J238" s="71">
        <v>0</v>
      </c>
      <c r="K238" s="71">
        <v>0</v>
      </c>
      <c r="L238" s="71">
        <v>0</v>
      </c>
      <c r="M238" s="71">
        <v>0</v>
      </c>
      <c r="N238" s="71">
        <v>0</v>
      </c>
      <c r="O238" s="71">
        <v>0</v>
      </c>
      <c r="P238" s="84">
        <v>-51.153846153846153</v>
      </c>
      <c r="Q238" s="79">
        <v>-70</v>
      </c>
      <c r="R238" s="71">
        <v>-187.46153846153845</v>
      </c>
      <c r="S238" s="104"/>
      <c r="T238" s="71">
        <v>70</v>
      </c>
      <c r="U238" s="71">
        <v>136.30769230769229</v>
      </c>
    </row>
    <row r="239" spans="1:21" ht="14.25" customHeight="1" x14ac:dyDescent="0.2">
      <c r="A239" s="79" t="s">
        <v>104</v>
      </c>
      <c r="B239" s="70" t="s">
        <v>2019</v>
      </c>
      <c r="C239" s="71">
        <v>-1615</v>
      </c>
      <c r="D239" s="71">
        <v>-1930</v>
      </c>
      <c r="E239" s="71">
        <v>-2413</v>
      </c>
      <c r="F239" s="71">
        <v>-2900</v>
      </c>
      <c r="G239" s="71">
        <v>-3392</v>
      </c>
      <c r="H239" s="71">
        <v>-3888</v>
      </c>
      <c r="I239" s="71">
        <v>-4388</v>
      </c>
      <c r="J239" s="71">
        <v>-4810</v>
      </c>
      <c r="K239" s="71">
        <v>-5236</v>
      </c>
      <c r="L239" s="71">
        <v>-5666</v>
      </c>
      <c r="M239" s="71">
        <v>-6099</v>
      </c>
      <c r="N239" s="71">
        <v>-6536</v>
      </c>
      <c r="O239" s="71">
        <v>-1651</v>
      </c>
      <c r="P239" s="84">
        <v>-3886.4615384615386</v>
      </c>
      <c r="Q239" s="79">
        <v>-1651</v>
      </c>
      <c r="R239" s="71">
        <v>-3886.4615384615386</v>
      </c>
      <c r="S239" s="104"/>
      <c r="T239" s="71">
        <v>0</v>
      </c>
      <c r="U239" s="71">
        <v>0</v>
      </c>
    </row>
    <row r="240" spans="1:21" ht="14.25" customHeight="1" x14ac:dyDescent="0.2">
      <c r="A240" s="79" t="s">
        <v>106</v>
      </c>
      <c r="B240" s="70" t="s">
        <v>2020</v>
      </c>
      <c r="C240" s="71">
        <v>0</v>
      </c>
      <c r="D240" s="71">
        <v>0</v>
      </c>
      <c r="E240" s="71">
        <v>0</v>
      </c>
      <c r="F240" s="71">
        <v>0</v>
      </c>
      <c r="G240" s="71">
        <v>0</v>
      </c>
      <c r="H240" s="71">
        <v>0</v>
      </c>
      <c r="I240" s="71">
        <v>0</v>
      </c>
      <c r="J240" s="71">
        <v>0</v>
      </c>
      <c r="K240" s="71">
        <v>0</v>
      </c>
      <c r="L240" s="71">
        <v>0</v>
      </c>
      <c r="M240" s="71">
        <v>0</v>
      </c>
      <c r="N240" s="71">
        <v>0</v>
      </c>
      <c r="O240" s="71">
        <v>0</v>
      </c>
      <c r="P240" s="84">
        <v>0</v>
      </c>
      <c r="Q240" s="79">
        <v>0</v>
      </c>
      <c r="R240" s="71">
        <v>0</v>
      </c>
      <c r="S240" s="104"/>
      <c r="T240" s="71">
        <v>0</v>
      </c>
      <c r="U240" s="71">
        <v>0</v>
      </c>
    </row>
    <row r="241" spans="1:21" x14ac:dyDescent="0.2">
      <c r="A241" s="79" t="s">
        <v>110</v>
      </c>
      <c r="B241" s="70" t="s">
        <v>2021</v>
      </c>
      <c r="C241" s="71">
        <v>0</v>
      </c>
      <c r="D241" s="71">
        <v>0</v>
      </c>
      <c r="E241" s="71">
        <v>0</v>
      </c>
      <c r="F241" s="71">
        <v>0</v>
      </c>
      <c r="G241" s="71">
        <v>0</v>
      </c>
      <c r="H241" s="71">
        <v>0</v>
      </c>
      <c r="I241" s="71">
        <v>0</v>
      </c>
      <c r="J241" s="71">
        <v>0</v>
      </c>
      <c r="K241" s="71">
        <v>0</v>
      </c>
      <c r="L241" s="71">
        <v>0</v>
      </c>
      <c r="M241" s="71">
        <v>0</v>
      </c>
      <c r="N241" s="71">
        <v>0</v>
      </c>
      <c r="O241" s="71">
        <v>0</v>
      </c>
      <c r="P241" s="84">
        <v>0</v>
      </c>
      <c r="Q241" s="79">
        <v>0</v>
      </c>
      <c r="R241" s="71">
        <v>0</v>
      </c>
      <c r="S241" s="104"/>
      <c r="T241" s="71">
        <v>0</v>
      </c>
      <c r="U241" s="71">
        <v>0</v>
      </c>
    </row>
    <row r="242" spans="1:21" x14ac:dyDescent="0.2">
      <c r="A242" s="80" t="s">
        <v>108</v>
      </c>
      <c r="B242" s="70" t="s">
        <v>2022</v>
      </c>
      <c r="C242" s="71">
        <v>-2047</v>
      </c>
      <c r="D242" s="71">
        <v>-3412</v>
      </c>
      <c r="E242" s="71">
        <v>-4776</v>
      </c>
      <c r="F242" s="71">
        <v>-6141</v>
      </c>
      <c r="G242" s="71">
        <v>-7505</v>
      </c>
      <c r="H242" s="71">
        <v>-681</v>
      </c>
      <c r="I242" s="71">
        <v>-2046</v>
      </c>
      <c r="J242" s="71">
        <v>-3411</v>
      </c>
      <c r="K242" s="71">
        <v>-4775</v>
      </c>
      <c r="L242" s="71">
        <v>-6140</v>
      </c>
      <c r="M242" s="71">
        <v>-7505</v>
      </c>
      <c r="N242" s="71">
        <v>-681</v>
      </c>
      <c r="O242" s="71">
        <v>-2046</v>
      </c>
      <c r="P242" s="84">
        <v>-3935.8461538461538</v>
      </c>
      <c r="Q242" s="79">
        <v>-2046</v>
      </c>
      <c r="R242" s="71">
        <v>-3935.8461538461538</v>
      </c>
      <c r="S242" s="104"/>
      <c r="T242" s="71">
        <v>0</v>
      </c>
      <c r="U242" s="71">
        <v>0</v>
      </c>
    </row>
    <row r="243" spans="1:21" ht="14.25" customHeight="1" x14ac:dyDescent="0.25">
      <c r="A243" s="79" t="s">
        <v>114</v>
      </c>
      <c r="B243" s="70" t="s">
        <v>2023</v>
      </c>
      <c r="C243" s="71">
        <v>0</v>
      </c>
      <c r="D243" s="71">
        <v>0</v>
      </c>
      <c r="E243" s="71">
        <v>0</v>
      </c>
      <c r="F243" s="71">
        <v>0</v>
      </c>
      <c r="G243" s="71">
        <v>0</v>
      </c>
      <c r="H243" s="71">
        <v>0</v>
      </c>
      <c r="I243" s="71">
        <v>0</v>
      </c>
      <c r="J243" s="71">
        <v>0</v>
      </c>
      <c r="K243" s="71">
        <v>0</v>
      </c>
      <c r="L243" s="71">
        <v>0</v>
      </c>
      <c r="M243" s="71">
        <v>0</v>
      </c>
      <c r="N243" s="71">
        <v>0</v>
      </c>
      <c r="O243" s="86">
        <v>0</v>
      </c>
      <c r="P243" s="84">
        <v>0</v>
      </c>
      <c r="Q243" s="79">
        <v>0</v>
      </c>
      <c r="R243" s="86">
        <v>0</v>
      </c>
      <c r="S243" s="104"/>
      <c r="T243" s="86">
        <v>0</v>
      </c>
      <c r="U243" s="86">
        <v>0</v>
      </c>
    </row>
    <row r="244" spans="1:21" x14ac:dyDescent="0.2">
      <c r="A244" s="80" t="s">
        <v>141</v>
      </c>
      <c r="B244" s="98" t="s">
        <v>2024</v>
      </c>
      <c r="C244" s="71">
        <v>-37</v>
      </c>
      <c r="D244" s="90">
        <v>-14</v>
      </c>
      <c r="E244" s="90">
        <v>-64</v>
      </c>
      <c r="F244" s="90">
        <v>-51</v>
      </c>
      <c r="G244" s="90">
        <v>-306</v>
      </c>
      <c r="H244" s="90">
        <v>-561</v>
      </c>
      <c r="I244" s="90">
        <v>-816</v>
      </c>
      <c r="J244" s="90">
        <v>-1071</v>
      </c>
      <c r="K244" s="90">
        <v>-1327</v>
      </c>
      <c r="L244" s="90">
        <v>-255</v>
      </c>
      <c r="M244" s="90">
        <v>-510</v>
      </c>
      <c r="N244" s="90">
        <v>-765</v>
      </c>
      <c r="O244" s="90">
        <v>-1021</v>
      </c>
      <c r="P244" s="84">
        <v>-522.92307692307691</v>
      </c>
      <c r="Q244" s="79">
        <v>-5</v>
      </c>
      <c r="R244" s="90">
        <v>-23.923076923076923</v>
      </c>
      <c r="S244" s="104"/>
      <c r="T244" s="90">
        <v>-1016</v>
      </c>
      <c r="U244" s="90">
        <v>-499</v>
      </c>
    </row>
    <row r="245" spans="1:21" x14ac:dyDescent="0.2">
      <c r="A245" s="80" t="s">
        <v>142</v>
      </c>
      <c r="B245" s="98" t="s">
        <v>2025</v>
      </c>
      <c r="C245" s="71">
        <v>-84</v>
      </c>
      <c r="D245" s="90">
        <v>-52</v>
      </c>
      <c r="E245" s="90">
        <v>-61</v>
      </c>
      <c r="F245" s="90">
        <v>-44</v>
      </c>
      <c r="G245" s="90">
        <v>-266</v>
      </c>
      <c r="H245" s="90">
        <v>-487</v>
      </c>
      <c r="I245" s="90">
        <v>-709</v>
      </c>
      <c r="J245" s="90">
        <v>-930</v>
      </c>
      <c r="K245" s="90">
        <v>-1152</v>
      </c>
      <c r="L245" s="90">
        <v>-221</v>
      </c>
      <c r="M245" s="90">
        <v>-443</v>
      </c>
      <c r="N245" s="90">
        <v>-664</v>
      </c>
      <c r="O245" s="90">
        <v>-886</v>
      </c>
      <c r="P245" s="84">
        <v>-461.46153846153845</v>
      </c>
      <c r="Q245" s="79">
        <v>-53</v>
      </c>
      <c r="R245" s="90">
        <v>-71.384615384615387</v>
      </c>
      <c r="S245" s="104"/>
      <c r="T245" s="90">
        <v>-833</v>
      </c>
      <c r="U245" s="90">
        <v>-390.07692307692309</v>
      </c>
    </row>
    <row r="246" spans="1:21" x14ac:dyDescent="0.2">
      <c r="A246" s="80" t="s">
        <v>2026</v>
      </c>
      <c r="B246" s="99" t="s">
        <v>364</v>
      </c>
      <c r="C246" s="71">
        <v>0</v>
      </c>
      <c r="D246" s="71">
        <v>0</v>
      </c>
      <c r="E246" s="71">
        <v>0</v>
      </c>
      <c r="F246" s="71">
        <v>0</v>
      </c>
      <c r="G246" s="71">
        <v>0</v>
      </c>
      <c r="H246" s="71">
        <v>-254.16666666666666</v>
      </c>
      <c r="I246" s="71">
        <v>-762.5</v>
      </c>
      <c r="J246" s="71">
        <v>-1270.8333333333333</v>
      </c>
      <c r="K246" s="71">
        <v>-1779.1666666666665</v>
      </c>
      <c r="L246" s="71">
        <v>-2287.5</v>
      </c>
      <c r="M246" s="71">
        <v>-2795.8333333333335</v>
      </c>
      <c r="N246" s="71">
        <v>-508.16666666666697</v>
      </c>
      <c r="O246" s="71">
        <v>-1016.5</v>
      </c>
      <c r="P246" s="84">
        <v>-821.1282051282052</v>
      </c>
      <c r="Q246" s="79">
        <v>-550</v>
      </c>
      <c r="R246" s="71">
        <v>-930.76923076923072</v>
      </c>
      <c r="S246" s="104"/>
      <c r="T246" s="71">
        <v>-466.5</v>
      </c>
      <c r="U246" s="71">
        <v>109.64102564102552</v>
      </c>
    </row>
    <row r="247" spans="1:21" x14ac:dyDescent="0.2">
      <c r="A247" s="80" t="s">
        <v>144</v>
      </c>
      <c r="B247" s="98" t="s">
        <v>2027</v>
      </c>
      <c r="C247" s="71">
        <v>-50</v>
      </c>
      <c r="D247" s="71">
        <v>-37</v>
      </c>
      <c r="E247" s="71">
        <v>-68</v>
      </c>
      <c r="F247" s="71">
        <v>0</v>
      </c>
      <c r="G247" s="71">
        <v>0</v>
      </c>
      <c r="H247" s="71">
        <v>-4</v>
      </c>
      <c r="I247" s="71">
        <v>0</v>
      </c>
      <c r="J247" s="71">
        <v>0</v>
      </c>
      <c r="K247" s="71">
        <v>0</v>
      </c>
      <c r="L247" s="71">
        <v>0</v>
      </c>
      <c r="M247" s="71">
        <v>0</v>
      </c>
      <c r="N247" s="71">
        <v>0</v>
      </c>
      <c r="O247" s="71">
        <v>0</v>
      </c>
      <c r="P247" s="84">
        <v>-12.23076923076923</v>
      </c>
      <c r="Q247" s="79">
        <v>-5</v>
      </c>
      <c r="R247" s="71">
        <v>-36.153846153846153</v>
      </c>
      <c r="S247" s="104"/>
      <c r="T247" s="71">
        <v>5</v>
      </c>
      <c r="U247" s="71">
        <v>23.923076923076923</v>
      </c>
    </row>
    <row r="248" spans="1:21" x14ac:dyDescent="0.2">
      <c r="A248" s="79" t="s">
        <v>123</v>
      </c>
      <c r="B248" s="70" t="s">
        <v>2028</v>
      </c>
      <c r="C248" s="71">
        <v>0</v>
      </c>
      <c r="D248" s="71">
        <v>0</v>
      </c>
      <c r="E248" s="71">
        <v>0</v>
      </c>
      <c r="F248" s="71">
        <v>0</v>
      </c>
      <c r="G248" s="71">
        <v>0</v>
      </c>
      <c r="H248" s="71">
        <v>0</v>
      </c>
      <c r="I248" s="71">
        <v>0</v>
      </c>
      <c r="J248" s="71">
        <v>0</v>
      </c>
      <c r="K248" s="71">
        <v>0</v>
      </c>
      <c r="L248" s="71">
        <v>0</v>
      </c>
      <c r="M248" s="71">
        <v>0</v>
      </c>
      <c r="N248" s="71">
        <v>0</v>
      </c>
      <c r="O248" s="71">
        <v>0</v>
      </c>
      <c r="P248" s="84">
        <v>0</v>
      </c>
      <c r="Q248" s="79">
        <v>0</v>
      </c>
      <c r="R248" s="71">
        <v>0</v>
      </c>
      <c r="S248" s="104"/>
      <c r="T248" s="71">
        <v>0</v>
      </c>
      <c r="U248" s="71">
        <v>0</v>
      </c>
    </row>
    <row r="249" spans="1:21" x14ac:dyDescent="0.2">
      <c r="A249" s="79" t="s">
        <v>125</v>
      </c>
      <c r="B249" s="70" t="s">
        <v>2029</v>
      </c>
      <c r="C249" s="70">
        <v>-39</v>
      </c>
      <c r="D249" s="70">
        <v>-39</v>
      </c>
      <c r="E249" s="70">
        <v>-39</v>
      </c>
      <c r="F249" s="70">
        <v>-39</v>
      </c>
      <c r="G249" s="70">
        <v>-39</v>
      </c>
      <c r="H249" s="70">
        <v>-39</v>
      </c>
      <c r="I249" s="70">
        <v>-39</v>
      </c>
      <c r="J249" s="70">
        <v>-39</v>
      </c>
      <c r="K249" s="70">
        <v>-39</v>
      </c>
      <c r="L249" s="70">
        <v>-39</v>
      </c>
      <c r="M249" s="70">
        <v>-39</v>
      </c>
      <c r="N249" s="70">
        <v>-39</v>
      </c>
      <c r="O249" s="70">
        <v>-39</v>
      </c>
      <c r="P249" s="84">
        <v>-39</v>
      </c>
      <c r="Q249" s="79">
        <v>-39</v>
      </c>
      <c r="R249" s="70">
        <v>-39</v>
      </c>
      <c r="S249" s="104"/>
      <c r="T249" s="70">
        <v>0</v>
      </c>
      <c r="U249" s="70">
        <v>0</v>
      </c>
    </row>
    <row r="250" spans="1:21" x14ac:dyDescent="0.2">
      <c r="A250" s="79" t="s">
        <v>127</v>
      </c>
      <c r="B250" s="70" t="s">
        <v>2030</v>
      </c>
      <c r="C250" s="71">
        <v>-1590</v>
      </c>
      <c r="D250" s="71">
        <v>-2434</v>
      </c>
      <c r="E250" s="71">
        <v>-3408</v>
      </c>
      <c r="F250" s="71">
        <v>-4381</v>
      </c>
      <c r="G250" s="71">
        <v>-5355</v>
      </c>
      <c r="H250" s="71">
        <v>-486</v>
      </c>
      <c r="I250" s="71">
        <v>-1459</v>
      </c>
      <c r="J250" s="71">
        <v>-2433</v>
      </c>
      <c r="K250" s="71">
        <v>-3407</v>
      </c>
      <c r="L250" s="71">
        <v>-4380</v>
      </c>
      <c r="M250" s="71">
        <v>-5354</v>
      </c>
      <c r="N250" s="71">
        <v>-485</v>
      </c>
      <c r="O250" s="71">
        <v>-1459</v>
      </c>
      <c r="P250" s="84">
        <v>-2817.7692307692309</v>
      </c>
      <c r="Q250" s="80">
        <v>-1589</v>
      </c>
      <c r="R250" s="71">
        <v>-2937.7692307692309</v>
      </c>
      <c r="S250" s="104"/>
      <c r="T250" s="71">
        <v>130</v>
      </c>
      <c r="U250" s="71">
        <v>120</v>
      </c>
    </row>
    <row r="251" spans="1:21" x14ac:dyDescent="0.2">
      <c r="A251" s="80" t="s">
        <v>129</v>
      </c>
      <c r="B251" s="70" t="s">
        <v>2031</v>
      </c>
      <c r="C251" s="71">
        <v>-67</v>
      </c>
      <c r="D251" s="71">
        <v>-33</v>
      </c>
      <c r="E251" s="71">
        <v>-59</v>
      </c>
      <c r="F251" s="71">
        <v>-155</v>
      </c>
      <c r="G251" s="71">
        <v>-513</v>
      </c>
      <c r="H251" s="71">
        <v>-871</v>
      </c>
      <c r="I251" s="71">
        <v>-1229</v>
      </c>
      <c r="J251" s="71">
        <v>-1587</v>
      </c>
      <c r="K251" s="71">
        <v>-1945</v>
      </c>
      <c r="L251" s="71">
        <v>-358</v>
      </c>
      <c r="M251" s="71">
        <v>-716</v>
      </c>
      <c r="N251" s="71">
        <v>-1074</v>
      </c>
      <c r="O251" s="71">
        <v>-1433</v>
      </c>
      <c r="P251" s="84">
        <v>-772.30769230769226</v>
      </c>
      <c r="Q251" s="79">
        <v>-16</v>
      </c>
      <c r="R251" s="71">
        <v>-40.384615384615387</v>
      </c>
      <c r="S251" s="104"/>
      <c r="T251" s="71">
        <v>-1417</v>
      </c>
      <c r="U251" s="71">
        <v>-731.92307692307691</v>
      </c>
    </row>
    <row r="252" spans="1:21" x14ac:dyDescent="0.2">
      <c r="A252" s="80" t="s">
        <v>130</v>
      </c>
      <c r="B252" s="70" t="s">
        <v>2032</v>
      </c>
      <c r="C252" s="71">
        <v>-602</v>
      </c>
      <c r="D252" s="71">
        <v>-1805</v>
      </c>
      <c r="E252" s="71">
        <v>-3008</v>
      </c>
      <c r="F252" s="71">
        <v>-4211</v>
      </c>
      <c r="G252" s="71">
        <v>-5414</v>
      </c>
      <c r="H252" s="71">
        <v>-6617</v>
      </c>
      <c r="I252" s="71">
        <v>-602</v>
      </c>
      <c r="J252" s="71">
        <v>-1805</v>
      </c>
      <c r="K252" s="71">
        <v>-3008</v>
      </c>
      <c r="L252" s="71">
        <v>-4211</v>
      </c>
      <c r="M252" s="71">
        <v>-5414</v>
      </c>
      <c r="N252" s="71">
        <v>-6617</v>
      </c>
      <c r="O252" s="71">
        <v>-602</v>
      </c>
      <c r="P252" s="84">
        <v>-3378.1538461538462</v>
      </c>
      <c r="Q252" s="80">
        <v>-602</v>
      </c>
      <c r="R252" s="71">
        <v>-3378.1538461538462</v>
      </c>
      <c r="S252" s="104"/>
      <c r="T252" s="71">
        <v>0</v>
      </c>
      <c r="U252" s="71">
        <v>0</v>
      </c>
    </row>
    <row r="253" spans="1:21" x14ac:dyDescent="0.2">
      <c r="A253" s="80" t="s">
        <v>132</v>
      </c>
      <c r="B253" s="70" t="s">
        <v>2033</v>
      </c>
      <c r="C253" s="71">
        <v>-774</v>
      </c>
      <c r="D253" s="71">
        <v>-1032</v>
      </c>
      <c r="E253" s="71">
        <v>-1290</v>
      </c>
      <c r="F253" s="71">
        <v>-1548</v>
      </c>
      <c r="G253" s="71">
        <v>-259</v>
      </c>
      <c r="H253" s="71">
        <v>-517</v>
      </c>
      <c r="I253" s="71">
        <v>-775</v>
      </c>
      <c r="J253" s="71">
        <v>-1033</v>
      </c>
      <c r="K253" s="71">
        <v>-1291</v>
      </c>
      <c r="L253" s="71">
        <v>-1549</v>
      </c>
      <c r="M253" s="71">
        <v>-260</v>
      </c>
      <c r="N253" s="71">
        <v>-518</v>
      </c>
      <c r="O253" s="71">
        <v>-775</v>
      </c>
      <c r="P253" s="84">
        <v>-893.92307692307691</v>
      </c>
      <c r="Q253" s="80">
        <v>-776</v>
      </c>
      <c r="R253" s="71">
        <v>-894</v>
      </c>
      <c r="S253" s="104"/>
      <c r="T253" s="71">
        <v>1</v>
      </c>
      <c r="U253" s="71">
        <v>7.6923076923094413E-2</v>
      </c>
    </row>
    <row r="254" spans="1:21" x14ac:dyDescent="0.2">
      <c r="A254" s="80" t="s">
        <v>134</v>
      </c>
      <c r="B254" s="70" t="s">
        <v>2034</v>
      </c>
      <c r="C254" s="71">
        <v>-1188</v>
      </c>
      <c r="D254" s="71">
        <v>-1584</v>
      </c>
      <c r="E254" s="71">
        <v>-1980</v>
      </c>
      <c r="F254" s="71">
        <v>-2376</v>
      </c>
      <c r="G254" s="71">
        <v>-396</v>
      </c>
      <c r="H254" s="71">
        <v>-792</v>
      </c>
      <c r="I254" s="71">
        <v>-1188</v>
      </c>
      <c r="J254" s="71">
        <v>-1584</v>
      </c>
      <c r="K254" s="71">
        <v>-1980</v>
      </c>
      <c r="L254" s="71">
        <v>-2376</v>
      </c>
      <c r="M254" s="71">
        <v>-396</v>
      </c>
      <c r="N254" s="71">
        <v>-792</v>
      </c>
      <c r="O254" s="71">
        <v>-1188</v>
      </c>
      <c r="P254" s="84">
        <v>-1370.7692307692307</v>
      </c>
      <c r="Q254" s="80">
        <v>-1188</v>
      </c>
      <c r="R254" s="71">
        <v>-1370.7692307692307</v>
      </c>
      <c r="S254" s="104"/>
      <c r="T254" s="71">
        <v>0</v>
      </c>
      <c r="U254" s="71">
        <v>0</v>
      </c>
    </row>
    <row r="255" spans="1:21" x14ac:dyDescent="0.2">
      <c r="A255" s="80" t="s">
        <v>136</v>
      </c>
      <c r="B255" s="70" t="s">
        <v>2035</v>
      </c>
      <c r="C255" s="71">
        <v>-7889</v>
      </c>
      <c r="D255" s="71">
        <v>-9642</v>
      </c>
      <c r="E255" s="71">
        <v>-876</v>
      </c>
      <c r="F255" s="71">
        <v>-2629</v>
      </c>
      <c r="G255" s="71">
        <v>-4382</v>
      </c>
      <c r="H255" s="71">
        <v>-6135</v>
      </c>
      <c r="I255" s="71">
        <v>-7889</v>
      </c>
      <c r="J255" s="71">
        <v>-9642</v>
      </c>
      <c r="K255" s="71">
        <v>-876</v>
      </c>
      <c r="L255" s="71">
        <v>-2629</v>
      </c>
      <c r="M255" s="71">
        <v>-4382</v>
      </c>
      <c r="N255" s="71">
        <v>-6135</v>
      </c>
      <c r="O255" s="71">
        <v>-7889</v>
      </c>
      <c r="P255" s="84">
        <v>-5461.1538461538457</v>
      </c>
      <c r="Q255" s="80">
        <v>-7889</v>
      </c>
      <c r="R255" s="71">
        <v>-5461.1538461538457</v>
      </c>
      <c r="S255" s="104"/>
      <c r="T255" s="71">
        <v>0</v>
      </c>
      <c r="U255" s="71">
        <v>0</v>
      </c>
    </row>
    <row r="256" spans="1:21" x14ac:dyDescent="0.2">
      <c r="A256" s="80" t="s">
        <v>137</v>
      </c>
      <c r="B256" s="70" t="s">
        <v>2036</v>
      </c>
      <c r="C256" s="71">
        <v>0</v>
      </c>
      <c r="D256" s="71">
        <v>0</v>
      </c>
      <c r="E256" s="71">
        <v>0</v>
      </c>
      <c r="F256" s="71">
        <v>0</v>
      </c>
      <c r="G256" s="71">
        <v>0</v>
      </c>
      <c r="H256" s="71">
        <v>0</v>
      </c>
      <c r="I256" s="71">
        <v>0</v>
      </c>
      <c r="J256" s="71">
        <v>0</v>
      </c>
      <c r="K256" s="71">
        <v>0</v>
      </c>
      <c r="L256" s="71">
        <v>0</v>
      </c>
      <c r="M256" s="71">
        <v>0</v>
      </c>
      <c r="N256" s="71">
        <v>0</v>
      </c>
      <c r="O256" s="71">
        <v>0</v>
      </c>
      <c r="P256" s="84">
        <v>0</v>
      </c>
      <c r="Q256" s="80">
        <v>0</v>
      </c>
      <c r="R256" s="71">
        <v>0</v>
      </c>
      <c r="S256" s="104"/>
      <c r="T256" s="71">
        <v>0</v>
      </c>
      <c r="U256" s="71">
        <v>0</v>
      </c>
    </row>
    <row r="257" spans="1:21" x14ac:dyDescent="0.2">
      <c r="A257" s="80" t="s">
        <v>139</v>
      </c>
      <c r="B257" s="70" t="s">
        <v>260</v>
      </c>
      <c r="C257" s="71">
        <v>-3255</v>
      </c>
      <c r="D257" s="71">
        <v>-4557</v>
      </c>
      <c r="E257" s="71">
        <v>-5859</v>
      </c>
      <c r="F257" s="71">
        <v>-7161</v>
      </c>
      <c r="G257" s="71">
        <v>-651</v>
      </c>
      <c r="H257" s="71">
        <v>-1953</v>
      </c>
      <c r="I257" s="71">
        <v>-3255</v>
      </c>
      <c r="J257" s="71">
        <v>-4557</v>
      </c>
      <c r="K257" s="71">
        <v>-5859</v>
      </c>
      <c r="L257" s="71">
        <v>-7161</v>
      </c>
      <c r="M257" s="71">
        <v>-651</v>
      </c>
      <c r="N257" s="71">
        <v>-1953</v>
      </c>
      <c r="O257" s="71">
        <v>-3255</v>
      </c>
      <c r="P257" s="84">
        <v>-3855.9230769230771</v>
      </c>
      <c r="Q257" s="80">
        <v>-3255</v>
      </c>
      <c r="R257" s="71">
        <v>-3855.9230769230771</v>
      </c>
      <c r="S257" s="104"/>
      <c r="T257" s="71">
        <v>0</v>
      </c>
      <c r="U257" s="71">
        <v>0</v>
      </c>
    </row>
    <row r="258" spans="1:21" x14ac:dyDescent="0.2">
      <c r="A258" s="80" t="s">
        <v>148</v>
      </c>
      <c r="B258" s="70" t="s">
        <v>261</v>
      </c>
      <c r="C258" s="91">
        <v>-30</v>
      </c>
      <c r="D258" s="91">
        <v>-1</v>
      </c>
      <c r="E258" s="91">
        <v>0</v>
      </c>
      <c r="F258" s="91">
        <v>-37</v>
      </c>
      <c r="G258" s="91">
        <v>-146</v>
      </c>
      <c r="H258" s="91">
        <v>-148</v>
      </c>
      <c r="I258" s="91">
        <v>-100</v>
      </c>
      <c r="J258" s="91">
        <v>-141</v>
      </c>
      <c r="K258" s="91">
        <v>-214</v>
      </c>
      <c r="L258" s="91">
        <v>-224</v>
      </c>
      <c r="M258" s="91">
        <v>-163</v>
      </c>
      <c r="N258" s="91">
        <v>-175</v>
      </c>
      <c r="O258" s="91">
        <v>-225</v>
      </c>
      <c r="P258" s="84">
        <v>-123.38461538461539</v>
      </c>
      <c r="Q258" s="79">
        <v>-153</v>
      </c>
      <c r="R258" s="91">
        <v>-21.692307692307693</v>
      </c>
      <c r="S258" s="104"/>
      <c r="T258" s="91">
        <v>-72</v>
      </c>
      <c r="U258" s="91">
        <v>-101.69230769230769</v>
      </c>
    </row>
    <row r="259" spans="1:21" x14ac:dyDescent="0.2">
      <c r="A259" s="79" t="s">
        <v>156</v>
      </c>
      <c r="B259" s="70" t="s">
        <v>262</v>
      </c>
      <c r="C259" s="90">
        <v>0</v>
      </c>
      <c r="D259" s="90">
        <v>0</v>
      </c>
      <c r="E259" s="90">
        <v>0</v>
      </c>
      <c r="F259" s="90">
        <v>0</v>
      </c>
      <c r="G259" s="90">
        <v>0</v>
      </c>
      <c r="H259" s="90">
        <v>0</v>
      </c>
      <c r="I259" s="90">
        <v>0</v>
      </c>
      <c r="J259" s="90">
        <v>0</v>
      </c>
      <c r="K259" s="90">
        <v>0</v>
      </c>
      <c r="L259" s="90">
        <v>0</v>
      </c>
      <c r="M259" s="90">
        <v>0</v>
      </c>
      <c r="N259" s="90">
        <v>0</v>
      </c>
      <c r="O259" s="90">
        <v>0</v>
      </c>
      <c r="P259" s="84">
        <v>0</v>
      </c>
      <c r="Q259" s="77">
        <v>0</v>
      </c>
      <c r="R259" s="90">
        <v>0</v>
      </c>
      <c r="S259" s="104"/>
      <c r="T259" s="90">
        <v>0</v>
      </c>
      <c r="U259" s="90">
        <v>0</v>
      </c>
    </row>
    <row r="260" spans="1:21" x14ac:dyDescent="0.2">
      <c r="A260" s="77" t="s">
        <v>2847</v>
      </c>
      <c r="B260" s="70" t="s">
        <v>263</v>
      </c>
      <c r="C260" s="90">
        <v>0</v>
      </c>
      <c r="D260" s="90">
        <v>-39506</v>
      </c>
      <c r="E260" s="90">
        <v>0</v>
      </c>
      <c r="F260" s="90">
        <v>0</v>
      </c>
      <c r="G260" s="90">
        <v>-22314</v>
      </c>
      <c r="H260" s="90">
        <v>0</v>
      </c>
      <c r="I260" s="90">
        <v>0</v>
      </c>
      <c r="J260" s="90">
        <v>-29652</v>
      </c>
      <c r="K260" s="90">
        <v>0</v>
      </c>
      <c r="L260" s="90">
        <v>0</v>
      </c>
      <c r="M260" s="90">
        <v>-60797</v>
      </c>
      <c r="N260" s="90">
        <v>0</v>
      </c>
      <c r="O260" s="90">
        <v>0</v>
      </c>
      <c r="P260" s="84">
        <v>-11713</v>
      </c>
      <c r="Q260" s="77">
        <v>0</v>
      </c>
      <c r="R260" s="90">
        <v>-11576.538461538461</v>
      </c>
      <c r="S260" s="104"/>
      <c r="T260" s="90">
        <v>0</v>
      </c>
      <c r="U260" s="90">
        <v>-136.46153846153902</v>
      </c>
    </row>
    <row r="261" spans="1:21" x14ac:dyDescent="0.2">
      <c r="A261" s="77" t="s">
        <v>2845</v>
      </c>
      <c r="B261" s="70" t="s">
        <v>264</v>
      </c>
      <c r="C261" s="90">
        <v>0</v>
      </c>
      <c r="D261" s="90">
        <v>-39506</v>
      </c>
      <c r="E261" s="90">
        <v>0</v>
      </c>
      <c r="F261" s="90">
        <v>0</v>
      </c>
      <c r="G261" s="90">
        <v>-22314</v>
      </c>
      <c r="H261" s="90">
        <v>0</v>
      </c>
      <c r="I261" s="90">
        <v>0</v>
      </c>
      <c r="J261" s="90">
        <v>-29652</v>
      </c>
      <c r="K261" s="90">
        <v>0</v>
      </c>
      <c r="L261" s="90">
        <v>0</v>
      </c>
      <c r="M261" s="90">
        <v>-60797</v>
      </c>
      <c r="N261" s="90">
        <v>0</v>
      </c>
      <c r="O261" s="90">
        <v>0</v>
      </c>
      <c r="P261" s="84">
        <v>-11713</v>
      </c>
      <c r="Q261" s="77">
        <v>0</v>
      </c>
      <c r="R261" s="90">
        <v>-11576.538461538461</v>
      </c>
      <c r="S261" s="104"/>
      <c r="T261" s="90">
        <v>0</v>
      </c>
      <c r="U261" s="90">
        <v>-136.46153846153902</v>
      </c>
    </row>
    <row r="262" spans="1:21" x14ac:dyDescent="0.2">
      <c r="A262" s="77" t="s">
        <v>2556</v>
      </c>
      <c r="B262" s="70" t="s">
        <v>265</v>
      </c>
      <c r="C262" s="71">
        <v>-5018</v>
      </c>
      <c r="D262" s="71">
        <v>-4568</v>
      </c>
      <c r="E262" s="71">
        <v>-4389</v>
      </c>
      <c r="F262" s="71">
        <v>-4415</v>
      </c>
      <c r="G262" s="71">
        <v>-4808</v>
      </c>
      <c r="H262" s="71">
        <v>-5279</v>
      </c>
      <c r="I262" s="71">
        <v>-5391</v>
      </c>
      <c r="J262" s="71">
        <v>-5964</v>
      </c>
      <c r="K262" s="71">
        <v>-6274</v>
      </c>
      <c r="L262" s="71">
        <v>-6550</v>
      </c>
      <c r="M262" s="71">
        <v>-6643</v>
      </c>
      <c r="N262" s="71">
        <v>-6773</v>
      </c>
      <c r="O262" s="71">
        <v>-6855</v>
      </c>
      <c r="P262" s="84">
        <v>-5609.7692307692305</v>
      </c>
      <c r="Q262" s="77">
        <v>-6774</v>
      </c>
      <c r="R262" s="71">
        <v>-5535.1538461538457</v>
      </c>
      <c r="S262" s="104"/>
      <c r="T262" s="71">
        <v>-81</v>
      </c>
      <c r="U262" s="71">
        <v>-74.615384615384755</v>
      </c>
    </row>
    <row r="263" spans="1:21" x14ac:dyDescent="0.2">
      <c r="A263" s="77" t="s">
        <v>2566</v>
      </c>
      <c r="B263" s="70" t="s">
        <v>266</v>
      </c>
      <c r="C263" s="71">
        <v>-23386</v>
      </c>
      <c r="D263" s="71">
        <v>-23465</v>
      </c>
      <c r="E263" s="71">
        <v>-23544</v>
      </c>
      <c r="F263" s="71">
        <v>-23624</v>
      </c>
      <c r="G263" s="71">
        <v>-23703</v>
      </c>
      <c r="H263" s="71">
        <v>-23783</v>
      </c>
      <c r="I263" s="71">
        <v>-23862</v>
      </c>
      <c r="J263" s="71">
        <v>-23942</v>
      </c>
      <c r="K263" s="71">
        <v>-24021</v>
      </c>
      <c r="L263" s="71">
        <v>-24101</v>
      </c>
      <c r="M263" s="71">
        <v>-24180</v>
      </c>
      <c r="N263" s="71">
        <v>-24260</v>
      </c>
      <c r="O263" s="71">
        <v>-24339</v>
      </c>
      <c r="P263" s="84">
        <v>-23862.307692307691</v>
      </c>
      <c r="Q263" s="79">
        <v>-24339</v>
      </c>
      <c r="R263" s="71">
        <v>-23862.307692307691</v>
      </c>
      <c r="S263" s="104"/>
      <c r="T263" s="71">
        <v>0</v>
      </c>
      <c r="U263" s="71">
        <v>0</v>
      </c>
    </row>
    <row r="264" spans="1:21" x14ac:dyDescent="0.2">
      <c r="A264" s="79" t="s">
        <v>2557</v>
      </c>
      <c r="B264" s="70" t="s">
        <v>267</v>
      </c>
      <c r="C264" s="70">
        <v>-13507</v>
      </c>
      <c r="D264" s="70">
        <v>-13587</v>
      </c>
      <c r="E264" s="70">
        <v>-13666</v>
      </c>
      <c r="F264" s="70">
        <v>-13746</v>
      </c>
      <c r="G264" s="70">
        <v>-13825</v>
      </c>
      <c r="H264" s="70">
        <v>-13905</v>
      </c>
      <c r="I264" s="70">
        <v>-13984</v>
      </c>
      <c r="J264" s="70">
        <v>-14064</v>
      </c>
      <c r="K264" s="70">
        <v>-14143</v>
      </c>
      <c r="L264" s="70">
        <v>-14223</v>
      </c>
      <c r="M264" s="70">
        <v>-14302</v>
      </c>
      <c r="N264" s="70">
        <v>-14382</v>
      </c>
      <c r="O264" s="70">
        <v>-14461</v>
      </c>
      <c r="P264" s="84">
        <v>-13984.23076923077</v>
      </c>
      <c r="Q264" s="79">
        <v>-14461</v>
      </c>
      <c r="R264" s="70">
        <v>-13984.23076923077</v>
      </c>
      <c r="S264" s="104"/>
      <c r="T264" s="70">
        <v>0</v>
      </c>
      <c r="U264" s="70">
        <v>0</v>
      </c>
    </row>
    <row r="265" spans="1:21" x14ac:dyDescent="0.2">
      <c r="A265" s="80" t="s">
        <v>2559</v>
      </c>
      <c r="B265" s="96" t="s">
        <v>268</v>
      </c>
      <c r="C265" s="71">
        <v>-9655</v>
      </c>
      <c r="D265" s="71">
        <v>-9655</v>
      </c>
      <c r="E265" s="71">
        <v>-9655</v>
      </c>
      <c r="F265" s="71">
        <v>-9655</v>
      </c>
      <c r="G265" s="71">
        <v>-9655</v>
      </c>
      <c r="H265" s="71">
        <v>-9655</v>
      </c>
      <c r="I265" s="71">
        <v>-9655</v>
      </c>
      <c r="J265" s="71">
        <v>-9655</v>
      </c>
      <c r="K265" s="71">
        <v>-9655</v>
      </c>
      <c r="L265" s="71">
        <v>-9655</v>
      </c>
      <c r="M265" s="71">
        <v>-9655</v>
      </c>
      <c r="N265" s="71">
        <v>-9655</v>
      </c>
      <c r="O265" s="71">
        <v>-9655</v>
      </c>
      <c r="P265" s="84">
        <v>-9655</v>
      </c>
      <c r="Q265" s="80">
        <v>-9655</v>
      </c>
      <c r="R265" s="71">
        <v>-9655</v>
      </c>
      <c r="S265" s="104"/>
      <c r="T265" s="71">
        <v>0</v>
      </c>
      <c r="U265" s="71">
        <v>0</v>
      </c>
    </row>
    <row r="266" spans="1:21" x14ac:dyDescent="0.2">
      <c r="A266" s="80" t="s">
        <v>2561</v>
      </c>
      <c r="B266" s="96" t="s">
        <v>1510</v>
      </c>
      <c r="C266" s="71">
        <v>-223</v>
      </c>
      <c r="D266" s="71">
        <v>-223</v>
      </c>
      <c r="E266" s="71">
        <v>-223</v>
      </c>
      <c r="F266" s="71">
        <v>-223</v>
      </c>
      <c r="G266" s="71">
        <v>-223</v>
      </c>
      <c r="H266" s="71">
        <v>-223</v>
      </c>
      <c r="I266" s="71">
        <v>-223</v>
      </c>
      <c r="J266" s="71">
        <v>-223</v>
      </c>
      <c r="K266" s="71">
        <v>-223</v>
      </c>
      <c r="L266" s="71">
        <v>-223</v>
      </c>
      <c r="M266" s="71">
        <v>-223</v>
      </c>
      <c r="N266" s="71">
        <v>-223</v>
      </c>
      <c r="O266" s="71">
        <v>-223</v>
      </c>
      <c r="P266" s="84">
        <v>-223</v>
      </c>
      <c r="Q266" s="80">
        <v>-223</v>
      </c>
      <c r="R266" s="71">
        <v>-223</v>
      </c>
      <c r="S266" s="104"/>
      <c r="T266" s="71">
        <v>0</v>
      </c>
      <c r="U266" s="71">
        <v>0</v>
      </c>
    </row>
    <row r="267" spans="1:21" ht="15.75" x14ac:dyDescent="0.25">
      <c r="A267" s="80" t="s">
        <v>2888</v>
      </c>
      <c r="B267" s="97" t="s">
        <v>2940</v>
      </c>
      <c r="C267" s="86">
        <v>-21556</v>
      </c>
      <c r="D267" s="86">
        <v>-19132</v>
      </c>
      <c r="E267" s="86">
        <v>-16523</v>
      </c>
      <c r="F267" s="86">
        <v>-16691</v>
      </c>
      <c r="G267" s="86">
        <v>-16188</v>
      </c>
      <c r="H267" s="86">
        <v>-5077</v>
      </c>
      <c r="I267" s="86">
        <v>-4768</v>
      </c>
      <c r="J267" s="86">
        <v>-4498</v>
      </c>
      <c r="K267" s="86">
        <v>-4370</v>
      </c>
      <c r="L267" s="86">
        <v>-4304</v>
      </c>
      <c r="M267" s="86">
        <v>-4219</v>
      </c>
      <c r="N267" s="86">
        <v>-3988</v>
      </c>
      <c r="O267" s="86">
        <v>-3687</v>
      </c>
      <c r="P267" s="84">
        <v>-9615.461538461539</v>
      </c>
      <c r="Q267" s="80">
        <v>-12121</v>
      </c>
      <c r="R267" s="86">
        <v>-14425.923076923076</v>
      </c>
      <c r="S267" s="104"/>
      <c r="T267" s="86">
        <v>8434</v>
      </c>
      <c r="U267" s="86">
        <v>4810.4615384615372</v>
      </c>
    </row>
    <row r="268" spans="1:21" x14ac:dyDescent="0.2">
      <c r="A268" s="80" t="s">
        <v>2567</v>
      </c>
      <c r="B268" s="97" t="s">
        <v>269</v>
      </c>
      <c r="C268" s="71">
        <v>-11348</v>
      </c>
      <c r="D268" s="83">
        <v>-9111</v>
      </c>
      <c r="E268" s="83">
        <v>-6659</v>
      </c>
      <c r="F268" s="83">
        <v>-4359</v>
      </c>
      <c r="G268" s="83">
        <v>-3883</v>
      </c>
      <c r="H268" s="83">
        <v>-3682</v>
      </c>
      <c r="I268" s="83">
        <v>-3379</v>
      </c>
      <c r="J268" s="83">
        <v>-3115</v>
      </c>
      <c r="K268" s="83">
        <v>-3021</v>
      </c>
      <c r="L268" s="83">
        <v>-2974</v>
      </c>
      <c r="M268" s="83">
        <v>-2889</v>
      </c>
      <c r="N268" s="83">
        <v>-2658</v>
      </c>
      <c r="O268" s="83">
        <v>-2357</v>
      </c>
      <c r="P268" s="84">
        <v>-4571.9230769230771</v>
      </c>
      <c r="Q268" s="80">
        <v>-2357</v>
      </c>
      <c r="R268" s="83">
        <v>-4571.9230769230771</v>
      </c>
      <c r="S268" s="104"/>
      <c r="T268" s="83">
        <v>0</v>
      </c>
      <c r="U268" s="83">
        <v>0</v>
      </c>
    </row>
    <row r="269" spans="1:21" x14ac:dyDescent="0.2">
      <c r="A269" s="80" t="s">
        <v>2876</v>
      </c>
      <c r="B269" s="97" t="s">
        <v>270</v>
      </c>
      <c r="C269" s="91">
        <v>-259</v>
      </c>
      <c r="D269" s="83">
        <v>-133</v>
      </c>
      <c r="E269" s="83">
        <v>0</v>
      </c>
      <c r="F269" s="83">
        <v>0</v>
      </c>
      <c r="G269" s="83">
        <v>0</v>
      </c>
      <c r="H269" s="83">
        <v>0</v>
      </c>
      <c r="I269" s="83">
        <v>0</v>
      </c>
      <c r="J269" s="83">
        <v>0</v>
      </c>
      <c r="K269" s="83">
        <v>0</v>
      </c>
      <c r="L269" s="83">
        <v>0</v>
      </c>
      <c r="M269" s="83">
        <v>0</v>
      </c>
      <c r="N269" s="83">
        <v>0</v>
      </c>
      <c r="O269" s="83">
        <v>0</v>
      </c>
      <c r="P269" s="84">
        <v>-30.153846153846153</v>
      </c>
      <c r="Q269" s="80">
        <v>0</v>
      </c>
      <c r="R269" s="83">
        <v>-30.153846153846153</v>
      </c>
      <c r="S269" s="104"/>
      <c r="T269" s="83">
        <v>0</v>
      </c>
      <c r="U269" s="83">
        <v>0</v>
      </c>
    </row>
    <row r="270" spans="1:21" x14ac:dyDescent="0.2">
      <c r="A270" s="80" t="s">
        <v>2878</v>
      </c>
      <c r="B270" s="97" t="s">
        <v>271</v>
      </c>
      <c r="C270" s="91">
        <v>0</v>
      </c>
      <c r="D270" s="83">
        <v>0</v>
      </c>
      <c r="E270" s="83">
        <v>0</v>
      </c>
      <c r="F270" s="83">
        <v>0</v>
      </c>
      <c r="G270" s="83">
        <v>0</v>
      </c>
      <c r="H270" s="83">
        <v>0</v>
      </c>
      <c r="I270" s="83">
        <v>0</v>
      </c>
      <c r="J270" s="83">
        <v>0</v>
      </c>
      <c r="K270" s="83">
        <v>0</v>
      </c>
      <c r="L270" s="83">
        <v>0</v>
      </c>
      <c r="M270" s="83">
        <v>0</v>
      </c>
      <c r="N270" s="83">
        <v>0</v>
      </c>
      <c r="O270" s="83">
        <v>0</v>
      </c>
      <c r="P270" s="84">
        <v>0</v>
      </c>
      <c r="Q270" s="80">
        <v>0</v>
      </c>
      <c r="R270" s="83">
        <v>0</v>
      </c>
      <c r="S270" s="104"/>
      <c r="T270" s="83">
        <v>0</v>
      </c>
      <c r="U270" s="83">
        <v>0</v>
      </c>
    </row>
    <row r="271" spans="1:21" x14ac:dyDescent="0.2">
      <c r="A271" s="80" t="s">
        <v>2880</v>
      </c>
      <c r="B271" s="97" t="s">
        <v>272</v>
      </c>
      <c r="C271" s="91">
        <v>-20</v>
      </c>
      <c r="D271" s="83">
        <v>0</v>
      </c>
      <c r="E271" s="83">
        <v>0</v>
      </c>
      <c r="F271" s="83">
        <v>0</v>
      </c>
      <c r="G271" s="83">
        <v>0</v>
      </c>
      <c r="H271" s="83">
        <v>0</v>
      </c>
      <c r="I271" s="83">
        <v>0</v>
      </c>
      <c r="J271" s="83">
        <v>0</v>
      </c>
      <c r="K271" s="83">
        <v>0</v>
      </c>
      <c r="L271" s="83">
        <v>0</v>
      </c>
      <c r="M271" s="83">
        <v>0</v>
      </c>
      <c r="N271" s="83">
        <v>0</v>
      </c>
      <c r="O271" s="83">
        <v>0</v>
      </c>
      <c r="P271" s="84">
        <v>-1.5384615384615385</v>
      </c>
      <c r="Q271" s="80">
        <v>0</v>
      </c>
      <c r="R271" s="83">
        <v>-1.5384615384615385</v>
      </c>
      <c r="S271" s="104"/>
      <c r="T271" s="83">
        <v>0</v>
      </c>
      <c r="U271" s="83">
        <v>0</v>
      </c>
    </row>
    <row r="272" spans="1:21" x14ac:dyDescent="0.2">
      <c r="A272" s="80" t="s">
        <v>2881</v>
      </c>
      <c r="B272" s="97" t="s">
        <v>273</v>
      </c>
      <c r="C272" s="91">
        <v>-1442</v>
      </c>
      <c r="D272" s="83">
        <v>-1401</v>
      </c>
      <c r="E272" s="83">
        <v>-1377</v>
      </c>
      <c r="F272" s="83">
        <v>-1377</v>
      </c>
      <c r="G272" s="83">
        <v>-1350</v>
      </c>
      <c r="H272" s="83">
        <v>-1342</v>
      </c>
      <c r="I272" s="83">
        <v>-1336</v>
      </c>
      <c r="J272" s="83">
        <v>-1330</v>
      </c>
      <c r="K272" s="83">
        <v>-1296</v>
      </c>
      <c r="L272" s="83">
        <v>-1277</v>
      </c>
      <c r="M272" s="83">
        <v>-1277</v>
      </c>
      <c r="N272" s="83">
        <v>-1277</v>
      </c>
      <c r="O272" s="83">
        <v>-1277</v>
      </c>
      <c r="P272" s="84">
        <v>-1335.3076923076924</v>
      </c>
      <c r="Q272" s="77">
        <v>-1277</v>
      </c>
      <c r="R272" s="83">
        <v>-1335.3076923076924</v>
      </c>
      <c r="S272" s="104"/>
      <c r="T272" s="83">
        <v>0</v>
      </c>
      <c r="U272" s="83">
        <v>0</v>
      </c>
    </row>
    <row r="273" spans="1:21" x14ac:dyDescent="0.2">
      <c r="A273" s="80" t="s">
        <v>2882</v>
      </c>
      <c r="B273" s="97" t="s">
        <v>274</v>
      </c>
      <c r="C273" s="91">
        <v>-8434</v>
      </c>
      <c r="D273" s="83">
        <v>-8434</v>
      </c>
      <c r="E273" s="83">
        <v>-8434</v>
      </c>
      <c r="F273" s="83">
        <v>-10902</v>
      </c>
      <c r="G273" s="83">
        <v>-10902</v>
      </c>
      <c r="H273" s="83">
        <v>0</v>
      </c>
      <c r="I273" s="83">
        <v>0</v>
      </c>
      <c r="J273" s="83">
        <v>0</v>
      </c>
      <c r="K273" s="83">
        <v>0</v>
      </c>
      <c r="L273" s="83">
        <v>0</v>
      </c>
      <c r="M273" s="83">
        <v>0</v>
      </c>
      <c r="N273" s="83">
        <v>0</v>
      </c>
      <c r="O273" s="83">
        <v>0</v>
      </c>
      <c r="P273" s="84">
        <v>-3623.5384615384614</v>
      </c>
      <c r="Q273" s="77">
        <v>-8434</v>
      </c>
      <c r="R273" s="83">
        <v>-8434</v>
      </c>
      <c r="S273" s="104"/>
      <c r="T273" s="83">
        <v>8434</v>
      </c>
      <c r="U273" s="83">
        <v>4810.461538461539</v>
      </c>
    </row>
    <row r="274" spans="1:21" x14ac:dyDescent="0.2">
      <c r="A274" s="80" t="s">
        <v>2886</v>
      </c>
      <c r="B274" s="97" t="s">
        <v>272</v>
      </c>
      <c r="C274" s="91">
        <v>-53</v>
      </c>
      <c r="D274" s="83">
        <v>-53</v>
      </c>
      <c r="E274" s="83">
        <v>-53</v>
      </c>
      <c r="F274" s="83">
        <v>-53</v>
      </c>
      <c r="G274" s="83">
        <v>-53</v>
      </c>
      <c r="H274" s="83">
        <v>-53</v>
      </c>
      <c r="I274" s="83">
        <v>-53</v>
      </c>
      <c r="J274" s="83">
        <v>-53</v>
      </c>
      <c r="K274" s="83">
        <v>-53</v>
      </c>
      <c r="L274" s="83">
        <v>-53</v>
      </c>
      <c r="M274" s="83">
        <v>-53</v>
      </c>
      <c r="N274" s="83">
        <v>-53</v>
      </c>
      <c r="O274" s="83">
        <v>-53</v>
      </c>
      <c r="P274" s="84">
        <v>-53</v>
      </c>
      <c r="Q274" s="77">
        <v>-53</v>
      </c>
      <c r="R274" s="83">
        <v>-53</v>
      </c>
      <c r="S274" s="104"/>
      <c r="T274" s="83">
        <v>0</v>
      </c>
      <c r="U274" s="83">
        <v>0</v>
      </c>
    </row>
    <row r="275" spans="1:21" x14ac:dyDescent="0.2">
      <c r="A275" s="77" t="s">
        <v>2891</v>
      </c>
      <c r="B275" s="70" t="s">
        <v>275</v>
      </c>
      <c r="C275" s="71">
        <v>0</v>
      </c>
      <c r="D275" s="70">
        <v>0</v>
      </c>
      <c r="E275" s="70">
        <v>0</v>
      </c>
      <c r="F275" s="70">
        <v>0</v>
      </c>
      <c r="G275" s="70">
        <v>0</v>
      </c>
      <c r="H275" s="70">
        <v>0</v>
      </c>
      <c r="I275" s="70">
        <v>0</v>
      </c>
      <c r="J275" s="70">
        <v>0</v>
      </c>
      <c r="K275" s="70">
        <v>0</v>
      </c>
      <c r="L275" s="70">
        <v>0</v>
      </c>
      <c r="M275" s="70">
        <v>0</v>
      </c>
      <c r="N275" s="70">
        <v>0</v>
      </c>
      <c r="O275" s="70">
        <v>0</v>
      </c>
      <c r="P275" s="84">
        <v>0</v>
      </c>
      <c r="Q275" s="77">
        <v>0</v>
      </c>
      <c r="R275" s="70">
        <v>0</v>
      </c>
      <c r="S275" s="104"/>
      <c r="T275" s="70">
        <v>0</v>
      </c>
      <c r="U275" s="70">
        <v>0</v>
      </c>
    </row>
    <row r="276" spans="1:21" x14ac:dyDescent="0.2">
      <c r="A276" s="77" t="s">
        <v>2616</v>
      </c>
      <c r="B276" s="70" t="s">
        <v>276</v>
      </c>
      <c r="C276" s="71">
        <v>-14653</v>
      </c>
      <c r="D276" s="71">
        <v>-12762</v>
      </c>
      <c r="E276" s="71">
        <v>-12771</v>
      </c>
      <c r="F276" s="71">
        <v>-11912</v>
      </c>
      <c r="G276" s="71">
        <v>-10848</v>
      </c>
      <c r="H276" s="71">
        <v>-9788</v>
      </c>
      <c r="I276" s="71">
        <v>-10188</v>
      </c>
      <c r="J276" s="71">
        <v>-10576</v>
      </c>
      <c r="K276" s="71">
        <v>-10967</v>
      </c>
      <c r="L276" s="71">
        <v>-11404</v>
      </c>
      <c r="M276" s="71">
        <v>-11785</v>
      </c>
      <c r="N276" s="71">
        <v>-12510</v>
      </c>
      <c r="O276" s="71">
        <v>-12768</v>
      </c>
      <c r="P276" s="84">
        <v>-11764</v>
      </c>
      <c r="Q276" s="77">
        <v>-12759</v>
      </c>
      <c r="R276" s="71">
        <v>-11760.846153846154</v>
      </c>
      <c r="S276" s="104"/>
      <c r="T276" s="71">
        <v>-9</v>
      </c>
      <c r="U276" s="71">
        <v>-3.1538461538457341</v>
      </c>
    </row>
    <row r="277" spans="1:21" x14ac:dyDescent="0.2">
      <c r="A277" s="77" t="s">
        <v>277</v>
      </c>
      <c r="B277" s="70" t="s">
        <v>278</v>
      </c>
      <c r="C277" s="71">
        <v>-7412</v>
      </c>
      <c r="D277" s="71">
        <v>-7442</v>
      </c>
      <c r="E277" s="71">
        <v>-7441</v>
      </c>
      <c r="F277" s="71">
        <v>-7569</v>
      </c>
      <c r="G277" s="71">
        <v>-7494</v>
      </c>
      <c r="H277" s="71">
        <v>-7420</v>
      </c>
      <c r="I277" s="71">
        <v>-7360</v>
      </c>
      <c r="J277" s="71">
        <v>-7287</v>
      </c>
      <c r="K277" s="71">
        <v>-7214</v>
      </c>
      <c r="L277" s="71">
        <v>-7190</v>
      </c>
      <c r="M277" s="71">
        <v>-7109</v>
      </c>
      <c r="N277" s="71">
        <v>-7372</v>
      </c>
      <c r="O277" s="71">
        <v>-7316</v>
      </c>
      <c r="P277" s="84">
        <v>-7355.8461538461543</v>
      </c>
      <c r="Q277" s="77">
        <v>-7316</v>
      </c>
      <c r="R277" s="71">
        <v>-7355.8461538461543</v>
      </c>
      <c r="S277" s="104"/>
      <c r="T277" s="71">
        <v>0</v>
      </c>
      <c r="U277" s="71">
        <v>0</v>
      </c>
    </row>
    <row r="278" spans="1:21" ht="15.75" x14ac:dyDescent="0.25">
      <c r="A278" s="77" t="s">
        <v>2892</v>
      </c>
      <c r="B278" s="96" t="s">
        <v>279</v>
      </c>
      <c r="C278" s="86">
        <v>0</v>
      </c>
      <c r="D278" s="86">
        <v>0</v>
      </c>
      <c r="E278" s="86">
        <v>1</v>
      </c>
      <c r="F278" s="86">
        <v>-1</v>
      </c>
      <c r="G278" s="86">
        <v>-1</v>
      </c>
      <c r="H278" s="86">
        <v>-4</v>
      </c>
      <c r="I278" s="86">
        <v>-2</v>
      </c>
      <c r="J278" s="86">
        <v>-2</v>
      </c>
      <c r="K278" s="86">
        <v>-5</v>
      </c>
      <c r="L278" s="86">
        <v>-5</v>
      </c>
      <c r="M278" s="86">
        <v>-6</v>
      </c>
      <c r="N278" s="86">
        <v>-7</v>
      </c>
      <c r="O278" s="86">
        <v>-9</v>
      </c>
      <c r="P278" s="84">
        <v>-3.1538461538461537</v>
      </c>
      <c r="Q278" s="79">
        <v>0</v>
      </c>
      <c r="R278" s="86">
        <v>0</v>
      </c>
      <c r="S278" s="104"/>
      <c r="T278" s="86">
        <v>-9</v>
      </c>
      <c r="U278" s="86">
        <v>-3.1538461538461537</v>
      </c>
    </row>
    <row r="279" spans="1:21" x14ac:dyDescent="0.2">
      <c r="A279" s="79" t="s">
        <v>2896</v>
      </c>
      <c r="B279" s="70" t="s">
        <v>280</v>
      </c>
      <c r="C279" s="71">
        <v>0</v>
      </c>
      <c r="D279" s="71">
        <v>0</v>
      </c>
      <c r="E279" s="71">
        <v>0</v>
      </c>
      <c r="F279" s="71">
        <v>0</v>
      </c>
      <c r="G279" s="71">
        <v>0</v>
      </c>
      <c r="H279" s="71">
        <v>0</v>
      </c>
      <c r="I279" s="71">
        <v>0</v>
      </c>
      <c r="J279" s="71">
        <v>0</v>
      </c>
      <c r="K279" s="71">
        <v>0</v>
      </c>
      <c r="L279" s="71">
        <v>0</v>
      </c>
      <c r="M279" s="71">
        <v>0</v>
      </c>
      <c r="N279" s="71">
        <v>0</v>
      </c>
      <c r="O279" s="71">
        <v>0</v>
      </c>
      <c r="P279" s="84">
        <v>0</v>
      </c>
      <c r="Q279" s="80">
        <v>0</v>
      </c>
      <c r="R279" s="71">
        <v>0</v>
      </c>
      <c r="S279" s="104"/>
      <c r="T279" s="71">
        <v>0</v>
      </c>
      <c r="U279" s="71">
        <v>0</v>
      </c>
    </row>
    <row r="280" spans="1:21" x14ac:dyDescent="0.2">
      <c r="A280" s="80" t="s">
        <v>2573</v>
      </c>
      <c r="B280" s="70" t="s">
        <v>281</v>
      </c>
      <c r="C280" s="71">
        <v>-273</v>
      </c>
      <c r="D280" s="71">
        <v>-280</v>
      </c>
      <c r="E280" s="71">
        <v>-287</v>
      </c>
      <c r="F280" s="71">
        <v>-294</v>
      </c>
      <c r="G280" s="71">
        <v>-301</v>
      </c>
      <c r="H280" s="71">
        <v>-308</v>
      </c>
      <c r="I280" s="71">
        <v>-316</v>
      </c>
      <c r="J280" s="71">
        <v>-323</v>
      </c>
      <c r="K280" s="71">
        <v>-330</v>
      </c>
      <c r="L280" s="71">
        <v>-337</v>
      </c>
      <c r="M280" s="71">
        <v>-344</v>
      </c>
      <c r="N280" s="71">
        <v>-351</v>
      </c>
      <c r="O280" s="71">
        <v>-359</v>
      </c>
      <c r="P280" s="84">
        <v>-315.61538461538464</v>
      </c>
      <c r="Q280" s="80">
        <v>-359</v>
      </c>
      <c r="R280" s="71">
        <v>-315.61538461538464</v>
      </c>
      <c r="S280" s="104"/>
      <c r="T280" s="71">
        <v>0</v>
      </c>
      <c r="U280" s="71">
        <v>0</v>
      </c>
    </row>
    <row r="281" spans="1:21" x14ac:dyDescent="0.2">
      <c r="A281" s="80" t="s">
        <v>2575</v>
      </c>
      <c r="B281" s="70" t="s">
        <v>282</v>
      </c>
      <c r="C281" s="71">
        <v>-184</v>
      </c>
      <c r="D281" s="71">
        <v>-189</v>
      </c>
      <c r="E281" s="71">
        <v>-193</v>
      </c>
      <c r="F281" s="71">
        <v>-197</v>
      </c>
      <c r="G281" s="71">
        <v>-201</v>
      </c>
      <c r="H281" s="71">
        <v>-205</v>
      </c>
      <c r="I281" s="71">
        <v>-209</v>
      </c>
      <c r="J281" s="71">
        <v>-213</v>
      </c>
      <c r="K281" s="71">
        <v>-217</v>
      </c>
      <c r="L281" s="71">
        <v>-221</v>
      </c>
      <c r="M281" s="71">
        <v>-225</v>
      </c>
      <c r="N281" s="71">
        <v>-229</v>
      </c>
      <c r="O281" s="71">
        <v>-233</v>
      </c>
      <c r="P281" s="84">
        <v>-208.92307692307693</v>
      </c>
      <c r="Q281" s="77">
        <v>-233</v>
      </c>
      <c r="R281" s="71">
        <v>-208.92307692307693</v>
      </c>
      <c r="S281" s="104"/>
      <c r="T281" s="71">
        <v>0</v>
      </c>
      <c r="U281" s="71">
        <v>0</v>
      </c>
    </row>
    <row r="282" spans="1:21" x14ac:dyDescent="0.2">
      <c r="A282" s="77" t="s">
        <v>2577</v>
      </c>
      <c r="B282" s="70" t="s">
        <v>281</v>
      </c>
      <c r="C282" s="71">
        <v>0</v>
      </c>
      <c r="D282" s="71">
        <v>0</v>
      </c>
      <c r="E282" s="71">
        <v>0</v>
      </c>
      <c r="F282" s="71">
        <v>0</v>
      </c>
      <c r="G282" s="71">
        <v>0</v>
      </c>
      <c r="H282" s="71">
        <v>0</v>
      </c>
      <c r="I282" s="71">
        <v>0</v>
      </c>
      <c r="J282" s="71">
        <v>0</v>
      </c>
      <c r="K282" s="71">
        <v>0</v>
      </c>
      <c r="L282" s="71">
        <v>0</v>
      </c>
      <c r="M282" s="71">
        <v>0</v>
      </c>
      <c r="N282" s="71">
        <v>0</v>
      </c>
      <c r="O282" s="71">
        <v>0</v>
      </c>
      <c r="P282" s="84">
        <v>0</v>
      </c>
      <c r="Q282" s="77">
        <v>0</v>
      </c>
      <c r="R282" s="71">
        <v>0</v>
      </c>
      <c r="S282" s="104"/>
      <c r="T282" s="71">
        <v>0</v>
      </c>
      <c r="U282" s="71">
        <v>0</v>
      </c>
    </row>
    <row r="283" spans="1:21" x14ac:dyDescent="0.2">
      <c r="A283" s="77" t="s">
        <v>2579</v>
      </c>
      <c r="B283" s="70" t="s">
        <v>282</v>
      </c>
      <c r="C283" s="71">
        <v>0</v>
      </c>
      <c r="D283" s="71">
        <v>0</v>
      </c>
      <c r="E283" s="71">
        <v>0</v>
      </c>
      <c r="F283" s="71">
        <v>0</v>
      </c>
      <c r="G283" s="71">
        <v>0</v>
      </c>
      <c r="H283" s="71">
        <v>0</v>
      </c>
      <c r="I283" s="71">
        <v>0</v>
      </c>
      <c r="J283" s="71">
        <v>0</v>
      </c>
      <c r="K283" s="71">
        <v>0</v>
      </c>
      <c r="L283" s="71">
        <v>0</v>
      </c>
      <c r="M283" s="71">
        <v>0</v>
      </c>
      <c r="N283" s="71">
        <v>0</v>
      </c>
      <c r="O283" s="71">
        <v>0</v>
      </c>
      <c r="P283" s="84">
        <v>0</v>
      </c>
      <c r="Q283" s="79">
        <v>0</v>
      </c>
      <c r="R283" s="71">
        <v>0</v>
      </c>
      <c r="S283" s="104"/>
      <c r="T283" s="71">
        <v>0</v>
      </c>
      <c r="U283" s="71">
        <v>0</v>
      </c>
    </row>
    <row r="284" spans="1:21" x14ac:dyDescent="0.2">
      <c r="A284" s="79" t="s">
        <v>2581</v>
      </c>
      <c r="B284" s="70" t="s">
        <v>283</v>
      </c>
      <c r="C284" s="71">
        <v>-6784</v>
      </c>
      <c r="D284" s="71">
        <v>-4851</v>
      </c>
      <c r="E284" s="71">
        <v>-4851</v>
      </c>
      <c r="F284" s="71">
        <v>-3851</v>
      </c>
      <c r="G284" s="71">
        <v>-2851</v>
      </c>
      <c r="H284" s="71">
        <v>-1851</v>
      </c>
      <c r="I284" s="71">
        <v>-2301</v>
      </c>
      <c r="J284" s="71">
        <v>-2751</v>
      </c>
      <c r="K284" s="71">
        <v>-3201</v>
      </c>
      <c r="L284" s="71">
        <v>-3651</v>
      </c>
      <c r="M284" s="71">
        <v>-4101</v>
      </c>
      <c r="N284" s="71">
        <v>-4551</v>
      </c>
      <c r="O284" s="71">
        <v>-4851</v>
      </c>
      <c r="P284" s="84">
        <v>-3880.4615384615386</v>
      </c>
      <c r="Q284" s="79">
        <v>-4851</v>
      </c>
      <c r="R284" s="71">
        <v>-3880.4615384615386</v>
      </c>
      <c r="S284" s="104"/>
      <c r="T284" s="71">
        <v>0</v>
      </c>
      <c r="U284" s="71">
        <v>0</v>
      </c>
    </row>
    <row r="285" spans="1:21" x14ac:dyDescent="0.2">
      <c r="A285" s="79" t="s">
        <v>2588</v>
      </c>
      <c r="B285" s="70" t="s">
        <v>284</v>
      </c>
      <c r="C285" s="71">
        <v>0</v>
      </c>
      <c r="D285" s="71">
        <v>0</v>
      </c>
      <c r="E285" s="71">
        <v>0</v>
      </c>
      <c r="F285" s="71">
        <v>0</v>
      </c>
      <c r="G285" s="71">
        <v>0</v>
      </c>
      <c r="H285" s="71">
        <v>0</v>
      </c>
      <c r="I285" s="71">
        <v>0</v>
      </c>
      <c r="J285" s="71">
        <v>0</v>
      </c>
      <c r="K285" s="71">
        <v>0</v>
      </c>
      <c r="L285" s="71">
        <v>0</v>
      </c>
      <c r="M285" s="71">
        <v>0</v>
      </c>
      <c r="N285" s="71">
        <v>0</v>
      </c>
      <c r="O285" s="71">
        <v>0</v>
      </c>
      <c r="P285" s="84">
        <v>0</v>
      </c>
      <c r="Q285" s="77">
        <v>0</v>
      </c>
      <c r="R285" s="71">
        <v>0</v>
      </c>
      <c r="S285" s="104"/>
      <c r="T285" s="71">
        <v>0</v>
      </c>
      <c r="U285" s="71">
        <v>0</v>
      </c>
    </row>
    <row r="286" spans="1:21" ht="15.75" x14ac:dyDescent="0.25">
      <c r="A286" s="77" t="s">
        <v>2721</v>
      </c>
      <c r="B286" s="70" t="s">
        <v>285</v>
      </c>
      <c r="C286" s="90">
        <v>-33790</v>
      </c>
      <c r="D286" s="90">
        <v>-35283</v>
      </c>
      <c r="E286" s="90">
        <v>-32845</v>
      </c>
      <c r="F286" s="90">
        <v>-32084</v>
      </c>
      <c r="G286" s="90">
        <v>-31423</v>
      </c>
      <c r="H286" s="90">
        <v>-30694</v>
      </c>
      <c r="I286" s="90">
        <v>-29811</v>
      </c>
      <c r="J286" s="90">
        <v>-29205</v>
      </c>
      <c r="K286" s="90">
        <v>-28592</v>
      </c>
      <c r="L286" s="90">
        <v>-27927</v>
      </c>
      <c r="M286" s="90">
        <v>-26963</v>
      </c>
      <c r="N286" s="90">
        <v>-25516</v>
      </c>
      <c r="O286" s="90">
        <v>-23345</v>
      </c>
      <c r="P286" s="84">
        <v>-29806</v>
      </c>
      <c r="Q286" s="82">
        <v>-25886</v>
      </c>
      <c r="R286" s="90">
        <v>-31303.307692307691</v>
      </c>
      <c r="S286" s="104"/>
      <c r="T286" s="90">
        <v>2541</v>
      </c>
      <c r="U286" s="90">
        <v>1497.3076923076915</v>
      </c>
    </row>
    <row r="287" spans="1:21" ht="15.75" x14ac:dyDescent="0.25">
      <c r="A287" s="82" t="s">
        <v>2617</v>
      </c>
      <c r="B287" s="73" t="s">
        <v>286</v>
      </c>
      <c r="C287" s="71">
        <v>-18774</v>
      </c>
      <c r="D287" s="71">
        <v>-18750</v>
      </c>
      <c r="E287" s="71">
        <v>-18726</v>
      </c>
      <c r="F287" s="71">
        <v>-18702</v>
      </c>
      <c r="G287" s="71">
        <v>-18678</v>
      </c>
      <c r="H287" s="71">
        <v>-18655</v>
      </c>
      <c r="I287" s="71">
        <v>-18631</v>
      </c>
      <c r="J287" s="71">
        <v>-18607</v>
      </c>
      <c r="K287" s="71">
        <v>-18583</v>
      </c>
      <c r="L287" s="71">
        <v>-18559</v>
      </c>
      <c r="M287" s="71">
        <v>-18536</v>
      </c>
      <c r="N287" s="71">
        <v>-18512</v>
      </c>
      <c r="O287" s="71">
        <v>-18488</v>
      </c>
      <c r="P287" s="84">
        <v>-18630.846153846152</v>
      </c>
      <c r="Q287" s="77">
        <v>-17387</v>
      </c>
      <c r="R287" s="71">
        <v>-18080.692307692309</v>
      </c>
      <c r="S287" s="104"/>
      <c r="T287" s="71">
        <v>-1101</v>
      </c>
      <c r="U287" s="71">
        <v>-550.15384615384392</v>
      </c>
    </row>
    <row r="288" spans="1:21" x14ac:dyDescent="0.2">
      <c r="A288" s="77" t="s">
        <v>2619</v>
      </c>
      <c r="B288" s="70" t="s">
        <v>287</v>
      </c>
      <c r="C288" s="71">
        <v>-70</v>
      </c>
      <c r="D288" s="71">
        <v>-61</v>
      </c>
      <c r="E288" s="71">
        <v>-51</v>
      </c>
      <c r="F288" s="71">
        <v>-41</v>
      </c>
      <c r="G288" s="71">
        <v>-31</v>
      </c>
      <c r="H288" s="71">
        <v>-21</v>
      </c>
      <c r="I288" s="71">
        <v>-10</v>
      </c>
      <c r="J288" s="71">
        <v>0</v>
      </c>
      <c r="K288" s="71">
        <v>0</v>
      </c>
      <c r="L288" s="71">
        <v>0</v>
      </c>
      <c r="M288" s="71">
        <v>0</v>
      </c>
      <c r="N288" s="71">
        <v>0</v>
      </c>
      <c r="O288" s="71">
        <v>0</v>
      </c>
      <c r="P288" s="84">
        <v>-21.923076923076923</v>
      </c>
      <c r="Q288" s="77">
        <v>0</v>
      </c>
      <c r="R288" s="71">
        <v>-21.923076923076923</v>
      </c>
      <c r="S288" s="104"/>
      <c r="T288" s="71">
        <v>0</v>
      </c>
      <c r="U288" s="71">
        <v>0</v>
      </c>
    </row>
    <row r="289" spans="1:27" x14ac:dyDescent="0.2">
      <c r="A289" s="77" t="s">
        <v>288</v>
      </c>
      <c r="B289" s="70" t="s">
        <v>289</v>
      </c>
      <c r="C289" s="71">
        <v>-4110</v>
      </c>
      <c r="D289" s="71">
        <v>-3959</v>
      </c>
      <c r="E289" s="71">
        <v>-3807</v>
      </c>
      <c r="F289" s="71">
        <v>-3657</v>
      </c>
      <c r="G289" s="71">
        <v>-3505</v>
      </c>
      <c r="H289" s="71">
        <v>-3354</v>
      </c>
      <c r="I289" s="71">
        <v>-3204</v>
      </c>
      <c r="J289" s="71">
        <v>-3053</v>
      </c>
      <c r="K289" s="71">
        <v>-2906</v>
      </c>
      <c r="L289" s="71">
        <v>-2771</v>
      </c>
      <c r="M289" s="71">
        <v>-2636</v>
      </c>
      <c r="N289" s="71">
        <v>-2502</v>
      </c>
      <c r="O289" s="71">
        <v>-2367</v>
      </c>
      <c r="P289" s="84">
        <v>-3217.7692307692309</v>
      </c>
      <c r="Q289" s="77">
        <v>-2367</v>
      </c>
      <c r="R289" s="71">
        <v>-3217.7692307692309</v>
      </c>
      <c r="S289" s="104"/>
      <c r="T289" s="71">
        <v>0</v>
      </c>
      <c r="U289" s="71">
        <v>0</v>
      </c>
    </row>
    <row r="290" spans="1:27" x14ac:dyDescent="0.2">
      <c r="A290" s="77" t="s">
        <v>2623</v>
      </c>
      <c r="B290" s="70" t="s">
        <v>5051</v>
      </c>
      <c r="C290" s="71">
        <v>-570</v>
      </c>
      <c r="D290" s="71">
        <v>-513</v>
      </c>
      <c r="E290" s="71">
        <v>-261</v>
      </c>
      <c r="F290" s="71">
        <v>-22</v>
      </c>
      <c r="G290" s="71">
        <v>0</v>
      </c>
      <c r="H290" s="71">
        <v>0</v>
      </c>
      <c r="I290" s="71">
        <v>-97</v>
      </c>
      <c r="J290" s="71">
        <v>-383</v>
      </c>
      <c r="K290" s="71">
        <v>-688</v>
      </c>
      <c r="L290" s="71">
        <v>-1001</v>
      </c>
      <c r="M290" s="71">
        <v>-1141</v>
      </c>
      <c r="N290" s="71">
        <v>-1066</v>
      </c>
      <c r="O290" s="71">
        <v>-986</v>
      </c>
      <c r="P290" s="84">
        <v>-517.53846153846155</v>
      </c>
      <c r="Q290" s="77">
        <v>-1780</v>
      </c>
      <c r="R290" s="71">
        <v>-922.23076923076928</v>
      </c>
      <c r="S290" s="104"/>
      <c r="T290" s="71">
        <v>794</v>
      </c>
      <c r="U290" s="71">
        <v>404.69230769230774</v>
      </c>
    </row>
    <row r="291" spans="1:27" ht="15.75" x14ac:dyDescent="0.25">
      <c r="A291" s="77" t="s">
        <v>2625</v>
      </c>
      <c r="B291" s="70" t="s">
        <v>5052</v>
      </c>
      <c r="C291" s="71">
        <v>0</v>
      </c>
      <c r="D291" s="86">
        <v>-1581</v>
      </c>
      <c r="E291" s="86">
        <v>0</v>
      </c>
      <c r="F291" s="86">
        <v>0</v>
      </c>
      <c r="G291" s="86">
        <v>0</v>
      </c>
      <c r="H291" s="86">
        <v>0</v>
      </c>
      <c r="I291" s="86">
        <v>0</v>
      </c>
      <c r="J291" s="86">
        <v>0</v>
      </c>
      <c r="K291" s="86">
        <v>0</v>
      </c>
      <c r="L291" s="86">
        <v>0</v>
      </c>
      <c r="M291" s="86">
        <v>0</v>
      </c>
      <c r="N291" s="86">
        <v>0</v>
      </c>
      <c r="O291" s="86">
        <v>0</v>
      </c>
      <c r="P291" s="84">
        <v>-121.61538461538461</v>
      </c>
      <c r="Q291" s="77">
        <v>0</v>
      </c>
      <c r="R291" s="86">
        <v>0</v>
      </c>
      <c r="S291" s="104"/>
      <c r="T291" s="86">
        <v>0</v>
      </c>
      <c r="U291" s="86">
        <v>-121.61538461538461</v>
      </c>
    </row>
    <row r="292" spans="1:27" ht="15.75" x14ac:dyDescent="0.25">
      <c r="A292" s="77" t="s">
        <v>2627</v>
      </c>
      <c r="B292" s="70" t="s">
        <v>5053</v>
      </c>
      <c r="C292" s="71">
        <v>0</v>
      </c>
      <c r="D292" s="86">
        <v>0</v>
      </c>
      <c r="E292" s="86">
        <v>0</v>
      </c>
      <c r="F292" s="86">
        <v>0</v>
      </c>
      <c r="G292" s="86">
        <v>0</v>
      </c>
      <c r="H292" s="86">
        <v>0</v>
      </c>
      <c r="I292" s="86">
        <v>0</v>
      </c>
      <c r="J292" s="86">
        <v>0</v>
      </c>
      <c r="K292" s="86">
        <v>0</v>
      </c>
      <c r="L292" s="86">
        <v>0</v>
      </c>
      <c r="M292" s="86">
        <v>0</v>
      </c>
      <c r="N292" s="86">
        <v>0</v>
      </c>
      <c r="O292" s="86">
        <v>0</v>
      </c>
      <c r="P292" s="84">
        <v>0</v>
      </c>
      <c r="Q292" s="77">
        <v>0</v>
      </c>
      <c r="R292" s="86">
        <v>0</v>
      </c>
      <c r="S292" s="104"/>
      <c r="T292" s="86">
        <v>0</v>
      </c>
      <c r="U292" s="86">
        <v>0</v>
      </c>
    </row>
    <row r="293" spans="1:27" ht="15.75" x14ac:dyDescent="0.25">
      <c r="A293" s="77" t="s">
        <v>2629</v>
      </c>
      <c r="B293" s="70" t="s">
        <v>5054</v>
      </c>
      <c r="C293" s="71">
        <v>-47</v>
      </c>
      <c r="D293" s="86">
        <v>-350</v>
      </c>
      <c r="E293" s="86">
        <v>-349</v>
      </c>
      <c r="F293" s="86">
        <v>-223</v>
      </c>
      <c r="G293" s="86">
        <v>0</v>
      </c>
      <c r="H293" s="86">
        <v>0</v>
      </c>
      <c r="I293" s="86">
        <v>0</v>
      </c>
      <c r="J293" s="86">
        <v>0</v>
      </c>
      <c r="K293" s="86">
        <v>0</v>
      </c>
      <c r="L293" s="86">
        <v>0</v>
      </c>
      <c r="M293" s="86">
        <v>0</v>
      </c>
      <c r="N293" s="86">
        <v>0</v>
      </c>
      <c r="O293" s="86">
        <v>0</v>
      </c>
      <c r="P293" s="84">
        <v>-74.538461538461533</v>
      </c>
      <c r="Q293" s="77">
        <v>-1734</v>
      </c>
      <c r="R293" s="86">
        <v>-730.23076923076928</v>
      </c>
      <c r="S293" s="104"/>
      <c r="T293" s="86">
        <v>1734</v>
      </c>
      <c r="U293" s="86">
        <v>655.69230769230774</v>
      </c>
    </row>
    <row r="294" spans="1:27" ht="15.75" x14ac:dyDescent="0.25">
      <c r="A294" s="77" t="s">
        <v>2631</v>
      </c>
      <c r="B294" s="70" t="s">
        <v>5056</v>
      </c>
      <c r="C294" s="71">
        <v>-10219</v>
      </c>
      <c r="D294" s="86">
        <v>-10069</v>
      </c>
      <c r="E294" s="86">
        <v>-9651</v>
      </c>
      <c r="F294" s="86">
        <v>-9439</v>
      </c>
      <c r="G294" s="86">
        <v>-9209</v>
      </c>
      <c r="H294" s="86">
        <v>-8664</v>
      </c>
      <c r="I294" s="86">
        <v>-7869</v>
      </c>
      <c r="J294" s="86">
        <v>-7162</v>
      </c>
      <c r="K294" s="86">
        <v>-6415</v>
      </c>
      <c r="L294" s="86">
        <v>-5596</v>
      </c>
      <c r="M294" s="86">
        <v>-4650</v>
      </c>
      <c r="N294" s="86">
        <v>-3436</v>
      </c>
      <c r="O294" s="86">
        <v>-1504</v>
      </c>
      <c r="P294" s="84">
        <v>-7221.7692307692305</v>
      </c>
      <c r="Q294" s="82">
        <v>-2618</v>
      </c>
      <c r="R294" s="86">
        <v>-8330.461538461539</v>
      </c>
      <c r="S294" s="104"/>
      <c r="T294" s="86">
        <v>1114</v>
      </c>
      <c r="U294" s="86">
        <v>1108.6923076923085</v>
      </c>
      <c r="X294" s="71"/>
      <c r="Y294" s="71"/>
      <c r="Z294" s="71"/>
      <c r="AA294" s="71"/>
    </row>
    <row r="295" spans="1:27" ht="15.75" x14ac:dyDescent="0.25">
      <c r="A295" s="78" t="s">
        <v>2691</v>
      </c>
      <c r="B295" s="70" t="s">
        <v>290</v>
      </c>
      <c r="C295" s="71">
        <v>0</v>
      </c>
      <c r="D295" s="86">
        <v>0</v>
      </c>
      <c r="E295" s="86">
        <v>0</v>
      </c>
      <c r="F295" s="86">
        <v>0</v>
      </c>
      <c r="G295" s="86">
        <v>0</v>
      </c>
      <c r="H295" s="86">
        <v>0</v>
      </c>
      <c r="I295" s="86">
        <v>0</v>
      </c>
      <c r="J295" s="86">
        <v>0</v>
      </c>
      <c r="K295" s="86">
        <v>0</v>
      </c>
      <c r="L295" s="86">
        <v>0</v>
      </c>
      <c r="M295" s="86">
        <v>0</v>
      </c>
      <c r="N295" s="86">
        <v>0</v>
      </c>
      <c r="O295" s="86">
        <v>0</v>
      </c>
      <c r="P295" s="84">
        <v>0</v>
      </c>
      <c r="Q295" s="82">
        <v>0</v>
      </c>
      <c r="R295" s="86">
        <v>0</v>
      </c>
      <c r="S295" s="104"/>
      <c r="T295" s="86">
        <v>0</v>
      </c>
      <c r="U295" s="86">
        <v>0</v>
      </c>
    </row>
    <row r="296" spans="1:27" ht="15.75" x14ac:dyDescent="0.25">
      <c r="A296" s="78" t="s">
        <v>2635</v>
      </c>
      <c r="B296" s="70" t="s">
        <v>291</v>
      </c>
      <c r="C296" s="71">
        <v>-1743</v>
      </c>
      <c r="D296" s="71">
        <v>-1727</v>
      </c>
      <c r="E296" s="71">
        <v>-1711</v>
      </c>
      <c r="F296" s="71">
        <v>-1694</v>
      </c>
      <c r="G296" s="71">
        <v>-1678</v>
      </c>
      <c r="H296" s="71">
        <v>-1661</v>
      </c>
      <c r="I296" s="71">
        <v>-1641</v>
      </c>
      <c r="J296" s="71">
        <v>-1621</v>
      </c>
      <c r="K296" s="71">
        <v>-1603</v>
      </c>
      <c r="L296" s="71">
        <v>-1599</v>
      </c>
      <c r="M296" s="71">
        <v>-1594</v>
      </c>
      <c r="N296" s="71">
        <v>-1590</v>
      </c>
      <c r="O296" s="71">
        <v>-1585</v>
      </c>
      <c r="P296" s="84">
        <v>-1649.7692307692307</v>
      </c>
      <c r="Q296" s="82">
        <v>-1585</v>
      </c>
      <c r="R296" s="71">
        <v>-1649.7692307692307</v>
      </c>
      <c r="S296" s="104"/>
      <c r="T296" s="71">
        <v>0</v>
      </c>
      <c r="U296" s="71">
        <v>0</v>
      </c>
    </row>
    <row r="297" spans="1:27" ht="15.75" x14ac:dyDescent="0.25">
      <c r="A297" s="78" t="s">
        <v>2638</v>
      </c>
      <c r="B297" s="70" t="s">
        <v>292</v>
      </c>
      <c r="C297" s="71">
        <v>-2367</v>
      </c>
      <c r="D297" s="71">
        <v>-2232</v>
      </c>
      <c r="E297" s="71">
        <v>-2097</v>
      </c>
      <c r="F297" s="71">
        <v>-1963</v>
      </c>
      <c r="G297" s="71">
        <v>-1828</v>
      </c>
      <c r="H297" s="71">
        <v>-1693</v>
      </c>
      <c r="I297" s="71">
        <v>-1563</v>
      </c>
      <c r="J297" s="71">
        <v>-1433</v>
      </c>
      <c r="K297" s="71">
        <v>-1303</v>
      </c>
      <c r="L297" s="71">
        <v>-1172</v>
      </c>
      <c r="M297" s="71">
        <v>-1042</v>
      </c>
      <c r="N297" s="71">
        <v>-912</v>
      </c>
      <c r="O297" s="71">
        <v>-782</v>
      </c>
      <c r="P297" s="84">
        <v>-1568.2307692307693</v>
      </c>
      <c r="Q297" s="82">
        <v>-782</v>
      </c>
      <c r="R297" s="71">
        <v>-1568.2307692307693</v>
      </c>
      <c r="S297" s="104"/>
      <c r="T297" s="71">
        <v>0</v>
      </c>
      <c r="U297" s="71">
        <v>0</v>
      </c>
    </row>
    <row r="298" spans="1:27" ht="15.75" x14ac:dyDescent="0.25">
      <c r="A298" s="82" t="s">
        <v>1329</v>
      </c>
      <c r="B298" s="73" t="s">
        <v>293</v>
      </c>
      <c r="C298" s="70">
        <v>-12021</v>
      </c>
      <c r="D298" s="70">
        <v>-11822</v>
      </c>
      <c r="E298" s="70">
        <v>-11623</v>
      </c>
      <c r="F298" s="70">
        <v>-11424</v>
      </c>
      <c r="G298" s="70">
        <v>-11225</v>
      </c>
      <c r="H298" s="70">
        <v>-11194</v>
      </c>
      <c r="I298" s="70">
        <v>-11164</v>
      </c>
      <c r="J298" s="70">
        <v>-11133</v>
      </c>
      <c r="K298" s="70">
        <v>-11102</v>
      </c>
      <c r="L298" s="70">
        <v>-11072</v>
      </c>
      <c r="M298" s="70">
        <v>-11041</v>
      </c>
      <c r="N298" s="70">
        <v>-11010</v>
      </c>
      <c r="O298" s="70">
        <v>-10979</v>
      </c>
      <c r="P298" s="84">
        <v>-11293.076923076924</v>
      </c>
      <c r="Q298" s="85">
        <v>-9664</v>
      </c>
      <c r="R298" s="70">
        <v>-10842.615384615385</v>
      </c>
      <c r="S298" s="104"/>
      <c r="T298" s="70">
        <v>-1315</v>
      </c>
      <c r="U298" s="70">
        <v>-450.46153846153902</v>
      </c>
    </row>
    <row r="299" spans="1:27" ht="15.75" x14ac:dyDescent="0.25">
      <c r="A299" s="82" t="s">
        <v>294</v>
      </c>
      <c r="B299" s="73" t="s">
        <v>295</v>
      </c>
      <c r="C299" s="70">
        <v>-12019</v>
      </c>
      <c r="D299" s="70">
        <v>-11820</v>
      </c>
      <c r="E299" s="70">
        <v>-11621</v>
      </c>
      <c r="F299" s="70">
        <v>-11422</v>
      </c>
      <c r="G299" s="70">
        <v>-11223</v>
      </c>
      <c r="H299" s="70">
        <v>-11192</v>
      </c>
      <c r="I299" s="70">
        <v>-11162</v>
      </c>
      <c r="J299" s="70">
        <v>-11131</v>
      </c>
      <c r="K299" s="70">
        <v>-11100</v>
      </c>
      <c r="L299" s="70">
        <v>-11070</v>
      </c>
      <c r="M299" s="70">
        <v>-11039</v>
      </c>
      <c r="N299" s="70">
        <v>-11008</v>
      </c>
      <c r="O299" s="70">
        <v>-10977</v>
      </c>
      <c r="P299" s="84">
        <v>-11291.076923076924</v>
      </c>
      <c r="Q299" s="85">
        <v>-9663</v>
      </c>
      <c r="R299" s="70">
        <v>-10841.307692307691</v>
      </c>
      <c r="S299" s="104"/>
      <c r="T299" s="70">
        <v>-1314</v>
      </c>
      <c r="U299" s="70">
        <v>-449.76923076923231</v>
      </c>
    </row>
    <row r="300" spans="1:27" ht="15.75" x14ac:dyDescent="0.25">
      <c r="A300" s="85" t="s">
        <v>5217</v>
      </c>
      <c r="B300" s="73" t="s">
        <v>296</v>
      </c>
      <c r="C300" s="70">
        <v>0</v>
      </c>
      <c r="D300" s="70">
        <v>0</v>
      </c>
      <c r="E300" s="70">
        <v>0</v>
      </c>
      <c r="F300" s="70">
        <v>0</v>
      </c>
      <c r="G300" s="70">
        <v>0</v>
      </c>
      <c r="H300" s="70">
        <v>0</v>
      </c>
      <c r="I300" s="70">
        <v>0</v>
      </c>
      <c r="J300" s="70">
        <v>0</v>
      </c>
      <c r="K300" s="70">
        <v>0</v>
      </c>
      <c r="L300" s="70">
        <v>0</v>
      </c>
      <c r="M300" s="70">
        <v>0</v>
      </c>
      <c r="N300" s="70">
        <v>0</v>
      </c>
      <c r="O300" s="70">
        <v>0</v>
      </c>
      <c r="P300" s="84">
        <v>0</v>
      </c>
      <c r="Q300" s="85">
        <v>0</v>
      </c>
      <c r="R300" s="70">
        <v>0</v>
      </c>
      <c r="S300" s="104"/>
      <c r="T300" s="70">
        <v>0</v>
      </c>
      <c r="U300" s="70">
        <v>0</v>
      </c>
    </row>
    <row r="301" spans="1:27" ht="15.75" x14ac:dyDescent="0.25">
      <c r="A301" s="85" t="s">
        <v>1315</v>
      </c>
      <c r="B301" s="73" t="s">
        <v>297</v>
      </c>
      <c r="C301" s="70">
        <v>-1</v>
      </c>
      <c r="D301" s="70">
        <v>-1</v>
      </c>
      <c r="E301" s="70">
        <v>-1</v>
      </c>
      <c r="F301" s="70">
        <v>-1</v>
      </c>
      <c r="G301" s="70">
        <v>-1</v>
      </c>
      <c r="H301" s="70">
        <v>-1</v>
      </c>
      <c r="I301" s="70">
        <v>-1</v>
      </c>
      <c r="J301" s="70">
        <v>-1</v>
      </c>
      <c r="K301" s="70">
        <v>-1</v>
      </c>
      <c r="L301" s="70">
        <v>-1</v>
      </c>
      <c r="M301" s="70">
        <v>-1</v>
      </c>
      <c r="N301" s="70">
        <v>-1</v>
      </c>
      <c r="O301" s="70">
        <v>-1</v>
      </c>
      <c r="P301" s="84">
        <v>-1</v>
      </c>
      <c r="Q301" s="77">
        <v>-1</v>
      </c>
      <c r="R301" s="70">
        <v>-1</v>
      </c>
      <c r="S301" s="104"/>
      <c r="T301" s="70">
        <v>0</v>
      </c>
      <c r="U301" s="70">
        <v>0</v>
      </c>
    </row>
    <row r="302" spans="1:27" ht="15.75" x14ac:dyDescent="0.25">
      <c r="A302" s="85" t="s">
        <v>1317</v>
      </c>
      <c r="B302" s="73" t="s">
        <v>297</v>
      </c>
      <c r="C302" s="70">
        <v>-1</v>
      </c>
      <c r="D302" s="70">
        <v>-1</v>
      </c>
      <c r="E302" s="70">
        <v>-1</v>
      </c>
      <c r="F302" s="70">
        <v>-1</v>
      </c>
      <c r="G302" s="70">
        <v>-1</v>
      </c>
      <c r="H302" s="70">
        <v>-1</v>
      </c>
      <c r="I302" s="70">
        <v>-1</v>
      </c>
      <c r="J302" s="70">
        <v>-1</v>
      </c>
      <c r="K302" s="70">
        <v>-1</v>
      </c>
      <c r="L302" s="70">
        <v>-1</v>
      </c>
      <c r="M302" s="70">
        <v>-1</v>
      </c>
      <c r="N302" s="70">
        <v>-1</v>
      </c>
      <c r="O302" s="70">
        <v>-1</v>
      </c>
      <c r="P302" s="84">
        <v>-1</v>
      </c>
      <c r="Q302" s="77">
        <v>0</v>
      </c>
      <c r="R302" s="70">
        <v>-0.30769230769230771</v>
      </c>
      <c r="S302" s="104"/>
      <c r="T302" s="70">
        <v>-1</v>
      </c>
      <c r="U302" s="70">
        <v>-0.69230769230769229</v>
      </c>
    </row>
    <row r="303" spans="1:27" ht="15.75" x14ac:dyDescent="0.25">
      <c r="A303" s="77" t="s">
        <v>47</v>
      </c>
      <c r="B303" s="70" t="s">
        <v>1336</v>
      </c>
      <c r="C303" s="70">
        <v>-1248</v>
      </c>
      <c r="D303" s="70">
        <v>-1245</v>
      </c>
      <c r="E303" s="70">
        <v>-1242</v>
      </c>
      <c r="F303" s="70">
        <v>-1237</v>
      </c>
      <c r="G303" s="70">
        <v>-1230</v>
      </c>
      <c r="H303" s="70">
        <v>-1202</v>
      </c>
      <c r="I303" s="70">
        <v>-1197</v>
      </c>
      <c r="J303" s="70">
        <v>-1192</v>
      </c>
      <c r="K303" s="70">
        <v>-1165</v>
      </c>
      <c r="L303" s="70">
        <v>-1125</v>
      </c>
      <c r="M303" s="70">
        <v>-1117</v>
      </c>
      <c r="N303" s="70">
        <v>-1110</v>
      </c>
      <c r="O303" s="70">
        <v>-1102</v>
      </c>
      <c r="P303" s="84">
        <v>-1185.5384615384614</v>
      </c>
      <c r="Q303" s="82">
        <v>-1102</v>
      </c>
      <c r="R303" s="70">
        <v>-1185.5384615384614</v>
      </c>
      <c r="S303" s="104"/>
      <c r="T303" s="70">
        <v>0</v>
      </c>
      <c r="U303" s="70">
        <v>0</v>
      </c>
    </row>
    <row r="304" spans="1:27" ht="15.75" x14ac:dyDescent="0.25">
      <c r="A304" s="77" t="s">
        <v>50</v>
      </c>
      <c r="B304" s="70" t="s">
        <v>1337</v>
      </c>
      <c r="C304" s="91">
        <v>0</v>
      </c>
      <c r="D304" s="91">
        <v>0</v>
      </c>
      <c r="E304" s="91">
        <v>0</v>
      </c>
      <c r="F304" s="91">
        <v>0</v>
      </c>
      <c r="G304" s="91">
        <v>0</v>
      </c>
      <c r="H304" s="91">
        <v>0</v>
      </c>
      <c r="I304" s="91">
        <v>0</v>
      </c>
      <c r="J304" s="91">
        <v>0</v>
      </c>
      <c r="K304" s="91">
        <v>0</v>
      </c>
      <c r="L304" s="91">
        <v>0</v>
      </c>
      <c r="M304" s="91">
        <v>0</v>
      </c>
      <c r="N304" s="91">
        <v>0</v>
      </c>
      <c r="O304" s="91">
        <v>0</v>
      </c>
      <c r="P304" s="84">
        <v>0</v>
      </c>
      <c r="Q304" s="82">
        <v>0</v>
      </c>
      <c r="R304" s="91">
        <v>0</v>
      </c>
      <c r="S304" s="104"/>
      <c r="T304" s="91">
        <v>0</v>
      </c>
      <c r="U304" s="91">
        <v>0</v>
      </c>
    </row>
    <row r="305" spans="1:21" ht="15.75" x14ac:dyDescent="0.25">
      <c r="A305" s="82" t="s">
        <v>55</v>
      </c>
      <c r="B305" s="73" t="s">
        <v>1338</v>
      </c>
      <c r="C305" s="70">
        <v>-8339</v>
      </c>
      <c r="D305" s="70">
        <v>-8339</v>
      </c>
      <c r="E305" s="70">
        <v>-8339</v>
      </c>
      <c r="F305" s="70">
        <v>-8339</v>
      </c>
      <c r="G305" s="70">
        <v>-8339</v>
      </c>
      <c r="H305" s="70">
        <v>-8339</v>
      </c>
      <c r="I305" s="70">
        <v>-8339</v>
      </c>
      <c r="J305" s="70">
        <v>-8339</v>
      </c>
      <c r="K305" s="70">
        <v>-8339</v>
      </c>
      <c r="L305" s="70">
        <v>-8339</v>
      </c>
      <c r="M305" s="70">
        <v>-8339</v>
      </c>
      <c r="N305" s="70">
        <v>-8339</v>
      </c>
      <c r="O305" s="70">
        <v>-8339</v>
      </c>
      <c r="P305" s="84">
        <v>-8339</v>
      </c>
      <c r="Q305" s="82">
        <v>-8339</v>
      </c>
      <c r="R305" s="70">
        <v>-8339</v>
      </c>
      <c r="S305" s="104"/>
      <c r="T305" s="70">
        <v>0</v>
      </c>
      <c r="U305" s="70">
        <v>0</v>
      </c>
    </row>
    <row r="306" spans="1:21" ht="15.75" x14ac:dyDescent="0.25">
      <c r="A306" s="82" t="s">
        <v>194</v>
      </c>
      <c r="B306" s="73" t="s">
        <v>1338</v>
      </c>
      <c r="C306" s="70">
        <v>-537045</v>
      </c>
      <c r="D306" s="70">
        <v>-538922</v>
      </c>
      <c r="E306" s="70">
        <v>-549164</v>
      </c>
      <c r="F306" s="70">
        <v>-551041</v>
      </c>
      <c r="G306" s="70">
        <v>-552917</v>
      </c>
      <c r="H306" s="70">
        <v>-554795</v>
      </c>
      <c r="I306" s="70">
        <v>-556671</v>
      </c>
      <c r="J306" s="70">
        <v>-558548</v>
      </c>
      <c r="K306" s="70">
        <v>-560424</v>
      </c>
      <c r="L306" s="70">
        <v>-562301</v>
      </c>
      <c r="M306" s="70">
        <v>-564177</v>
      </c>
      <c r="N306" s="70">
        <v>-566054</v>
      </c>
      <c r="O306" s="70">
        <v>-567930</v>
      </c>
      <c r="P306" s="84">
        <v>-555383.76923076925</v>
      </c>
      <c r="Q306" s="82">
        <v>-543228</v>
      </c>
      <c r="R306" s="70">
        <v>-540136.07692307688</v>
      </c>
      <c r="S306" s="104"/>
      <c r="T306" s="70">
        <v>-24702</v>
      </c>
      <c r="U306" s="70">
        <v>-15247.69230769237</v>
      </c>
    </row>
    <row r="307" spans="1:21" ht="15.75" x14ac:dyDescent="0.25">
      <c r="A307" s="82" t="s">
        <v>1339</v>
      </c>
      <c r="B307" s="73" t="s">
        <v>1340</v>
      </c>
      <c r="C307" s="70">
        <v>-514387</v>
      </c>
      <c r="D307" s="70">
        <v>-516302</v>
      </c>
      <c r="E307" s="70">
        <v>-512241</v>
      </c>
      <c r="F307" s="70">
        <v>-514156</v>
      </c>
      <c r="G307" s="70">
        <v>-516071</v>
      </c>
      <c r="H307" s="70">
        <v>-517987</v>
      </c>
      <c r="I307" s="70">
        <v>-519902</v>
      </c>
      <c r="J307" s="70">
        <v>-521817</v>
      </c>
      <c r="K307" s="70">
        <v>-523732</v>
      </c>
      <c r="L307" s="70">
        <v>-525647</v>
      </c>
      <c r="M307" s="70">
        <v>-527562</v>
      </c>
      <c r="N307" s="70">
        <v>-529477</v>
      </c>
      <c r="O307" s="70">
        <v>-531392</v>
      </c>
      <c r="P307" s="84">
        <v>-520821</v>
      </c>
      <c r="Q307" s="82">
        <v>-522131</v>
      </c>
      <c r="R307" s="70">
        <v>-518258.69230769231</v>
      </c>
      <c r="S307" s="104"/>
      <c r="T307" s="70">
        <v>-9261</v>
      </c>
      <c r="U307" s="70">
        <v>-2562.3076923076878</v>
      </c>
    </row>
    <row r="308" spans="1:21" ht="15.75" x14ac:dyDescent="0.25">
      <c r="A308" s="82" t="s">
        <v>186</v>
      </c>
      <c r="B308" s="73" t="s">
        <v>1341</v>
      </c>
      <c r="C308" s="70">
        <v>-22658</v>
      </c>
      <c r="D308" s="70">
        <v>-22620</v>
      </c>
      <c r="E308" s="70">
        <v>-36923</v>
      </c>
      <c r="F308" s="70">
        <v>-36885</v>
      </c>
      <c r="G308" s="70">
        <v>-36846</v>
      </c>
      <c r="H308" s="70">
        <v>-36808</v>
      </c>
      <c r="I308" s="70">
        <v>-36769</v>
      </c>
      <c r="J308" s="70">
        <v>-36731</v>
      </c>
      <c r="K308" s="70">
        <v>-36692</v>
      </c>
      <c r="L308" s="70">
        <v>-36654</v>
      </c>
      <c r="M308" s="70">
        <v>-36615</v>
      </c>
      <c r="N308" s="70">
        <v>-36577</v>
      </c>
      <c r="O308" s="70">
        <v>-36538</v>
      </c>
      <c r="P308" s="84">
        <v>-34562.769230769234</v>
      </c>
      <c r="Q308" s="82">
        <v>-21097</v>
      </c>
      <c r="R308" s="97">
        <v>-21877.384615384617</v>
      </c>
      <c r="S308" s="104"/>
      <c r="T308" s="97">
        <v>-15441</v>
      </c>
      <c r="U308" s="97">
        <v>-12685.384615384617</v>
      </c>
    </row>
    <row r="309" spans="1:21" ht="15.75" x14ac:dyDescent="0.25">
      <c r="A309" s="82" t="s">
        <v>4600</v>
      </c>
      <c r="B309" s="73" t="s">
        <v>1338</v>
      </c>
      <c r="C309" s="70">
        <v>-9288</v>
      </c>
      <c r="D309" s="70">
        <v>-7354</v>
      </c>
      <c r="E309" s="70">
        <v>-9682</v>
      </c>
      <c r="F309" s="70">
        <v>-13046</v>
      </c>
      <c r="G309" s="70">
        <v>-16486</v>
      </c>
      <c r="H309" s="70">
        <v>-26077</v>
      </c>
      <c r="I309" s="70">
        <v>-29013</v>
      </c>
      <c r="J309" s="70">
        <v>-34488</v>
      </c>
      <c r="K309" s="70">
        <v>-41565</v>
      </c>
      <c r="L309" s="70">
        <v>-40765</v>
      </c>
      <c r="M309" s="70">
        <v>-38971</v>
      </c>
      <c r="N309" s="70">
        <v>-36447</v>
      </c>
      <c r="O309" s="70">
        <v>-39705</v>
      </c>
      <c r="P309" s="84">
        <v>-26375.923076923078</v>
      </c>
      <c r="Q309" s="82">
        <v>-11727</v>
      </c>
      <c r="R309" s="70">
        <v>-13668.615384615385</v>
      </c>
      <c r="S309" s="104"/>
      <c r="T309" s="70">
        <v>-27978</v>
      </c>
      <c r="U309" s="70">
        <v>-12707.307692307693</v>
      </c>
    </row>
    <row r="310" spans="1:21" ht="15.75" x14ac:dyDescent="0.25">
      <c r="A310" s="82" t="s">
        <v>1342</v>
      </c>
      <c r="B310" s="73" t="s">
        <v>1343</v>
      </c>
      <c r="C310" s="70">
        <v>42841</v>
      </c>
      <c r="D310" s="70">
        <v>45577</v>
      </c>
      <c r="E310" s="70">
        <v>44082</v>
      </c>
      <c r="F310" s="70">
        <v>41523</v>
      </c>
      <c r="G310" s="70">
        <v>38222</v>
      </c>
      <c r="H310" s="70">
        <v>28619</v>
      </c>
      <c r="I310" s="70">
        <v>25686</v>
      </c>
      <c r="J310" s="70">
        <v>20136</v>
      </c>
      <c r="K310" s="70">
        <v>12932</v>
      </c>
      <c r="L310" s="70">
        <v>13587</v>
      </c>
      <c r="M310" s="70">
        <v>15317</v>
      </c>
      <c r="N310" s="70">
        <v>17799</v>
      </c>
      <c r="O310" s="70">
        <v>14510</v>
      </c>
      <c r="P310" s="84">
        <v>27756.23076923077</v>
      </c>
      <c r="Q310" s="82">
        <v>41797</v>
      </c>
      <c r="R310" s="70">
        <v>40117.923076923078</v>
      </c>
      <c r="S310" s="104"/>
      <c r="T310" s="70">
        <v>-27287</v>
      </c>
      <c r="U310" s="70">
        <v>-12361.692307692309</v>
      </c>
    </row>
    <row r="311" spans="1:21" ht="15.75" x14ac:dyDescent="0.25">
      <c r="A311" s="82" t="s">
        <v>4592</v>
      </c>
      <c r="B311" s="73" t="s">
        <v>1344</v>
      </c>
      <c r="C311" s="70">
        <v>-14229</v>
      </c>
      <c r="D311" s="70">
        <v>-14205</v>
      </c>
      <c r="E311" s="70">
        <v>-14181</v>
      </c>
      <c r="F311" s="70">
        <v>-14157</v>
      </c>
      <c r="G311" s="70">
        <v>-14133</v>
      </c>
      <c r="H311" s="70">
        <v>-14108</v>
      </c>
      <c r="I311" s="70">
        <v>-14084</v>
      </c>
      <c r="J311" s="70">
        <v>-14060</v>
      </c>
      <c r="K311" s="70">
        <v>-14036</v>
      </c>
      <c r="L311" s="70">
        <v>-14012</v>
      </c>
      <c r="M311" s="70">
        <v>-13988</v>
      </c>
      <c r="N311" s="70">
        <v>-13963</v>
      </c>
      <c r="O311" s="70">
        <v>-13939</v>
      </c>
      <c r="P311" s="84">
        <v>-14084.23076923077</v>
      </c>
      <c r="Q311" s="82">
        <v>-13248</v>
      </c>
      <c r="R311" s="70">
        <v>-13738.615384615385</v>
      </c>
      <c r="S311" s="104"/>
      <c r="T311" s="70">
        <v>-691</v>
      </c>
      <c r="U311" s="70">
        <v>-345.61538461538476</v>
      </c>
    </row>
    <row r="312" spans="1:21" ht="15.75" x14ac:dyDescent="0.25">
      <c r="A312" s="82" t="s">
        <v>4594</v>
      </c>
      <c r="B312" s="73" t="s">
        <v>1345</v>
      </c>
      <c r="C312" s="70">
        <v>-719</v>
      </c>
      <c r="D312" s="70">
        <v>-837</v>
      </c>
      <c r="E312" s="70">
        <v>-959</v>
      </c>
      <c r="F312" s="70">
        <v>-1077</v>
      </c>
      <c r="G312" s="70">
        <v>-1100</v>
      </c>
      <c r="H312" s="70">
        <v>-1102</v>
      </c>
      <c r="I312" s="70">
        <v>-1106</v>
      </c>
      <c r="J312" s="70">
        <v>-1099</v>
      </c>
      <c r="K312" s="70">
        <v>-1084</v>
      </c>
      <c r="L312" s="70">
        <v>-1067</v>
      </c>
      <c r="M312" s="70">
        <v>-1061</v>
      </c>
      <c r="N312" s="70">
        <v>-1059</v>
      </c>
      <c r="O312" s="70">
        <v>-1058</v>
      </c>
      <c r="P312" s="84">
        <v>-1025.2307692307693</v>
      </c>
      <c r="Q312" s="77">
        <v>-1058</v>
      </c>
      <c r="R312" s="70">
        <v>-1025.2307692307693</v>
      </c>
      <c r="S312" s="104"/>
      <c r="T312" s="70">
        <v>0</v>
      </c>
      <c r="U312" s="70">
        <v>0</v>
      </c>
    </row>
    <row r="313" spans="1:21" ht="15.75" x14ac:dyDescent="0.25">
      <c r="A313" s="82" t="s">
        <v>4595</v>
      </c>
      <c r="B313" s="73" t="s">
        <v>1346</v>
      </c>
      <c r="C313" s="70">
        <v>-4322</v>
      </c>
      <c r="D313" s="70">
        <v>-5030</v>
      </c>
      <c r="E313" s="70">
        <v>-5765</v>
      </c>
      <c r="F313" s="70">
        <v>-6476</v>
      </c>
      <c r="G313" s="70">
        <v>-6616</v>
      </c>
      <c r="H313" s="70">
        <v>-6627</v>
      </c>
      <c r="I313" s="70">
        <v>-6650</v>
      </c>
      <c r="J313" s="70">
        <v>-6606</v>
      </c>
      <c r="K313" s="70">
        <v>-6518</v>
      </c>
      <c r="L313" s="70">
        <v>-6414</v>
      </c>
      <c r="M313" s="70">
        <v>-6380</v>
      </c>
      <c r="N313" s="70">
        <v>-6365</v>
      </c>
      <c r="O313" s="70">
        <v>-6359</v>
      </c>
      <c r="P313" s="84">
        <v>-6163.6923076923076</v>
      </c>
      <c r="Q313" s="70">
        <v>-6359</v>
      </c>
      <c r="R313" s="70">
        <v>-6163.6923076923076</v>
      </c>
      <c r="S313" s="104"/>
      <c r="T313" s="70">
        <v>0</v>
      </c>
      <c r="U313" s="70">
        <v>0</v>
      </c>
    </row>
    <row r="314" spans="1:21" ht="15.75" x14ac:dyDescent="0.25">
      <c r="A314" s="108" t="s">
        <v>4596</v>
      </c>
      <c r="B314" s="73" t="s">
        <v>1347</v>
      </c>
      <c r="C314" s="70">
        <v>-28174</v>
      </c>
      <c r="D314" s="70">
        <v>-28174</v>
      </c>
      <c r="E314" s="70">
        <v>-28174</v>
      </c>
      <c r="F314" s="70">
        <v>-28174</v>
      </c>
      <c r="G314" s="70">
        <v>-28174</v>
      </c>
      <c r="H314" s="70">
        <v>-28174</v>
      </c>
      <c r="I314" s="70">
        <v>-28174</v>
      </c>
      <c r="J314" s="70">
        <v>-28174</v>
      </c>
      <c r="K314" s="70">
        <v>-28174</v>
      </c>
      <c r="L314" s="70">
        <v>-28174</v>
      </c>
      <c r="M314" s="70">
        <v>-28174</v>
      </c>
      <c r="N314" s="70">
        <v>-28174</v>
      </c>
      <c r="O314" s="70">
        <v>-28174</v>
      </c>
      <c r="P314" s="84">
        <v>-28174</v>
      </c>
      <c r="Q314" s="70">
        <v>-28174</v>
      </c>
      <c r="R314" s="70">
        <v>-28174</v>
      </c>
      <c r="S314" s="104"/>
      <c r="T314" s="70">
        <v>0</v>
      </c>
      <c r="U314" s="70">
        <v>0</v>
      </c>
    </row>
    <row r="315" spans="1:21" ht="15.75" x14ac:dyDescent="0.25">
      <c r="A315" s="108" t="s">
        <v>4597</v>
      </c>
      <c r="B315" s="73" t="s">
        <v>1348</v>
      </c>
      <c r="C315" s="70">
        <v>-4685</v>
      </c>
      <c r="D315" s="70">
        <v>-4685</v>
      </c>
      <c r="E315" s="70">
        <v>-4685</v>
      </c>
      <c r="F315" s="70">
        <v>-4685</v>
      </c>
      <c r="G315" s="70">
        <v>-4685</v>
      </c>
      <c r="H315" s="70">
        <v>-4685</v>
      </c>
      <c r="I315" s="70">
        <v>-4685</v>
      </c>
      <c r="J315" s="70">
        <v>-4685</v>
      </c>
      <c r="K315" s="70">
        <v>-4685</v>
      </c>
      <c r="L315" s="70">
        <v>-4685</v>
      </c>
      <c r="M315" s="70">
        <v>-4685</v>
      </c>
      <c r="N315" s="70">
        <v>-4685</v>
      </c>
      <c r="O315" s="70">
        <v>-4685</v>
      </c>
      <c r="P315" s="84">
        <v>-4685</v>
      </c>
      <c r="Q315" s="70">
        <v>-4685</v>
      </c>
      <c r="R315" s="70">
        <v>-4685</v>
      </c>
      <c r="S315" s="104"/>
      <c r="T315" s="70">
        <v>0</v>
      </c>
      <c r="U315" s="70">
        <v>0</v>
      </c>
    </row>
    <row r="316" spans="1:21" ht="15.75" x14ac:dyDescent="0.25">
      <c r="A316" s="108" t="s">
        <v>4598</v>
      </c>
      <c r="B316" s="73" t="s">
        <v>5085</v>
      </c>
      <c r="C316" s="70">
        <v>0</v>
      </c>
      <c r="D316" s="70">
        <v>0</v>
      </c>
      <c r="E316" s="70">
        <v>0</v>
      </c>
      <c r="F316" s="70">
        <v>0</v>
      </c>
      <c r="G316" s="70">
        <v>0</v>
      </c>
      <c r="H316" s="70">
        <v>0</v>
      </c>
      <c r="I316" s="70">
        <v>0</v>
      </c>
      <c r="J316" s="70">
        <v>0</v>
      </c>
      <c r="K316" s="70">
        <v>0</v>
      </c>
      <c r="L316" s="70">
        <v>0</v>
      </c>
      <c r="M316" s="70">
        <v>0</v>
      </c>
      <c r="N316" s="70">
        <v>0</v>
      </c>
      <c r="O316" s="70">
        <v>0</v>
      </c>
      <c r="P316" s="84">
        <v>0</v>
      </c>
      <c r="Q316" s="70">
        <v>0</v>
      </c>
      <c r="R316" s="70">
        <v>0</v>
      </c>
      <c r="S316" s="104"/>
      <c r="T316" s="70">
        <v>0</v>
      </c>
      <c r="U316" s="70">
        <v>0</v>
      </c>
    </row>
    <row r="317" spans="1:21" ht="15.75" x14ac:dyDescent="0.25">
      <c r="A317" s="108" t="s">
        <v>4599</v>
      </c>
      <c r="B317" s="73" t="s">
        <v>1349</v>
      </c>
      <c r="C317" s="70">
        <v>0</v>
      </c>
      <c r="D317" s="70">
        <v>0</v>
      </c>
      <c r="E317" s="70">
        <v>0</v>
      </c>
      <c r="F317" s="70">
        <v>0</v>
      </c>
      <c r="G317" s="70">
        <v>0</v>
      </c>
      <c r="H317" s="70">
        <v>0</v>
      </c>
      <c r="I317" s="70">
        <v>0</v>
      </c>
      <c r="J317" s="70">
        <v>0</v>
      </c>
      <c r="K317" s="70">
        <v>0</v>
      </c>
      <c r="L317" s="70">
        <v>0</v>
      </c>
      <c r="M317" s="70">
        <v>0</v>
      </c>
      <c r="N317" s="70">
        <v>0</v>
      </c>
      <c r="O317" s="70">
        <v>0</v>
      </c>
      <c r="P317" s="84">
        <v>0</v>
      </c>
      <c r="Q317" s="70">
        <v>0</v>
      </c>
      <c r="R317" s="70">
        <v>0</v>
      </c>
      <c r="S317" s="104"/>
      <c r="T317" s="70">
        <v>0</v>
      </c>
      <c r="U317" s="70">
        <v>0</v>
      </c>
    </row>
    <row r="318" spans="1:21" x14ac:dyDescent="0.2">
      <c r="C318" s="71"/>
      <c r="D318" s="71"/>
      <c r="E318" s="71"/>
      <c r="F318" s="71"/>
      <c r="G318" s="71"/>
      <c r="H318" s="71"/>
      <c r="I318" s="71"/>
      <c r="J318" s="71"/>
      <c r="K318" s="71"/>
      <c r="L318" s="71"/>
      <c r="M318" s="71"/>
      <c r="N318" s="71"/>
      <c r="O318" s="71"/>
      <c r="P318" s="71"/>
      <c r="R318" s="71"/>
      <c r="S318" s="104"/>
      <c r="T318" s="71">
        <v>0</v>
      </c>
      <c r="U318" s="71">
        <v>0</v>
      </c>
    </row>
    <row r="319" spans="1:21" x14ac:dyDescent="0.2">
      <c r="B319" s="70" t="s">
        <v>1350</v>
      </c>
      <c r="C319" s="71">
        <v>4396427</v>
      </c>
      <c r="D319" s="71">
        <v>4440979.7962699998</v>
      </c>
      <c r="E319" s="71">
        <v>4468329.7962699998</v>
      </c>
      <c r="F319" s="71">
        <v>4467943.7962699998</v>
      </c>
      <c r="G319" s="71">
        <v>4502064.7962699998</v>
      </c>
      <c r="H319" s="71">
        <v>4565430.7962699998</v>
      </c>
      <c r="I319" s="71">
        <v>4611279.7962699998</v>
      </c>
      <c r="J319" s="71">
        <v>4671279.7962699998</v>
      </c>
      <c r="K319" s="71">
        <v>4717539.7962699998</v>
      </c>
      <c r="L319" s="71">
        <v>4754933.7962699998</v>
      </c>
      <c r="M319" s="71">
        <v>4769327.7962699998</v>
      </c>
      <c r="N319" s="71">
        <v>4781806.7962699998</v>
      </c>
      <c r="O319" s="71">
        <v>4856989.7962699998</v>
      </c>
      <c r="P319" s="71">
        <v>4615717.9657876911</v>
      </c>
      <c r="Q319" s="70">
        <v>4763258.7962699998</v>
      </c>
      <c r="R319" s="71">
        <v>4623811.2734799981</v>
      </c>
      <c r="S319" s="104"/>
      <c r="T319" s="71">
        <v>93731</v>
      </c>
      <c r="U319" s="71">
        <v>-8093.3076923070475</v>
      </c>
    </row>
    <row r="320" spans="1:21" x14ac:dyDescent="0.2">
      <c r="B320" s="70" t="s">
        <v>1351</v>
      </c>
      <c r="C320" s="100">
        <v>-4396428</v>
      </c>
      <c r="D320" s="100">
        <v>-4440980</v>
      </c>
      <c r="E320" s="100">
        <v>-4468330</v>
      </c>
      <c r="F320" s="100">
        <v>-4467944</v>
      </c>
      <c r="G320" s="100">
        <v>-4502065</v>
      </c>
      <c r="H320" s="100">
        <v>-4565431.166666666</v>
      </c>
      <c r="I320" s="100">
        <v>-4611279.5</v>
      </c>
      <c r="J320" s="100">
        <v>-4671279.833333334</v>
      </c>
      <c r="K320" s="100">
        <v>-4717540.166666666</v>
      </c>
      <c r="L320" s="100">
        <v>-4754933.5</v>
      </c>
      <c r="M320" s="100">
        <v>-4769327.833333334</v>
      </c>
      <c r="N320" s="100">
        <v>-4781807.166666666</v>
      </c>
      <c r="O320" s="100">
        <v>-4856989.5</v>
      </c>
      <c r="P320" s="100">
        <v>-4615718.128205128</v>
      </c>
      <c r="Q320" s="70">
        <v>-4763262</v>
      </c>
      <c r="R320" s="100">
        <v>-4623813.846153846</v>
      </c>
      <c r="S320" s="104"/>
      <c r="T320" s="100">
        <v>-93727.5</v>
      </c>
      <c r="U320" s="100">
        <v>8095.7179487179965</v>
      </c>
    </row>
    <row r="321" spans="2:23" x14ac:dyDescent="0.2">
      <c r="C321" s="71"/>
      <c r="D321" s="71"/>
      <c r="E321" s="71"/>
      <c r="F321" s="71"/>
      <c r="G321" s="71"/>
      <c r="H321" s="71"/>
      <c r="I321" s="71"/>
      <c r="J321" s="71"/>
      <c r="K321" s="71"/>
      <c r="L321" s="71"/>
      <c r="M321" s="71"/>
      <c r="N321" s="71"/>
      <c r="O321" s="71"/>
      <c r="P321" s="71"/>
      <c r="R321" s="71"/>
      <c r="S321" s="71"/>
      <c r="T321" s="71"/>
      <c r="U321" s="71"/>
      <c r="V321" s="71"/>
      <c r="W321" s="71"/>
    </row>
    <row r="322" spans="2:23" x14ac:dyDescent="0.2">
      <c r="B322" s="70" t="s">
        <v>1352</v>
      </c>
      <c r="C322" s="71">
        <v>-1</v>
      </c>
      <c r="D322" s="71">
        <v>-0.20373000018298626</v>
      </c>
      <c r="E322" s="71">
        <v>-0.20373000018298626</v>
      </c>
      <c r="F322" s="71">
        <v>-0.20373000018298626</v>
      </c>
      <c r="G322" s="71">
        <v>-0.20373000018298626</v>
      </c>
      <c r="H322" s="71">
        <v>-0.37039666622877121</v>
      </c>
      <c r="I322" s="71">
        <v>0.29626999981701374</v>
      </c>
      <c r="J322" s="71">
        <v>-3.7063334137201309E-2</v>
      </c>
      <c r="K322" s="71">
        <v>-0.37039666622877121</v>
      </c>
      <c r="L322" s="71">
        <v>0.29626999981701374</v>
      </c>
      <c r="M322" s="71">
        <v>-3.7063334137201309E-2</v>
      </c>
      <c r="N322" s="71">
        <v>-0.37039666622877121</v>
      </c>
      <c r="O322" s="71">
        <v>0.29626999981701374</v>
      </c>
      <c r="P322" s="71">
        <v>-0.16241743694990873</v>
      </c>
      <c r="Q322" s="70">
        <v>-10.466310000047088</v>
      </c>
      <c r="R322" s="71"/>
      <c r="S322" s="71"/>
      <c r="T322" s="71"/>
      <c r="U322" s="71"/>
      <c r="V322" s="71"/>
      <c r="W322" s="71"/>
    </row>
    <row r="323" spans="2:23" x14ac:dyDescent="0.2">
      <c r="V323" s="71"/>
      <c r="W323" s="71"/>
    </row>
    <row r="324" spans="2:23" x14ac:dyDescent="0.2">
      <c r="V324" s="71"/>
      <c r="W324" s="71"/>
    </row>
    <row r="325" spans="2:23" x14ac:dyDescent="0.2">
      <c r="B325" s="70" t="s">
        <v>1353</v>
      </c>
      <c r="C325" s="70">
        <v>2</v>
      </c>
      <c r="D325" s="70">
        <v>3</v>
      </c>
      <c r="E325" s="70">
        <v>4</v>
      </c>
      <c r="F325" s="70">
        <v>5</v>
      </c>
      <c r="G325" s="70">
        <v>6</v>
      </c>
      <c r="H325" s="70">
        <v>7</v>
      </c>
      <c r="I325" s="70">
        <v>8</v>
      </c>
      <c r="J325" s="70">
        <v>9</v>
      </c>
      <c r="K325" s="70">
        <v>10</v>
      </c>
      <c r="L325" s="70">
        <v>11</v>
      </c>
      <c r="M325" s="70">
        <v>12</v>
      </c>
      <c r="N325" s="70">
        <v>13</v>
      </c>
      <c r="O325" s="70">
        <v>14</v>
      </c>
      <c r="P325" s="70">
        <v>16</v>
      </c>
      <c r="Q325" s="70">
        <v>14</v>
      </c>
      <c r="V325" s="71"/>
      <c r="W325" s="71"/>
    </row>
    <row r="326" spans="2:23" x14ac:dyDescent="0.2">
      <c r="V326" s="71"/>
      <c r="W326" s="71"/>
    </row>
    <row r="327" spans="2:23" x14ac:dyDescent="0.2">
      <c r="V327" s="71"/>
      <c r="W327" s="71"/>
    </row>
    <row r="328" spans="2:23" x14ac:dyDescent="0.2">
      <c r="V328" s="71"/>
      <c r="W328" s="71"/>
    </row>
    <row r="329" spans="2:23" x14ac:dyDescent="0.2">
      <c r="C329" s="70">
        <v>220902</v>
      </c>
      <c r="D329" s="70">
        <v>212418</v>
      </c>
      <c r="E329" s="70">
        <v>211550</v>
      </c>
      <c r="F329" s="70">
        <v>215372</v>
      </c>
      <c r="G329" s="70">
        <v>223146</v>
      </c>
      <c r="H329" s="70">
        <v>239510</v>
      </c>
      <c r="I329" s="70">
        <v>246276</v>
      </c>
      <c r="J329" s="70">
        <v>259981</v>
      </c>
      <c r="K329" s="70">
        <v>278143</v>
      </c>
      <c r="L329" s="70">
        <v>275979</v>
      </c>
      <c r="M329" s="70">
        <v>270989</v>
      </c>
      <c r="N329" s="70">
        <v>263901</v>
      </c>
      <c r="O329" s="70">
        <v>271651</v>
      </c>
      <c r="V329" s="71"/>
      <c r="W329" s="71"/>
    </row>
    <row r="330" spans="2:23" x14ac:dyDescent="0.2">
      <c r="C330" s="70">
        <v>-505171</v>
      </c>
      <c r="D330" s="70">
        <v>-506996</v>
      </c>
      <c r="E330" s="70">
        <v>-505831</v>
      </c>
      <c r="F330" s="70">
        <v>-506234</v>
      </c>
      <c r="G330" s="70">
        <v>-507542</v>
      </c>
      <c r="H330" s="70">
        <v>-509183</v>
      </c>
      <c r="I330" s="70">
        <v>-510649</v>
      </c>
      <c r="J330" s="70">
        <v>-512299</v>
      </c>
      <c r="K330" s="70">
        <v>-513948</v>
      </c>
      <c r="L330" s="70">
        <v>-515250</v>
      </c>
      <c r="M330" s="70">
        <v>-515570</v>
      </c>
      <c r="N330" s="70">
        <v>-515772</v>
      </c>
      <c r="O330" s="70">
        <v>-514909</v>
      </c>
      <c r="V330" s="71"/>
      <c r="W330" s="71"/>
    </row>
    <row r="331" spans="2:23" x14ac:dyDescent="0.2">
      <c r="V331" s="71"/>
      <c r="W331" s="71"/>
    </row>
    <row r="332" spans="2:23" x14ac:dyDescent="0.2">
      <c r="D332" s="70">
        <v>-118</v>
      </c>
      <c r="E332" s="70">
        <v>-122</v>
      </c>
      <c r="F332" s="70">
        <v>-118</v>
      </c>
      <c r="G332" s="70">
        <v>-23</v>
      </c>
      <c r="H332" s="70">
        <v>-2</v>
      </c>
      <c r="I332" s="70">
        <v>-4</v>
      </c>
      <c r="J332" s="70">
        <v>7</v>
      </c>
      <c r="K332" s="70">
        <v>15</v>
      </c>
      <c r="L332" s="70">
        <v>17</v>
      </c>
      <c r="M332" s="70">
        <v>6</v>
      </c>
      <c r="N332" s="70">
        <v>2</v>
      </c>
      <c r="O332" s="70">
        <v>1</v>
      </c>
      <c r="V332" s="71"/>
      <c r="W332" s="71"/>
    </row>
    <row r="333" spans="2:23" x14ac:dyDescent="0.2">
      <c r="D333" s="70">
        <v>-708</v>
      </c>
      <c r="E333" s="70">
        <v>-735</v>
      </c>
      <c r="F333" s="70">
        <v>-711</v>
      </c>
      <c r="G333" s="70">
        <v>-140</v>
      </c>
      <c r="H333" s="70">
        <v>-11</v>
      </c>
      <c r="I333" s="70">
        <v>-23</v>
      </c>
      <c r="J333" s="70">
        <v>44</v>
      </c>
      <c r="K333" s="70">
        <v>88</v>
      </c>
      <c r="L333" s="70">
        <v>104</v>
      </c>
      <c r="M333" s="70">
        <v>34</v>
      </c>
      <c r="N333" s="70">
        <v>15</v>
      </c>
      <c r="O333" s="70">
        <v>6</v>
      </c>
      <c r="V333" s="71"/>
      <c r="W333" s="71"/>
    </row>
    <row r="334" spans="2:23" x14ac:dyDescent="0.2">
      <c r="D334" s="70">
        <v>-826</v>
      </c>
      <c r="E334" s="70">
        <v>-857</v>
      </c>
      <c r="F334" s="70">
        <v>-829</v>
      </c>
      <c r="G334" s="70">
        <v>-163</v>
      </c>
      <c r="H334" s="70">
        <v>-13</v>
      </c>
      <c r="I334" s="70">
        <v>-27</v>
      </c>
      <c r="J334" s="70">
        <v>51</v>
      </c>
      <c r="K334" s="70">
        <v>103</v>
      </c>
      <c r="L334" s="70">
        <v>121</v>
      </c>
      <c r="M334" s="70">
        <v>40</v>
      </c>
      <c r="N334" s="70">
        <v>17</v>
      </c>
      <c r="O334" s="70">
        <v>7</v>
      </c>
      <c r="V334" s="71"/>
      <c r="W334" s="71"/>
    </row>
    <row r="335" spans="2:23" x14ac:dyDescent="0.2">
      <c r="V335" s="71"/>
      <c r="W335" s="71"/>
    </row>
    <row r="336" spans="2:23" x14ac:dyDescent="0.2">
      <c r="V336" s="71"/>
      <c r="W336" s="71"/>
    </row>
    <row r="337" spans="4:23" x14ac:dyDescent="0.2">
      <c r="D337" s="70">
        <v>4883057</v>
      </c>
      <c r="E337" s="70">
        <v>4911554</v>
      </c>
      <c r="F337" s="70">
        <v>4912047</v>
      </c>
      <c r="G337" s="70">
        <v>4947881</v>
      </c>
      <c r="H337" s="70">
        <v>5013341</v>
      </c>
      <c r="I337" s="70">
        <v>5061261</v>
      </c>
      <c r="J337" s="70">
        <v>5123239</v>
      </c>
      <c r="K337" s="70">
        <v>5171512</v>
      </c>
      <c r="L337" s="70">
        <v>5210607</v>
      </c>
      <c r="M337" s="70">
        <v>5226002</v>
      </c>
      <c r="N337" s="70">
        <v>5239846</v>
      </c>
      <c r="O337" s="70">
        <v>5316053</v>
      </c>
      <c r="V337" s="71"/>
      <c r="W337" s="71"/>
    </row>
    <row r="338" spans="4:23" x14ac:dyDescent="0.2">
      <c r="V338" s="71"/>
      <c r="W338" s="71"/>
    </row>
    <row r="339" spans="4:23" x14ac:dyDescent="0.2">
      <c r="V339" s="71"/>
      <c r="W339" s="71"/>
    </row>
    <row r="340" spans="4:23" x14ac:dyDescent="0.2">
      <c r="V340" s="71"/>
      <c r="W340" s="71"/>
    </row>
    <row r="341" spans="4:23" x14ac:dyDescent="0.2">
      <c r="V341" s="71"/>
      <c r="W341" s="71"/>
    </row>
    <row r="342" spans="4:23" x14ac:dyDescent="0.2">
      <c r="V342" s="71"/>
      <c r="W342" s="71"/>
    </row>
    <row r="343" spans="4:23" x14ac:dyDescent="0.2">
      <c r="V343" s="71"/>
      <c r="W343" s="71"/>
    </row>
    <row r="344" spans="4:23" x14ac:dyDescent="0.2">
      <c r="V344" s="71"/>
      <c r="W344" s="71"/>
    </row>
    <row r="345" spans="4:23" x14ac:dyDescent="0.2">
      <c r="V345" s="71"/>
      <c r="W345" s="71"/>
    </row>
    <row r="346" spans="4:23" x14ac:dyDescent="0.2">
      <c r="V346" s="71"/>
      <c r="W346" s="71"/>
    </row>
    <row r="347" spans="4:23" x14ac:dyDescent="0.2">
      <c r="V347" s="71"/>
      <c r="W347" s="71"/>
    </row>
    <row r="348" spans="4:23" x14ac:dyDescent="0.2">
      <c r="V348" s="71"/>
      <c r="W348" s="71"/>
    </row>
    <row r="349" spans="4:23" x14ac:dyDescent="0.2">
      <c r="V349" s="71"/>
      <c r="W349" s="71"/>
    </row>
    <row r="350" spans="4:23" x14ac:dyDescent="0.2">
      <c r="V350" s="71"/>
      <c r="W350" s="71"/>
    </row>
    <row r="351" spans="4:23" x14ac:dyDescent="0.2">
      <c r="V351" s="71"/>
      <c r="W351" s="71"/>
    </row>
    <row r="352" spans="4:23" x14ac:dyDescent="0.2">
      <c r="V352" s="71"/>
      <c r="W352" s="71"/>
    </row>
    <row r="353" spans="16:23" x14ac:dyDescent="0.2">
      <c r="V353" s="71"/>
      <c r="W353" s="71"/>
    </row>
    <row r="354" spans="16:23" x14ac:dyDescent="0.2">
      <c r="V354" s="71"/>
      <c r="W354" s="71"/>
    </row>
    <row r="355" spans="16:23" x14ac:dyDescent="0.2">
      <c r="P355" s="71"/>
      <c r="S355" s="71"/>
      <c r="V355" s="71"/>
      <c r="W355" s="71"/>
    </row>
    <row r="356" spans="16:23" x14ac:dyDescent="0.2">
      <c r="V356" s="71"/>
      <c r="W356" s="71"/>
    </row>
    <row r="357" spans="16:23" x14ac:dyDescent="0.2">
      <c r="V357" s="71"/>
      <c r="W357" s="71"/>
    </row>
    <row r="358" spans="16:23" x14ac:dyDescent="0.2">
      <c r="V358" s="71"/>
      <c r="W358" s="71"/>
    </row>
    <row r="359" spans="16:23" x14ac:dyDescent="0.2">
      <c r="V359" s="71"/>
      <c r="W359" s="71"/>
    </row>
    <row r="360" spans="16:23" x14ac:dyDescent="0.2">
      <c r="V360" s="71"/>
      <c r="W360" s="71"/>
    </row>
    <row r="368" spans="16:23" ht="15.75" thickBot="1" x14ac:dyDescent="0.25"/>
    <row r="369" spans="1:21" x14ac:dyDescent="0.2">
      <c r="Q369" s="112"/>
    </row>
    <row r="370" spans="1:21" ht="16.5" thickBot="1" x14ac:dyDescent="0.3">
      <c r="Q370" s="113"/>
    </row>
    <row r="371" spans="1:21" ht="15.75" x14ac:dyDescent="0.25">
      <c r="A371" s="112"/>
      <c r="B371" s="114"/>
      <c r="C371" s="114"/>
      <c r="D371" s="114"/>
      <c r="E371" s="114"/>
      <c r="F371" s="114"/>
      <c r="G371" s="114"/>
      <c r="H371" s="114"/>
      <c r="I371" s="114"/>
      <c r="J371" s="114"/>
      <c r="K371" s="114"/>
      <c r="L371" s="114"/>
      <c r="M371" s="114"/>
      <c r="N371" s="114"/>
      <c r="O371" s="114"/>
      <c r="P371" s="115"/>
      <c r="Q371" s="113"/>
      <c r="R371" s="114"/>
      <c r="S371" s="104"/>
      <c r="T371" s="114"/>
      <c r="U371" s="114"/>
    </row>
    <row r="372" spans="1:21" ht="15.75" x14ac:dyDescent="0.25">
      <c r="A372" s="113" t="s">
        <v>1354</v>
      </c>
      <c r="B372" s="116"/>
      <c r="C372" s="116"/>
      <c r="D372" s="116"/>
      <c r="E372" s="116"/>
      <c r="F372" s="116"/>
      <c r="G372" s="116"/>
      <c r="H372" s="116"/>
      <c r="I372" s="116"/>
      <c r="J372" s="116"/>
      <c r="K372" s="116"/>
      <c r="L372" s="116"/>
      <c r="M372" s="116"/>
      <c r="N372" s="116"/>
      <c r="O372" s="116"/>
      <c r="P372" s="117"/>
      <c r="Q372" s="113"/>
      <c r="R372" s="116"/>
      <c r="S372" s="118"/>
      <c r="T372" s="116"/>
      <c r="U372" s="116"/>
    </row>
    <row r="373" spans="1:21" ht="15.75" x14ac:dyDescent="0.25">
      <c r="A373" s="113" t="s">
        <v>1355</v>
      </c>
      <c r="B373" s="116"/>
      <c r="C373" s="116"/>
      <c r="D373" s="116"/>
      <c r="E373" s="116"/>
      <c r="F373" s="116"/>
      <c r="G373" s="116"/>
      <c r="H373" s="116"/>
      <c r="I373" s="116"/>
      <c r="J373" s="116"/>
      <c r="K373" s="116"/>
      <c r="L373" s="116"/>
      <c r="M373" s="116"/>
      <c r="N373" s="116"/>
      <c r="O373" s="116"/>
      <c r="P373" s="117"/>
      <c r="Q373" s="113"/>
      <c r="R373" s="116"/>
      <c r="S373" s="118"/>
      <c r="T373" s="116"/>
      <c r="U373" s="116"/>
    </row>
    <row r="374" spans="1:21" ht="15.75" x14ac:dyDescent="0.25">
      <c r="A374" s="113"/>
      <c r="B374" s="116"/>
      <c r="C374" s="116"/>
      <c r="D374" s="116"/>
      <c r="E374" s="116"/>
      <c r="F374" s="116"/>
      <c r="G374" s="116"/>
      <c r="H374" s="116"/>
      <c r="I374" s="116"/>
      <c r="J374" s="116"/>
      <c r="K374" s="116"/>
      <c r="L374" s="116"/>
      <c r="M374" s="116"/>
      <c r="N374" s="116"/>
      <c r="O374" s="116"/>
      <c r="P374" s="117"/>
      <c r="Q374" s="113"/>
      <c r="R374" s="116"/>
      <c r="S374" s="118"/>
      <c r="T374" s="116"/>
      <c r="U374" s="116"/>
    </row>
    <row r="375" spans="1:21" ht="15.75" x14ac:dyDescent="0.25">
      <c r="A375" s="113"/>
      <c r="B375" s="116"/>
      <c r="C375" s="89" t="s">
        <v>1356</v>
      </c>
      <c r="D375" s="89" t="s">
        <v>424</v>
      </c>
      <c r="E375" s="89" t="s">
        <v>424</v>
      </c>
      <c r="F375" s="89" t="s">
        <v>424</v>
      </c>
      <c r="G375" s="89" t="s">
        <v>424</v>
      </c>
      <c r="H375" s="89" t="s">
        <v>424</v>
      </c>
      <c r="I375" s="89" t="s">
        <v>424</v>
      </c>
      <c r="J375" s="89" t="s">
        <v>424</v>
      </c>
      <c r="K375" s="89" t="s">
        <v>424</v>
      </c>
      <c r="L375" s="89" t="s">
        <v>424</v>
      </c>
      <c r="M375" s="89" t="s">
        <v>424</v>
      </c>
      <c r="N375" s="89" t="s">
        <v>424</v>
      </c>
      <c r="O375" s="89" t="s">
        <v>424</v>
      </c>
      <c r="P375" s="119" t="s">
        <v>423</v>
      </c>
      <c r="Q375" s="120" t="s">
        <v>424</v>
      </c>
      <c r="R375" s="89"/>
      <c r="S375" s="121"/>
      <c r="T375" s="89"/>
      <c r="U375" s="89"/>
    </row>
    <row r="376" spans="1:21" ht="16.5" thickBot="1" x14ac:dyDescent="0.3">
      <c r="A376" s="113"/>
      <c r="B376" s="116"/>
      <c r="C376" s="76" t="s">
        <v>1357</v>
      </c>
      <c r="D376" s="76" t="s">
        <v>3716</v>
      </c>
      <c r="E376" s="76" t="s">
        <v>3717</v>
      </c>
      <c r="F376" s="76" t="s">
        <v>3718</v>
      </c>
      <c r="G376" s="76" t="s">
        <v>3719</v>
      </c>
      <c r="H376" s="76" t="s">
        <v>3720</v>
      </c>
      <c r="I376" s="76" t="s">
        <v>3721</v>
      </c>
      <c r="J376" s="76" t="s">
        <v>3722</v>
      </c>
      <c r="K376" s="76" t="s">
        <v>3723</v>
      </c>
      <c r="L376" s="76" t="s">
        <v>3724</v>
      </c>
      <c r="M376" s="76" t="s">
        <v>3725</v>
      </c>
      <c r="N376" s="76" t="s">
        <v>3726</v>
      </c>
      <c r="O376" s="76" t="s">
        <v>429</v>
      </c>
      <c r="P376" s="122" t="s">
        <v>428</v>
      </c>
      <c r="Q376" s="123" t="s">
        <v>1358</v>
      </c>
      <c r="R376" s="76"/>
      <c r="S376" s="121"/>
      <c r="T376" s="76"/>
      <c r="U376" s="76"/>
    </row>
    <row r="377" spans="1:21" x14ac:dyDescent="0.2">
      <c r="A377" s="120" t="s">
        <v>2892</v>
      </c>
      <c r="B377" s="89" t="s">
        <v>279</v>
      </c>
      <c r="C377" s="89">
        <v>0</v>
      </c>
      <c r="D377" s="89">
        <v>0</v>
      </c>
      <c r="E377" s="89">
        <v>1</v>
      </c>
      <c r="F377" s="89">
        <v>-1</v>
      </c>
      <c r="G377" s="89">
        <v>-1</v>
      </c>
      <c r="H377" s="89">
        <v>-4</v>
      </c>
      <c r="I377" s="89">
        <v>-2</v>
      </c>
      <c r="J377" s="89">
        <v>-2</v>
      </c>
      <c r="K377" s="89">
        <v>-5</v>
      </c>
      <c r="L377" s="89">
        <v>-5</v>
      </c>
      <c r="M377" s="89">
        <v>-6</v>
      </c>
      <c r="N377" s="89">
        <v>-7</v>
      </c>
      <c r="O377" s="89">
        <v>-9</v>
      </c>
      <c r="P377" s="119">
        <v>-3.1538461538461537</v>
      </c>
      <c r="Q377" s="70">
        <v>5</v>
      </c>
      <c r="R377" s="89"/>
      <c r="S377" s="121"/>
      <c r="T377" s="89"/>
      <c r="U377" s="89"/>
    </row>
    <row r="378" spans="1:21" ht="15.75" thickBot="1" x14ac:dyDescent="0.25">
      <c r="A378" s="123"/>
      <c r="B378" s="124"/>
      <c r="C378" s="124"/>
      <c r="D378" s="124"/>
      <c r="E378" s="124"/>
      <c r="F378" s="124"/>
      <c r="G378" s="124"/>
      <c r="H378" s="124"/>
      <c r="I378" s="124"/>
      <c r="J378" s="124"/>
      <c r="K378" s="124"/>
      <c r="L378" s="124"/>
      <c r="M378" s="124"/>
      <c r="N378" s="124"/>
      <c r="O378" s="124"/>
      <c r="P378" s="125"/>
      <c r="R378" s="124"/>
      <c r="S378" s="104"/>
      <c r="T378" s="124"/>
      <c r="U378" s="124"/>
    </row>
    <row r="379" spans="1:21" x14ac:dyDescent="0.2">
      <c r="P379" s="71"/>
      <c r="S379" s="71"/>
    </row>
    <row r="380" spans="1:21" x14ac:dyDescent="0.2">
      <c r="P380" s="71"/>
      <c r="S380" s="71"/>
    </row>
    <row r="381" spans="1:21" x14ac:dyDescent="0.2">
      <c r="P381" s="71"/>
      <c r="S381" s="71"/>
    </row>
    <row r="382" spans="1:21" x14ac:dyDescent="0.2">
      <c r="P382" s="71"/>
      <c r="S382" s="71"/>
    </row>
    <row r="383" spans="1:21" x14ac:dyDescent="0.2">
      <c r="P383" s="71"/>
      <c r="S383" s="71"/>
    </row>
    <row r="384" spans="1:21" x14ac:dyDescent="0.2">
      <c r="C384" s="71"/>
      <c r="D384" s="71"/>
      <c r="E384" s="71"/>
      <c r="F384" s="71"/>
      <c r="G384" s="71"/>
      <c r="H384" s="71"/>
      <c r="I384" s="71"/>
      <c r="J384" s="71"/>
      <c r="K384" s="71"/>
      <c r="L384" s="71"/>
      <c r="M384" s="71"/>
      <c r="N384" s="71"/>
      <c r="O384" s="71"/>
      <c r="P384" s="71"/>
      <c r="Q384" s="75"/>
      <c r="R384" s="71"/>
      <c r="S384" s="71"/>
      <c r="T384" s="71"/>
      <c r="U384" s="71"/>
    </row>
    <row r="385" spans="1:21" x14ac:dyDescent="0.2">
      <c r="A385" s="70" t="s">
        <v>3715</v>
      </c>
      <c r="C385" s="89" t="s">
        <v>1356</v>
      </c>
      <c r="D385" s="89" t="s">
        <v>424</v>
      </c>
      <c r="E385" s="89" t="s">
        <v>424</v>
      </c>
      <c r="F385" s="89" t="s">
        <v>424</v>
      </c>
      <c r="G385" s="89" t="s">
        <v>424</v>
      </c>
      <c r="H385" s="89" t="s">
        <v>424</v>
      </c>
      <c r="I385" s="89" t="s">
        <v>424</v>
      </c>
      <c r="J385" s="89" t="s">
        <v>424</v>
      </c>
      <c r="K385" s="89" t="s">
        <v>424</v>
      </c>
      <c r="L385" s="89" t="s">
        <v>424</v>
      </c>
      <c r="M385" s="89" t="s">
        <v>424</v>
      </c>
      <c r="N385" s="89" t="s">
        <v>424</v>
      </c>
      <c r="O385" s="89" t="s">
        <v>424</v>
      </c>
      <c r="P385" s="71"/>
      <c r="Q385" s="70" t="s">
        <v>424</v>
      </c>
      <c r="R385" s="89"/>
      <c r="S385" s="71"/>
      <c r="T385" s="89"/>
      <c r="U385" s="89"/>
    </row>
    <row r="386" spans="1:21" ht="15.75" x14ac:dyDescent="0.25">
      <c r="A386" s="75" t="s">
        <v>425</v>
      </c>
      <c r="B386" s="76" t="s">
        <v>426</v>
      </c>
      <c r="C386" s="76" t="s">
        <v>1357</v>
      </c>
      <c r="D386" s="76" t="s">
        <v>3716</v>
      </c>
      <c r="E386" s="76" t="s">
        <v>3717</v>
      </c>
      <c r="F386" s="76" t="s">
        <v>3718</v>
      </c>
      <c r="G386" s="76" t="s">
        <v>3719</v>
      </c>
      <c r="H386" s="76" t="s">
        <v>3720</v>
      </c>
      <c r="I386" s="76" t="s">
        <v>3721</v>
      </c>
      <c r="J386" s="76" t="s">
        <v>3722</v>
      </c>
      <c r="K386" s="76" t="s">
        <v>3723</v>
      </c>
      <c r="L386" s="76" t="s">
        <v>3724</v>
      </c>
      <c r="M386" s="76" t="s">
        <v>3725</v>
      </c>
      <c r="N386" s="76" t="s">
        <v>3726</v>
      </c>
      <c r="O386" s="76" t="s">
        <v>429</v>
      </c>
      <c r="P386" s="71"/>
      <c r="Q386" s="73" t="s">
        <v>1358</v>
      </c>
      <c r="R386" s="76"/>
      <c r="S386" s="71"/>
      <c r="T386" s="76"/>
      <c r="U386" s="76"/>
    </row>
    <row r="387" spans="1:21" x14ac:dyDescent="0.2">
      <c r="P387" s="71"/>
      <c r="S387" s="71"/>
    </row>
    <row r="388" spans="1:21" ht="15.75" x14ac:dyDescent="0.25">
      <c r="A388" s="73" t="s">
        <v>1359</v>
      </c>
      <c r="P388" s="71"/>
      <c r="S388" s="71"/>
    </row>
    <row r="390" spans="1:21" x14ac:dyDescent="0.2">
      <c r="C390" s="70" t="e">
        <v>#VALUE!</v>
      </c>
      <c r="D390" s="70" t="e">
        <v>#VALUE!</v>
      </c>
      <c r="E390" s="70" t="e">
        <v>#VALUE!</v>
      </c>
      <c r="F390" s="70" t="e">
        <v>#VALUE!</v>
      </c>
      <c r="G390" s="70" t="e">
        <v>#VALUE!</v>
      </c>
      <c r="H390" s="70" t="e">
        <v>#VALUE!</v>
      </c>
      <c r="I390" s="70" t="e">
        <v>#VALUE!</v>
      </c>
      <c r="J390" s="70" t="e">
        <v>#VALUE!</v>
      </c>
      <c r="K390" s="70" t="e">
        <v>#VALUE!</v>
      </c>
      <c r="L390" s="70" t="e">
        <v>#VALUE!</v>
      </c>
      <c r="M390" s="70" t="e">
        <v>#VALUE!</v>
      </c>
      <c r="N390" s="70" t="e">
        <v>#VALUE!</v>
      </c>
      <c r="O390" s="70" t="e">
        <v>#VALUE!</v>
      </c>
      <c r="Q390" s="70" t="e">
        <v>#VALUE!</v>
      </c>
    </row>
    <row r="391" spans="1:21" x14ac:dyDescent="0.2">
      <c r="A391" s="70" t="s">
        <v>3150</v>
      </c>
      <c r="B391" s="70" t="s">
        <v>5051</v>
      </c>
      <c r="C391" s="70">
        <v>0</v>
      </c>
      <c r="D391" s="70">
        <v>0</v>
      </c>
      <c r="E391" s="70">
        <v>0</v>
      </c>
      <c r="F391" s="70">
        <v>0</v>
      </c>
      <c r="G391" s="70">
        <v>110</v>
      </c>
      <c r="H391" s="70">
        <v>116</v>
      </c>
      <c r="I391" s="70">
        <v>0</v>
      </c>
      <c r="J391" s="70">
        <v>0</v>
      </c>
      <c r="K391" s="70">
        <v>0</v>
      </c>
      <c r="L391" s="70">
        <v>0</v>
      </c>
      <c r="M391" s="70">
        <v>0</v>
      </c>
      <c r="N391" s="70">
        <v>0</v>
      </c>
      <c r="O391" s="70">
        <v>0</v>
      </c>
      <c r="Q391" s="70">
        <v>0</v>
      </c>
    </row>
    <row r="392" spans="1:21" x14ac:dyDescent="0.2">
      <c r="A392" s="70" t="s">
        <v>3152</v>
      </c>
      <c r="B392" s="70" t="s">
        <v>5052</v>
      </c>
      <c r="C392" s="70">
        <v>90203</v>
      </c>
      <c r="D392" s="70">
        <v>0</v>
      </c>
      <c r="E392" s="70">
        <v>409</v>
      </c>
      <c r="F392" s="70">
        <v>5186</v>
      </c>
      <c r="G392" s="70">
        <v>12505</v>
      </c>
      <c r="H392" s="70">
        <v>28225</v>
      </c>
      <c r="I392" s="70">
        <v>37267</v>
      </c>
      <c r="J392" s="70">
        <v>53169</v>
      </c>
      <c r="K392" s="70">
        <v>73358</v>
      </c>
      <c r="L392" s="70">
        <v>74038</v>
      </c>
      <c r="M392" s="70">
        <v>71119</v>
      </c>
      <c r="N392" s="70">
        <v>65303</v>
      </c>
      <c r="O392" s="70">
        <v>73857</v>
      </c>
      <c r="Q392" s="70">
        <v>83389</v>
      </c>
    </row>
    <row r="393" spans="1:21" x14ac:dyDescent="0.2">
      <c r="A393" s="70" t="s">
        <v>3154</v>
      </c>
      <c r="B393" s="70" t="s">
        <v>5053</v>
      </c>
      <c r="C393" s="70">
        <v>4407</v>
      </c>
      <c r="D393" s="70">
        <v>27303</v>
      </c>
      <c r="E393" s="70">
        <v>28885</v>
      </c>
      <c r="F393" s="70">
        <v>30438</v>
      </c>
      <c r="G393" s="70">
        <v>31387</v>
      </c>
      <c r="H393" s="70">
        <v>31776</v>
      </c>
      <c r="I393" s="70">
        <v>29781</v>
      </c>
      <c r="J393" s="70">
        <v>27342</v>
      </c>
      <c r="K393" s="70">
        <v>24935</v>
      </c>
      <c r="L393" s="70">
        <v>22443</v>
      </c>
      <c r="M393" s="70">
        <v>20895</v>
      </c>
      <c r="N393" s="70">
        <v>20363</v>
      </c>
      <c r="O393" s="70">
        <v>19891</v>
      </c>
      <c r="Q393" s="70">
        <v>0</v>
      </c>
    </row>
    <row r="394" spans="1:21" x14ac:dyDescent="0.2">
      <c r="A394" s="70" t="s">
        <v>3156</v>
      </c>
      <c r="B394" s="70" t="s">
        <v>5054</v>
      </c>
      <c r="C394" s="70">
        <v>2597</v>
      </c>
      <c r="D394" s="70">
        <v>0</v>
      </c>
      <c r="E394" s="70">
        <v>0</v>
      </c>
      <c r="F394" s="70">
        <v>0</v>
      </c>
      <c r="G394" s="70">
        <v>39</v>
      </c>
      <c r="H394" s="70">
        <v>608</v>
      </c>
      <c r="I394" s="70">
        <v>864</v>
      </c>
      <c r="J394" s="70">
        <v>1385</v>
      </c>
      <c r="K394" s="70">
        <v>2129</v>
      </c>
      <c r="L394" s="70">
        <v>2098</v>
      </c>
      <c r="M394" s="70">
        <v>1923</v>
      </c>
      <c r="N394" s="70">
        <v>1668</v>
      </c>
      <c r="O394" s="70">
        <v>1893</v>
      </c>
      <c r="Q394" s="70">
        <v>200</v>
      </c>
    </row>
    <row r="395" spans="1:21" x14ac:dyDescent="0.2">
      <c r="A395" s="70" t="s">
        <v>678</v>
      </c>
      <c r="B395" s="70" t="s">
        <v>5056</v>
      </c>
      <c r="C395" s="75">
        <v>0</v>
      </c>
      <c r="D395" s="75">
        <v>0</v>
      </c>
      <c r="E395" s="75">
        <v>0</v>
      </c>
      <c r="F395" s="75">
        <v>0</v>
      </c>
      <c r="G395" s="75">
        <v>0</v>
      </c>
      <c r="H395" s="75">
        <v>0</v>
      </c>
      <c r="I395" s="75">
        <v>0</v>
      </c>
      <c r="J395" s="75">
        <v>0</v>
      </c>
      <c r="K395" s="75">
        <v>0</v>
      </c>
      <c r="L395" s="75">
        <v>0</v>
      </c>
      <c r="M395" s="75">
        <v>0</v>
      </c>
      <c r="N395" s="75">
        <v>0</v>
      </c>
      <c r="O395" s="75">
        <v>0</v>
      </c>
      <c r="Q395" s="70">
        <v>0</v>
      </c>
      <c r="R395" s="75"/>
      <c r="T395" s="75"/>
      <c r="U395" s="75"/>
    </row>
    <row r="396" spans="1:21" ht="15.75" thickBot="1" x14ac:dyDescent="0.25">
      <c r="C396" s="101" t="e">
        <v>#VALUE!</v>
      </c>
      <c r="D396" s="101" t="e">
        <v>#VALUE!</v>
      </c>
      <c r="E396" s="101" t="e">
        <v>#VALUE!</v>
      </c>
      <c r="F396" s="101" t="e">
        <v>#VALUE!</v>
      </c>
      <c r="G396" s="101" t="e">
        <v>#VALUE!</v>
      </c>
      <c r="H396" s="101" t="e">
        <v>#VALUE!</v>
      </c>
      <c r="I396" s="101" t="e">
        <v>#VALUE!</v>
      </c>
      <c r="J396" s="101" t="e">
        <v>#VALUE!</v>
      </c>
      <c r="K396" s="101" t="e">
        <v>#VALUE!</v>
      </c>
      <c r="L396" s="101" t="e">
        <v>#VALUE!</v>
      </c>
      <c r="M396" s="101" t="e">
        <v>#VALUE!</v>
      </c>
      <c r="N396" s="101" t="e">
        <v>#VALUE!</v>
      </c>
      <c r="O396" s="101" t="e">
        <v>#VALUE!</v>
      </c>
      <c r="Q396" s="70" t="e">
        <v>#VALUE!</v>
      </c>
      <c r="R396" s="101"/>
      <c r="T396" s="101"/>
      <c r="U396" s="101"/>
    </row>
    <row r="397" spans="1:21" ht="15.75" thickTop="1" x14ac:dyDescent="0.2"/>
    <row r="398" spans="1:21" x14ac:dyDescent="0.2">
      <c r="B398" s="70" t="s">
        <v>1360</v>
      </c>
      <c r="C398" s="70" t="e">
        <v>#VALUE!</v>
      </c>
      <c r="D398" s="70" t="e">
        <v>#VALUE!</v>
      </c>
      <c r="E398" s="70" t="e">
        <v>#VALUE!</v>
      </c>
      <c r="F398" s="70" t="e">
        <v>#VALUE!</v>
      </c>
      <c r="G398" s="70" t="e">
        <v>#VALUE!</v>
      </c>
      <c r="H398" s="70" t="e">
        <v>#VALUE!</v>
      </c>
      <c r="I398" s="70" t="e">
        <v>#VALUE!</v>
      </c>
      <c r="J398" s="70" t="e">
        <v>#VALUE!</v>
      </c>
      <c r="K398" s="70" t="e">
        <v>#VALUE!</v>
      </c>
      <c r="L398" s="70" t="e">
        <v>#VALUE!</v>
      </c>
      <c r="M398" s="70" t="e">
        <v>#VALUE!</v>
      </c>
      <c r="N398" s="70" t="e">
        <v>#VALUE!</v>
      </c>
      <c r="O398" s="70" t="e">
        <v>#VALUE!</v>
      </c>
      <c r="Q398" s="70" t="e">
        <v>#VALUE!</v>
      </c>
    </row>
    <row r="400" spans="1:21" x14ac:dyDescent="0.2">
      <c r="A400" s="70" t="e">
        <v>#VALUE!</v>
      </c>
      <c r="B400" s="70" t="e">
        <v>#VALUE!</v>
      </c>
      <c r="C400" s="70" t="e">
        <v>#VALUE!</v>
      </c>
      <c r="D400" s="70" t="e">
        <v>#VALUE!</v>
      </c>
      <c r="E400" s="70" t="e">
        <v>#VALUE!</v>
      </c>
      <c r="F400" s="70" t="e">
        <v>#VALUE!</v>
      </c>
      <c r="G400" s="70" t="e">
        <v>#VALUE!</v>
      </c>
      <c r="H400" s="70" t="e">
        <v>#VALUE!</v>
      </c>
      <c r="I400" s="70" t="e">
        <v>#VALUE!</v>
      </c>
      <c r="J400" s="70" t="e">
        <v>#VALUE!</v>
      </c>
      <c r="K400" s="70" t="e">
        <v>#VALUE!</v>
      </c>
      <c r="L400" s="70" t="e">
        <v>#VALUE!</v>
      </c>
      <c r="M400" s="70" t="e">
        <v>#VALUE!</v>
      </c>
      <c r="N400" s="70" t="e">
        <v>#VALUE!</v>
      </c>
      <c r="O400" s="70" t="e">
        <v>#VALUE!</v>
      </c>
      <c r="Q400" s="70" t="e">
        <v>#VALUE!</v>
      </c>
    </row>
    <row r="401" spans="1:21" x14ac:dyDescent="0.2">
      <c r="A401" s="70" t="s">
        <v>2623</v>
      </c>
      <c r="B401" s="70" t="s">
        <v>5051</v>
      </c>
      <c r="C401" s="70">
        <v>-1069</v>
      </c>
      <c r="D401" s="70">
        <v>-513</v>
      </c>
      <c r="E401" s="70">
        <v>-261</v>
      </c>
      <c r="F401" s="70">
        <v>-22</v>
      </c>
      <c r="G401" s="70">
        <v>0</v>
      </c>
      <c r="H401" s="70">
        <v>0</v>
      </c>
      <c r="I401" s="70">
        <v>-97</v>
      </c>
      <c r="J401" s="70">
        <v>-383</v>
      </c>
      <c r="K401" s="70">
        <v>-688</v>
      </c>
      <c r="L401" s="70">
        <v>-1001</v>
      </c>
      <c r="M401" s="70">
        <v>-1141</v>
      </c>
      <c r="N401" s="70">
        <v>-1066</v>
      </c>
      <c r="O401" s="70">
        <v>-986</v>
      </c>
      <c r="Q401" s="70">
        <v>-1018</v>
      </c>
    </row>
    <row r="402" spans="1:21" x14ac:dyDescent="0.2">
      <c r="A402" s="70" t="s">
        <v>2625</v>
      </c>
      <c r="B402" s="70" t="s">
        <v>5052</v>
      </c>
      <c r="C402" s="70">
        <v>0</v>
      </c>
      <c r="D402" s="70">
        <v>-1581</v>
      </c>
      <c r="E402" s="70">
        <v>0</v>
      </c>
      <c r="F402" s="70">
        <v>0</v>
      </c>
      <c r="G402" s="70">
        <v>0</v>
      </c>
      <c r="H402" s="70">
        <v>0</v>
      </c>
      <c r="I402" s="70">
        <v>0</v>
      </c>
      <c r="J402" s="70">
        <v>0</v>
      </c>
      <c r="K402" s="70">
        <v>0</v>
      </c>
      <c r="L402" s="70">
        <v>0</v>
      </c>
      <c r="M402" s="70">
        <v>0</v>
      </c>
      <c r="N402" s="70">
        <v>0</v>
      </c>
      <c r="O402" s="70">
        <v>0</v>
      </c>
      <c r="Q402" s="70">
        <v>0</v>
      </c>
    </row>
    <row r="403" spans="1:21" x14ac:dyDescent="0.2">
      <c r="A403" s="70" t="s">
        <v>2627</v>
      </c>
      <c r="B403" s="70" t="s">
        <v>5053</v>
      </c>
      <c r="C403" s="70">
        <v>0</v>
      </c>
      <c r="D403" s="70">
        <v>0</v>
      </c>
      <c r="E403" s="70">
        <v>0</v>
      </c>
      <c r="F403" s="70">
        <v>0</v>
      </c>
      <c r="G403" s="70">
        <v>0</v>
      </c>
      <c r="H403" s="70">
        <v>0</v>
      </c>
      <c r="I403" s="70">
        <v>0</v>
      </c>
      <c r="J403" s="70">
        <v>0</v>
      </c>
      <c r="K403" s="70">
        <v>0</v>
      </c>
      <c r="L403" s="70">
        <v>0</v>
      </c>
      <c r="M403" s="70">
        <v>0</v>
      </c>
      <c r="N403" s="70">
        <v>0</v>
      </c>
      <c r="O403" s="70">
        <v>0</v>
      </c>
      <c r="Q403" s="70">
        <v>-177</v>
      </c>
    </row>
    <row r="404" spans="1:21" x14ac:dyDescent="0.2">
      <c r="A404" s="70" t="s">
        <v>2629</v>
      </c>
      <c r="B404" s="70" t="s">
        <v>5054</v>
      </c>
      <c r="C404" s="70">
        <v>0</v>
      </c>
      <c r="D404" s="70">
        <v>-350</v>
      </c>
      <c r="E404" s="70">
        <v>-349</v>
      </c>
      <c r="F404" s="70">
        <v>-223</v>
      </c>
      <c r="G404" s="70">
        <v>0</v>
      </c>
      <c r="H404" s="70">
        <v>0</v>
      </c>
      <c r="I404" s="70">
        <v>0</v>
      </c>
      <c r="J404" s="70">
        <v>0</v>
      </c>
      <c r="K404" s="70">
        <v>0</v>
      </c>
      <c r="L404" s="70">
        <v>0</v>
      </c>
      <c r="M404" s="70">
        <v>0</v>
      </c>
      <c r="N404" s="70">
        <v>0</v>
      </c>
      <c r="O404" s="70">
        <v>0</v>
      </c>
      <c r="Q404" s="70">
        <v>0</v>
      </c>
    </row>
    <row r="405" spans="1:21" x14ac:dyDescent="0.2">
      <c r="A405" s="70" t="s">
        <v>2631</v>
      </c>
      <c r="B405" s="70" t="s">
        <v>5056</v>
      </c>
      <c r="C405" s="75">
        <v>-994</v>
      </c>
      <c r="D405" s="75">
        <v>-10069</v>
      </c>
      <c r="E405" s="75">
        <v>-9651</v>
      </c>
      <c r="F405" s="75">
        <v>-9439</v>
      </c>
      <c r="G405" s="75">
        <v>-9209</v>
      </c>
      <c r="H405" s="75">
        <v>-8664</v>
      </c>
      <c r="I405" s="75">
        <v>-7869</v>
      </c>
      <c r="J405" s="75">
        <v>-7162</v>
      </c>
      <c r="K405" s="75">
        <v>-6415</v>
      </c>
      <c r="L405" s="75">
        <v>-5596</v>
      </c>
      <c r="M405" s="75">
        <v>-4650</v>
      </c>
      <c r="N405" s="75">
        <v>-3436</v>
      </c>
      <c r="O405" s="75">
        <v>-1504</v>
      </c>
      <c r="Q405" s="70">
        <v>-1399</v>
      </c>
      <c r="R405" s="75"/>
      <c r="T405" s="75"/>
      <c r="U405" s="75"/>
    </row>
    <row r="406" spans="1:21" ht="15.75" thickBot="1" x14ac:dyDescent="0.25">
      <c r="C406" s="101" t="e">
        <v>#VALUE!</v>
      </c>
      <c r="D406" s="101" t="e">
        <v>#VALUE!</v>
      </c>
      <c r="E406" s="101" t="e">
        <v>#VALUE!</v>
      </c>
      <c r="F406" s="101" t="e">
        <v>#VALUE!</v>
      </c>
      <c r="G406" s="101" t="e">
        <v>#VALUE!</v>
      </c>
      <c r="H406" s="101" t="e">
        <v>#VALUE!</v>
      </c>
      <c r="I406" s="101" t="e">
        <v>#VALUE!</v>
      </c>
      <c r="J406" s="101" t="e">
        <v>#VALUE!</v>
      </c>
      <c r="K406" s="101" t="e">
        <v>#VALUE!</v>
      </c>
      <c r="L406" s="101" t="e">
        <v>#VALUE!</v>
      </c>
      <c r="M406" s="101" t="e">
        <v>#VALUE!</v>
      </c>
      <c r="N406" s="101" t="e">
        <v>#VALUE!</v>
      </c>
      <c r="O406" s="101" t="e">
        <v>#VALUE!</v>
      </c>
      <c r="Q406" s="70" t="e">
        <v>#VALUE!</v>
      </c>
      <c r="R406" s="101"/>
      <c r="T406" s="101"/>
      <c r="U406" s="101"/>
    </row>
    <row r="407" spans="1:21" ht="15.75" thickTop="1" x14ac:dyDescent="0.2"/>
    <row r="408" spans="1:21" x14ac:dyDescent="0.2">
      <c r="B408" s="70" t="s">
        <v>1361</v>
      </c>
      <c r="C408" s="70" t="e">
        <v>#VALUE!</v>
      </c>
      <c r="D408" s="70" t="e">
        <v>#VALUE!</v>
      </c>
      <c r="E408" s="70" t="e">
        <v>#VALUE!</v>
      </c>
      <c r="F408" s="70" t="e">
        <v>#VALUE!</v>
      </c>
      <c r="G408" s="70" t="e">
        <v>#VALUE!</v>
      </c>
      <c r="H408" s="70" t="e">
        <v>#VALUE!</v>
      </c>
      <c r="I408" s="70" t="e">
        <v>#VALUE!</v>
      </c>
      <c r="J408" s="70" t="e">
        <v>#VALUE!</v>
      </c>
      <c r="K408" s="70" t="e">
        <v>#VALUE!</v>
      </c>
      <c r="L408" s="70" t="e">
        <v>#VALUE!</v>
      </c>
      <c r="M408" s="70" t="e">
        <v>#VALUE!</v>
      </c>
      <c r="N408" s="70" t="e">
        <v>#VALUE!</v>
      </c>
      <c r="O408" s="70" t="e">
        <v>#VALUE!</v>
      </c>
      <c r="Q408" s="70" t="e">
        <v>#VALUE!</v>
      </c>
    </row>
    <row r="409" spans="1:21" ht="15.75" x14ac:dyDescent="0.25">
      <c r="D409" s="75"/>
      <c r="E409" s="75"/>
      <c r="F409" s="75"/>
      <c r="G409" s="75"/>
      <c r="H409" s="75"/>
      <c r="I409" s="75"/>
      <c r="J409" s="75"/>
      <c r="K409" s="75"/>
      <c r="L409" s="75"/>
      <c r="M409" s="75"/>
      <c r="N409" s="75"/>
      <c r="O409" s="75"/>
      <c r="P409" s="82" t="s">
        <v>3622</v>
      </c>
      <c r="R409" s="75"/>
      <c r="S409" s="82"/>
      <c r="T409" s="75"/>
      <c r="U409" s="75"/>
    </row>
    <row r="411" spans="1:21" ht="16.5" thickBot="1" x14ac:dyDescent="0.3">
      <c r="B411" s="70" t="s">
        <v>1362</v>
      </c>
      <c r="C411" s="70" t="e">
        <v>#VALUE!</v>
      </c>
      <c r="D411" s="101" t="e">
        <v>#VALUE!</v>
      </c>
      <c r="E411" s="101" t="e">
        <v>#VALUE!</v>
      </c>
      <c r="F411" s="101" t="e">
        <v>#VALUE!</v>
      </c>
      <c r="G411" s="101" t="e">
        <v>#VALUE!</v>
      </c>
      <c r="H411" s="101" t="e">
        <v>#VALUE!</v>
      </c>
      <c r="I411" s="101" t="e">
        <v>#VALUE!</v>
      </c>
      <c r="J411" s="101" t="e">
        <v>#VALUE!</v>
      </c>
      <c r="K411" s="101" t="e">
        <v>#VALUE!</v>
      </c>
      <c r="L411" s="101" t="e">
        <v>#VALUE!</v>
      </c>
      <c r="M411" s="101" t="e">
        <v>#VALUE!</v>
      </c>
      <c r="N411" s="101" t="e">
        <v>#VALUE!</v>
      </c>
      <c r="O411" s="101" t="e">
        <v>#VALUE!</v>
      </c>
      <c r="P411" s="102" t="e">
        <v>#VALUE!</v>
      </c>
      <c r="Q411" s="70" t="e">
        <v>#VALUE!</v>
      </c>
      <c r="R411" s="101"/>
      <c r="S411" s="87"/>
      <c r="T411" s="101"/>
      <c r="U411" s="101"/>
    </row>
    <row r="412" spans="1:21" ht="15.75" thickTop="1" x14ac:dyDescent="0.2"/>
    <row r="422" spans="3:15" x14ac:dyDescent="0.2">
      <c r="C422" s="70">
        <v>5018</v>
      </c>
      <c r="D422" s="70">
        <v>4568</v>
      </c>
      <c r="E422" s="70">
        <v>4389</v>
      </c>
      <c r="F422" s="70">
        <v>4415</v>
      </c>
      <c r="G422" s="70">
        <v>4808</v>
      </c>
      <c r="H422" s="70">
        <v>5279</v>
      </c>
      <c r="I422" s="70">
        <v>5391</v>
      </c>
      <c r="J422" s="70">
        <v>5964</v>
      </c>
      <c r="K422" s="70">
        <v>6274</v>
      </c>
      <c r="L422" s="70">
        <v>6550</v>
      </c>
      <c r="M422" s="70">
        <v>6643</v>
      </c>
      <c r="N422" s="70">
        <v>6773</v>
      </c>
      <c r="O422" s="70">
        <v>6855</v>
      </c>
    </row>
    <row r="423" spans="3:15" x14ac:dyDescent="0.2">
      <c r="D423" s="70">
        <v>450</v>
      </c>
      <c r="E423" s="70">
        <v>179</v>
      </c>
      <c r="F423" s="70">
        <v>-26</v>
      </c>
      <c r="G423" s="70">
        <v>-393</v>
      </c>
      <c r="H423" s="70">
        <v>-471</v>
      </c>
      <c r="I423" s="70">
        <v>-112</v>
      </c>
      <c r="J423" s="70">
        <v>-573</v>
      </c>
      <c r="K423" s="70">
        <v>-310</v>
      </c>
      <c r="L423" s="70">
        <v>-276</v>
      </c>
      <c r="M423" s="70">
        <v>-93</v>
      </c>
      <c r="N423" s="70">
        <v>-130</v>
      </c>
      <c r="O423" s="70">
        <v>-82</v>
      </c>
    </row>
    <row r="435" spans="3:21" x14ac:dyDescent="0.2">
      <c r="C435" s="71"/>
      <c r="D435" s="71"/>
      <c r="E435" s="71"/>
      <c r="F435" s="71"/>
      <c r="G435" s="71"/>
      <c r="H435" s="71"/>
      <c r="I435" s="71"/>
      <c r="J435" s="71"/>
      <c r="K435" s="71"/>
      <c r="L435" s="71"/>
      <c r="M435" s="71"/>
      <c r="N435" s="71"/>
      <c r="O435" s="71"/>
      <c r="R435" s="71"/>
      <c r="T435" s="71"/>
      <c r="U435" s="71"/>
    </row>
    <row r="436" spans="3:21" x14ac:dyDescent="0.2">
      <c r="C436" s="71"/>
      <c r="D436" s="71"/>
      <c r="E436" s="71"/>
      <c r="F436" s="71"/>
      <c r="G436" s="71"/>
      <c r="H436" s="71"/>
      <c r="I436" s="71"/>
      <c r="J436" s="71"/>
      <c r="K436" s="71"/>
      <c r="L436" s="71"/>
      <c r="M436" s="71"/>
      <c r="N436" s="71"/>
      <c r="O436" s="71"/>
      <c r="R436" s="71"/>
      <c r="T436" s="71"/>
      <c r="U436" s="71"/>
    </row>
    <row r="437" spans="3:21" x14ac:dyDescent="0.2">
      <c r="C437" s="71"/>
      <c r="D437" s="71"/>
      <c r="E437" s="71"/>
      <c r="F437" s="71"/>
      <c r="G437" s="71"/>
      <c r="H437" s="71"/>
      <c r="I437" s="71"/>
      <c r="J437" s="71"/>
      <c r="K437" s="71"/>
      <c r="L437" s="71"/>
      <c r="M437" s="71"/>
      <c r="N437" s="71"/>
      <c r="O437" s="71"/>
      <c r="R437" s="71"/>
      <c r="T437" s="71"/>
      <c r="U437" s="71"/>
    </row>
    <row r="438" spans="3:21" x14ac:dyDescent="0.2">
      <c r="C438" s="71"/>
      <c r="D438" s="71"/>
      <c r="E438" s="71"/>
      <c r="F438" s="71"/>
      <c r="G438" s="71"/>
      <c r="H438" s="71"/>
      <c r="I438" s="71"/>
      <c r="J438" s="71"/>
      <c r="K438" s="71"/>
      <c r="L438" s="71"/>
      <c r="M438" s="71"/>
      <c r="N438" s="71"/>
      <c r="O438" s="71"/>
      <c r="R438" s="71"/>
      <c r="T438" s="71"/>
      <c r="U438" s="71"/>
    </row>
    <row r="439" spans="3:21" x14ac:dyDescent="0.2">
      <c r="C439" s="71"/>
      <c r="D439" s="71"/>
      <c r="E439" s="71"/>
      <c r="F439" s="71"/>
      <c r="G439" s="71"/>
      <c r="H439" s="71"/>
      <c r="I439" s="71"/>
      <c r="J439" s="71"/>
      <c r="K439" s="71"/>
      <c r="L439" s="71"/>
      <c r="M439" s="71"/>
      <c r="N439" s="71"/>
      <c r="O439" s="71"/>
      <c r="R439" s="71"/>
      <c r="T439" s="71"/>
      <c r="U439" s="71"/>
    </row>
    <row r="440" spans="3:21" x14ac:dyDescent="0.2">
      <c r="C440" s="71"/>
      <c r="D440" s="71"/>
      <c r="E440" s="71"/>
      <c r="F440" s="71"/>
      <c r="G440" s="71"/>
      <c r="H440" s="71"/>
      <c r="I440" s="71"/>
      <c r="J440" s="71"/>
      <c r="K440" s="71"/>
      <c r="L440" s="71"/>
      <c r="M440" s="71"/>
      <c r="N440" s="71"/>
      <c r="O440" s="71"/>
      <c r="R440" s="71"/>
      <c r="T440" s="71"/>
      <c r="U440" s="71"/>
    </row>
    <row r="441" spans="3:21" x14ac:dyDescent="0.2">
      <c r="C441" s="71"/>
      <c r="D441" s="71"/>
      <c r="E441" s="71"/>
      <c r="F441" s="71"/>
      <c r="G441" s="71"/>
      <c r="H441" s="71"/>
      <c r="I441" s="71"/>
      <c r="J441" s="71"/>
      <c r="K441" s="71"/>
      <c r="L441" s="71"/>
      <c r="M441" s="71"/>
      <c r="N441" s="71"/>
      <c r="O441" s="71"/>
      <c r="R441" s="71"/>
      <c r="T441" s="71"/>
      <c r="U441" s="71"/>
    </row>
    <row r="442" spans="3:21" x14ac:dyDescent="0.2">
      <c r="C442" s="71"/>
      <c r="D442" s="71"/>
      <c r="E442" s="71"/>
      <c r="F442" s="71"/>
      <c r="G442" s="71"/>
      <c r="H442" s="71"/>
      <c r="I442" s="71"/>
      <c r="J442" s="71"/>
      <c r="K442" s="71"/>
      <c r="L442" s="71"/>
      <c r="M442" s="71"/>
      <c r="N442" s="71"/>
      <c r="O442" s="71"/>
      <c r="R442" s="71"/>
      <c r="T442" s="71"/>
      <c r="U442" s="71"/>
    </row>
    <row r="443" spans="3:21" x14ac:dyDescent="0.2">
      <c r="C443" s="71"/>
      <c r="D443" s="71"/>
      <c r="E443" s="71"/>
      <c r="F443" s="71"/>
      <c r="G443" s="71"/>
      <c r="H443" s="71"/>
      <c r="I443" s="71"/>
      <c r="J443" s="71"/>
      <c r="K443" s="71"/>
      <c r="L443" s="71"/>
      <c r="M443" s="71"/>
      <c r="N443" s="71"/>
      <c r="O443" s="71"/>
      <c r="R443" s="71"/>
      <c r="T443" s="71"/>
      <c r="U443" s="71"/>
    </row>
    <row r="444" spans="3:21" x14ac:dyDescent="0.2">
      <c r="C444" s="71"/>
      <c r="D444" s="71"/>
      <c r="E444" s="71"/>
      <c r="F444" s="71"/>
      <c r="G444" s="71"/>
      <c r="H444" s="71"/>
      <c r="I444" s="71"/>
      <c r="J444" s="71"/>
      <c r="K444" s="71"/>
      <c r="L444" s="71"/>
      <c r="M444" s="71"/>
      <c r="N444" s="71"/>
      <c r="O444" s="71"/>
      <c r="R444" s="71"/>
      <c r="T444" s="71"/>
      <c r="U444" s="71"/>
    </row>
    <row r="445" spans="3:21" x14ac:dyDescent="0.2">
      <c r="C445" s="71"/>
      <c r="D445" s="71"/>
      <c r="E445" s="71"/>
      <c r="F445" s="71"/>
      <c r="G445" s="71"/>
      <c r="H445" s="71"/>
      <c r="I445" s="71"/>
      <c r="J445" s="71"/>
      <c r="K445" s="71"/>
      <c r="L445" s="71"/>
      <c r="M445" s="71"/>
      <c r="N445" s="71"/>
      <c r="O445" s="71"/>
      <c r="R445" s="71"/>
      <c r="T445" s="71"/>
      <c r="U445" s="71"/>
    </row>
    <row r="446" spans="3:21" x14ac:dyDescent="0.2">
      <c r="C446" s="71"/>
      <c r="D446" s="71"/>
      <c r="E446" s="71"/>
      <c r="F446" s="71"/>
      <c r="G446" s="71"/>
      <c r="H446" s="71"/>
      <c r="I446" s="71"/>
      <c r="J446" s="71"/>
      <c r="K446" s="71"/>
      <c r="L446" s="71"/>
      <c r="M446" s="71"/>
      <c r="N446" s="71"/>
      <c r="O446" s="71"/>
      <c r="R446" s="71"/>
      <c r="T446" s="71"/>
      <c r="U446" s="71"/>
    </row>
    <row r="447" spans="3:21" x14ac:dyDescent="0.2">
      <c r="C447" s="71"/>
      <c r="D447" s="71"/>
      <c r="E447" s="71"/>
      <c r="F447" s="71"/>
      <c r="G447" s="71"/>
      <c r="H447" s="71"/>
      <c r="I447" s="71"/>
      <c r="J447" s="71"/>
      <c r="K447" s="71"/>
      <c r="L447" s="71"/>
      <c r="M447" s="71"/>
      <c r="N447" s="71"/>
      <c r="O447" s="71"/>
      <c r="R447" s="71"/>
      <c r="T447" s="71"/>
      <c r="U447" s="71"/>
    </row>
    <row r="448" spans="3:21" x14ac:dyDescent="0.2">
      <c r="C448" s="71"/>
      <c r="D448" s="71"/>
      <c r="E448" s="71"/>
      <c r="F448" s="71"/>
      <c r="G448" s="71"/>
      <c r="H448" s="71"/>
      <c r="I448" s="71"/>
      <c r="J448" s="71"/>
      <c r="K448" s="71"/>
      <c r="L448" s="71"/>
      <c r="M448" s="71"/>
      <c r="N448" s="71"/>
      <c r="O448" s="71"/>
      <c r="R448" s="71"/>
      <c r="T448" s="71"/>
      <c r="U448" s="71"/>
    </row>
    <row r="449" spans="3:21" x14ac:dyDescent="0.2">
      <c r="C449" s="71"/>
      <c r="D449" s="71"/>
      <c r="E449" s="71"/>
      <c r="F449" s="71"/>
      <c r="G449" s="71"/>
      <c r="H449" s="71"/>
      <c r="I449" s="71"/>
      <c r="J449" s="71"/>
      <c r="K449" s="71"/>
      <c r="L449" s="71"/>
      <c r="M449" s="71"/>
      <c r="N449" s="71"/>
      <c r="O449" s="71"/>
      <c r="R449" s="71"/>
      <c r="T449" s="71"/>
      <c r="U449" s="71"/>
    </row>
    <row r="450" spans="3:21" x14ac:dyDescent="0.2">
      <c r="C450" s="71"/>
      <c r="D450" s="71"/>
      <c r="E450" s="71"/>
      <c r="F450" s="71"/>
      <c r="G450" s="71"/>
      <c r="H450" s="71"/>
      <c r="I450" s="71"/>
      <c r="J450" s="71"/>
      <c r="K450" s="71"/>
      <c r="L450" s="71"/>
      <c r="M450" s="71"/>
      <c r="N450" s="71"/>
      <c r="O450" s="71"/>
      <c r="R450" s="71"/>
      <c r="T450" s="71"/>
      <c r="U450" s="71"/>
    </row>
    <row r="451" spans="3:21" x14ac:dyDescent="0.2">
      <c r="C451" s="71"/>
      <c r="D451" s="71"/>
      <c r="E451" s="71"/>
      <c r="F451" s="71"/>
      <c r="G451" s="71"/>
      <c r="H451" s="71"/>
      <c r="I451" s="71"/>
      <c r="J451" s="71"/>
      <c r="K451" s="71"/>
      <c r="L451" s="71"/>
      <c r="M451" s="71"/>
      <c r="N451" s="71"/>
      <c r="O451" s="71"/>
      <c r="R451" s="71"/>
      <c r="T451" s="71"/>
      <c r="U451" s="71"/>
    </row>
    <row r="452" spans="3:21" x14ac:dyDescent="0.2">
      <c r="C452" s="71"/>
      <c r="D452" s="71"/>
      <c r="E452" s="71"/>
      <c r="F452" s="71"/>
      <c r="G452" s="71"/>
      <c r="H452" s="71"/>
      <c r="I452" s="71"/>
      <c r="J452" s="71"/>
      <c r="K452" s="71"/>
      <c r="L452" s="71"/>
      <c r="M452" s="71"/>
      <c r="N452" s="71"/>
      <c r="O452" s="71"/>
      <c r="R452" s="71"/>
      <c r="T452" s="71"/>
      <c r="U452" s="71"/>
    </row>
    <row r="453" spans="3:21" x14ac:dyDescent="0.2"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R453" s="71"/>
      <c r="T453" s="71"/>
      <c r="U453" s="71"/>
    </row>
    <row r="454" spans="3:21" x14ac:dyDescent="0.2">
      <c r="C454" s="71"/>
      <c r="D454" s="71"/>
      <c r="E454" s="71"/>
      <c r="F454" s="71"/>
      <c r="G454" s="71"/>
      <c r="H454" s="71"/>
      <c r="I454" s="71"/>
      <c r="J454" s="71"/>
      <c r="K454" s="71"/>
      <c r="L454" s="71"/>
      <c r="M454" s="71"/>
      <c r="N454" s="71"/>
      <c r="O454" s="71"/>
      <c r="R454" s="71"/>
      <c r="T454" s="71"/>
      <c r="U454" s="71"/>
    </row>
    <row r="455" spans="3:21" x14ac:dyDescent="0.2">
      <c r="C455" s="71"/>
      <c r="D455" s="71"/>
      <c r="E455" s="71"/>
      <c r="F455" s="71"/>
      <c r="G455" s="71"/>
      <c r="H455" s="71"/>
      <c r="I455" s="71"/>
      <c r="J455" s="71"/>
      <c r="K455" s="71"/>
      <c r="L455" s="71"/>
      <c r="M455" s="71"/>
      <c r="N455" s="71"/>
      <c r="O455" s="71"/>
      <c r="R455" s="71"/>
      <c r="T455" s="71"/>
      <c r="U455" s="71"/>
    </row>
    <row r="456" spans="3:21" x14ac:dyDescent="0.2">
      <c r="C456" s="71"/>
      <c r="D456" s="71"/>
      <c r="E456" s="71"/>
      <c r="F456" s="71"/>
      <c r="G456" s="71"/>
      <c r="H456" s="71"/>
      <c r="I456" s="71"/>
      <c r="J456" s="71"/>
      <c r="K456" s="71"/>
      <c r="L456" s="71"/>
      <c r="M456" s="71"/>
      <c r="N456" s="71"/>
      <c r="O456" s="71"/>
      <c r="R456" s="71"/>
      <c r="T456" s="71"/>
      <c r="U456" s="71"/>
    </row>
    <row r="457" spans="3:21" x14ac:dyDescent="0.2">
      <c r="C457" s="71"/>
      <c r="D457" s="71"/>
      <c r="E457" s="71"/>
      <c r="F457" s="71"/>
      <c r="G457" s="71"/>
      <c r="H457" s="71"/>
      <c r="I457" s="71"/>
      <c r="J457" s="71"/>
      <c r="K457" s="71"/>
      <c r="L457" s="71"/>
      <c r="M457" s="71"/>
      <c r="N457" s="71"/>
      <c r="O457" s="71"/>
      <c r="R457" s="71"/>
      <c r="T457" s="71"/>
      <c r="U457" s="71"/>
    </row>
    <row r="458" spans="3:21" x14ac:dyDescent="0.2">
      <c r="C458" s="71"/>
      <c r="D458" s="71"/>
      <c r="E458" s="71"/>
      <c r="F458" s="71"/>
      <c r="G458" s="71"/>
      <c r="H458" s="71"/>
      <c r="I458" s="71"/>
      <c r="J458" s="71"/>
      <c r="K458" s="71"/>
      <c r="L458" s="71"/>
      <c r="M458" s="71"/>
      <c r="N458" s="71"/>
      <c r="O458" s="71"/>
      <c r="R458" s="71"/>
      <c r="T458" s="71"/>
      <c r="U458" s="71"/>
    </row>
    <row r="459" spans="3:21" x14ac:dyDescent="0.2">
      <c r="C459" s="71"/>
      <c r="D459" s="71"/>
      <c r="E459" s="71"/>
      <c r="F459" s="71"/>
      <c r="G459" s="71"/>
      <c r="H459" s="71"/>
      <c r="I459" s="71"/>
      <c r="J459" s="71"/>
      <c r="K459" s="71"/>
      <c r="L459" s="71"/>
      <c r="M459" s="71"/>
      <c r="N459" s="71"/>
      <c r="O459" s="71"/>
      <c r="R459" s="71"/>
      <c r="T459" s="71"/>
      <c r="U459" s="71"/>
    </row>
    <row r="460" spans="3:21" x14ac:dyDescent="0.2">
      <c r="C460" s="71"/>
      <c r="D460" s="71"/>
      <c r="E460" s="71"/>
      <c r="F460" s="71"/>
      <c r="G460" s="71"/>
      <c r="H460" s="71"/>
      <c r="I460" s="71"/>
      <c r="J460" s="71"/>
      <c r="K460" s="71"/>
      <c r="L460" s="71"/>
      <c r="M460" s="71"/>
      <c r="N460" s="71"/>
      <c r="O460" s="71"/>
      <c r="R460" s="71"/>
      <c r="T460" s="71"/>
      <c r="U460" s="71"/>
    </row>
    <row r="461" spans="3:21" x14ac:dyDescent="0.2">
      <c r="C461" s="71">
        <v>-10043</v>
      </c>
      <c r="D461" s="71">
        <v>-11070</v>
      </c>
      <c r="E461" s="71">
        <v>-7508</v>
      </c>
      <c r="F461" s="71">
        <v>-7963</v>
      </c>
      <c r="G461" s="71">
        <v>-8230</v>
      </c>
      <c r="H461" s="71">
        <v>-9104</v>
      </c>
      <c r="I461" s="71">
        <v>-9856</v>
      </c>
      <c r="J461" s="71">
        <v>-10089</v>
      </c>
      <c r="K461" s="71">
        <v>-10174</v>
      </c>
      <c r="L461" s="71">
        <v>-9791</v>
      </c>
      <c r="M461" s="71">
        <v>-8985</v>
      </c>
      <c r="N461" s="71">
        <v>-8786</v>
      </c>
      <c r="O461" s="71">
        <v>-8570</v>
      </c>
      <c r="R461" s="71"/>
      <c r="T461" s="71"/>
      <c r="U461" s="71"/>
    </row>
    <row r="462" spans="3:21" x14ac:dyDescent="0.2">
      <c r="C462" s="71"/>
      <c r="D462" s="71">
        <v>-1027</v>
      </c>
      <c r="E462" s="71">
        <v>3562</v>
      </c>
      <c r="F462" s="71">
        <v>-455</v>
      </c>
      <c r="G462" s="71">
        <v>-267</v>
      </c>
      <c r="H462" s="71">
        <v>-874</v>
      </c>
      <c r="I462" s="71">
        <v>-752</v>
      </c>
      <c r="J462" s="71">
        <v>-233</v>
      </c>
      <c r="K462" s="71">
        <v>-85</v>
      </c>
      <c r="L462" s="71">
        <v>383</v>
      </c>
      <c r="M462" s="71">
        <v>806</v>
      </c>
      <c r="N462" s="71">
        <v>199</v>
      </c>
      <c r="O462" s="71">
        <v>216</v>
      </c>
      <c r="R462" s="71"/>
      <c r="T462" s="71"/>
      <c r="U462" s="71"/>
    </row>
    <row r="463" spans="3:21" x14ac:dyDescent="0.2">
      <c r="C463" s="71"/>
      <c r="D463" s="71"/>
      <c r="E463" s="71"/>
      <c r="F463" s="71"/>
      <c r="G463" s="71"/>
      <c r="H463" s="71"/>
      <c r="I463" s="71"/>
      <c r="J463" s="71"/>
      <c r="K463" s="71"/>
      <c r="L463" s="71"/>
      <c r="M463" s="71"/>
      <c r="N463" s="71"/>
      <c r="O463" s="71"/>
      <c r="R463" s="71"/>
      <c r="T463" s="71"/>
      <c r="U463" s="71"/>
    </row>
    <row r="464" spans="3:21" x14ac:dyDescent="0.2">
      <c r="C464" s="71"/>
      <c r="D464" s="71"/>
      <c r="E464" s="71"/>
      <c r="F464" s="71"/>
      <c r="G464" s="71"/>
      <c r="H464" s="71"/>
      <c r="I464" s="71"/>
      <c r="J464" s="71"/>
      <c r="K464" s="71"/>
      <c r="L464" s="71"/>
      <c r="M464" s="71"/>
      <c r="N464" s="71"/>
      <c r="O464" s="71"/>
      <c r="R464" s="71"/>
      <c r="T464" s="71"/>
      <c r="U464" s="71"/>
    </row>
    <row r="465" spans="3:21" x14ac:dyDescent="0.2">
      <c r="C465" s="71"/>
      <c r="D465" s="71"/>
      <c r="E465" s="71"/>
      <c r="F465" s="71"/>
      <c r="G465" s="71"/>
      <c r="H465" s="71"/>
      <c r="I465" s="71"/>
      <c r="J465" s="71"/>
      <c r="K465" s="71"/>
      <c r="L465" s="71"/>
      <c r="M465" s="71"/>
      <c r="N465" s="71"/>
      <c r="O465" s="71"/>
      <c r="R465" s="71"/>
      <c r="T465" s="71"/>
      <c r="U465" s="71"/>
    </row>
    <row r="466" spans="3:21" x14ac:dyDescent="0.2">
      <c r="C466" s="71"/>
      <c r="D466" s="71"/>
      <c r="E466" s="71"/>
      <c r="F466" s="71"/>
      <c r="G466" s="71"/>
      <c r="H466" s="71"/>
      <c r="I466" s="71"/>
      <c r="J466" s="71"/>
      <c r="K466" s="71"/>
      <c r="L466" s="71"/>
      <c r="M466" s="71"/>
      <c r="N466" s="71"/>
      <c r="O466" s="71"/>
      <c r="R466" s="71"/>
      <c r="T466" s="71"/>
      <c r="U466" s="71"/>
    </row>
    <row r="467" spans="3:21" x14ac:dyDescent="0.2">
      <c r="C467" s="71"/>
      <c r="D467" s="71"/>
      <c r="E467" s="71"/>
      <c r="F467" s="71"/>
      <c r="G467" s="71"/>
      <c r="H467" s="71"/>
      <c r="I467" s="71"/>
      <c r="J467" s="71"/>
      <c r="K467" s="71"/>
      <c r="L467" s="71"/>
      <c r="M467" s="71"/>
      <c r="N467" s="71"/>
      <c r="O467" s="71"/>
      <c r="R467" s="71"/>
      <c r="T467" s="71"/>
      <c r="U467" s="71"/>
    </row>
    <row r="468" spans="3:21" x14ac:dyDescent="0.2">
      <c r="C468" s="71"/>
      <c r="D468" s="71"/>
      <c r="E468" s="71"/>
      <c r="F468" s="71"/>
      <c r="G468" s="71"/>
      <c r="H468" s="71"/>
      <c r="I468" s="71"/>
      <c r="J468" s="71"/>
      <c r="K468" s="71"/>
      <c r="L468" s="71"/>
      <c r="M468" s="71"/>
      <c r="N468" s="71"/>
      <c r="O468" s="71"/>
      <c r="R468" s="71"/>
      <c r="T468" s="71"/>
      <c r="U468" s="71"/>
    </row>
    <row r="469" spans="3:21" x14ac:dyDescent="0.2">
      <c r="C469" s="71"/>
      <c r="D469" s="71"/>
      <c r="E469" s="71"/>
      <c r="F469" s="71"/>
      <c r="G469" s="71"/>
      <c r="H469" s="71"/>
      <c r="I469" s="71"/>
      <c r="J469" s="71"/>
      <c r="K469" s="71"/>
      <c r="L469" s="71"/>
      <c r="M469" s="71"/>
      <c r="N469" s="71"/>
      <c r="O469" s="71"/>
      <c r="R469" s="71"/>
      <c r="T469" s="71"/>
      <c r="U469" s="71"/>
    </row>
    <row r="470" spans="3:21" x14ac:dyDescent="0.2">
      <c r="C470" s="71"/>
      <c r="D470" s="71"/>
      <c r="E470" s="71"/>
      <c r="F470" s="71"/>
      <c r="G470" s="71"/>
      <c r="H470" s="71"/>
      <c r="I470" s="71"/>
      <c r="J470" s="71"/>
      <c r="K470" s="71"/>
      <c r="L470" s="71"/>
      <c r="M470" s="71"/>
      <c r="N470" s="71"/>
      <c r="O470" s="71"/>
      <c r="R470" s="71"/>
      <c r="T470" s="71"/>
      <c r="U470" s="71"/>
    </row>
    <row r="471" spans="3:21" x14ac:dyDescent="0.2">
      <c r="C471" s="71"/>
      <c r="D471" s="71"/>
      <c r="E471" s="71"/>
      <c r="F471" s="71"/>
      <c r="G471" s="71"/>
      <c r="H471" s="71"/>
      <c r="I471" s="71"/>
      <c r="J471" s="71"/>
      <c r="K471" s="71"/>
      <c r="L471" s="71"/>
      <c r="M471" s="71"/>
      <c r="N471" s="71"/>
      <c r="O471" s="71"/>
      <c r="R471" s="71"/>
      <c r="T471" s="71"/>
      <c r="U471" s="71"/>
    </row>
    <row r="472" spans="3:21" x14ac:dyDescent="0.2">
      <c r="C472" s="71"/>
      <c r="D472" s="71"/>
      <c r="E472" s="71"/>
      <c r="F472" s="71"/>
      <c r="G472" s="71"/>
      <c r="H472" s="71"/>
      <c r="I472" s="71"/>
      <c r="J472" s="71"/>
      <c r="K472" s="71"/>
      <c r="L472" s="71"/>
      <c r="M472" s="71"/>
      <c r="N472" s="71"/>
      <c r="O472" s="71"/>
      <c r="R472" s="71"/>
      <c r="T472" s="71"/>
      <c r="U472" s="71"/>
    </row>
    <row r="473" spans="3:21" x14ac:dyDescent="0.2">
      <c r="C473" s="71"/>
      <c r="D473" s="71"/>
      <c r="E473" s="71"/>
      <c r="F473" s="71"/>
      <c r="G473" s="71"/>
      <c r="H473" s="71"/>
      <c r="I473" s="71"/>
      <c r="J473" s="71"/>
      <c r="K473" s="71"/>
      <c r="L473" s="71"/>
      <c r="M473" s="71"/>
      <c r="N473" s="71"/>
      <c r="O473" s="71"/>
      <c r="R473" s="71"/>
      <c r="T473" s="71"/>
      <c r="U473" s="71"/>
    </row>
    <row r="474" spans="3:21" x14ac:dyDescent="0.2">
      <c r="C474" s="71"/>
      <c r="D474" s="71"/>
      <c r="E474" s="71"/>
      <c r="F474" s="71"/>
      <c r="G474" s="71"/>
      <c r="H474" s="71"/>
      <c r="I474" s="71"/>
      <c r="J474" s="71"/>
      <c r="K474" s="71"/>
      <c r="L474" s="71"/>
      <c r="M474" s="71"/>
      <c r="N474" s="71"/>
      <c r="O474" s="71"/>
      <c r="R474" s="71"/>
      <c r="T474" s="71"/>
      <c r="U474" s="71"/>
    </row>
    <row r="475" spans="3:21" x14ac:dyDescent="0.2">
      <c r="C475" s="71"/>
      <c r="D475" s="71"/>
      <c r="E475" s="71"/>
      <c r="F475" s="71"/>
      <c r="G475" s="71"/>
      <c r="H475" s="71"/>
      <c r="I475" s="71"/>
      <c r="J475" s="71"/>
      <c r="K475" s="71"/>
      <c r="L475" s="71"/>
      <c r="M475" s="71"/>
      <c r="N475" s="71"/>
      <c r="O475" s="71"/>
      <c r="R475" s="71"/>
      <c r="T475" s="71"/>
      <c r="U475" s="71"/>
    </row>
    <row r="476" spans="3:21" x14ac:dyDescent="0.2">
      <c r="C476" s="71"/>
      <c r="D476" s="71"/>
      <c r="E476" s="71"/>
      <c r="F476" s="71"/>
      <c r="G476" s="71"/>
      <c r="H476" s="71"/>
      <c r="I476" s="71"/>
      <c r="J476" s="71"/>
      <c r="K476" s="71"/>
      <c r="L476" s="71"/>
      <c r="M476" s="71"/>
      <c r="N476" s="71"/>
      <c r="O476" s="71"/>
      <c r="R476" s="71"/>
      <c r="T476" s="71"/>
      <c r="U476" s="71"/>
    </row>
    <row r="477" spans="3:21" x14ac:dyDescent="0.2">
      <c r="C477" s="71"/>
      <c r="D477" s="71"/>
      <c r="E477" s="71"/>
      <c r="F477" s="71"/>
      <c r="G477" s="71"/>
      <c r="H477" s="71"/>
      <c r="I477" s="71"/>
      <c r="J477" s="71"/>
      <c r="K477" s="71"/>
      <c r="L477" s="71"/>
      <c r="M477" s="71"/>
      <c r="N477" s="71"/>
      <c r="O477" s="71"/>
      <c r="R477" s="71"/>
      <c r="T477" s="71"/>
      <c r="U477" s="71"/>
    </row>
    <row r="478" spans="3:21" x14ac:dyDescent="0.2">
      <c r="C478" s="71"/>
      <c r="D478" s="71"/>
      <c r="E478" s="71"/>
      <c r="F478" s="71"/>
      <c r="G478" s="71"/>
      <c r="H478" s="71"/>
      <c r="I478" s="71"/>
      <c r="J478" s="71"/>
      <c r="K478" s="71"/>
      <c r="L478" s="71"/>
      <c r="M478" s="71"/>
      <c r="N478" s="71"/>
      <c r="O478" s="71"/>
      <c r="R478" s="71"/>
      <c r="T478" s="71"/>
      <c r="U478" s="71"/>
    </row>
    <row r="479" spans="3:21" x14ac:dyDescent="0.2">
      <c r="C479" s="71"/>
      <c r="D479" s="71"/>
      <c r="E479" s="71"/>
      <c r="F479" s="71"/>
      <c r="G479" s="71"/>
      <c r="H479" s="71"/>
      <c r="I479" s="71"/>
      <c r="J479" s="71"/>
      <c r="K479" s="71"/>
      <c r="L479" s="71"/>
      <c r="M479" s="71"/>
      <c r="N479" s="71"/>
      <c r="O479" s="71"/>
      <c r="R479" s="71"/>
      <c r="T479" s="71"/>
      <c r="U479" s="71"/>
    </row>
    <row r="480" spans="3:21" x14ac:dyDescent="0.2">
      <c r="C480" s="71"/>
      <c r="D480" s="71"/>
      <c r="E480" s="71"/>
      <c r="F480" s="71"/>
      <c r="G480" s="71"/>
      <c r="H480" s="71"/>
      <c r="I480" s="71"/>
      <c r="J480" s="71"/>
      <c r="K480" s="71"/>
      <c r="L480" s="71"/>
      <c r="M480" s="71"/>
      <c r="N480" s="71"/>
      <c r="O480" s="71"/>
      <c r="R480" s="71"/>
      <c r="T480" s="71"/>
      <c r="U480" s="71"/>
    </row>
    <row r="481" spans="3:21" x14ac:dyDescent="0.2">
      <c r="C481" s="71"/>
      <c r="D481" s="71"/>
      <c r="E481" s="71"/>
      <c r="F481" s="71"/>
      <c r="G481" s="71"/>
      <c r="H481" s="71"/>
      <c r="I481" s="71"/>
      <c r="J481" s="71"/>
      <c r="K481" s="71"/>
      <c r="L481" s="71"/>
      <c r="M481" s="71"/>
      <c r="N481" s="71"/>
      <c r="O481" s="71"/>
      <c r="R481" s="71"/>
      <c r="T481" s="71"/>
      <c r="U481" s="71"/>
    </row>
    <row r="482" spans="3:21" x14ac:dyDescent="0.2">
      <c r="C482" s="71"/>
      <c r="D482" s="71"/>
      <c r="E482" s="71"/>
      <c r="F482" s="71"/>
      <c r="G482" s="71"/>
      <c r="H482" s="71"/>
      <c r="I482" s="71"/>
      <c r="J482" s="71"/>
      <c r="K482" s="71"/>
      <c r="L482" s="71"/>
      <c r="M482" s="71"/>
      <c r="N482" s="71"/>
      <c r="O482" s="71"/>
      <c r="R482" s="71"/>
      <c r="T482" s="71"/>
      <c r="U482" s="71"/>
    </row>
    <row r="483" spans="3:21" x14ac:dyDescent="0.2">
      <c r="C483" s="71"/>
      <c r="D483" s="71"/>
      <c r="E483" s="71"/>
      <c r="F483" s="71"/>
      <c r="G483" s="71"/>
      <c r="H483" s="71"/>
      <c r="I483" s="71"/>
      <c r="J483" s="71"/>
      <c r="K483" s="71"/>
      <c r="L483" s="71"/>
      <c r="M483" s="71"/>
      <c r="N483" s="71"/>
      <c r="O483" s="71"/>
      <c r="R483" s="71"/>
      <c r="T483" s="71"/>
      <c r="U483" s="71"/>
    </row>
    <row r="484" spans="3:21" x14ac:dyDescent="0.2">
      <c r="C484" s="71"/>
      <c r="D484" s="71"/>
      <c r="E484" s="71"/>
      <c r="F484" s="71"/>
      <c r="G484" s="71"/>
      <c r="H484" s="71"/>
      <c r="I484" s="71"/>
      <c r="J484" s="71"/>
      <c r="K484" s="71"/>
      <c r="L484" s="71"/>
      <c r="M484" s="71"/>
      <c r="N484" s="71"/>
      <c r="O484" s="71"/>
      <c r="R484" s="71"/>
      <c r="T484" s="71"/>
      <c r="U484" s="71"/>
    </row>
    <row r="485" spans="3:21" x14ac:dyDescent="0.2">
      <c r="C485" s="71"/>
      <c r="D485" s="71"/>
      <c r="E485" s="71"/>
      <c r="F485" s="71"/>
      <c r="G485" s="71"/>
      <c r="H485" s="71"/>
      <c r="I485" s="71"/>
      <c r="J485" s="71"/>
      <c r="K485" s="71"/>
      <c r="L485" s="71"/>
      <c r="M485" s="71"/>
      <c r="N485" s="71"/>
      <c r="O485" s="71"/>
      <c r="R485" s="71"/>
      <c r="T485" s="71"/>
      <c r="U485" s="71"/>
    </row>
    <row r="486" spans="3:21" x14ac:dyDescent="0.2">
      <c r="C486" s="71"/>
      <c r="D486" s="71"/>
      <c r="E486" s="71"/>
      <c r="F486" s="71"/>
      <c r="G486" s="71"/>
      <c r="H486" s="71"/>
      <c r="I486" s="71"/>
      <c r="J486" s="71"/>
      <c r="K486" s="71"/>
      <c r="L486" s="71"/>
      <c r="M486" s="71"/>
      <c r="N486" s="71"/>
      <c r="O486" s="71"/>
      <c r="R486" s="71"/>
      <c r="T486" s="71"/>
      <c r="U486" s="71"/>
    </row>
    <row r="487" spans="3:21" x14ac:dyDescent="0.2">
      <c r="C487" s="71"/>
      <c r="D487" s="71"/>
      <c r="E487" s="71"/>
      <c r="F487" s="71"/>
      <c r="G487" s="71"/>
      <c r="H487" s="71"/>
      <c r="I487" s="71"/>
      <c r="J487" s="71"/>
      <c r="K487" s="71"/>
      <c r="L487" s="71"/>
      <c r="M487" s="71"/>
      <c r="N487" s="71"/>
      <c r="O487" s="71"/>
      <c r="R487" s="71"/>
      <c r="T487" s="71"/>
      <c r="U487" s="71"/>
    </row>
    <row r="488" spans="3:21" x14ac:dyDescent="0.2">
      <c r="C488" s="71"/>
      <c r="D488" s="71"/>
      <c r="E488" s="71"/>
      <c r="F488" s="71"/>
      <c r="G488" s="71"/>
      <c r="H488" s="71"/>
      <c r="I488" s="71"/>
      <c r="J488" s="71"/>
      <c r="K488" s="71"/>
      <c r="L488" s="71"/>
      <c r="M488" s="71"/>
      <c r="N488" s="71"/>
      <c r="O488" s="71"/>
      <c r="R488" s="71"/>
      <c r="T488" s="71"/>
      <c r="U488" s="71"/>
    </row>
    <row r="489" spans="3:21" x14ac:dyDescent="0.2">
      <c r="C489" s="71"/>
      <c r="D489" s="71"/>
      <c r="E489" s="71"/>
      <c r="F489" s="71"/>
      <c r="G489" s="71"/>
      <c r="H489" s="71"/>
      <c r="I489" s="71"/>
      <c r="J489" s="71"/>
      <c r="K489" s="71"/>
      <c r="L489" s="71"/>
      <c r="M489" s="71"/>
      <c r="N489" s="71"/>
      <c r="O489" s="71"/>
      <c r="R489" s="71"/>
      <c r="T489" s="71"/>
      <c r="U489" s="71"/>
    </row>
    <row r="490" spans="3:21" x14ac:dyDescent="0.2">
      <c r="C490" s="71"/>
      <c r="D490" s="71"/>
      <c r="E490" s="71"/>
      <c r="F490" s="71"/>
      <c r="G490" s="71"/>
      <c r="H490" s="71"/>
      <c r="I490" s="71"/>
      <c r="J490" s="71"/>
      <c r="K490" s="71"/>
      <c r="L490" s="71"/>
      <c r="M490" s="71"/>
      <c r="N490" s="71"/>
      <c r="O490" s="71"/>
      <c r="R490" s="71"/>
      <c r="T490" s="71"/>
      <c r="U490" s="71"/>
    </row>
    <row r="491" spans="3:21" x14ac:dyDescent="0.2">
      <c r="C491" s="71"/>
      <c r="D491" s="71"/>
      <c r="E491" s="71"/>
      <c r="F491" s="71"/>
      <c r="G491" s="71"/>
      <c r="H491" s="71"/>
      <c r="I491" s="71"/>
      <c r="J491" s="71"/>
      <c r="K491" s="71"/>
      <c r="L491" s="71"/>
      <c r="M491" s="71"/>
      <c r="N491" s="71"/>
      <c r="O491" s="71"/>
      <c r="R491" s="71"/>
      <c r="T491" s="71"/>
      <c r="U491" s="71"/>
    </row>
    <row r="492" spans="3:21" x14ac:dyDescent="0.2">
      <c r="C492" s="71"/>
      <c r="D492" s="71"/>
      <c r="E492" s="71"/>
      <c r="F492" s="71"/>
      <c r="G492" s="71"/>
      <c r="H492" s="71"/>
      <c r="I492" s="71"/>
      <c r="J492" s="71"/>
      <c r="K492" s="71"/>
      <c r="L492" s="71"/>
      <c r="M492" s="71"/>
      <c r="N492" s="71"/>
      <c r="O492" s="71"/>
      <c r="R492" s="71"/>
      <c r="T492" s="71"/>
      <c r="U492" s="71"/>
    </row>
    <row r="493" spans="3:21" x14ac:dyDescent="0.2">
      <c r="C493" s="71"/>
      <c r="D493" s="71"/>
      <c r="E493" s="71"/>
      <c r="F493" s="71"/>
      <c r="G493" s="71"/>
      <c r="H493" s="71"/>
      <c r="I493" s="71"/>
      <c r="J493" s="71"/>
      <c r="K493" s="71"/>
      <c r="L493" s="71"/>
      <c r="M493" s="71"/>
      <c r="N493" s="71"/>
      <c r="O493" s="71"/>
      <c r="R493" s="71"/>
      <c r="T493" s="71"/>
      <c r="U493" s="71"/>
    </row>
    <row r="494" spans="3:21" x14ac:dyDescent="0.2">
      <c r="C494" s="71"/>
      <c r="D494" s="71"/>
      <c r="E494" s="71"/>
      <c r="F494" s="71"/>
      <c r="G494" s="71"/>
      <c r="H494" s="71"/>
      <c r="I494" s="71"/>
      <c r="J494" s="71"/>
      <c r="K494" s="71"/>
      <c r="L494" s="71"/>
      <c r="M494" s="71"/>
      <c r="N494" s="71"/>
      <c r="O494" s="71"/>
      <c r="R494" s="71"/>
      <c r="T494" s="71"/>
      <c r="U494" s="71"/>
    </row>
    <row r="495" spans="3:21" x14ac:dyDescent="0.2">
      <c r="C495" s="71"/>
      <c r="D495" s="71"/>
      <c r="E495" s="71"/>
      <c r="F495" s="71"/>
      <c r="G495" s="71"/>
      <c r="H495" s="71"/>
      <c r="I495" s="71"/>
      <c r="J495" s="71"/>
      <c r="K495" s="71"/>
      <c r="L495" s="71"/>
      <c r="M495" s="71"/>
      <c r="N495" s="71"/>
      <c r="O495" s="71"/>
      <c r="R495" s="71"/>
      <c r="T495" s="71"/>
      <c r="U495" s="71"/>
    </row>
    <row r="496" spans="3:21" x14ac:dyDescent="0.2">
      <c r="C496" s="71"/>
      <c r="D496" s="71"/>
      <c r="E496" s="71"/>
      <c r="F496" s="71"/>
      <c r="G496" s="71"/>
      <c r="H496" s="71"/>
      <c r="I496" s="71"/>
      <c r="J496" s="71"/>
      <c r="K496" s="71"/>
      <c r="L496" s="71"/>
      <c r="M496" s="71"/>
      <c r="N496" s="71"/>
      <c r="O496" s="71"/>
      <c r="R496" s="71"/>
      <c r="T496" s="71"/>
      <c r="U496" s="71"/>
    </row>
    <row r="497" spans="3:21" x14ac:dyDescent="0.2">
      <c r="C497" s="71"/>
      <c r="D497" s="71"/>
      <c r="E497" s="71"/>
      <c r="F497" s="71"/>
      <c r="G497" s="71"/>
      <c r="H497" s="71"/>
      <c r="I497" s="71"/>
      <c r="J497" s="71"/>
      <c r="K497" s="71"/>
      <c r="L497" s="71"/>
      <c r="M497" s="71"/>
      <c r="N497" s="71"/>
      <c r="O497" s="71"/>
      <c r="R497" s="71"/>
      <c r="T497" s="71"/>
      <c r="U497" s="71"/>
    </row>
    <row r="498" spans="3:21" x14ac:dyDescent="0.2">
      <c r="C498" s="71"/>
      <c r="D498" s="71"/>
      <c r="E498" s="71"/>
      <c r="F498" s="71"/>
      <c r="G498" s="71"/>
      <c r="H498" s="71"/>
      <c r="I498" s="71"/>
      <c r="J498" s="71"/>
      <c r="K498" s="71"/>
      <c r="L498" s="71"/>
      <c r="M498" s="71"/>
      <c r="N498" s="71"/>
      <c r="O498" s="71"/>
      <c r="R498" s="71"/>
      <c r="T498" s="71"/>
      <c r="U498" s="71"/>
    </row>
    <row r="499" spans="3:21" x14ac:dyDescent="0.2">
      <c r="C499" s="71"/>
      <c r="D499" s="71"/>
      <c r="E499" s="71"/>
      <c r="F499" s="71"/>
      <c r="G499" s="71"/>
      <c r="H499" s="71"/>
      <c r="I499" s="71"/>
      <c r="J499" s="71"/>
      <c r="K499" s="71"/>
      <c r="L499" s="71"/>
      <c r="M499" s="71"/>
      <c r="N499" s="71"/>
      <c r="O499" s="71"/>
      <c r="R499" s="71"/>
      <c r="T499" s="71"/>
      <c r="U499" s="71"/>
    </row>
    <row r="500" spans="3:21" x14ac:dyDescent="0.2">
      <c r="C500" s="71"/>
      <c r="D500" s="71"/>
      <c r="E500" s="71"/>
      <c r="F500" s="71"/>
      <c r="G500" s="71"/>
      <c r="H500" s="71"/>
      <c r="I500" s="71"/>
      <c r="J500" s="71"/>
      <c r="K500" s="71"/>
      <c r="L500" s="71"/>
      <c r="M500" s="71"/>
      <c r="N500" s="71"/>
      <c r="O500" s="71"/>
      <c r="R500" s="71"/>
      <c r="T500" s="71"/>
      <c r="U500" s="71"/>
    </row>
    <row r="501" spans="3:21" x14ac:dyDescent="0.2">
      <c r="C501" s="71"/>
      <c r="D501" s="71"/>
      <c r="E501" s="71"/>
      <c r="F501" s="71"/>
      <c r="G501" s="71"/>
      <c r="H501" s="71"/>
      <c r="I501" s="71"/>
      <c r="J501" s="71"/>
      <c r="K501" s="71"/>
      <c r="L501" s="71"/>
      <c r="M501" s="71"/>
      <c r="N501" s="71"/>
      <c r="O501" s="71"/>
      <c r="R501" s="71"/>
      <c r="T501" s="71"/>
      <c r="U501" s="71"/>
    </row>
    <row r="502" spans="3:21" x14ac:dyDescent="0.2">
      <c r="C502" s="71"/>
      <c r="D502" s="71"/>
      <c r="E502" s="71"/>
      <c r="F502" s="71"/>
      <c r="G502" s="71"/>
      <c r="H502" s="71"/>
      <c r="I502" s="71"/>
      <c r="J502" s="71"/>
      <c r="K502" s="71"/>
      <c r="L502" s="71"/>
      <c r="M502" s="71"/>
      <c r="N502" s="71"/>
      <c r="O502" s="71"/>
      <c r="R502" s="71"/>
      <c r="T502" s="71"/>
      <c r="U502" s="71"/>
    </row>
    <row r="503" spans="3:21" x14ac:dyDescent="0.2">
      <c r="C503" s="71"/>
      <c r="D503" s="71"/>
      <c r="E503" s="71"/>
      <c r="F503" s="71"/>
      <c r="G503" s="71"/>
      <c r="H503" s="71"/>
      <c r="I503" s="71"/>
      <c r="J503" s="71"/>
      <c r="K503" s="71"/>
      <c r="L503" s="71"/>
      <c r="M503" s="71"/>
      <c r="N503" s="71"/>
      <c r="O503" s="71"/>
      <c r="R503" s="71"/>
      <c r="T503" s="71"/>
      <c r="U503" s="71"/>
    </row>
    <row r="504" spans="3:21" x14ac:dyDescent="0.2">
      <c r="C504" s="71"/>
      <c r="D504" s="71"/>
      <c r="E504" s="71"/>
      <c r="F504" s="71"/>
      <c r="G504" s="71"/>
      <c r="H504" s="71"/>
      <c r="I504" s="71"/>
      <c r="J504" s="71"/>
      <c r="K504" s="71"/>
      <c r="L504" s="71"/>
      <c r="M504" s="71"/>
      <c r="N504" s="71"/>
      <c r="O504" s="71"/>
      <c r="R504" s="71"/>
      <c r="T504" s="71"/>
      <c r="U504" s="71"/>
    </row>
    <row r="505" spans="3:21" x14ac:dyDescent="0.2">
      <c r="C505" s="71"/>
      <c r="D505" s="71"/>
      <c r="E505" s="71"/>
      <c r="F505" s="71"/>
      <c r="G505" s="71"/>
      <c r="H505" s="71"/>
      <c r="I505" s="71"/>
      <c r="J505" s="71"/>
      <c r="K505" s="71"/>
      <c r="L505" s="71"/>
      <c r="M505" s="71"/>
      <c r="N505" s="71"/>
      <c r="O505" s="71"/>
      <c r="R505" s="71"/>
      <c r="T505" s="71"/>
      <c r="U505" s="71"/>
    </row>
    <row r="506" spans="3:21" x14ac:dyDescent="0.2">
      <c r="C506" s="71"/>
      <c r="D506" s="71"/>
      <c r="E506" s="71"/>
      <c r="F506" s="71"/>
      <c r="G506" s="71"/>
      <c r="H506" s="71"/>
      <c r="I506" s="71"/>
      <c r="J506" s="71"/>
      <c r="K506" s="71"/>
      <c r="L506" s="71"/>
      <c r="M506" s="71"/>
      <c r="N506" s="71"/>
      <c r="O506" s="71"/>
      <c r="R506" s="71"/>
      <c r="T506" s="71"/>
      <c r="U506" s="71"/>
    </row>
    <row r="507" spans="3:21" x14ac:dyDescent="0.2">
      <c r="C507" s="71"/>
      <c r="D507" s="71"/>
      <c r="E507" s="71"/>
      <c r="F507" s="71"/>
      <c r="G507" s="71"/>
      <c r="H507" s="71"/>
      <c r="I507" s="71"/>
      <c r="J507" s="71"/>
      <c r="K507" s="71"/>
      <c r="L507" s="71"/>
      <c r="M507" s="71"/>
      <c r="N507" s="71"/>
      <c r="O507" s="71"/>
      <c r="R507" s="71"/>
      <c r="T507" s="71"/>
      <c r="U507" s="71"/>
    </row>
    <row r="508" spans="3:21" x14ac:dyDescent="0.2">
      <c r="C508" s="71"/>
      <c r="D508" s="71"/>
      <c r="E508" s="71"/>
      <c r="F508" s="71"/>
      <c r="G508" s="71"/>
      <c r="H508" s="71"/>
      <c r="I508" s="71"/>
      <c r="J508" s="71"/>
      <c r="K508" s="71"/>
      <c r="L508" s="71"/>
      <c r="M508" s="71"/>
      <c r="N508" s="71"/>
      <c r="O508" s="71"/>
      <c r="R508" s="71"/>
      <c r="T508" s="71"/>
      <c r="U508" s="71"/>
    </row>
    <row r="509" spans="3:21" x14ac:dyDescent="0.2">
      <c r="C509" s="71"/>
      <c r="D509" s="71"/>
      <c r="E509" s="71"/>
      <c r="F509" s="71"/>
      <c r="G509" s="71"/>
      <c r="H509" s="71"/>
      <c r="I509" s="71"/>
      <c r="J509" s="71"/>
      <c r="K509" s="71"/>
      <c r="L509" s="71"/>
      <c r="M509" s="71"/>
      <c r="N509" s="71"/>
      <c r="O509" s="71"/>
      <c r="R509" s="71"/>
      <c r="T509" s="71"/>
      <c r="U509" s="71"/>
    </row>
    <row r="510" spans="3:21" x14ac:dyDescent="0.2">
      <c r="C510" s="71"/>
      <c r="D510" s="71"/>
      <c r="E510" s="71"/>
      <c r="F510" s="71"/>
      <c r="G510" s="71"/>
      <c r="H510" s="71"/>
      <c r="I510" s="71"/>
      <c r="J510" s="71"/>
      <c r="K510" s="71"/>
      <c r="L510" s="71"/>
      <c r="M510" s="71"/>
      <c r="N510" s="71"/>
      <c r="O510" s="71"/>
      <c r="R510" s="71"/>
      <c r="T510" s="71"/>
      <c r="U510" s="71"/>
    </row>
    <row r="511" spans="3:21" x14ac:dyDescent="0.2">
      <c r="C511" s="71"/>
      <c r="D511" s="71"/>
      <c r="E511" s="71"/>
      <c r="F511" s="71"/>
      <c r="G511" s="71"/>
      <c r="H511" s="71"/>
      <c r="I511" s="71"/>
      <c r="J511" s="71"/>
      <c r="K511" s="71"/>
      <c r="L511" s="71"/>
      <c r="M511" s="71"/>
      <c r="N511" s="71"/>
      <c r="O511" s="71"/>
      <c r="R511" s="71"/>
      <c r="T511" s="71"/>
      <c r="U511" s="71"/>
    </row>
    <row r="512" spans="3:21" x14ac:dyDescent="0.2">
      <c r="C512" s="71"/>
      <c r="D512" s="71"/>
      <c r="E512" s="71"/>
      <c r="F512" s="71"/>
      <c r="G512" s="71"/>
      <c r="H512" s="71"/>
      <c r="I512" s="71"/>
      <c r="J512" s="71"/>
      <c r="K512" s="71"/>
      <c r="L512" s="71"/>
      <c r="M512" s="71"/>
      <c r="N512" s="71"/>
      <c r="O512" s="71"/>
      <c r="R512" s="71"/>
      <c r="T512" s="71"/>
      <c r="U512" s="71"/>
    </row>
    <row r="513" spans="3:21" x14ac:dyDescent="0.2">
      <c r="C513" s="71"/>
      <c r="D513" s="71"/>
      <c r="E513" s="71"/>
      <c r="F513" s="71"/>
      <c r="G513" s="71"/>
      <c r="H513" s="71"/>
      <c r="I513" s="71"/>
      <c r="J513" s="71"/>
      <c r="K513" s="71"/>
      <c r="L513" s="71"/>
      <c r="M513" s="71"/>
      <c r="N513" s="71"/>
      <c r="O513" s="71"/>
      <c r="R513" s="71"/>
      <c r="T513" s="71"/>
      <c r="U513" s="71"/>
    </row>
    <row r="514" spans="3:21" x14ac:dyDescent="0.2">
      <c r="C514" s="71"/>
      <c r="D514" s="71"/>
      <c r="E514" s="71"/>
      <c r="F514" s="71"/>
      <c r="G514" s="71"/>
      <c r="H514" s="71"/>
      <c r="I514" s="71"/>
      <c r="J514" s="71"/>
      <c r="K514" s="71"/>
      <c r="L514" s="71"/>
      <c r="M514" s="71"/>
      <c r="N514" s="71"/>
      <c r="O514" s="71"/>
      <c r="R514" s="71"/>
      <c r="T514" s="71"/>
      <c r="U514" s="71"/>
    </row>
    <row r="515" spans="3:21" x14ac:dyDescent="0.2">
      <c r="C515" s="71"/>
      <c r="D515" s="71"/>
      <c r="E515" s="71"/>
      <c r="F515" s="71"/>
      <c r="G515" s="71"/>
      <c r="H515" s="71"/>
      <c r="I515" s="71"/>
      <c r="J515" s="71"/>
      <c r="K515" s="71"/>
      <c r="L515" s="71"/>
      <c r="M515" s="71"/>
      <c r="N515" s="71"/>
      <c r="O515" s="71"/>
      <c r="R515" s="71"/>
      <c r="T515" s="71"/>
      <c r="U515" s="71"/>
    </row>
    <row r="516" spans="3:21" x14ac:dyDescent="0.2">
      <c r="C516" s="71"/>
      <c r="D516" s="71"/>
      <c r="E516" s="71"/>
      <c r="F516" s="71"/>
      <c r="G516" s="71"/>
      <c r="H516" s="71"/>
      <c r="I516" s="71"/>
      <c r="J516" s="71"/>
      <c r="K516" s="71"/>
      <c r="L516" s="71"/>
      <c r="M516" s="71"/>
      <c r="N516" s="71"/>
      <c r="O516" s="71"/>
      <c r="R516" s="71"/>
      <c r="T516" s="71"/>
      <c r="U516" s="71"/>
    </row>
    <row r="517" spans="3:21" x14ac:dyDescent="0.2">
      <c r="C517" s="71"/>
      <c r="D517" s="71"/>
      <c r="E517" s="71"/>
      <c r="F517" s="71"/>
      <c r="G517" s="71"/>
      <c r="H517" s="71"/>
      <c r="I517" s="71"/>
      <c r="J517" s="71"/>
      <c r="K517" s="71"/>
      <c r="L517" s="71"/>
      <c r="M517" s="71"/>
      <c r="N517" s="71"/>
      <c r="O517" s="71"/>
      <c r="R517" s="71"/>
      <c r="T517" s="71"/>
      <c r="U517" s="71"/>
    </row>
    <row r="518" spans="3:21" x14ac:dyDescent="0.2">
      <c r="C518" s="71"/>
      <c r="D518" s="71"/>
      <c r="E518" s="71"/>
      <c r="F518" s="71"/>
      <c r="G518" s="71"/>
      <c r="H518" s="71"/>
      <c r="I518" s="71"/>
      <c r="J518" s="71"/>
      <c r="K518" s="71"/>
      <c r="L518" s="71"/>
      <c r="M518" s="71"/>
      <c r="N518" s="71"/>
      <c r="O518" s="71"/>
      <c r="R518" s="71"/>
      <c r="T518" s="71"/>
      <c r="U518" s="71"/>
    </row>
    <row r="519" spans="3:21" x14ac:dyDescent="0.2">
      <c r="C519" s="71"/>
      <c r="D519" s="71"/>
      <c r="E519" s="71"/>
      <c r="F519" s="71"/>
      <c r="G519" s="71"/>
      <c r="H519" s="71"/>
      <c r="I519" s="71"/>
      <c r="J519" s="71"/>
      <c r="K519" s="71"/>
      <c r="L519" s="71"/>
      <c r="M519" s="71"/>
      <c r="N519" s="71"/>
      <c r="O519" s="71"/>
      <c r="R519" s="71"/>
      <c r="T519" s="71"/>
      <c r="U519" s="71"/>
    </row>
    <row r="520" spans="3:21" x14ac:dyDescent="0.2">
      <c r="C520" s="71"/>
      <c r="D520" s="71"/>
      <c r="E520" s="71"/>
      <c r="F520" s="71"/>
      <c r="G520" s="71"/>
      <c r="H520" s="71"/>
      <c r="I520" s="71"/>
      <c r="J520" s="71"/>
      <c r="K520" s="71"/>
      <c r="L520" s="71"/>
      <c r="M520" s="71"/>
      <c r="N520" s="71"/>
      <c r="O520" s="71"/>
      <c r="R520" s="71"/>
      <c r="T520" s="71"/>
      <c r="U520" s="71"/>
    </row>
    <row r="521" spans="3:21" x14ac:dyDescent="0.2">
      <c r="C521" s="71"/>
      <c r="D521" s="71"/>
      <c r="E521" s="71"/>
      <c r="F521" s="71"/>
      <c r="G521" s="71"/>
      <c r="H521" s="71"/>
      <c r="I521" s="71"/>
      <c r="J521" s="71"/>
      <c r="K521" s="71"/>
      <c r="L521" s="71"/>
      <c r="M521" s="71"/>
      <c r="N521" s="71"/>
      <c r="O521" s="71"/>
      <c r="R521" s="71"/>
      <c r="T521" s="71"/>
      <c r="U521" s="71"/>
    </row>
    <row r="522" spans="3:21" x14ac:dyDescent="0.2">
      <c r="C522" s="71"/>
      <c r="D522" s="71"/>
      <c r="E522" s="71"/>
      <c r="F522" s="71"/>
      <c r="G522" s="71"/>
      <c r="H522" s="71"/>
      <c r="I522" s="71"/>
      <c r="J522" s="71"/>
      <c r="K522" s="71"/>
      <c r="L522" s="71"/>
      <c r="M522" s="71"/>
      <c r="N522" s="71"/>
      <c r="O522" s="71"/>
      <c r="R522" s="71"/>
      <c r="T522" s="71"/>
      <c r="U522" s="71"/>
    </row>
    <row r="523" spans="3:21" x14ac:dyDescent="0.2">
      <c r="C523" s="71"/>
      <c r="D523" s="71"/>
      <c r="E523" s="71"/>
      <c r="F523" s="71"/>
      <c r="G523" s="71"/>
      <c r="H523" s="71"/>
      <c r="I523" s="71"/>
      <c r="J523" s="71"/>
      <c r="K523" s="71"/>
      <c r="L523" s="71"/>
      <c r="M523" s="71"/>
      <c r="N523" s="71"/>
      <c r="O523" s="71"/>
      <c r="R523" s="71"/>
      <c r="T523" s="71"/>
      <c r="U523" s="71"/>
    </row>
    <row r="524" spans="3:21" x14ac:dyDescent="0.2">
      <c r="C524" s="71"/>
      <c r="D524" s="71"/>
      <c r="E524" s="71"/>
      <c r="F524" s="71"/>
      <c r="G524" s="71"/>
      <c r="H524" s="71"/>
      <c r="I524" s="71"/>
      <c r="J524" s="71"/>
      <c r="K524" s="71"/>
      <c r="L524" s="71"/>
      <c r="M524" s="71"/>
      <c r="N524" s="71"/>
      <c r="O524" s="71"/>
      <c r="R524" s="71"/>
      <c r="T524" s="71"/>
      <c r="U524" s="71"/>
    </row>
    <row r="525" spans="3:21" x14ac:dyDescent="0.2">
      <c r="C525" s="71"/>
      <c r="D525" s="71"/>
      <c r="E525" s="71"/>
      <c r="F525" s="71"/>
      <c r="G525" s="71"/>
      <c r="H525" s="71"/>
      <c r="I525" s="71"/>
      <c r="J525" s="71"/>
      <c r="K525" s="71"/>
      <c r="L525" s="71"/>
      <c r="M525" s="71"/>
      <c r="N525" s="71"/>
      <c r="O525" s="71"/>
      <c r="R525" s="71"/>
      <c r="T525" s="71"/>
      <c r="U525" s="71"/>
    </row>
    <row r="526" spans="3:21" x14ac:dyDescent="0.2">
      <c r="C526" s="71"/>
      <c r="D526" s="71"/>
      <c r="E526" s="71"/>
      <c r="F526" s="71"/>
      <c r="G526" s="71"/>
      <c r="H526" s="71"/>
      <c r="I526" s="71"/>
      <c r="J526" s="71"/>
      <c r="K526" s="71"/>
      <c r="L526" s="71"/>
      <c r="M526" s="71"/>
      <c r="N526" s="71"/>
      <c r="O526" s="71"/>
      <c r="R526" s="71"/>
      <c r="T526" s="71"/>
      <c r="U526" s="71"/>
    </row>
    <row r="527" spans="3:21" x14ac:dyDescent="0.2">
      <c r="C527" s="71"/>
      <c r="D527" s="71"/>
      <c r="E527" s="71"/>
      <c r="F527" s="71"/>
      <c r="G527" s="71"/>
      <c r="H527" s="71"/>
      <c r="I527" s="71"/>
      <c r="J527" s="71"/>
      <c r="K527" s="71"/>
      <c r="L527" s="71"/>
      <c r="M527" s="71"/>
      <c r="N527" s="71"/>
      <c r="O527" s="71"/>
      <c r="R527" s="71"/>
      <c r="T527" s="71"/>
      <c r="U527" s="71"/>
    </row>
    <row r="528" spans="3:21" x14ac:dyDescent="0.2">
      <c r="C528" s="71"/>
      <c r="D528" s="71"/>
      <c r="E528" s="71"/>
      <c r="F528" s="71"/>
      <c r="G528" s="71"/>
      <c r="H528" s="71"/>
      <c r="I528" s="71"/>
      <c r="J528" s="71"/>
      <c r="K528" s="71"/>
      <c r="L528" s="71"/>
      <c r="M528" s="71"/>
      <c r="N528" s="71"/>
      <c r="O528" s="71"/>
      <c r="R528" s="71"/>
      <c r="T528" s="71"/>
      <c r="U528" s="71"/>
    </row>
    <row r="529" spans="3:21" x14ac:dyDescent="0.2">
      <c r="C529" s="71"/>
      <c r="D529" s="71"/>
      <c r="E529" s="71"/>
      <c r="F529" s="71"/>
      <c r="G529" s="71"/>
      <c r="H529" s="71"/>
      <c r="I529" s="71"/>
      <c r="J529" s="71"/>
      <c r="K529" s="71"/>
      <c r="L529" s="71"/>
      <c r="M529" s="71"/>
      <c r="N529" s="71"/>
      <c r="O529" s="71"/>
      <c r="R529" s="71"/>
      <c r="T529" s="71"/>
      <c r="U529" s="71"/>
    </row>
    <row r="530" spans="3:21" x14ac:dyDescent="0.2">
      <c r="C530" s="71"/>
      <c r="D530" s="71"/>
      <c r="E530" s="71"/>
      <c r="F530" s="71"/>
      <c r="G530" s="71"/>
      <c r="H530" s="71"/>
      <c r="I530" s="71"/>
      <c r="J530" s="71"/>
      <c r="K530" s="71"/>
      <c r="L530" s="71"/>
      <c r="M530" s="71"/>
      <c r="N530" s="71"/>
      <c r="O530" s="71"/>
      <c r="R530" s="71"/>
      <c r="T530" s="71"/>
      <c r="U530" s="71"/>
    </row>
    <row r="531" spans="3:21" x14ac:dyDescent="0.2">
      <c r="C531" s="71"/>
      <c r="D531" s="71"/>
      <c r="E531" s="71"/>
      <c r="F531" s="71"/>
      <c r="G531" s="71"/>
      <c r="H531" s="71"/>
      <c r="I531" s="71"/>
      <c r="J531" s="71"/>
      <c r="K531" s="71"/>
      <c r="L531" s="71"/>
      <c r="M531" s="71"/>
      <c r="N531" s="71"/>
      <c r="O531" s="71"/>
      <c r="R531" s="71"/>
      <c r="T531" s="71"/>
      <c r="U531" s="71"/>
    </row>
    <row r="532" spans="3:21" x14ac:dyDescent="0.2">
      <c r="C532" s="71"/>
      <c r="D532" s="71"/>
      <c r="E532" s="71"/>
      <c r="F532" s="71"/>
      <c r="G532" s="71"/>
      <c r="H532" s="71"/>
      <c r="I532" s="71"/>
      <c r="J532" s="71"/>
      <c r="K532" s="71"/>
      <c r="L532" s="71"/>
      <c r="M532" s="71"/>
      <c r="N532" s="71"/>
      <c r="O532" s="71"/>
      <c r="R532" s="71"/>
      <c r="T532" s="71"/>
      <c r="U532" s="71"/>
    </row>
    <row r="533" spans="3:21" x14ac:dyDescent="0.2">
      <c r="C533" s="71"/>
      <c r="D533" s="71"/>
      <c r="E533" s="71"/>
      <c r="F533" s="71"/>
      <c r="G533" s="71"/>
      <c r="H533" s="71"/>
      <c r="I533" s="71"/>
      <c r="J533" s="71"/>
      <c r="K533" s="71"/>
      <c r="L533" s="71"/>
      <c r="M533" s="71"/>
      <c r="N533" s="71"/>
      <c r="O533" s="71"/>
      <c r="R533" s="71"/>
      <c r="T533" s="71"/>
      <c r="U533" s="71"/>
    </row>
    <row r="534" spans="3:21" x14ac:dyDescent="0.2">
      <c r="C534" s="71"/>
      <c r="D534" s="71"/>
      <c r="E534" s="71"/>
      <c r="F534" s="71"/>
      <c r="G534" s="71"/>
      <c r="H534" s="71"/>
      <c r="I534" s="71"/>
      <c r="J534" s="71"/>
      <c r="K534" s="71"/>
      <c r="L534" s="71"/>
      <c r="M534" s="71"/>
      <c r="N534" s="71"/>
      <c r="O534" s="71"/>
      <c r="R534" s="71"/>
      <c r="T534" s="71"/>
      <c r="U534" s="71"/>
    </row>
    <row r="535" spans="3:21" x14ac:dyDescent="0.2">
      <c r="C535" s="71"/>
      <c r="D535" s="71"/>
      <c r="E535" s="71"/>
      <c r="F535" s="71"/>
      <c r="G535" s="71"/>
      <c r="H535" s="71"/>
      <c r="I535" s="71"/>
      <c r="J535" s="71"/>
      <c r="K535" s="71"/>
      <c r="L535" s="71"/>
      <c r="M535" s="71"/>
      <c r="N535" s="71"/>
      <c r="O535" s="71"/>
      <c r="R535" s="71"/>
      <c r="T535" s="71"/>
      <c r="U535" s="71"/>
    </row>
    <row r="536" spans="3:21" x14ac:dyDescent="0.2">
      <c r="C536" s="71"/>
      <c r="D536" s="71"/>
      <c r="E536" s="71"/>
      <c r="F536" s="71"/>
      <c r="G536" s="71"/>
      <c r="H536" s="71"/>
      <c r="I536" s="71"/>
      <c r="J536" s="71"/>
      <c r="K536" s="71"/>
      <c r="L536" s="71"/>
      <c r="M536" s="71"/>
      <c r="N536" s="71"/>
      <c r="O536" s="71"/>
      <c r="R536" s="71"/>
      <c r="T536" s="71"/>
      <c r="U536" s="71"/>
    </row>
    <row r="537" spans="3:21" x14ac:dyDescent="0.2">
      <c r="C537" s="71"/>
      <c r="D537" s="71"/>
      <c r="E537" s="71"/>
      <c r="F537" s="71"/>
      <c r="G537" s="71"/>
      <c r="H537" s="71"/>
      <c r="I537" s="71"/>
      <c r="J537" s="71"/>
      <c r="K537" s="71"/>
      <c r="L537" s="71"/>
      <c r="M537" s="71"/>
      <c r="N537" s="71"/>
      <c r="O537" s="71"/>
      <c r="R537" s="71"/>
      <c r="T537" s="71"/>
      <c r="U537" s="71"/>
    </row>
    <row r="538" spans="3:21" x14ac:dyDescent="0.2">
      <c r="C538" s="71"/>
      <c r="D538" s="71"/>
      <c r="E538" s="71"/>
      <c r="F538" s="71"/>
      <c r="G538" s="71"/>
      <c r="H538" s="71"/>
      <c r="I538" s="71"/>
      <c r="J538" s="71"/>
      <c r="K538" s="71"/>
      <c r="L538" s="71"/>
      <c r="M538" s="71"/>
      <c r="N538" s="71"/>
      <c r="O538" s="71"/>
      <c r="R538" s="71"/>
      <c r="T538" s="71"/>
      <c r="U538" s="71"/>
    </row>
    <row r="539" spans="3:21" x14ac:dyDescent="0.2">
      <c r="C539" s="71"/>
      <c r="D539" s="71"/>
      <c r="E539" s="71"/>
      <c r="F539" s="71"/>
      <c r="G539" s="71"/>
      <c r="H539" s="71"/>
      <c r="I539" s="71"/>
      <c r="J539" s="71"/>
      <c r="K539" s="71"/>
      <c r="L539" s="71"/>
      <c r="M539" s="71"/>
      <c r="N539" s="71"/>
      <c r="O539" s="71"/>
      <c r="R539" s="71"/>
      <c r="T539" s="71"/>
      <c r="U539" s="71"/>
    </row>
    <row r="540" spans="3:21" x14ac:dyDescent="0.2">
      <c r="C540" s="71"/>
      <c r="D540" s="71"/>
      <c r="E540" s="71"/>
      <c r="F540" s="71"/>
      <c r="G540" s="71"/>
      <c r="H540" s="71"/>
      <c r="I540" s="71"/>
      <c r="J540" s="71"/>
      <c r="K540" s="71"/>
      <c r="L540" s="71"/>
      <c r="M540" s="71"/>
      <c r="N540" s="71"/>
      <c r="O540" s="71"/>
      <c r="R540" s="71"/>
      <c r="T540" s="71"/>
      <c r="U540" s="71"/>
    </row>
    <row r="541" spans="3:21" x14ac:dyDescent="0.2">
      <c r="C541" s="71"/>
      <c r="D541" s="71"/>
      <c r="E541" s="71"/>
      <c r="F541" s="71"/>
      <c r="G541" s="71"/>
      <c r="H541" s="71"/>
      <c r="I541" s="71"/>
      <c r="J541" s="71"/>
      <c r="K541" s="71"/>
      <c r="L541" s="71"/>
      <c r="M541" s="71"/>
      <c r="N541" s="71"/>
      <c r="O541" s="71"/>
      <c r="R541" s="71"/>
      <c r="T541" s="71"/>
      <c r="U541" s="71"/>
    </row>
    <row r="542" spans="3:21" x14ac:dyDescent="0.2">
      <c r="C542" s="71"/>
      <c r="D542" s="71"/>
      <c r="E542" s="71"/>
      <c r="F542" s="71"/>
      <c r="G542" s="71"/>
      <c r="H542" s="71"/>
      <c r="I542" s="71"/>
      <c r="J542" s="71"/>
      <c r="K542" s="71"/>
      <c r="L542" s="71"/>
      <c r="M542" s="71"/>
      <c r="N542" s="71"/>
      <c r="O542" s="71"/>
      <c r="R542" s="71"/>
      <c r="T542" s="71"/>
      <c r="U542" s="71"/>
    </row>
    <row r="543" spans="3:21" x14ac:dyDescent="0.2">
      <c r="C543" s="71"/>
      <c r="D543" s="71"/>
      <c r="E543" s="71"/>
      <c r="F543" s="71"/>
      <c r="G543" s="71"/>
      <c r="H543" s="71"/>
      <c r="I543" s="71"/>
      <c r="J543" s="71"/>
      <c r="K543" s="71"/>
      <c r="L543" s="71"/>
      <c r="M543" s="71"/>
      <c r="N543" s="71"/>
      <c r="O543" s="71"/>
      <c r="R543" s="71"/>
      <c r="T543" s="71"/>
      <c r="U543" s="71"/>
    </row>
    <row r="544" spans="3:21" x14ac:dyDescent="0.2">
      <c r="C544" s="71"/>
      <c r="D544" s="71"/>
      <c r="E544" s="71"/>
      <c r="F544" s="71"/>
      <c r="G544" s="71"/>
      <c r="H544" s="71"/>
      <c r="I544" s="71"/>
      <c r="J544" s="71"/>
      <c r="K544" s="71"/>
      <c r="L544" s="71"/>
      <c r="M544" s="71"/>
      <c r="N544" s="71"/>
      <c r="O544" s="71"/>
      <c r="R544" s="71"/>
      <c r="T544" s="71"/>
      <c r="U544" s="71"/>
    </row>
    <row r="545" spans="3:21" x14ac:dyDescent="0.2">
      <c r="C545" s="71"/>
      <c r="D545" s="71"/>
      <c r="E545" s="71"/>
      <c r="F545" s="71"/>
      <c r="G545" s="71"/>
      <c r="H545" s="71"/>
      <c r="I545" s="71"/>
      <c r="J545" s="71"/>
      <c r="K545" s="71"/>
      <c r="L545" s="71"/>
      <c r="M545" s="71"/>
      <c r="N545" s="71"/>
      <c r="O545" s="71"/>
      <c r="R545" s="71"/>
      <c r="T545" s="71"/>
      <c r="U545" s="71"/>
    </row>
    <row r="546" spans="3:21" x14ac:dyDescent="0.2">
      <c r="C546" s="71"/>
      <c r="D546" s="71"/>
      <c r="E546" s="71"/>
      <c r="F546" s="71"/>
      <c r="G546" s="71"/>
      <c r="H546" s="71"/>
      <c r="I546" s="71"/>
      <c r="J546" s="71"/>
      <c r="K546" s="71"/>
      <c r="L546" s="71"/>
      <c r="M546" s="71"/>
      <c r="N546" s="71"/>
      <c r="O546" s="71"/>
      <c r="R546" s="71"/>
      <c r="T546" s="71"/>
      <c r="U546" s="71"/>
    </row>
    <row r="547" spans="3:21" x14ac:dyDescent="0.2">
      <c r="C547" s="71"/>
      <c r="D547" s="71"/>
      <c r="E547" s="71"/>
      <c r="F547" s="71"/>
      <c r="G547" s="71"/>
      <c r="H547" s="71"/>
      <c r="I547" s="71"/>
      <c r="J547" s="71"/>
      <c r="K547" s="71"/>
      <c r="L547" s="71"/>
      <c r="M547" s="71"/>
      <c r="N547" s="71"/>
      <c r="O547" s="71"/>
      <c r="R547" s="71"/>
      <c r="T547" s="71"/>
      <c r="U547" s="71"/>
    </row>
    <row r="548" spans="3:21" x14ac:dyDescent="0.2">
      <c r="C548" s="71"/>
      <c r="D548" s="71"/>
      <c r="E548" s="71"/>
      <c r="F548" s="71"/>
      <c r="G548" s="71"/>
      <c r="H548" s="71"/>
      <c r="I548" s="71"/>
      <c r="J548" s="71"/>
      <c r="K548" s="71"/>
      <c r="L548" s="71"/>
      <c r="M548" s="71"/>
      <c r="N548" s="71"/>
      <c r="O548" s="71"/>
      <c r="R548" s="71"/>
      <c r="T548" s="71"/>
      <c r="U548" s="71"/>
    </row>
    <row r="549" spans="3:21" x14ac:dyDescent="0.2">
      <c r="C549" s="71"/>
      <c r="D549" s="71"/>
      <c r="E549" s="71"/>
      <c r="F549" s="71"/>
      <c r="G549" s="71"/>
      <c r="H549" s="71"/>
      <c r="I549" s="71"/>
      <c r="J549" s="71"/>
      <c r="K549" s="71"/>
      <c r="L549" s="71"/>
      <c r="M549" s="71"/>
      <c r="N549" s="71"/>
      <c r="O549" s="71"/>
      <c r="R549" s="71"/>
      <c r="T549" s="71"/>
      <c r="U549" s="71"/>
    </row>
    <row r="550" spans="3:21" x14ac:dyDescent="0.2">
      <c r="C550" s="71"/>
      <c r="D550" s="71"/>
      <c r="E550" s="71"/>
      <c r="F550" s="71"/>
      <c r="G550" s="71"/>
      <c r="H550" s="71"/>
      <c r="I550" s="71"/>
      <c r="J550" s="71"/>
      <c r="K550" s="71"/>
      <c r="L550" s="71"/>
      <c r="M550" s="71"/>
      <c r="N550" s="71"/>
      <c r="O550" s="71"/>
      <c r="R550" s="71"/>
      <c r="T550" s="71"/>
      <c r="U550" s="71"/>
    </row>
    <row r="551" spans="3:21" x14ac:dyDescent="0.2">
      <c r="C551" s="71"/>
      <c r="D551" s="71"/>
      <c r="E551" s="71"/>
      <c r="F551" s="71"/>
      <c r="G551" s="71"/>
      <c r="H551" s="71"/>
      <c r="I551" s="71"/>
      <c r="J551" s="71"/>
      <c r="K551" s="71"/>
      <c r="L551" s="71"/>
      <c r="M551" s="71"/>
      <c r="N551" s="71"/>
      <c r="O551" s="71"/>
      <c r="R551" s="71"/>
      <c r="T551" s="71"/>
      <c r="U551" s="71"/>
    </row>
    <row r="552" spans="3:21" x14ac:dyDescent="0.2">
      <c r="C552" s="71"/>
      <c r="D552" s="71"/>
      <c r="E552" s="71"/>
      <c r="F552" s="71"/>
      <c r="G552" s="71"/>
      <c r="H552" s="71"/>
      <c r="I552" s="71"/>
      <c r="J552" s="71"/>
      <c r="K552" s="71"/>
      <c r="L552" s="71"/>
      <c r="M552" s="71"/>
      <c r="N552" s="71"/>
      <c r="O552" s="71"/>
      <c r="R552" s="71"/>
      <c r="T552" s="71"/>
      <c r="U552" s="71"/>
    </row>
    <row r="553" spans="3:21" x14ac:dyDescent="0.2">
      <c r="C553" s="71"/>
      <c r="D553" s="71"/>
      <c r="E553" s="71"/>
      <c r="F553" s="71"/>
      <c r="G553" s="71"/>
      <c r="H553" s="71"/>
      <c r="I553" s="71"/>
      <c r="J553" s="71"/>
      <c r="K553" s="71"/>
      <c r="L553" s="71"/>
      <c r="M553" s="71"/>
      <c r="N553" s="71"/>
      <c r="O553" s="71"/>
      <c r="R553" s="71"/>
      <c r="T553" s="71"/>
      <c r="U553" s="71"/>
    </row>
    <row r="554" spans="3:21" x14ac:dyDescent="0.2">
      <c r="C554" s="71"/>
      <c r="D554" s="71"/>
      <c r="E554" s="71"/>
      <c r="F554" s="71"/>
      <c r="G554" s="71"/>
      <c r="H554" s="71"/>
      <c r="I554" s="71"/>
      <c r="J554" s="71"/>
      <c r="K554" s="71"/>
      <c r="L554" s="71"/>
      <c r="M554" s="71"/>
      <c r="N554" s="71"/>
      <c r="O554" s="71"/>
      <c r="R554" s="71"/>
      <c r="T554" s="71"/>
      <c r="U554" s="71"/>
    </row>
    <row r="555" spans="3:21" x14ac:dyDescent="0.2">
      <c r="C555" s="71"/>
      <c r="D555" s="71"/>
      <c r="E555" s="71"/>
      <c r="F555" s="71"/>
      <c r="G555" s="71"/>
      <c r="H555" s="71"/>
      <c r="I555" s="71"/>
      <c r="J555" s="71"/>
      <c r="K555" s="71"/>
      <c r="L555" s="71"/>
      <c r="M555" s="71"/>
      <c r="N555" s="71"/>
      <c r="O555" s="71"/>
      <c r="R555" s="71"/>
      <c r="T555" s="71"/>
      <c r="U555" s="71"/>
    </row>
    <row r="556" spans="3:21" x14ac:dyDescent="0.2">
      <c r="C556" s="71"/>
      <c r="D556" s="71"/>
      <c r="E556" s="71"/>
      <c r="F556" s="71"/>
      <c r="G556" s="71"/>
      <c r="H556" s="71"/>
      <c r="I556" s="71"/>
      <c r="J556" s="71"/>
      <c r="K556" s="71"/>
      <c r="L556" s="71"/>
      <c r="M556" s="71"/>
      <c r="N556" s="71"/>
      <c r="O556" s="71"/>
      <c r="R556" s="71"/>
      <c r="T556" s="71"/>
      <c r="U556" s="71"/>
    </row>
    <row r="557" spans="3:21" x14ac:dyDescent="0.2">
      <c r="C557" s="71"/>
      <c r="D557" s="71"/>
      <c r="E557" s="71"/>
      <c r="F557" s="71"/>
      <c r="G557" s="71"/>
      <c r="H557" s="71"/>
      <c r="I557" s="71"/>
      <c r="J557" s="71"/>
      <c r="K557" s="71"/>
      <c r="L557" s="71"/>
      <c r="M557" s="71"/>
      <c r="N557" s="71"/>
      <c r="O557" s="71"/>
      <c r="R557" s="71"/>
      <c r="T557" s="71"/>
      <c r="U557" s="71"/>
    </row>
    <row r="558" spans="3:21" x14ac:dyDescent="0.2">
      <c r="C558" s="71"/>
      <c r="D558" s="71"/>
      <c r="E558" s="71"/>
      <c r="F558" s="71"/>
      <c r="G558" s="71"/>
      <c r="H558" s="71"/>
      <c r="I558" s="71"/>
      <c r="J558" s="71"/>
      <c r="K558" s="71"/>
      <c r="L558" s="71"/>
      <c r="M558" s="71"/>
      <c r="N558" s="71"/>
      <c r="O558" s="71"/>
      <c r="R558" s="71"/>
      <c r="T558" s="71"/>
      <c r="U558" s="71"/>
    </row>
    <row r="559" spans="3:21" x14ac:dyDescent="0.2">
      <c r="C559" s="71"/>
      <c r="D559" s="71"/>
      <c r="E559" s="71"/>
      <c r="F559" s="71"/>
      <c r="G559" s="71"/>
      <c r="H559" s="71"/>
      <c r="I559" s="71"/>
      <c r="J559" s="71"/>
      <c r="K559" s="71"/>
      <c r="L559" s="71"/>
      <c r="M559" s="71"/>
      <c r="N559" s="71"/>
      <c r="O559" s="71"/>
      <c r="R559" s="71"/>
      <c r="T559" s="71"/>
      <c r="U559" s="71"/>
    </row>
    <row r="1351" spans="1:21" x14ac:dyDescent="0.2">
      <c r="A1351" s="70" t="s">
        <v>1363</v>
      </c>
      <c r="Q1351" s="71"/>
    </row>
    <row r="1352" spans="1:21" x14ac:dyDescent="0.2">
      <c r="Q1352" s="71"/>
    </row>
    <row r="1353" spans="1:21" x14ac:dyDescent="0.2">
      <c r="A1353" s="71"/>
      <c r="C1353" s="71"/>
      <c r="D1353" s="71"/>
      <c r="E1353" s="71"/>
      <c r="F1353" s="71"/>
      <c r="G1353" s="71"/>
      <c r="H1353" s="71"/>
      <c r="I1353" s="71"/>
      <c r="J1353" s="71"/>
      <c r="K1353" s="71"/>
      <c r="L1353" s="71"/>
      <c r="M1353" s="71"/>
      <c r="N1353" s="71"/>
      <c r="O1353" s="71"/>
      <c r="Q1353" s="71"/>
      <c r="R1353" s="71"/>
      <c r="T1353" s="71"/>
      <c r="U1353" s="71"/>
    </row>
    <row r="1354" spans="1:21" x14ac:dyDescent="0.2">
      <c r="A1354" s="71"/>
      <c r="C1354" s="70" t="s">
        <v>424</v>
      </c>
      <c r="D1354" s="70" t="s">
        <v>424</v>
      </c>
      <c r="E1354" s="70" t="s">
        <v>424</v>
      </c>
      <c r="F1354" s="70" t="s">
        <v>424</v>
      </c>
      <c r="G1354" s="70" t="s">
        <v>424</v>
      </c>
      <c r="H1354" s="70" t="s">
        <v>424</v>
      </c>
      <c r="I1354" s="70" t="s">
        <v>424</v>
      </c>
      <c r="J1354" s="70" t="s">
        <v>424</v>
      </c>
      <c r="K1354" s="70" t="s">
        <v>424</v>
      </c>
      <c r="L1354" s="70" t="s">
        <v>424</v>
      </c>
      <c r="M1354" s="70" t="s">
        <v>424</v>
      </c>
      <c r="N1354" s="70" t="s">
        <v>424</v>
      </c>
      <c r="O1354" s="70" t="s">
        <v>424</v>
      </c>
      <c r="Q1354" s="70" t="s">
        <v>424</v>
      </c>
    </row>
    <row r="1355" spans="1:21" x14ac:dyDescent="0.2">
      <c r="A1355" s="71"/>
      <c r="C1355" s="75" t="s">
        <v>1364</v>
      </c>
      <c r="D1355" s="75" t="s">
        <v>1365</v>
      </c>
      <c r="E1355" s="75" t="s">
        <v>1366</v>
      </c>
      <c r="F1355" s="75" t="s">
        <v>1367</v>
      </c>
      <c r="G1355" s="75" t="s">
        <v>1368</v>
      </c>
      <c r="H1355" s="75" t="s">
        <v>1369</v>
      </c>
      <c r="I1355" s="75" t="s">
        <v>1370</v>
      </c>
      <c r="J1355" s="75" t="s">
        <v>1371</v>
      </c>
      <c r="K1355" s="75" t="s">
        <v>1372</v>
      </c>
      <c r="L1355" s="75" t="s">
        <v>1373</v>
      </c>
      <c r="M1355" s="75" t="s">
        <v>1374</v>
      </c>
      <c r="N1355" s="75" t="s">
        <v>1375</v>
      </c>
      <c r="O1355" s="75" t="s">
        <v>1364</v>
      </c>
      <c r="Q1355" s="70" t="s">
        <v>1364</v>
      </c>
      <c r="R1355" s="75"/>
      <c r="T1355" s="75"/>
      <c r="U1355" s="75"/>
    </row>
    <row r="1356" spans="1:21" x14ac:dyDescent="0.2">
      <c r="A1356" s="70" t="s">
        <v>5465</v>
      </c>
      <c r="B1356" s="70" t="s">
        <v>446</v>
      </c>
      <c r="C1356" s="70">
        <v>0</v>
      </c>
      <c r="D1356" s="70">
        <v>0</v>
      </c>
      <c r="E1356" s="70">
        <v>0</v>
      </c>
      <c r="F1356" s="70">
        <v>0</v>
      </c>
      <c r="G1356" s="70">
        <v>0</v>
      </c>
      <c r="H1356" s="70">
        <v>0</v>
      </c>
      <c r="I1356" s="70">
        <v>0</v>
      </c>
      <c r="J1356" s="70">
        <v>0</v>
      </c>
      <c r="K1356" s="70">
        <v>0</v>
      </c>
      <c r="L1356" s="70">
        <v>0</v>
      </c>
      <c r="M1356" s="70">
        <v>0</v>
      </c>
      <c r="N1356" s="70">
        <v>0</v>
      </c>
      <c r="O1356" s="70">
        <v>0</v>
      </c>
      <c r="Q1356" s="70">
        <v>0</v>
      </c>
    </row>
    <row r="1357" spans="1:21" x14ac:dyDescent="0.2">
      <c r="A1357" s="70" t="s">
        <v>5488</v>
      </c>
      <c r="B1357" s="70" t="s">
        <v>450</v>
      </c>
      <c r="C1357" s="70">
        <v>1000</v>
      </c>
      <c r="D1357" s="70">
        <v>10929</v>
      </c>
      <c r="E1357" s="70">
        <v>21418</v>
      </c>
      <c r="F1357" s="70">
        <v>1000</v>
      </c>
      <c r="G1357" s="70">
        <v>1000</v>
      </c>
      <c r="H1357" s="70">
        <v>1000</v>
      </c>
      <c r="I1357" s="70">
        <v>1000</v>
      </c>
      <c r="J1357" s="70">
        <v>1000</v>
      </c>
      <c r="K1357" s="70">
        <v>1000</v>
      </c>
      <c r="L1357" s="70">
        <v>1000</v>
      </c>
      <c r="M1357" s="70">
        <v>1000</v>
      </c>
      <c r="N1357" s="70">
        <v>1000</v>
      </c>
      <c r="O1357" s="70">
        <v>1000</v>
      </c>
      <c r="Q1357" s="70">
        <v>1000</v>
      </c>
    </row>
    <row r="1358" spans="1:21" x14ac:dyDescent="0.2">
      <c r="A1358" s="70" t="s">
        <v>5487</v>
      </c>
      <c r="B1358" s="70" t="s">
        <v>448</v>
      </c>
      <c r="C1358" s="70">
        <v>85</v>
      </c>
      <c r="D1358" s="70">
        <v>84</v>
      </c>
      <c r="E1358" s="70">
        <v>84</v>
      </c>
      <c r="F1358" s="70">
        <v>84</v>
      </c>
      <c r="G1358" s="70">
        <v>84</v>
      </c>
      <c r="H1358" s="70">
        <v>84</v>
      </c>
      <c r="I1358" s="70">
        <v>84</v>
      </c>
      <c r="J1358" s="70">
        <v>84</v>
      </c>
      <c r="K1358" s="70">
        <v>84</v>
      </c>
      <c r="L1358" s="70">
        <v>84</v>
      </c>
      <c r="M1358" s="70">
        <v>84</v>
      </c>
      <c r="N1358" s="70">
        <v>84</v>
      </c>
      <c r="O1358" s="70">
        <v>84</v>
      </c>
      <c r="Q1358" s="70">
        <v>86</v>
      </c>
    </row>
    <row r="1359" spans="1:21" ht="15.75" x14ac:dyDescent="0.25">
      <c r="B1359" s="73" t="s">
        <v>1376</v>
      </c>
      <c r="C1359" s="70">
        <v>181</v>
      </c>
      <c r="D1359" s="70">
        <v>0</v>
      </c>
      <c r="E1359" s="70">
        <v>0</v>
      </c>
      <c r="F1359" s="70">
        <v>0</v>
      </c>
      <c r="G1359" s="70">
        <v>0</v>
      </c>
      <c r="H1359" s="70">
        <v>0</v>
      </c>
      <c r="I1359" s="70">
        <v>0</v>
      </c>
      <c r="J1359" s="70">
        <v>0</v>
      </c>
      <c r="K1359" s="70">
        <v>0</v>
      </c>
      <c r="L1359" s="70">
        <v>0</v>
      </c>
      <c r="M1359" s="70">
        <v>0</v>
      </c>
      <c r="N1359" s="70">
        <v>0</v>
      </c>
      <c r="O1359" s="70">
        <v>0</v>
      </c>
      <c r="Q1359" s="70">
        <v>0</v>
      </c>
    </row>
    <row r="1360" spans="1:21" ht="15.75" x14ac:dyDescent="0.25">
      <c r="B1360" s="73" t="s">
        <v>1377</v>
      </c>
      <c r="C1360" s="75">
        <v>1</v>
      </c>
      <c r="D1360" s="75">
        <v>1</v>
      </c>
      <c r="E1360" s="75">
        <v>1</v>
      </c>
      <c r="F1360" s="75">
        <v>1</v>
      </c>
      <c r="G1360" s="75">
        <v>1</v>
      </c>
      <c r="H1360" s="75">
        <v>1</v>
      </c>
      <c r="I1360" s="75">
        <v>1</v>
      </c>
      <c r="J1360" s="75">
        <v>1</v>
      </c>
      <c r="K1360" s="75">
        <v>1</v>
      </c>
      <c r="L1360" s="75">
        <v>1</v>
      </c>
      <c r="M1360" s="75">
        <v>1</v>
      </c>
      <c r="N1360" s="75">
        <v>1</v>
      </c>
      <c r="O1360" s="75">
        <v>1</v>
      </c>
      <c r="Q1360" s="70">
        <v>1</v>
      </c>
      <c r="R1360" s="75"/>
      <c r="T1360" s="75"/>
      <c r="U1360" s="75"/>
    </row>
    <row r="1361" spans="1:21" ht="15.75" thickBot="1" x14ac:dyDescent="0.25">
      <c r="B1361" s="70" t="s">
        <v>1378</v>
      </c>
      <c r="C1361" s="101">
        <v>1267</v>
      </c>
      <c r="D1361" s="101">
        <v>11014</v>
      </c>
      <c r="E1361" s="101">
        <v>21503</v>
      </c>
      <c r="F1361" s="101">
        <v>1085</v>
      </c>
      <c r="G1361" s="101">
        <v>1085</v>
      </c>
      <c r="H1361" s="101">
        <v>1085</v>
      </c>
      <c r="I1361" s="101">
        <v>1085</v>
      </c>
      <c r="J1361" s="101">
        <v>1085</v>
      </c>
      <c r="K1361" s="101">
        <v>1085</v>
      </c>
      <c r="L1361" s="101">
        <v>1085</v>
      </c>
      <c r="M1361" s="101">
        <v>1085</v>
      </c>
      <c r="N1361" s="101">
        <v>1085</v>
      </c>
      <c r="O1361" s="101">
        <v>1085</v>
      </c>
      <c r="Q1361" s="70">
        <v>1087</v>
      </c>
      <c r="R1361" s="101"/>
      <c r="T1361" s="101"/>
      <c r="U1361" s="101"/>
    </row>
    <row r="1362" spans="1:21" ht="15.75" thickTop="1" x14ac:dyDescent="0.2"/>
    <row r="1363" spans="1:21" x14ac:dyDescent="0.2">
      <c r="A1363" s="70" t="s">
        <v>1815</v>
      </c>
      <c r="B1363" s="70" t="s">
        <v>462</v>
      </c>
      <c r="C1363" s="70">
        <v>9747</v>
      </c>
      <c r="D1363" s="70">
        <v>27063</v>
      </c>
      <c r="E1363" s="70">
        <v>27084</v>
      </c>
      <c r="F1363" s="70">
        <v>27091</v>
      </c>
      <c r="G1363" s="70">
        <v>6719</v>
      </c>
      <c r="H1363" s="70">
        <v>6848</v>
      </c>
      <c r="I1363" s="70">
        <v>6654</v>
      </c>
      <c r="J1363" s="70">
        <v>6661</v>
      </c>
      <c r="K1363" s="70">
        <v>6672</v>
      </c>
      <c r="L1363" s="70">
        <v>6715</v>
      </c>
      <c r="M1363" s="70">
        <v>6717</v>
      </c>
      <c r="N1363" s="70">
        <v>6741</v>
      </c>
      <c r="O1363" s="70">
        <v>7563</v>
      </c>
      <c r="Q1363" s="70">
        <v>5200</v>
      </c>
    </row>
    <row r="1364" spans="1:21" ht="15.75" x14ac:dyDescent="0.25">
      <c r="B1364" s="73" t="s">
        <v>1379</v>
      </c>
      <c r="C1364" s="75">
        <v>-478</v>
      </c>
      <c r="D1364" s="75">
        <v>0</v>
      </c>
      <c r="E1364" s="75">
        <v>0</v>
      </c>
      <c r="F1364" s="75">
        <v>0</v>
      </c>
      <c r="G1364" s="75">
        <v>0</v>
      </c>
      <c r="H1364" s="75">
        <v>0</v>
      </c>
      <c r="I1364" s="75">
        <v>0</v>
      </c>
      <c r="J1364" s="75">
        <v>0</v>
      </c>
      <c r="K1364" s="75">
        <v>0</v>
      </c>
      <c r="L1364" s="75">
        <v>0</v>
      </c>
      <c r="M1364" s="75">
        <v>0</v>
      </c>
      <c r="N1364" s="75">
        <v>0</v>
      </c>
      <c r="O1364" s="75">
        <v>0</v>
      </c>
      <c r="Q1364" s="70">
        <v>0</v>
      </c>
      <c r="R1364" s="75"/>
      <c r="T1364" s="75"/>
      <c r="U1364" s="75"/>
    </row>
    <row r="1365" spans="1:21" ht="15.75" thickBot="1" x14ac:dyDescent="0.25">
      <c r="B1365" s="70" t="s">
        <v>1380</v>
      </c>
      <c r="C1365" s="101">
        <v>9269</v>
      </c>
      <c r="D1365" s="101">
        <v>27063</v>
      </c>
      <c r="E1365" s="101">
        <v>27084</v>
      </c>
      <c r="F1365" s="101">
        <v>27091</v>
      </c>
      <c r="G1365" s="101">
        <v>6719</v>
      </c>
      <c r="H1365" s="101">
        <v>6848</v>
      </c>
      <c r="I1365" s="101">
        <v>6654</v>
      </c>
      <c r="J1365" s="101">
        <v>6661</v>
      </c>
      <c r="K1365" s="101">
        <v>6672</v>
      </c>
      <c r="L1365" s="101">
        <v>6715</v>
      </c>
      <c r="M1365" s="101">
        <v>6717</v>
      </c>
      <c r="N1365" s="101">
        <v>6741</v>
      </c>
      <c r="O1365" s="101">
        <v>7563</v>
      </c>
      <c r="Q1365" s="70">
        <v>5200</v>
      </c>
      <c r="R1365" s="101"/>
      <c r="T1365" s="101"/>
      <c r="U1365" s="101"/>
    </row>
    <row r="1366" spans="1:21" ht="15.75" thickTop="1" x14ac:dyDescent="0.2"/>
    <row r="1367" spans="1:21" x14ac:dyDescent="0.2">
      <c r="A1367" s="70" t="s">
        <v>5480</v>
      </c>
      <c r="B1367" s="70" t="s">
        <v>447</v>
      </c>
      <c r="C1367" s="70">
        <v>132</v>
      </c>
      <c r="D1367" s="70">
        <v>86</v>
      </c>
      <c r="E1367" s="70">
        <v>86</v>
      </c>
      <c r="F1367" s="70">
        <v>86</v>
      </c>
      <c r="G1367" s="70">
        <v>86</v>
      </c>
      <c r="H1367" s="70">
        <v>86</v>
      </c>
      <c r="I1367" s="70">
        <v>86</v>
      </c>
      <c r="J1367" s="70">
        <v>86</v>
      </c>
      <c r="K1367" s="70">
        <v>86</v>
      </c>
      <c r="L1367" s="70">
        <v>86</v>
      </c>
      <c r="M1367" s="70">
        <v>86</v>
      </c>
      <c r="N1367" s="70">
        <v>86</v>
      </c>
      <c r="O1367" s="70">
        <v>86</v>
      </c>
      <c r="Q1367" s="70">
        <v>37</v>
      </c>
    </row>
    <row r="1368" spans="1:21" x14ac:dyDescent="0.2">
      <c r="A1368" s="70" t="s">
        <v>5502</v>
      </c>
      <c r="B1368" s="70" t="s">
        <v>452</v>
      </c>
      <c r="C1368" s="70">
        <v>88663</v>
      </c>
      <c r="D1368" s="70">
        <v>145356</v>
      </c>
      <c r="E1368" s="70">
        <v>138127</v>
      </c>
      <c r="F1368" s="70">
        <v>122422</v>
      </c>
      <c r="G1368" s="70">
        <v>135630</v>
      </c>
      <c r="H1368" s="70">
        <v>145613</v>
      </c>
      <c r="I1368" s="70">
        <v>160938</v>
      </c>
      <c r="J1368" s="70">
        <v>174859</v>
      </c>
      <c r="K1368" s="70">
        <v>163170</v>
      </c>
      <c r="L1368" s="70">
        <v>183221</v>
      </c>
      <c r="M1368" s="70">
        <v>162992</v>
      </c>
      <c r="N1368" s="70">
        <v>144877</v>
      </c>
      <c r="O1368" s="70">
        <v>157737</v>
      </c>
      <c r="Q1368" s="70">
        <v>136861</v>
      </c>
    </row>
    <row r="1369" spans="1:21" x14ac:dyDescent="0.2">
      <c r="A1369" s="70" t="s">
        <v>4979</v>
      </c>
      <c r="B1369" s="70" t="s">
        <v>453</v>
      </c>
      <c r="C1369" s="70">
        <v>17882</v>
      </c>
      <c r="D1369" s="70">
        <v>11926</v>
      </c>
      <c r="E1369" s="70">
        <v>10679</v>
      </c>
      <c r="F1369" s="70">
        <v>13604</v>
      </c>
      <c r="G1369" s="70">
        <v>12418</v>
      </c>
      <c r="H1369" s="70">
        <v>12683</v>
      </c>
      <c r="I1369" s="70">
        <v>13509</v>
      </c>
      <c r="J1369" s="70">
        <v>13459</v>
      </c>
      <c r="K1369" s="70">
        <v>16928</v>
      </c>
      <c r="L1369" s="70">
        <v>12603</v>
      </c>
      <c r="M1369" s="70">
        <v>14243</v>
      </c>
      <c r="N1369" s="70">
        <v>11515</v>
      </c>
      <c r="O1369" s="70">
        <v>10435</v>
      </c>
      <c r="Q1369" s="70">
        <v>7042</v>
      </c>
    </row>
    <row r="1370" spans="1:21" x14ac:dyDescent="0.2">
      <c r="A1370" s="70" t="s">
        <v>4984</v>
      </c>
      <c r="B1370" s="70" t="s">
        <v>461</v>
      </c>
      <c r="C1370" s="70">
        <v>-2481</v>
      </c>
      <c r="D1370" s="70">
        <v>-491</v>
      </c>
      <c r="E1370" s="70">
        <v>-531</v>
      </c>
      <c r="F1370" s="70">
        <v>-582</v>
      </c>
      <c r="G1370" s="70">
        <v>-670</v>
      </c>
      <c r="H1370" s="70">
        <v>-820</v>
      </c>
      <c r="I1370" s="70">
        <v>-1080</v>
      </c>
      <c r="J1370" s="70">
        <v>-1322</v>
      </c>
      <c r="K1370" s="70">
        <v>-1493</v>
      </c>
      <c r="L1370" s="70">
        <v>-1669</v>
      </c>
      <c r="M1370" s="70">
        <v>-1579</v>
      </c>
      <c r="N1370" s="70">
        <v>-705</v>
      </c>
      <c r="O1370" s="70">
        <v>-402</v>
      </c>
      <c r="Q1370" s="70">
        <v>-985</v>
      </c>
    </row>
    <row r="1371" spans="1:21" x14ac:dyDescent="0.2">
      <c r="A1371" s="70" t="s">
        <v>2384</v>
      </c>
      <c r="B1371" s="70" t="s">
        <v>489</v>
      </c>
      <c r="C1371" s="70">
        <v>0</v>
      </c>
      <c r="D1371" s="70">
        <v>1</v>
      </c>
      <c r="E1371" s="70">
        <v>1</v>
      </c>
      <c r="F1371" s="70">
        <v>1</v>
      </c>
      <c r="G1371" s="70">
        <v>1</v>
      </c>
      <c r="H1371" s="70">
        <v>1</v>
      </c>
      <c r="I1371" s="70">
        <v>1</v>
      </c>
      <c r="J1371" s="70">
        <v>1</v>
      </c>
      <c r="K1371" s="70">
        <v>1</v>
      </c>
      <c r="L1371" s="70">
        <v>1</v>
      </c>
      <c r="M1371" s="70">
        <v>1</v>
      </c>
      <c r="N1371" s="70">
        <v>1</v>
      </c>
      <c r="O1371" s="70">
        <v>1</v>
      </c>
      <c r="Q1371" s="70">
        <v>51</v>
      </c>
    </row>
    <row r="1372" spans="1:21" x14ac:dyDescent="0.2">
      <c r="A1372" s="70" t="s">
        <v>2389</v>
      </c>
      <c r="B1372" s="70" t="s">
        <v>2937</v>
      </c>
      <c r="C1372" s="70">
        <v>30157</v>
      </c>
      <c r="D1372" s="70">
        <v>31472</v>
      </c>
      <c r="E1372" s="70">
        <v>29635</v>
      </c>
      <c r="F1372" s="70">
        <v>32353</v>
      </c>
      <c r="G1372" s="70">
        <v>32917</v>
      </c>
      <c r="H1372" s="70">
        <v>42125</v>
      </c>
      <c r="I1372" s="70">
        <v>42939</v>
      </c>
      <c r="J1372" s="70">
        <v>45311</v>
      </c>
      <c r="K1372" s="70">
        <v>48111</v>
      </c>
      <c r="L1372" s="70">
        <v>40522</v>
      </c>
      <c r="M1372" s="70">
        <v>40149</v>
      </c>
      <c r="N1372" s="70">
        <v>36471</v>
      </c>
      <c r="O1372" s="70">
        <v>34439</v>
      </c>
      <c r="Q1372" s="70">
        <v>33925</v>
      </c>
    </row>
    <row r="1373" spans="1:21" ht="15.75" x14ac:dyDescent="0.25">
      <c r="B1373" s="73" t="s">
        <v>1376</v>
      </c>
      <c r="C1373" s="75">
        <v>319</v>
      </c>
      <c r="D1373" s="75">
        <v>0</v>
      </c>
      <c r="E1373" s="75">
        <v>0</v>
      </c>
      <c r="F1373" s="75">
        <v>0</v>
      </c>
      <c r="G1373" s="75">
        <v>0</v>
      </c>
      <c r="H1373" s="75">
        <v>0</v>
      </c>
      <c r="I1373" s="75">
        <v>0</v>
      </c>
      <c r="J1373" s="75">
        <v>0</v>
      </c>
      <c r="K1373" s="75">
        <v>0</v>
      </c>
      <c r="L1373" s="75">
        <v>0</v>
      </c>
      <c r="M1373" s="75">
        <v>0</v>
      </c>
      <c r="N1373" s="75">
        <v>0</v>
      </c>
      <c r="O1373" s="75">
        <v>0</v>
      </c>
      <c r="Q1373" s="70">
        <v>0</v>
      </c>
      <c r="R1373" s="75"/>
      <c r="T1373" s="75"/>
      <c r="U1373" s="75"/>
    </row>
    <row r="1374" spans="1:21" ht="15.75" thickBot="1" x14ac:dyDescent="0.25">
      <c r="B1374" s="70" t="s">
        <v>1381</v>
      </c>
      <c r="C1374" s="101">
        <v>134672</v>
      </c>
      <c r="D1374" s="101">
        <v>188350</v>
      </c>
      <c r="E1374" s="101">
        <v>177997</v>
      </c>
      <c r="F1374" s="101">
        <v>167884</v>
      </c>
      <c r="G1374" s="101">
        <v>180382</v>
      </c>
      <c r="H1374" s="101">
        <v>199688</v>
      </c>
      <c r="I1374" s="101">
        <v>216393</v>
      </c>
      <c r="J1374" s="101">
        <v>232394</v>
      </c>
      <c r="K1374" s="101">
        <v>226803</v>
      </c>
      <c r="L1374" s="101">
        <v>234764</v>
      </c>
      <c r="M1374" s="101">
        <v>215892</v>
      </c>
      <c r="N1374" s="101">
        <v>192245</v>
      </c>
      <c r="O1374" s="101">
        <v>202296</v>
      </c>
      <c r="Q1374" s="70">
        <v>176931</v>
      </c>
      <c r="R1374" s="101"/>
      <c r="T1374" s="101"/>
      <c r="U1374" s="101"/>
    </row>
    <row r="1375" spans="1:21" ht="15.75" thickTop="1" x14ac:dyDescent="0.2"/>
    <row r="1376" spans="1:21" x14ac:dyDescent="0.2">
      <c r="A1376" s="70" t="s">
        <v>918</v>
      </c>
      <c r="B1376" s="70" t="s">
        <v>469</v>
      </c>
      <c r="C1376" s="70">
        <v>51300</v>
      </c>
      <c r="D1376" s="70">
        <v>56649</v>
      </c>
      <c r="E1376" s="70">
        <v>56549</v>
      </c>
      <c r="F1376" s="70">
        <v>56449</v>
      </c>
      <c r="G1376" s="70">
        <v>56349</v>
      </c>
      <c r="H1376" s="70">
        <v>56449</v>
      </c>
      <c r="I1376" s="70">
        <v>56549</v>
      </c>
      <c r="J1376" s="70">
        <v>56649</v>
      </c>
      <c r="K1376" s="70">
        <v>56649</v>
      </c>
      <c r="L1376" s="70">
        <v>56649</v>
      </c>
      <c r="M1376" s="70">
        <v>56649</v>
      </c>
      <c r="N1376" s="70">
        <v>56549</v>
      </c>
      <c r="O1376" s="70">
        <v>56449</v>
      </c>
      <c r="Q1376" s="71">
        <v>43000</v>
      </c>
    </row>
    <row r="1377" spans="1:21" x14ac:dyDescent="0.2">
      <c r="Q1377" s="71"/>
    </row>
    <row r="1378" spans="1:21" x14ac:dyDescent="0.2">
      <c r="A1378" s="71" t="s">
        <v>1832</v>
      </c>
      <c r="B1378" s="71" t="s">
        <v>467</v>
      </c>
      <c r="C1378" s="71">
        <v>78910</v>
      </c>
      <c r="D1378" s="71">
        <v>61309</v>
      </c>
      <c r="E1378" s="71">
        <v>66003</v>
      </c>
      <c r="F1378" s="71">
        <v>60805</v>
      </c>
      <c r="G1378" s="71">
        <v>66783</v>
      </c>
      <c r="H1378" s="71">
        <v>72282</v>
      </c>
      <c r="I1378" s="71">
        <v>75009</v>
      </c>
      <c r="J1378" s="71">
        <v>78052</v>
      </c>
      <c r="K1378" s="71">
        <v>80008</v>
      </c>
      <c r="L1378" s="71">
        <v>79722</v>
      </c>
      <c r="M1378" s="71">
        <v>75627</v>
      </c>
      <c r="N1378" s="71">
        <v>76404</v>
      </c>
      <c r="O1378" s="71">
        <v>81569</v>
      </c>
      <c r="Q1378" s="70">
        <v>68873</v>
      </c>
      <c r="R1378" s="71"/>
      <c r="T1378" s="71"/>
      <c r="U1378" s="71"/>
    </row>
    <row r="1379" spans="1:21" x14ac:dyDescent="0.2">
      <c r="A1379" s="71" t="s">
        <v>921</v>
      </c>
      <c r="B1379" s="71" t="s">
        <v>470</v>
      </c>
      <c r="C1379" s="100">
        <v>0</v>
      </c>
      <c r="D1379" s="100">
        <v>0</v>
      </c>
      <c r="E1379" s="100">
        <v>0</v>
      </c>
      <c r="F1379" s="100">
        <v>0</v>
      </c>
      <c r="G1379" s="100">
        <v>0</v>
      </c>
      <c r="H1379" s="100">
        <v>0</v>
      </c>
      <c r="I1379" s="100">
        <v>0</v>
      </c>
      <c r="J1379" s="100">
        <v>0</v>
      </c>
      <c r="K1379" s="100">
        <v>11</v>
      </c>
      <c r="L1379" s="100">
        <v>21</v>
      </c>
      <c r="M1379" s="100">
        <v>31</v>
      </c>
      <c r="N1379" s="100">
        <v>41</v>
      </c>
      <c r="O1379" s="100">
        <v>51</v>
      </c>
      <c r="Q1379" s="70">
        <v>0</v>
      </c>
      <c r="R1379" s="100"/>
      <c r="T1379" s="100"/>
      <c r="U1379" s="100"/>
    </row>
    <row r="1380" spans="1:21" ht="15.75" thickBot="1" x14ac:dyDescent="0.25">
      <c r="B1380" s="70" t="s">
        <v>1382</v>
      </c>
      <c r="C1380" s="101">
        <v>78910</v>
      </c>
      <c r="D1380" s="101">
        <v>61309</v>
      </c>
      <c r="E1380" s="101">
        <v>66003</v>
      </c>
      <c r="F1380" s="101">
        <v>60805</v>
      </c>
      <c r="G1380" s="101">
        <v>66783</v>
      </c>
      <c r="H1380" s="101">
        <v>72282</v>
      </c>
      <c r="I1380" s="101">
        <v>75009</v>
      </c>
      <c r="J1380" s="101">
        <v>78052</v>
      </c>
      <c r="K1380" s="101">
        <v>80019</v>
      </c>
      <c r="L1380" s="101">
        <v>79743</v>
      </c>
      <c r="M1380" s="101">
        <v>75658</v>
      </c>
      <c r="N1380" s="101">
        <v>76445</v>
      </c>
      <c r="O1380" s="101">
        <v>81620</v>
      </c>
      <c r="Q1380" s="70">
        <v>68873</v>
      </c>
      <c r="R1380" s="101"/>
      <c r="T1380" s="101"/>
      <c r="U1380" s="101"/>
    </row>
    <row r="1381" spans="1:21" ht="15.75" thickTop="1" x14ac:dyDescent="0.2"/>
    <row r="1382" spans="1:21" x14ac:dyDescent="0.2">
      <c r="A1382" s="70" t="s">
        <v>2379</v>
      </c>
      <c r="B1382" s="70" t="s">
        <v>472</v>
      </c>
      <c r="C1382" s="75">
        <v>12267</v>
      </c>
      <c r="D1382" s="75">
        <v>13043</v>
      </c>
      <c r="E1382" s="75">
        <v>11039</v>
      </c>
      <c r="F1382" s="75">
        <v>9537</v>
      </c>
      <c r="G1382" s="75">
        <v>17849</v>
      </c>
      <c r="H1382" s="75">
        <v>16273</v>
      </c>
      <c r="I1382" s="75">
        <v>14719</v>
      </c>
      <c r="J1382" s="75">
        <v>16536</v>
      </c>
      <c r="K1382" s="75">
        <v>14926</v>
      </c>
      <c r="L1382" s="75">
        <v>13315</v>
      </c>
      <c r="M1382" s="75">
        <v>11726</v>
      </c>
      <c r="N1382" s="75">
        <v>10115</v>
      </c>
      <c r="O1382" s="75">
        <v>8506</v>
      </c>
      <c r="Q1382" s="70">
        <v>17179</v>
      </c>
      <c r="R1382" s="75"/>
      <c r="T1382" s="75"/>
      <c r="U1382" s="75"/>
    </row>
    <row r="1384" spans="1:21" x14ac:dyDescent="0.2">
      <c r="B1384" s="70" t="s">
        <v>5260</v>
      </c>
      <c r="C1384" s="70">
        <v>287685</v>
      </c>
      <c r="D1384" s="70">
        <v>357428</v>
      </c>
      <c r="E1384" s="70">
        <v>360175</v>
      </c>
      <c r="F1384" s="70">
        <v>322851</v>
      </c>
      <c r="G1384" s="70">
        <v>329167</v>
      </c>
      <c r="H1384" s="70">
        <v>352625</v>
      </c>
      <c r="I1384" s="70">
        <v>370409</v>
      </c>
      <c r="J1384" s="70">
        <v>391377</v>
      </c>
      <c r="K1384" s="70">
        <v>386154</v>
      </c>
      <c r="L1384" s="70">
        <v>392271</v>
      </c>
      <c r="M1384" s="70">
        <v>367727</v>
      </c>
      <c r="N1384" s="70">
        <v>343180</v>
      </c>
      <c r="O1384" s="70">
        <v>357519</v>
      </c>
      <c r="Q1384" s="70">
        <v>312270</v>
      </c>
    </row>
    <row r="1386" spans="1:21" x14ac:dyDescent="0.2">
      <c r="A1386" s="70" t="s">
        <v>884</v>
      </c>
      <c r="B1386" s="70" t="s">
        <v>430</v>
      </c>
      <c r="C1386" s="71">
        <v>3876894</v>
      </c>
      <c r="D1386" s="71">
        <v>4954754.7962699998</v>
      </c>
      <c r="E1386" s="71">
        <v>4960313.7962699998</v>
      </c>
      <c r="F1386" s="71">
        <v>4965600.7962699998</v>
      </c>
      <c r="G1386" s="71">
        <v>4958392.7962699998</v>
      </c>
      <c r="H1386" s="71">
        <v>4968689.7962699998</v>
      </c>
      <c r="I1386" s="71">
        <v>5010265.7962699998</v>
      </c>
      <c r="J1386" s="71">
        <v>5015927.7962699998</v>
      </c>
      <c r="K1386" s="71">
        <v>5027962.7962699998</v>
      </c>
      <c r="L1386" s="71">
        <v>5008300.7962699998</v>
      </c>
      <c r="M1386" s="71">
        <v>5101831.7962699998</v>
      </c>
      <c r="N1386" s="71">
        <v>5210730.7962699998</v>
      </c>
      <c r="O1386" s="71">
        <v>5225866.7962699998</v>
      </c>
      <c r="Q1386" s="70">
        <v>4816518.53369</v>
      </c>
      <c r="R1386" s="71"/>
      <c r="T1386" s="71"/>
      <c r="U1386" s="71"/>
    </row>
    <row r="1387" spans="1:21" x14ac:dyDescent="0.2">
      <c r="A1387" s="70" t="s">
        <v>3668</v>
      </c>
      <c r="B1387" s="70" t="s">
        <v>440</v>
      </c>
      <c r="C1387" s="71">
        <v>4726</v>
      </c>
      <c r="D1387" s="71">
        <v>4264</v>
      </c>
      <c r="E1387" s="71">
        <v>4244</v>
      </c>
      <c r="F1387" s="71">
        <v>4224</v>
      </c>
      <c r="G1387" s="71">
        <v>4203</v>
      </c>
      <c r="H1387" s="71">
        <v>4183</v>
      </c>
      <c r="I1387" s="71">
        <v>4163</v>
      </c>
      <c r="J1387" s="71">
        <v>4142</v>
      </c>
      <c r="K1387" s="71">
        <v>4122</v>
      </c>
      <c r="L1387" s="71">
        <v>4102</v>
      </c>
      <c r="M1387" s="71">
        <v>4081</v>
      </c>
      <c r="N1387" s="71">
        <v>4061</v>
      </c>
      <c r="O1387" s="71">
        <v>4041</v>
      </c>
      <c r="Q1387" s="70">
        <v>4533</v>
      </c>
      <c r="R1387" s="71"/>
      <c r="T1387" s="71"/>
      <c r="U1387" s="71"/>
    </row>
    <row r="1388" spans="1:21" x14ac:dyDescent="0.2">
      <c r="A1388" s="70" t="s">
        <v>5386</v>
      </c>
      <c r="B1388" s="70" t="s">
        <v>434</v>
      </c>
      <c r="C1388" s="100">
        <v>268067</v>
      </c>
      <c r="D1388" s="100">
        <v>285803</v>
      </c>
      <c r="E1388" s="100">
        <v>292850</v>
      </c>
      <c r="F1388" s="100">
        <v>296273</v>
      </c>
      <c r="G1388" s="100">
        <v>384908</v>
      </c>
      <c r="H1388" s="100">
        <v>480637</v>
      </c>
      <c r="I1388" s="100">
        <v>451964</v>
      </c>
      <c r="J1388" s="100">
        <v>457463</v>
      </c>
      <c r="K1388" s="100">
        <v>464450</v>
      </c>
      <c r="L1388" s="100">
        <v>464007</v>
      </c>
      <c r="M1388" s="100">
        <v>382215</v>
      </c>
      <c r="N1388" s="100">
        <v>288047</v>
      </c>
      <c r="O1388" s="100">
        <v>330604</v>
      </c>
      <c r="Q1388" s="71">
        <v>230154</v>
      </c>
      <c r="R1388" s="100"/>
      <c r="T1388" s="100"/>
      <c r="U1388" s="100"/>
    </row>
    <row r="1389" spans="1:21" ht="15.75" thickBot="1" x14ac:dyDescent="0.25">
      <c r="B1389" s="70" t="s">
        <v>5261</v>
      </c>
      <c r="C1389" s="103">
        <v>4149687</v>
      </c>
      <c r="D1389" s="103">
        <v>5244821.7962699998</v>
      </c>
      <c r="E1389" s="103">
        <v>5257407.7962699998</v>
      </c>
      <c r="F1389" s="103">
        <v>5266097.7962699998</v>
      </c>
      <c r="G1389" s="103">
        <v>5347503.7962699998</v>
      </c>
      <c r="H1389" s="103">
        <v>5453509.7962699998</v>
      </c>
      <c r="I1389" s="103">
        <v>5466392.7962699998</v>
      </c>
      <c r="J1389" s="103">
        <v>5477532.7962699998</v>
      </c>
      <c r="K1389" s="103">
        <v>5496534.7962699998</v>
      </c>
      <c r="L1389" s="103">
        <v>5476409.7962699998</v>
      </c>
      <c r="M1389" s="103">
        <v>5488127.7962699998</v>
      </c>
      <c r="N1389" s="103">
        <v>5502838.7962699998</v>
      </c>
      <c r="O1389" s="103">
        <v>5560511.7962699998</v>
      </c>
      <c r="Q1389" s="70">
        <v>5051205.53369</v>
      </c>
      <c r="R1389" s="103"/>
      <c r="T1389" s="103"/>
      <c r="U1389" s="103"/>
    </row>
    <row r="1390" spans="1:21" ht="15.75" thickTop="1" x14ac:dyDescent="0.2">
      <c r="A1390" s="71"/>
      <c r="C1390" s="71"/>
      <c r="D1390" s="71"/>
      <c r="E1390" s="71"/>
      <c r="F1390" s="71"/>
      <c r="G1390" s="71"/>
      <c r="H1390" s="71"/>
      <c r="I1390" s="71"/>
      <c r="J1390" s="71"/>
      <c r="K1390" s="71"/>
      <c r="L1390" s="71"/>
      <c r="M1390" s="71"/>
      <c r="N1390" s="71"/>
      <c r="O1390" s="71"/>
      <c r="R1390" s="71"/>
      <c r="T1390" s="71"/>
      <c r="U1390" s="71"/>
    </row>
    <row r="1391" spans="1:21" x14ac:dyDescent="0.2">
      <c r="A1391" s="70" t="s">
        <v>5383</v>
      </c>
      <c r="B1391" s="70" t="s">
        <v>433</v>
      </c>
      <c r="C1391" s="71">
        <v>34125</v>
      </c>
      <c r="D1391" s="71">
        <v>40229</v>
      </c>
      <c r="E1391" s="71">
        <v>40229</v>
      </c>
      <c r="F1391" s="71">
        <v>40229</v>
      </c>
      <c r="G1391" s="71">
        <v>40229</v>
      </c>
      <c r="H1391" s="71">
        <v>40229</v>
      </c>
      <c r="I1391" s="71">
        <v>40229</v>
      </c>
      <c r="J1391" s="71">
        <v>40229</v>
      </c>
      <c r="K1391" s="71">
        <v>40229</v>
      </c>
      <c r="L1391" s="71">
        <v>40229</v>
      </c>
      <c r="M1391" s="71">
        <v>40229</v>
      </c>
      <c r="N1391" s="71">
        <v>40229</v>
      </c>
      <c r="O1391" s="71">
        <v>42942</v>
      </c>
      <c r="Q1391" s="70">
        <v>38180</v>
      </c>
      <c r="R1391" s="71"/>
      <c r="T1391" s="71"/>
      <c r="U1391" s="71"/>
    </row>
    <row r="1392" spans="1:21" x14ac:dyDescent="0.2">
      <c r="A1392" s="70" t="s">
        <v>5389</v>
      </c>
      <c r="B1392" s="70" t="s">
        <v>435</v>
      </c>
      <c r="C1392" s="100">
        <v>300151</v>
      </c>
      <c r="D1392" s="100">
        <v>329528</v>
      </c>
      <c r="E1392" s="100">
        <v>349455</v>
      </c>
      <c r="F1392" s="100">
        <v>378303</v>
      </c>
      <c r="G1392" s="100">
        <v>313144</v>
      </c>
      <c r="H1392" s="100">
        <v>240196</v>
      </c>
      <c r="I1392" s="100">
        <v>254194</v>
      </c>
      <c r="J1392" s="100">
        <v>274936</v>
      </c>
      <c r="K1392" s="100">
        <v>297353</v>
      </c>
      <c r="L1392" s="100">
        <v>334745</v>
      </c>
      <c r="M1392" s="100">
        <v>375709</v>
      </c>
      <c r="N1392" s="100">
        <v>415415</v>
      </c>
      <c r="O1392" s="100">
        <v>414529</v>
      </c>
      <c r="Q1392" s="71">
        <v>269205</v>
      </c>
      <c r="R1392" s="100"/>
      <c r="T1392" s="100"/>
      <c r="U1392" s="100"/>
    </row>
    <row r="1393" spans="1:23" ht="15.75" thickBot="1" x14ac:dyDescent="0.25">
      <c r="B1393" s="70" t="s">
        <v>5262</v>
      </c>
      <c r="C1393" s="103">
        <v>334276</v>
      </c>
      <c r="D1393" s="103">
        <v>369757</v>
      </c>
      <c r="E1393" s="103">
        <v>389684</v>
      </c>
      <c r="F1393" s="103">
        <v>418532</v>
      </c>
      <c r="G1393" s="103">
        <v>353373</v>
      </c>
      <c r="H1393" s="103">
        <v>280425</v>
      </c>
      <c r="I1393" s="103">
        <v>294423</v>
      </c>
      <c r="J1393" s="103">
        <v>315165</v>
      </c>
      <c r="K1393" s="103">
        <v>337582</v>
      </c>
      <c r="L1393" s="103">
        <v>374974</v>
      </c>
      <c r="M1393" s="103">
        <v>415938</v>
      </c>
      <c r="N1393" s="103">
        <v>455644</v>
      </c>
      <c r="O1393" s="103">
        <v>457471</v>
      </c>
      <c r="Q1393" s="71">
        <v>307385</v>
      </c>
      <c r="R1393" s="103"/>
      <c r="T1393" s="103"/>
      <c r="U1393" s="103"/>
    </row>
    <row r="1394" spans="1:23" ht="15.75" thickTop="1" x14ac:dyDescent="0.2">
      <c r="A1394" s="71"/>
      <c r="C1394" s="71"/>
      <c r="D1394" s="71"/>
      <c r="E1394" s="71"/>
      <c r="F1394" s="71"/>
      <c r="G1394" s="71"/>
      <c r="H1394" s="71"/>
      <c r="I1394" s="71"/>
      <c r="J1394" s="71"/>
      <c r="K1394" s="71"/>
      <c r="L1394" s="71"/>
      <c r="M1394" s="71"/>
      <c r="N1394" s="71"/>
      <c r="O1394" s="71"/>
      <c r="Q1394" s="71"/>
      <c r="R1394" s="71"/>
      <c r="T1394" s="71"/>
      <c r="U1394" s="71"/>
    </row>
    <row r="1395" spans="1:23" x14ac:dyDescent="0.2">
      <c r="A1395" s="71"/>
      <c r="B1395" s="70" t="s">
        <v>5263</v>
      </c>
      <c r="C1395" s="71">
        <v>8348</v>
      </c>
      <c r="D1395" s="71">
        <v>3570</v>
      </c>
      <c r="E1395" s="71">
        <v>3544</v>
      </c>
      <c r="F1395" s="71">
        <v>3518</v>
      </c>
      <c r="G1395" s="71">
        <v>3509</v>
      </c>
      <c r="H1395" s="71">
        <v>3522</v>
      </c>
      <c r="I1395" s="71">
        <v>3555</v>
      </c>
      <c r="J1395" s="71">
        <v>3661</v>
      </c>
      <c r="K1395" s="71">
        <v>3767</v>
      </c>
      <c r="L1395" s="71">
        <v>3775</v>
      </c>
      <c r="M1395" s="71">
        <v>3768</v>
      </c>
      <c r="N1395" s="71">
        <v>3752</v>
      </c>
      <c r="O1395" s="71">
        <v>3734</v>
      </c>
      <c r="Q1395" s="71">
        <v>3526</v>
      </c>
      <c r="R1395" s="71"/>
      <c r="T1395" s="71"/>
      <c r="U1395" s="71"/>
    </row>
    <row r="1396" spans="1:23" x14ac:dyDescent="0.2">
      <c r="A1396" s="71"/>
      <c r="C1396" s="71"/>
      <c r="D1396" s="71"/>
      <c r="E1396" s="71"/>
      <c r="F1396" s="71"/>
      <c r="G1396" s="71"/>
      <c r="H1396" s="71"/>
      <c r="I1396" s="71"/>
      <c r="J1396" s="71"/>
      <c r="K1396" s="71"/>
      <c r="L1396" s="71"/>
      <c r="M1396" s="71"/>
      <c r="N1396" s="71"/>
      <c r="O1396" s="71"/>
      <c r="Q1396" s="71"/>
      <c r="R1396" s="71"/>
      <c r="T1396" s="71"/>
      <c r="U1396" s="71"/>
    </row>
    <row r="1397" spans="1:23" x14ac:dyDescent="0.2">
      <c r="A1397" s="71" t="s">
        <v>3660</v>
      </c>
      <c r="B1397" s="71" t="s">
        <v>5264</v>
      </c>
      <c r="C1397" s="71">
        <v>1795267</v>
      </c>
      <c r="D1397" s="71">
        <v>1955055</v>
      </c>
      <c r="E1397" s="71">
        <v>1962744</v>
      </c>
      <c r="F1397" s="71">
        <v>1970118</v>
      </c>
      <c r="G1397" s="71">
        <v>1967282</v>
      </c>
      <c r="H1397" s="71">
        <v>1976618</v>
      </c>
      <c r="I1397" s="71">
        <v>1982501</v>
      </c>
      <c r="J1397" s="71">
        <v>1989068</v>
      </c>
      <c r="K1397" s="71">
        <v>1997285</v>
      </c>
      <c r="L1397" s="71">
        <v>1981321</v>
      </c>
      <c r="M1397" s="71">
        <v>1990155</v>
      </c>
      <c r="N1397" s="71">
        <v>2000429</v>
      </c>
      <c r="O1397" s="71">
        <v>2006930</v>
      </c>
      <c r="Q1397" s="71">
        <v>1956943</v>
      </c>
      <c r="R1397" s="71"/>
      <c r="T1397" s="71"/>
      <c r="U1397" s="71"/>
    </row>
    <row r="1398" spans="1:23" x14ac:dyDescent="0.2">
      <c r="A1398" s="71"/>
      <c r="C1398" s="71"/>
      <c r="D1398" s="71"/>
      <c r="E1398" s="71"/>
      <c r="F1398" s="71"/>
      <c r="G1398" s="71"/>
      <c r="H1398" s="71"/>
      <c r="I1398" s="71"/>
      <c r="J1398" s="71"/>
      <c r="K1398" s="71"/>
      <c r="L1398" s="71"/>
      <c r="M1398" s="71"/>
      <c r="N1398" s="71"/>
      <c r="O1398" s="71"/>
      <c r="Q1398" s="71"/>
      <c r="R1398" s="71"/>
      <c r="T1398" s="71"/>
      <c r="U1398" s="71"/>
    </row>
    <row r="1399" spans="1:23" x14ac:dyDescent="0.2">
      <c r="A1399" s="71" t="s">
        <v>1153</v>
      </c>
      <c r="B1399" s="71" t="s">
        <v>443</v>
      </c>
      <c r="C1399" s="71">
        <v>40</v>
      </c>
      <c r="D1399" s="71">
        <v>274</v>
      </c>
      <c r="E1399" s="71">
        <v>274</v>
      </c>
      <c r="F1399" s="71">
        <v>274</v>
      </c>
      <c r="G1399" s="71">
        <v>274</v>
      </c>
      <c r="H1399" s="71">
        <v>274</v>
      </c>
      <c r="I1399" s="71">
        <v>274</v>
      </c>
      <c r="J1399" s="71">
        <v>274</v>
      </c>
      <c r="K1399" s="71">
        <v>274</v>
      </c>
      <c r="L1399" s="71">
        <v>274</v>
      </c>
      <c r="M1399" s="71">
        <v>274</v>
      </c>
      <c r="N1399" s="71">
        <v>274</v>
      </c>
      <c r="O1399" s="71">
        <v>274</v>
      </c>
      <c r="P1399" s="71"/>
      <c r="Q1399" s="71">
        <v>274</v>
      </c>
      <c r="R1399" s="71"/>
      <c r="S1399" s="71"/>
      <c r="T1399" s="71"/>
      <c r="U1399" s="71"/>
      <c r="V1399" s="71"/>
      <c r="W1399" s="71"/>
    </row>
    <row r="1400" spans="1:23" ht="15.75" x14ac:dyDescent="0.25">
      <c r="A1400" s="71"/>
      <c r="B1400" s="73" t="s">
        <v>5265</v>
      </c>
      <c r="C1400" s="100">
        <v>-40</v>
      </c>
      <c r="D1400" s="100">
        <v>-274</v>
      </c>
      <c r="E1400" s="100">
        <v>-274</v>
      </c>
      <c r="F1400" s="100">
        <v>-274</v>
      </c>
      <c r="G1400" s="100">
        <v>-274</v>
      </c>
      <c r="H1400" s="100">
        <v>-274</v>
      </c>
      <c r="I1400" s="100">
        <v>-274</v>
      </c>
      <c r="J1400" s="100">
        <v>-274</v>
      </c>
      <c r="K1400" s="100">
        <v>-274</v>
      </c>
      <c r="L1400" s="100">
        <v>-274</v>
      </c>
      <c r="M1400" s="100">
        <v>-274</v>
      </c>
      <c r="N1400" s="100">
        <v>-274</v>
      </c>
      <c r="O1400" s="100">
        <v>-274</v>
      </c>
      <c r="Q1400" s="71">
        <v>-274</v>
      </c>
      <c r="R1400" s="100"/>
      <c r="T1400" s="100"/>
      <c r="U1400" s="100"/>
    </row>
    <row r="1401" spans="1:23" ht="15.75" thickBot="1" x14ac:dyDescent="0.25">
      <c r="A1401" s="71"/>
      <c r="B1401" s="70" t="s">
        <v>5266</v>
      </c>
      <c r="C1401" s="103">
        <v>0</v>
      </c>
      <c r="D1401" s="103">
        <v>0</v>
      </c>
      <c r="E1401" s="103">
        <v>0</v>
      </c>
      <c r="F1401" s="103">
        <v>0</v>
      </c>
      <c r="G1401" s="103">
        <v>0</v>
      </c>
      <c r="H1401" s="103">
        <v>0</v>
      </c>
      <c r="I1401" s="103">
        <v>0</v>
      </c>
      <c r="J1401" s="103">
        <v>0</v>
      </c>
      <c r="K1401" s="103">
        <v>0</v>
      </c>
      <c r="L1401" s="103">
        <v>0</v>
      </c>
      <c r="M1401" s="103">
        <v>0</v>
      </c>
      <c r="N1401" s="103">
        <v>0</v>
      </c>
      <c r="O1401" s="103">
        <v>0</v>
      </c>
      <c r="Q1401" s="71">
        <v>0</v>
      </c>
      <c r="R1401" s="103"/>
      <c r="T1401" s="103"/>
      <c r="U1401" s="103"/>
    </row>
    <row r="1402" spans="1:23" ht="15.75" thickTop="1" x14ac:dyDescent="0.2">
      <c r="A1402" s="71"/>
      <c r="C1402" s="71"/>
      <c r="D1402" s="71"/>
      <c r="E1402" s="71"/>
      <c r="F1402" s="71"/>
      <c r="G1402" s="71"/>
      <c r="H1402" s="71"/>
      <c r="I1402" s="71"/>
      <c r="J1402" s="71"/>
      <c r="K1402" s="71"/>
      <c r="L1402" s="71"/>
      <c r="M1402" s="71"/>
      <c r="N1402" s="71"/>
      <c r="O1402" s="71"/>
      <c r="Q1402" s="71"/>
      <c r="R1402" s="71"/>
      <c r="T1402" s="71"/>
      <c r="U1402" s="71"/>
    </row>
    <row r="1403" spans="1:23" x14ac:dyDescent="0.2">
      <c r="A1403" s="71"/>
      <c r="B1403" s="70" t="s">
        <v>5267</v>
      </c>
      <c r="C1403" s="71">
        <v>11285</v>
      </c>
      <c r="D1403" s="71">
        <v>40961</v>
      </c>
      <c r="E1403" s="71">
        <v>40545</v>
      </c>
      <c r="F1403" s="71">
        <v>41079</v>
      </c>
      <c r="G1403" s="71">
        <v>40866</v>
      </c>
      <c r="H1403" s="71">
        <v>41163</v>
      </c>
      <c r="I1403" s="71">
        <v>40723</v>
      </c>
      <c r="J1403" s="71">
        <v>40284</v>
      </c>
      <c r="K1403" s="71">
        <v>39844</v>
      </c>
      <c r="L1403" s="71">
        <v>39405</v>
      </c>
      <c r="M1403" s="71">
        <v>38966</v>
      </c>
      <c r="N1403" s="71">
        <v>38526</v>
      </c>
      <c r="O1403" s="71">
        <v>38087</v>
      </c>
      <c r="Q1403" s="70">
        <v>36430</v>
      </c>
      <c r="R1403" s="71"/>
      <c r="T1403" s="71"/>
      <c r="U1403" s="71"/>
    </row>
    <row r="1404" spans="1:23" x14ac:dyDescent="0.2">
      <c r="A1404" s="71"/>
      <c r="C1404" s="71"/>
      <c r="D1404" s="71"/>
      <c r="E1404" s="71"/>
      <c r="F1404" s="71"/>
      <c r="G1404" s="71"/>
      <c r="H1404" s="71"/>
      <c r="I1404" s="71"/>
      <c r="J1404" s="71"/>
      <c r="K1404" s="71"/>
      <c r="L1404" s="71"/>
      <c r="M1404" s="71"/>
      <c r="N1404" s="71"/>
      <c r="O1404" s="71"/>
      <c r="R1404" s="71"/>
      <c r="T1404" s="71"/>
      <c r="U1404" s="71"/>
    </row>
    <row r="1405" spans="1:23" x14ac:dyDescent="0.2">
      <c r="A1405" s="70" t="s">
        <v>3150</v>
      </c>
      <c r="B1405" s="70" t="s">
        <v>5051</v>
      </c>
      <c r="C1405" s="70">
        <v>0</v>
      </c>
      <c r="D1405" s="70">
        <v>0</v>
      </c>
      <c r="E1405" s="70">
        <v>0</v>
      </c>
      <c r="F1405" s="70">
        <v>0</v>
      </c>
      <c r="G1405" s="70">
        <v>110</v>
      </c>
      <c r="H1405" s="70">
        <v>116</v>
      </c>
      <c r="I1405" s="70">
        <v>0</v>
      </c>
      <c r="J1405" s="70">
        <v>0</v>
      </c>
      <c r="K1405" s="70">
        <v>0</v>
      </c>
      <c r="L1405" s="70">
        <v>0</v>
      </c>
      <c r="M1405" s="70">
        <v>0</v>
      </c>
      <c r="N1405" s="70">
        <v>0</v>
      </c>
      <c r="O1405" s="70">
        <v>0</v>
      </c>
      <c r="Q1405" s="70">
        <v>0</v>
      </c>
    </row>
    <row r="1406" spans="1:23" x14ac:dyDescent="0.2">
      <c r="A1406" s="70" t="s">
        <v>3152</v>
      </c>
      <c r="B1406" s="70" t="s">
        <v>5052</v>
      </c>
      <c r="C1406" s="70">
        <v>90203</v>
      </c>
      <c r="D1406" s="70">
        <v>0</v>
      </c>
      <c r="E1406" s="70">
        <v>409</v>
      </c>
      <c r="F1406" s="70">
        <v>5186</v>
      </c>
      <c r="G1406" s="70">
        <v>12505</v>
      </c>
      <c r="H1406" s="70">
        <v>28225</v>
      </c>
      <c r="I1406" s="70">
        <v>37267</v>
      </c>
      <c r="J1406" s="70">
        <v>53169</v>
      </c>
      <c r="K1406" s="70">
        <v>73358</v>
      </c>
      <c r="L1406" s="70">
        <v>74038</v>
      </c>
      <c r="M1406" s="70">
        <v>71119</v>
      </c>
      <c r="N1406" s="70">
        <v>65303</v>
      </c>
      <c r="O1406" s="70">
        <v>73857</v>
      </c>
      <c r="Q1406" s="70">
        <v>83389</v>
      </c>
    </row>
    <row r="1407" spans="1:23" x14ac:dyDescent="0.2">
      <c r="A1407" s="70" t="s">
        <v>3154</v>
      </c>
      <c r="B1407" s="70" t="s">
        <v>5053</v>
      </c>
      <c r="C1407" s="70">
        <v>4407</v>
      </c>
      <c r="D1407" s="70">
        <v>27303</v>
      </c>
      <c r="E1407" s="70">
        <v>28885</v>
      </c>
      <c r="F1407" s="70">
        <v>30438</v>
      </c>
      <c r="G1407" s="70">
        <v>31387</v>
      </c>
      <c r="H1407" s="70">
        <v>31776</v>
      </c>
      <c r="I1407" s="70">
        <v>29781</v>
      </c>
      <c r="J1407" s="70">
        <v>27342</v>
      </c>
      <c r="K1407" s="70">
        <v>24935</v>
      </c>
      <c r="L1407" s="70">
        <v>22443</v>
      </c>
      <c r="M1407" s="70">
        <v>20895</v>
      </c>
      <c r="N1407" s="70">
        <v>20363</v>
      </c>
      <c r="O1407" s="70">
        <v>19891</v>
      </c>
      <c r="Q1407" s="70">
        <v>0</v>
      </c>
    </row>
    <row r="1408" spans="1:23" x14ac:dyDescent="0.2">
      <c r="A1408" s="70" t="s">
        <v>3156</v>
      </c>
      <c r="B1408" s="70" t="s">
        <v>5054</v>
      </c>
      <c r="C1408" s="70">
        <v>2597</v>
      </c>
      <c r="D1408" s="70">
        <v>0</v>
      </c>
      <c r="E1408" s="70">
        <v>0</v>
      </c>
      <c r="F1408" s="70">
        <v>0</v>
      </c>
      <c r="G1408" s="70">
        <v>39</v>
      </c>
      <c r="H1408" s="70">
        <v>608</v>
      </c>
      <c r="I1408" s="70">
        <v>864</v>
      </c>
      <c r="J1408" s="70">
        <v>1385</v>
      </c>
      <c r="K1408" s="70">
        <v>2129</v>
      </c>
      <c r="L1408" s="70">
        <v>2098</v>
      </c>
      <c r="M1408" s="70">
        <v>1923</v>
      </c>
      <c r="N1408" s="70">
        <v>1668</v>
      </c>
      <c r="O1408" s="70">
        <v>1893</v>
      </c>
      <c r="Q1408" s="70">
        <v>200</v>
      </c>
    </row>
    <row r="1409" spans="1:26" x14ac:dyDescent="0.2">
      <c r="A1409" s="70" t="s">
        <v>678</v>
      </c>
      <c r="B1409" s="70" t="s">
        <v>5056</v>
      </c>
      <c r="C1409" s="75">
        <v>0</v>
      </c>
      <c r="D1409" s="75">
        <v>0</v>
      </c>
      <c r="E1409" s="75">
        <v>0</v>
      </c>
      <c r="F1409" s="75">
        <v>0</v>
      </c>
      <c r="G1409" s="75">
        <v>0</v>
      </c>
      <c r="H1409" s="75">
        <v>0</v>
      </c>
      <c r="I1409" s="75">
        <v>0</v>
      </c>
      <c r="J1409" s="75">
        <v>0</v>
      </c>
      <c r="K1409" s="75">
        <v>0</v>
      </c>
      <c r="L1409" s="75">
        <v>0</v>
      </c>
      <c r="M1409" s="75">
        <v>0</v>
      </c>
      <c r="N1409" s="75">
        <v>0</v>
      </c>
      <c r="O1409" s="75">
        <v>0</v>
      </c>
      <c r="Q1409" s="70">
        <v>0</v>
      </c>
      <c r="R1409" s="75"/>
      <c r="T1409" s="75"/>
      <c r="U1409" s="75"/>
    </row>
    <row r="1410" spans="1:26" ht="15.75" thickBot="1" x14ac:dyDescent="0.25">
      <c r="B1410" s="70" t="s">
        <v>5268</v>
      </c>
      <c r="C1410" s="101">
        <v>97207</v>
      </c>
      <c r="D1410" s="101">
        <v>27303</v>
      </c>
      <c r="E1410" s="101">
        <v>29294</v>
      </c>
      <c r="F1410" s="101">
        <v>35624</v>
      </c>
      <c r="G1410" s="101">
        <v>44041</v>
      </c>
      <c r="H1410" s="101">
        <v>60725</v>
      </c>
      <c r="I1410" s="101">
        <v>67912</v>
      </c>
      <c r="J1410" s="101">
        <v>81896</v>
      </c>
      <c r="K1410" s="101">
        <v>100422</v>
      </c>
      <c r="L1410" s="101">
        <v>98579</v>
      </c>
      <c r="M1410" s="101">
        <v>93937</v>
      </c>
      <c r="N1410" s="101">
        <v>87334</v>
      </c>
      <c r="O1410" s="101">
        <v>95641</v>
      </c>
      <c r="Q1410" s="70">
        <v>83589</v>
      </c>
      <c r="R1410" s="101"/>
      <c r="T1410" s="101"/>
      <c r="U1410" s="101"/>
    </row>
    <row r="1411" spans="1:26" ht="15.75" thickTop="1" x14ac:dyDescent="0.2">
      <c r="C1411" s="71"/>
      <c r="D1411" s="71"/>
      <c r="E1411" s="71"/>
      <c r="F1411" s="71"/>
      <c r="G1411" s="71"/>
      <c r="H1411" s="71"/>
      <c r="I1411" s="71"/>
      <c r="J1411" s="71"/>
      <c r="K1411" s="71"/>
      <c r="L1411" s="71"/>
      <c r="M1411" s="71"/>
      <c r="N1411" s="71"/>
      <c r="O1411" s="71"/>
      <c r="R1411" s="71"/>
      <c r="T1411" s="71"/>
      <c r="U1411" s="71"/>
    </row>
    <row r="1412" spans="1:26" x14ac:dyDescent="0.2">
      <c r="A1412" s="70" t="s">
        <v>4443</v>
      </c>
      <c r="B1412" s="70" t="s">
        <v>5067</v>
      </c>
      <c r="C1412" s="70">
        <v>2140</v>
      </c>
      <c r="D1412" s="70">
        <v>9315</v>
      </c>
      <c r="E1412" s="70">
        <v>9479</v>
      </c>
      <c r="F1412" s="70">
        <v>9781</v>
      </c>
      <c r="G1412" s="70">
        <v>10612</v>
      </c>
      <c r="H1412" s="70">
        <v>11095</v>
      </c>
      <c r="I1412" s="70">
        <v>11348</v>
      </c>
      <c r="J1412" s="70">
        <v>11589</v>
      </c>
      <c r="K1412" s="70">
        <v>11936</v>
      </c>
      <c r="L1412" s="70">
        <v>12168</v>
      </c>
      <c r="M1412" s="70">
        <v>12414</v>
      </c>
      <c r="N1412" s="70">
        <v>12576</v>
      </c>
      <c r="O1412" s="70">
        <v>12681</v>
      </c>
      <c r="Q1412" s="70">
        <v>3327</v>
      </c>
      <c r="X1412" s="71"/>
      <c r="Y1412" s="71"/>
      <c r="Z1412" s="71"/>
    </row>
    <row r="1413" spans="1:26" x14ac:dyDescent="0.2">
      <c r="B1413" s="70" t="s">
        <v>5269</v>
      </c>
      <c r="C1413" s="71">
        <v>132256</v>
      </c>
      <c r="D1413" s="71">
        <v>131650</v>
      </c>
      <c r="E1413" s="71">
        <v>130931</v>
      </c>
      <c r="F1413" s="71">
        <v>135036</v>
      </c>
      <c r="G1413" s="71">
        <v>142936</v>
      </c>
      <c r="H1413" s="71">
        <v>159423</v>
      </c>
      <c r="I1413" s="71">
        <v>166573</v>
      </c>
      <c r="J1413" s="71">
        <v>180386</v>
      </c>
      <c r="K1413" s="71">
        <v>198742</v>
      </c>
      <c r="L1413" s="71">
        <v>197074</v>
      </c>
      <c r="M1413" s="71">
        <v>192352</v>
      </c>
      <c r="N1413" s="71">
        <v>185495</v>
      </c>
      <c r="O1413" s="71">
        <v>193648</v>
      </c>
      <c r="Q1413" s="70">
        <v>93604</v>
      </c>
      <c r="R1413" s="71"/>
      <c r="T1413" s="71"/>
      <c r="U1413" s="71"/>
    </row>
    <row r="1414" spans="1:26" x14ac:dyDescent="0.2">
      <c r="B1414" s="70" t="s">
        <v>5270</v>
      </c>
      <c r="C1414" s="71">
        <v>150.23175714304671</v>
      </c>
      <c r="D1414" s="71">
        <v>0.20373000018298626</v>
      </c>
      <c r="E1414" s="71">
        <v>0.20373000018298626</v>
      </c>
      <c r="F1414" s="71">
        <v>0.20373000018298626</v>
      </c>
      <c r="G1414" s="71">
        <v>0.20373000018298626</v>
      </c>
      <c r="H1414" s="71">
        <v>0.37039666622877121</v>
      </c>
      <c r="I1414" s="71">
        <v>-0.29626999981701374</v>
      </c>
      <c r="J1414" s="71">
        <v>3.7063334137201309E-2</v>
      </c>
      <c r="K1414" s="71">
        <v>0.37039666622877121</v>
      </c>
      <c r="L1414" s="71">
        <v>-0.29626999981701374</v>
      </c>
      <c r="M1414" s="71">
        <v>3.7063334137201309E-2</v>
      </c>
      <c r="N1414" s="71">
        <v>0.37039666622877121</v>
      </c>
      <c r="O1414" s="71">
        <v>-0.29626999981701374</v>
      </c>
      <c r="Q1414" s="70">
        <v>10.466310000047088</v>
      </c>
      <c r="R1414" s="71"/>
      <c r="T1414" s="71"/>
      <c r="U1414" s="71"/>
    </row>
    <row r="1415" spans="1:26" x14ac:dyDescent="0.2">
      <c r="B1415" s="70" t="s">
        <v>5271</v>
      </c>
      <c r="C1415" s="75">
        <v>-97207</v>
      </c>
      <c r="D1415" s="75">
        <v>-27303</v>
      </c>
      <c r="E1415" s="75">
        <v>-29294</v>
      </c>
      <c r="F1415" s="75">
        <v>-35624</v>
      </c>
      <c r="G1415" s="75">
        <v>-44041</v>
      </c>
      <c r="H1415" s="75">
        <v>-60725</v>
      </c>
      <c r="I1415" s="75">
        <v>-67912</v>
      </c>
      <c r="J1415" s="75">
        <v>-81896</v>
      </c>
      <c r="K1415" s="75">
        <v>-100422</v>
      </c>
      <c r="L1415" s="75">
        <v>-98579</v>
      </c>
      <c r="M1415" s="75">
        <v>-93937</v>
      </c>
      <c r="N1415" s="75">
        <v>-87334</v>
      </c>
      <c r="O1415" s="75">
        <v>-95641</v>
      </c>
      <c r="Q1415" s="70">
        <v>-83589</v>
      </c>
      <c r="R1415" s="75"/>
      <c r="T1415" s="75"/>
      <c r="U1415" s="75"/>
    </row>
    <row r="1416" spans="1:26" ht="15.75" thickBot="1" x14ac:dyDescent="0.25">
      <c r="B1416" s="70" t="s">
        <v>5272</v>
      </c>
      <c r="C1416" s="101">
        <v>37339.231757143047</v>
      </c>
      <c r="D1416" s="101">
        <v>113662.20373000018</v>
      </c>
      <c r="E1416" s="101">
        <v>111116.20373000018</v>
      </c>
      <c r="F1416" s="101">
        <v>109193.20373000018</v>
      </c>
      <c r="G1416" s="101">
        <v>109507.20373000018</v>
      </c>
      <c r="H1416" s="101">
        <v>109793.37039666623</v>
      </c>
      <c r="I1416" s="101">
        <v>110008.70373000018</v>
      </c>
      <c r="J1416" s="101">
        <v>110079.03706333414</v>
      </c>
      <c r="K1416" s="101">
        <v>110256.37039666623</v>
      </c>
      <c r="L1416" s="101">
        <v>110662.70373000018</v>
      </c>
      <c r="M1416" s="101">
        <v>110829.03706333414</v>
      </c>
      <c r="N1416" s="101">
        <v>110737.37039666623</v>
      </c>
      <c r="O1416" s="101">
        <v>110687.70373000018</v>
      </c>
      <c r="Q1416" s="71">
        <v>13352.466310000047</v>
      </c>
      <c r="R1416" s="101"/>
      <c r="T1416" s="101"/>
      <c r="U1416" s="101"/>
    </row>
    <row r="1417" spans="1:26" ht="15.75" thickTop="1" x14ac:dyDescent="0.2">
      <c r="Q1417" s="71"/>
    </row>
    <row r="1418" spans="1:26" x14ac:dyDescent="0.2">
      <c r="A1418" s="71" t="s">
        <v>1590</v>
      </c>
      <c r="B1418" s="71" t="s">
        <v>5076</v>
      </c>
      <c r="C1418" s="71">
        <v>125866</v>
      </c>
      <c r="D1418" s="71">
        <v>174212</v>
      </c>
      <c r="E1418" s="71">
        <v>175182</v>
      </c>
      <c r="F1418" s="71">
        <v>177078</v>
      </c>
      <c r="G1418" s="71">
        <v>177355</v>
      </c>
      <c r="H1418" s="71">
        <v>176306</v>
      </c>
      <c r="I1418" s="71">
        <v>176420</v>
      </c>
      <c r="J1418" s="71">
        <v>176459</v>
      </c>
      <c r="K1418" s="71">
        <v>176442</v>
      </c>
      <c r="L1418" s="71">
        <v>176411</v>
      </c>
      <c r="M1418" s="71">
        <v>176460</v>
      </c>
      <c r="N1418" s="71">
        <v>176531</v>
      </c>
      <c r="O1418" s="71">
        <v>176612</v>
      </c>
      <c r="Q1418" s="71">
        <v>128808</v>
      </c>
      <c r="R1418" s="71"/>
      <c r="T1418" s="71"/>
      <c r="U1418" s="71"/>
    </row>
    <row r="1419" spans="1:26" x14ac:dyDescent="0.2">
      <c r="A1419" s="71" t="s">
        <v>1576</v>
      </c>
      <c r="B1419" s="71" t="s">
        <v>5080</v>
      </c>
      <c r="C1419" s="100">
        <v>18490</v>
      </c>
      <c r="D1419" s="100">
        <v>7459</v>
      </c>
      <c r="E1419" s="100">
        <v>7409</v>
      </c>
      <c r="F1419" s="100">
        <v>7360</v>
      </c>
      <c r="G1419" s="100">
        <v>7310</v>
      </c>
      <c r="H1419" s="100">
        <v>7261</v>
      </c>
      <c r="I1419" s="100">
        <v>7211</v>
      </c>
      <c r="J1419" s="100">
        <v>7162</v>
      </c>
      <c r="K1419" s="100">
        <v>7112</v>
      </c>
      <c r="L1419" s="100">
        <v>7063</v>
      </c>
      <c r="M1419" s="100">
        <v>7013</v>
      </c>
      <c r="N1419" s="100">
        <v>6964</v>
      </c>
      <c r="O1419" s="100">
        <v>6914</v>
      </c>
      <c r="Q1419" s="70">
        <v>8896</v>
      </c>
      <c r="R1419" s="100"/>
      <c r="T1419" s="100"/>
      <c r="U1419" s="100"/>
    </row>
    <row r="1420" spans="1:26" ht="15.75" thickBot="1" x14ac:dyDescent="0.25">
      <c r="A1420" s="71"/>
      <c r="C1420" s="103">
        <v>107376</v>
      </c>
      <c r="D1420" s="103">
        <v>166753</v>
      </c>
      <c r="E1420" s="103">
        <v>167773</v>
      </c>
      <c r="F1420" s="103">
        <v>169718</v>
      </c>
      <c r="G1420" s="103">
        <v>170045</v>
      </c>
      <c r="H1420" s="103">
        <v>169045</v>
      </c>
      <c r="I1420" s="103">
        <v>169209</v>
      </c>
      <c r="J1420" s="103">
        <v>169297</v>
      </c>
      <c r="K1420" s="103">
        <v>169330</v>
      </c>
      <c r="L1420" s="103">
        <v>169348</v>
      </c>
      <c r="M1420" s="103">
        <v>169447</v>
      </c>
      <c r="N1420" s="103">
        <v>169567</v>
      </c>
      <c r="O1420" s="103">
        <v>169698</v>
      </c>
      <c r="Q1420" s="70">
        <v>119912</v>
      </c>
      <c r="R1420" s="103"/>
      <c r="T1420" s="103"/>
      <c r="U1420" s="103"/>
    </row>
    <row r="1421" spans="1:26" ht="15.75" thickTop="1" x14ac:dyDescent="0.2"/>
    <row r="1422" spans="1:26" ht="15.75" thickBot="1" x14ac:dyDescent="0.25">
      <c r="B1422" s="70" t="s">
        <v>5273</v>
      </c>
      <c r="C1422" s="101">
        <v>3237936.231757143</v>
      </c>
      <c r="D1422" s="101">
        <v>4369201</v>
      </c>
      <c r="E1422" s="101">
        <v>4396795</v>
      </c>
      <c r="F1422" s="101">
        <v>4396495</v>
      </c>
      <c r="G1422" s="101">
        <v>4430730</v>
      </c>
      <c r="H1422" s="101">
        <v>4494190.166666666</v>
      </c>
      <c r="I1422" s="101">
        <v>4540131.5</v>
      </c>
      <c r="J1422" s="101">
        <v>4600223.833333334</v>
      </c>
      <c r="K1422" s="101">
        <v>4646605.166666666</v>
      </c>
      <c r="L1422" s="101">
        <v>4684103.5</v>
      </c>
      <c r="M1422" s="101">
        <v>4698584.833333334</v>
      </c>
      <c r="N1422" s="101">
        <v>4711150.166666666</v>
      </c>
      <c r="O1422" s="101">
        <v>4786419.5</v>
      </c>
      <c r="Q1422" s="70">
        <v>3970727</v>
      </c>
      <c r="R1422" s="101"/>
      <c r="T1422" s="101"/>
      <c r="U1422" s="101"/>
    </row>
    <row r="1423" spans="1:26" ht="15.75" thickTop="1" x14ac:dyDescent="0.2"/>
    <row r="1424" spans="1:26" x14ac:dyDescent="0.2">
      <c r="A1424" s="70" t="s">
        <v>5274</v>
      </c>
      <c r="C1424" s="71">
        <v>3298978</v>
      </c>
      <c r="D1424" s="71">
        <v>4440980</v>
      </c>
      <c r="E1424" s="71">
        <v>4468330</v>
      </c>
      <c r="F1424" s="71">
        <v>4467944</v>
      </c>
      <c r="G1424" s="71">
        <v>4502065</v>
      </c>
      <c r="H1424" s="71">
        <v>4565431</v>
      </c>
      <c r="I1424" s="71">
        <v>4611280</v>
      </c>
      <c r="J1424" s="71">
        <v>4671280</v>
      </c>
      <c r="K1424" s="71">
        <v>4717540</v>
      </c>
      <c r="L1424" s="71">
        <v>4754934</v>
      </c>
      <c r="M1424" s="71">
        <v>4769328</v>
      </c>
      <c r="N1424" s="71">
        <v>4781807</v>
      </c>
      <c r="O1424" s="71">
        <v>4856990</v>
      </c>
      <c r="Q1424" s="70">
        <v>4036689</v>
      </c>
      <c r="R1424" s="71"/>
      <c r="T1424" s="71"/>
      <c r="U1424" s="71"/>
    </row>
    <row r="1425" spans="1:21" x14ac:dyDescent="0.2">
      <c r="A1425" s="70" t="s">
        <v>1576</v>
      </c>
      <c r="B1425" s="70" t="s">
        <v>5080</v>
      </c>
      <c r="C1425" s="71">
        <v>-18490</v>
      </c>
      <c r="D1425" s="71">
        <v>-7459</v>
      </c>
      <c r="E1425" s="71">
        <v>-7409</v>
      </c>
      <c r="F1425" s="71">
        <v>-7360</v>
      </c>
      <c r="G1425" s="71">
        <v>-7310</v>
      </c>
      <c r="H1425" s="71">
        <v>-7261</v>
      </c>
      <c r="I1425" s="71">
        <v>-7211</v>
      </c>
      <c r="J1425" s="71">
        <v>-7162</v>
      </c>
      <c r="K1425" s="71">
        <v>-7112</v>
      </c>
      <c r="L1425" s="71">
        <v>-7063</v>
      </c>
      <c r="M1425" s="71">
        <v>-7013</v>
      </c>
      <c r="N1425" s="71">
        <v>-6964</v>
      </c>
      <c r="O1425" s="71">
        <v>-6914</v>
      </c>
      <c r="Q1425" s="70">
        <v>-8896</v>
      </c>
      <c r="R1425" s="71"/>
      <c r="T1425" s="71"/>
      <c r="U1425" s="71"/>
    </row>
    <row r="1426" spans="1:21" x14ac:dyDescent="0.2">
      <c r="A1426" s="70" t="s">
        <v>3147</v>
      </c>
      <c r="B1426" s="70" t="s">
        <v>5049</v>
      </c>
      <c r="C1426" s="71">
        <v>-41493</v>
      </c>
      <c r="D1426" s="71">
        <v>-62458</v>
      </c>
      <c r="E1426" s="71">
        <v>-62421</v>
      </c>
      <c r="F1426" s="71">
        <v>-62384</v>
      </c>
      <c r="G1426" s="71">
        <v>-62347</v>
      </c>
      <c r="H1426" s="71">
        <v>-62310</v>
      </c>
      <c r="I1426" s="71">
        <v>-62273</v>
      </c>
      <c r="J1426" s="71">
        <v>-62236</v>
      </c>
      <c r="K1426" s="71">
        <v>-62199</v>
      </c>
      <c r="L1426" s="71">
        <v>-62162</v>
      </c>
      <c r="M1426" s="71">
        <v>-62125</v>
      </c>
      <c r="N1426" s="71">
        <v>-62088</v>
      </c>
      <c r="O1426" s="71">
        <v>-62051</v>
      </c>
      <c r="Q1426" s="70">
        <v>-52697</v>
      </c>
      <c r="R1426" s="71"/>
      <c r="T1426" s="71"/>
      <c r="U1426" s="71"/>
    </row>
    <row r="1427" spans="1:21" x14ac:dyDescent="0.2">
      <c r="B1427" s="70" t="s">
        <v>5275</v>
      </c>
      <c r="C1427" s="71">
        <v>181</v>
      </c>
      <c r="D1427" s="71">
        <v>0</v>
      </c>
      <c r="E1427" s="71">
        <v>0</v>
      </c>
      <c r="F1427" s="71">
        <v>0</v>
      </c>
      <c r="G1427" s="71">
        <v>0</v>
      </c>
      <c r="H1427" s="71">
        <v>0</v>
      </c>
      <c r="I1427" s="71">
        <v>0</v>
      </c>
      <c r="J1427" s="71">
        <v>0</v>
      </c>
      <c r="K1427" s="71">
        <v>0</v>
      </c>
      <c r="L1427" s="71">
        <v>0</v>
      </c>
      <c r="M1427" s="71">
        <v>0</v>
      </c>
      <c r="N1427" s="71">
        <v>0</v>
      </c>
      <c r="O1427" s="71">
        <v>0</v>
      </c>
      <c r="Q1427" s="70">
        <v>0</v>
      </c>
      <c r="R1427" s="71"/>
      <c r="T1427" s="71"/>
      <c r="U1427" s="71"/>
    </row>
    <row r="1428" spans="1:21" x14ac:dyDescent="0.2">
      <c r="B1428" s="70" t="s">
        <v>5276</v>
      </c>
      <c r="C1428" s="71">
        <v>1</v>
      </c>
      <c r="D1428" s="71">
        <v>1</v>
      </c>
      <c r="E1428" s="71">
        <v>1</v>
      </c>
      <c r="F1428" s="71">
        <v>1</v>
      </c>
      <c r="G1428" s="71">
        <v>1</v>
      </c>
      <c r="H1428" s="71">
        <v>1</v>
      </c>
      <c r="I1428" s="71">
        <v>1</v>
      </c>
      <c r="J1428" s="71">
        <v>1</v>
      </c>
      <c r="K1428" s="71">
        <v>1</v>
      </c>
      <c r="L1428" s="71">
        <v>1</v>
      </c>
      <c r="M1428" s="71">
        <v>1</v>
      </c>
      <c r="N1428" s="71">
        <v>1</v>
      </c>
      <c r="O1428" s="71">
        <v>1</v>
      </c>
      <c r="Q1428" s="70">
        <v>1</v>
      </c>
      <c r="R1428" s="71"/>
      <c r="T1428" s="71"/>
      <c r="U1428" s="71"/>
    </row>
    <row r="1429" spans="1:21" x14ac:dyDescent="0.2">
      <c r="B1429" s="70" t="s">
        <v>1379</v>
      </c>
      <c r="C1429" s="70">
        <v>-478</v>
      </c>
      <c r="D1429" s="70">
        <v>0</v>
      </c>
      <c r="E1429" s="70">
        <v>0</v>
      </c>
      <c r="F1429" s="70">
        <v>0</v>
      </c>
      <c r="G1429" s="70">
        <v>0</v>
      </c>
      <c r="H1429" s="70">
        <v>0</v>
      </c>
      <c r="I1429" s="70">
        <v>0</v>
      </c>
      <c r="J1429" s="70">
        <v>0</v>
      </c>
      <c r="K1429" s="70">
        <v>0</v>
      </c>
      <c r="L1429" s="70">
        <v>0</v>
      </c>
      <c r="M1429" s="70">
        <v>0</v>
      </c>
      <c r="N1429" s="70">
        <v>0</v>
      </c>
      <c r="O1429" s="70">
        <v>0</v>
      </c>
      <c r="Q1429" s="70">
        <v>0</v>
      </c>
    </row>
    <row r="1430" spans="1:21" x14ac:dyDescent="0.2">
      <c r="B1430" s="70" t="s">
        <v>5277</v>
      </c>
      <c r="C1430" s="71">
        <v>319</v>
      </c>
      <c r="D1430" s="71">
        <v>0</v>
      </c>
      <c r="E1430" s="71">
        <v>0</v>
      </c>
      <c r="F1430" s="71">
        <v>0</v>
      </c>
      <c r="G1430" s="71">
        <v>0</v>
      </c>
      <c r="H1430" s="71">
        <v>0</v>
      </c>
      <c r="I1430" s="71">
        <v>0</v>
      </c>
      <c r="J1430" s="71">
        <v>0</v>
      </c>
      <c r="K1430" s="71">
        <v>0</v>
      </c>
      <c r="L1430" s="71">
        <v>0</v>
      </c>
      <c r="M1430" s="71">
        <v>0</v>
      </c>
      <c r="N1430" s="71">
        <v>0</v>
      </c>
      <c r="O1430" s="71">
        <v>0</v>
      </c>
      <c r="Q1430" s="70">
        <v>0</v>
      </c>
      <c r="R1430" s="71"/>
      <c r="T1430" s="71"/>
      <c r="U1430" s="71"/>
    </row>
    <row r="1431" spans="1:21" x14ac:dyDescent="0.2">
      <c r="B1431" s="70" t="s">
        <v>5278</v>
      </c>
      <c r="C1431" s="100">
        <v>-40</v>
      </c>
      <c r="D1431" s="100">
        <v>-274</v>
      </c>
      <c r="E1431" s="100">
        <v>-274</v>
      </c>
      <c r="F1431" s="100">
        <v>-274</v>
      </c>
      <c r="G1431" s="100">
        <v>-274</v>
      </c>
      <c r="H1431" s="100">
        <v>-274</v>
      </c>
      <c r="I1431" s="100">
        <v>-274</v>
      </c>
      <c r="J1431" s="100">
        <v>-274</v>
      </c>
      <c r="K1431" s="100">
        <v>-274</v>
      </c>
      <c r="L1431" s="100">
        <v>-274</v>
      </c>
      <c r="M1431" s="100">
        <v>-274</v>
      </c>
      <c r="N1431" s="100">
        <v>-274</v>
      </c>
      <c r="O1431" s="100">
        <v>-274</v>
      </c>
      <c r="Q1431" s="70">
        <v>-274</v>
      </c>
      <c r="R1431" s="100"/>
      <c r="T1431" s="100"/>
      <c r="U1431" s="100"/>
    </row>
    <row r="1432" spans="1:21" ht="15.75" thickBot="1" x14ac:dyDescent="0.25">
      <c r="A1432" s="70" t="s">
        <v>5279</v>
      </c>
      <c r="C1432" s="103">
        <v>3238978</v>
      </c>
      <c r="D1432" s="103">
        <v>4370790</v>
      </c>
      <c r="E1432" s="103">
        <v>4398227</v>
      </c>
      <c r="F1432" s="103">
        <v>4397927</v>
      </c>
      <c r="G1432" s="103">
        <v>4432135</v>
      </c>
      <c r="H1432" s="103">
        <v>4495587</v>
      </c>
      <c r="I1432" s="103">
        <v>4541523</v>
      </c>
      <c r="J1432" s="103">
        <v>4601609</v>
      </c>
      <c r="K1432" s="103">
        <v>4647956</v>
      </c>
      <c r="L1432" s="103">
        <v>4685436</v>
      </c>
      <c r="M1432" s="103">
        <v>4699917</v>
      </c>
      <c r="N1432" s="103">
        <v>4712482</v>
      </c>
      <c r="O1432" s="103">
        <v>4787752</v>
      </c>
      <c r="Q1432" s="70">
        <v>3974823</v>
      </c>
      <c r="R1432" s="103"/>
      <c r="T1432" s="103"/>
      <c r="U1432" s="103"/>
    </row>
    <row r="1433" spans="1:21" ht="15.75" thickTop="1" x14ac:dyDescent="0.2">
      <c r="C1433" s="71"/>
      <c r="D1433" s="71"/>
      <c r="E1433" s="71"/>
      <c r="F1433" s="71"/>
      <c r="G1433" s="71"/>
      <c r="H1433" s="71"/>
      <c r="I1433" s="71"/>
      <c r="J1433" s="71"/>
      <c r="K1433" s="71"/>
      <c r="L1433" s="71"/>
      <c r="M1433" s="71"/>
      <c r="N1433" s="71"/>
      <c r="O1433" s="71"/>
      <c r="R1433" s="71"/>
      <c r="T1433" s="71"/>
      <c r="U1433" s="71"/>
    </row>
    <row r="1434" spans="1:21" x14ac:dyDescent="0.2">
      <c r="C1434" s="71"/>
      <c r="D1434" s="71"/>
      <c r="E1434" s="71"/>
      <c r="F1434" s="71"/>
      <c r="G1434" s="71"/>
      <c r="H1434" s="71"/>
      <c r="I1434" s="71"/>
      <c r="J1434" s="71"/>
      <c r="K1434" s="71"/>
      <c r="L1434" s="71"/>
      <c r="M1434" s="71"/>
      <c r="N1434" s="71"/>
      <c r="O1434" s="71"/>
      <c r="R1434" s="71"/>
      <c r="T1434" s="71"/>
      <c r="U1434" s="71"/>
    </row>
    <row r="1435" spans="1:21" x14ac:dyDescent="0.2">
      <c r="A1435" s="70" t="s">
        <v>5280</v>
      </c>
    </row>
    <row r="1440" spans="1:21" x14ac:dyDescent="0.2">
      <c r="C1440" s="70" t="s">
        <v>424</v>
      </c>
      <c r="D1440" s="70" t="s">
        <v>424</v>
      </c>
      <c r="E1440" s="70" t="s">
        <v>424</v>
      </c>
      <c r="F1440" s="70" t="s">
        <v>424</v>
      </c>
      <c r="G1440" s="70" t="s">
        <v>424</v>
      </c>
      <c r="H1440" s="70" t="s">
        <v>424</v>
      </c>
      <c r="I1440" s="70" t="s">
        <v>424</v>
      </c>
      <c r="J1440" s="70" t="s">
        <v>424</v>
      </c>
      <c r="K1440" s="70" t="s">
        <v>424</v>
      </c>
      <c r="L1440" s="70" t="s">
        <v>424</v>
      </c>
      <c r="M1440" s="70" t="s">
        <v>424</v>
      </c>
      <c r="N1440" s="70" t="s">
        <v>424</v>
      </c>
      <c r="O1440" s="70" t="s">
        <v>424</v>
      </c>
      <c r="Q1440" s="70" t="s">
        <v>424</v>
      </c>
    </row>
    <row r="1441" spans="1:21" x14ac:dyDescent="0.2">
      <c r="C1441" s="75" t="s">
        <v>1357</v>
      </c>
      <c r="D1441" s="75" t="s">
        <v>3716</v>
      </c>
      <c r="E1441" s="75" t="s">
        <v>3717</v>
      </c>
      <c r="F1441" s="75" t="s">
        <v>3718</v>
      </c>
      <c r="G1441" s="75" t="s">
        <v>3719</v>
      </c>
      <c r="H1441" s="75" t="s">
        <v>3720</v>
      </c>
      <c r="I1441" s="75" t="s">
        <v>3721</v>
      </c>
      <c r="J1441" s="75" t="s">
        <v>3722</v>
      </c>
      <c r="K1441" s="75" t="s">
        <v>3723</v>
      </c>
      <c r="L1441" s="75" t="s">
        <v>3724</v>
      </c>
      <c r="M1441" s="75" t="s">
        <v>3725</v>
      </c>
      <c r="N1441" s="75" t="s">
        <v>3726</v>
      </c>
      <c r="O1441" s="75" t="s">
        <v>429</v>
      </c>
      <c r="Q1441" s="70" t="s">
        <v>1358</v>
      </c>
      <c r="R1441" s="75"/>
      <c r="T1441" s="75"/>
      <c r="U1441" s="75"/>
    </row>
    <row r="1442" spans="1:21" x14ac:dyDescent="0.2">
      <c r="B1442" s="70" t="s">
        <v>5281</v>
      </c>
      <c r="C1442" s="70">
        <v>101145</v>
      </c>
      <c r="D1442" s="70">
        <v>0</v>
      </c>
      <c r="E1442" s="70">
        <v>0</v>
      </c>
      <c r="F1442" s="70">
        <v>0</v>
      </c>
      <c r="G1442" s="70">
        <v>0</v>
      </c>
      <c r="H1442" s="70">
        <v>0</v>
      </c>
      <c r="I1442" s="70">
        <v>0</v>
      </c>
      <c r="J1442" s="70">
        <v>0</v>
      </c>
      <c r="K1442" s="70">
        <v>0</v>
      </c>
      <c r="L1442" s="70">
        <v>0</v>
      </c>
      <c r="M1442" s="70">
        <v>0</v>
      </c>
      <c r="N1442" s="70">
        <v>0</v>
      </c>
      <c r="O1442" s="70">
        <v>0</v>
      </c>
      <c r="Q1442" s="70">
        <v>125000</v>
      </c>
    </row>
    <row r="1444" spans="1:21" x14ac:dyDescent="0.2">
      <c r="B1444" s="70" t="s">
        <v>5282</v>
      </c>
      <c r="C1444" s="70">
        <v>165276</v>
      </c>
      <c r="D1444" s="70">
        <v>0</v>
      </c>
      <c r="E1444" s="70">
        <v>0</v>
      </c>
      <c r="F1444" s="70">
        <v>15752</v>
      </c>
      <c r="G1444" s="70">
        <v>45621</v>
      </c>
      <c r="H1444" s="70">
        <v>16732</v>
      </c>
      <c r="I1444" s="70">
        <v>25535</v>
      </c>
      <c r="J1444" s="70">
        <v>33996</v>
      </c>
      <c r="K1444" s="70">
        <v>55935</v>
      </c>
      <c r="L1444" s="70">
        <v>38386</v>
      </c>
      <c r="M1444" s="70">
        <v>30072</v>
      </c>
      <c r="N1444" s="70">
        <v>43801</v>
      </c>
      <c r="O1444" s="70">
        <v>50809</v>
      </c>
      <c r="Q1444" s="70">
        <v>120320</v>
      </c>
    </row>
    <row r="1445" spans="1:21" x14ac:dyDescent="0.2">
      <c r="Q1445" s="71"/>
    </row>
    <row r="1446" spans="1:21" x14ac:dyDescent="0.2">
      <c r="A1446" s="70" t="s">
        <v>5283</v>
      </c>
      <c r="C1446" s="71"/>
      <c r="D1446" s="71"/>
      <c r="E1446" s="71"/>
      <c r="F1446" s="71"/>
      <c r="G1446" s="71"/>
      <c r="H1446" s="71"/>
      <c r="I1446" s="71"/>
      <c r="J1446" s="71"/>
      <c r="K1446" s="71"/>
      <c r="L1446" s="71"/>
      <c r="M1446" s="71"/>
      <c r="N1446" s="71"/>
      <c r="O1446" s="71"/>
      <c r="Q1446" s="71"/>
      <c r="R1446" s="71"/>
      <c r="T1446" s="71"/>
      <c r="U1446" s="71"/>
    </row>
    <row r="1447" spans="1:21" x14ac:dyDescent="0.2">
      <c r="A1447" s="71"/>
      <c r="B1447" s="71" t="s">
        <v>3727</v>
      </c>
      <c r="C1447" s="71">
        <v>80622</v>
      </c>
      <c r="D1447" s="71">
        <v>153649</v>
      </c>
      <c r="E1447" s="71">
        <v>153735</v>
      </c>
      <c r="F1447" s="71">
        <v>161758</v>
      </c>
      <c r="G1447" s="71">
        <v>159088</v>
      </c>
      <c r="H1447" s="71">
        <v>156423</v>
      </c>
      <c r="I1447" s="71">
        <v>159183</v>
      </c>
      <c r="J1447" s="71">
        <v>164950</v>
      </c>
      <c r="K1447" s="71">
        <v>178786</v>
      </c>
      <c r="L1447" s="71">
        <v>157284</v>
      </c>
      <c r="M1447" s="71">
        <v>154927</v>
      </c>
      <c r="N1447" s="71">
        <v>148857</v>
      </c>
      <c r="O1447" s="71">
        <v>162404</v>
      </c>
      <c r="Q1447" s="70">
        <v>117046</v>
      </c>
      <c r="R1447" s="71"/>
      <c r="T1447" s="71"/>
      <c r="U1447" s="71"/>
    </row>
    <row r="1448" spans="1:21" x14ac:dyDescent="0.2">
      <c r="A1448" s="71"/>
      <c r="B1448" s="71" t="s">
        <v>3728</v>
      </c>
      <c r="C1448" s="71">
        <v>22878</v>
      </c>
      <c r="D1448" s="71">
        <v>8411</v>
      </c>
      <c r="E1448" s="71">
        <v>8911</v>
      </c>
      <c r="F1448" s="71">
        <v>10411</v>
      </c>
      <c r="G1448" s="71">
        <v>8911</v>
      </c>
      <c r="H1448" s="71">
        <v>8911</v>
      </c>
      <c r="I1448" s="71">
        <v>10411</v>
      </c>
      <c r="J1448" s="71">
        <v>8911</v>
      </c>
      <c r="K1448" s="71">
        <v>8911</v>
      </c>
      <c r="L1448" s="71">
        <v>10411</v>
      </c>
      <c r="M1448" s="71">
        <v>10411</v>
      </c>
      <c r="N1448" s="71">
        <v>10411</v>
      </c>
      <c r="O1448" s="71">
        <v>15411</v>
      </c>
      <c r="Q1448" s="70">
        <v>10000</v>
      </c>
      <c r="R1448" s="71"/>
      <c r="T1448" s="71"/>
      <c r="U1448" s="71"/>
    </row>
    <row r="1449" spans="1:21" x14ac:dyDescent="0.2">
      <c r="B1449" s="71" t="s">
        <v>3729</v>
      </c>
      <c r="C1449" s="71">
        <v>11227</v>
      </c>
      <c r="D1449" s="71">
        <v>13587</v>
      </c>
      <c r="E1449" s="71">
        <v>13666</v>
      </c>
      <c r="F1449" s="71">
        <v>13746</v>
      </c>
      <c r="G1449" s="71">
        <v>13825</v>
      </c>
      <c r="H1449" s="71">
        <v>13905</v>
      </c>
      <c r="I1449" s="71">
        <v>13984</v>
      </c>
      <c r="J1449" s="71">
        <v>14064</v>
      </c>
      <c r="K1449" s="71">
        <v>14143</v>
      </c>
      <c r="L1449" s="71">
        <v>14223</v>
      </c>
      <c r="M1449" s="71">
        <v>14302</v>
      </c>
      <c r="N1449" s="71">
        <v>14382</v>
      </c>
      <c r="O1449" s="71">
        <v>14461</v>
      </c>
      <c r="Q1449" s="70">
        <v>12811</v>
      </c>
      <c r="R1449" s="71"/>
      <c r="T1449" s="71"/>
      <c r="U1449" s="71"/>
    </row>
    <row r="1450" spans="1:21" x14ac:dyDescent="0.2">
      <c r="B1450" s="71" t="s">
        <v>3730</v>
      </c>
      <c r="C1450" s="71">
        <v>3553</v>
      </c>
      <c r="D1450" s="71">
        <v>14446</v>
      </c>
      <c r="E1450" s="71">
        <v>14267</v>
      </c>
      <c r="F1450" s="71">
        <v>14293</v>
      </c>
      <c r="G1450" s="71">
        <v>14686</v>
      </c>
      <c r="H1450" s="71">
        <v>15157</v>
      </c>
      <c r="I1450" s="71">
        <v>15269</v>
      </c>
      <c r="J1450" s="71">
        <v>15842</v>
      </c>
      <c r="K1450" s="71">
        <v>16152</v>
      </c>
      <c r="L1450" s="71">
        <v>16428</v>
      </c>
      <c r="M1450" s="71">
        <v>16521</v>
      </c>
      <c r="N1450" s="71">
        <v>16651</v>
      </c>
      <c r="O1450" s="71">
        <v>16733</v>
      </c>
      <c r="Q1450" s="70">
        <v>5032</v>
      </c>
      <c r="R1450" s="71"/>
      <c r="T1450" s="71"/>
      <c r="U1450" s="71"/>
    </row>
    <row r="1451" spans="1:21" x14ac:dyDescent="0.2">
      <c r="B1451" s="71" t="s">
        <v>5284</v>
      </c>
      <c r="C1451" s="71">
        <v>0</v>
      </c>
      <c r="D1451" s="71">
        <v>0</v>
      </c>
      <c r="E1451" s="71">
        <v>0</v>
      </c>
      <c r="F1451" s="71">
        <v>0</v>
      </c>
      <c r="G1451" s="71">
        <v>0</v>
      </c>
      <c r="H1451" s="71">
        <v>0</v>
      </c>
      <c r="I1451" s="71">
        <v>0</v>
      </c>
      <c r="J1451" s="71">
        <v>0</v>
      </c>
      <c r="K1451" s="71">
        <v>0</v>
      </c>
      <c r="L1451" s="71">
        <v>0</v>
      </c>
      <c r="M1451" s="71">
        <v>0</v>
      </c>
      <c r="N1451" s="71">
        <v>0</v>
      </c>
      <c r="O1451" s="71">
        <v>0</v>
      </c>
      <c r="Q1451" s="70">
        <v>0</v>
      </c>
      <c r="R1451" s="71"/>
      <c r="T1451" s="71"/>
      <c r="U1451" s="71"/>
    </row>
    <row r="1452" spans="1:21" x14ac:dyDescent="0.2">
      <c r="A1452" s="70" t="s">
        <v>5285</v>
      </c>
      <c r="B1452" s="71" t="s">
        <v>29</v>
      </c>
      <c r="C1452" s="100">
        <v>-20073</v>
      </c>
      <c r="D1452" s="100">
        <v>-6230</v>
      </c>
      <c r="E1452" s="100">
        <v>-6212</v>
      </c>
      <c r="F1452" s="100">
        <v>-6918</v>
      </c>
      <c r="G1452" s="100">
        <v>-17385</v>
      </c>
      <c r="H1452" s="100">
        <v>-8241</v>
      </c>
      <c r="I1452" s="100">
        <v>-10621</v>
      </c>
      <c r="J1452" s="100">
        <v>-8590</v>
      </c>
      <c r="K1452" s="100">
        <v>-7831</v>
      </c>
      <c r="L1452" s="100">
        <v>-7233</v>
      </c>
      <c r="M1452" s="100">
        <v>-7445</v>
      </c>
      <c r="N1452" s="100">
        <v>-7126</v>
      </c>
      <c r="O1452" s="100">
        <v>-7414</v>
      </c>
      <c r="Q1452" s="70">
        <v>-12536</v>
      </c>
      <c r="R1452" s="100"/>
      <c r="T1452" s="100"/>
      <c r="U1452" s="100"/>
    </row>
    <row r="1453" spans="1:21" ht="15.75" thickBot="1" x14ac:dyDescent="0.25">
      <c r="B1453" s="70" t="s">
        <v>5283</v>
      </c>
      <c r="C1453" s="103">
        <v>98207</v>
      </c>
      <c r="D1453" s="103">
        <v>183863</v>
      </c>
      <c r="E1453" s="103">
        <v>184367</v>
      </c>
      <c r="F1453" s="103">
        <v>193290</v>
      </c>
      <c r="G1453" s="103">
        <v>179125</v>
      </c>
      <c r="H1453" s="103">
        <v>186155</v>
      </c>
      <c r="I1453" s="103">
        <v>188226</v>
      </c>
      <c r="J1453" s="103">
        <v>195177</v>
      </c>
      <c r="K1453" s="103">
        <v>210161</v>
      </c>
      <c r="L1453" s="103">
        <v>191113</v>
      </c>
      <c r="M1453" s="103">
        <v>188716</v>
      </c>
      <c r="N1453" s="103">
        <v>183175</v>
      </c>
      <c r="O1453" s="103">
        <v>201595</v>
      </c>
      <c r="Q1453" s="70">
        <v>132353</v>
      </c>
      <c r="R1453" s="103"/>
      <c r="T1453" s="103"/>
      <c r="U1453" s="103"/>
    </row>
    <row r="1454" spans="1:21" ht="15.75" thickTop="1" x14ac:dyDescent="0.2"/>
    <row r="1455" spans="1:21" x14ac:dyDescent="0.2">
      <c r="A1455" s="70" t="s">
        <v>3220</v>
      </c>
      <c r="B1455" s="70" t="s">
        <v>29</v>
      </c>
      <c r="C1455" s="70">
        <v>20073</v>
      </c>
      <c r="D1455" s="70">
        <v>6230</v>
      </c>
      <c r="E1455" s="70">
        <v>6212</v>
      </c>
      <c r="F1455" s="70">
        <v>6918</v>
      </c>
      <c r="G1455" s="70">
        <v>17385</v>
      </c>
      <c r="H1455" s="70">
        <v>8241</v>
      </c>
      <c r="I1455" s="70">
        <v>10621</v>
      </c>
      <c r="J1455" s="70">
        <v>8590</v>
      </c>
      <c r="K1455" s="70">
        <v>7831</v>
      </c>
      <c r="L1455" s="70">
        <v>7233</v>
      </c>
      <c r="M1455" s="70">
        <v>7445</v>
      </c>
      <c r="N1455" s="70">
        <v>7126</v>
      </c>
      <c r="O1455" s="70">
        <v>7414</v>
      </c>
      <c r="Q1455" s="70">
        <v>12536</v>
      </c>
    </row>
    <row r="1456" spans="1:21" ht="15.75" x14ac:dyDescent="0.25">
      <c r="B1456" s="73" t="s">
        <v>5286</v>
      </c>
      <c r="C1456" s="70">
        <v>-1</v>
      </c>
      <c r="D1456" s="70">
        <v>0</v>
      </c>
      <c r="E1456" s="70">
        <v>0</v>
      </c>
      <c r="F1456" s="70">
        <v>0</v>
      </c>
      <c r="G1456" s="70">
        <v>0</v>
      </c>
      <c r="H1456" s="70">
        <v>0</v>
      </c>
      <c r="I1456" s="70">
        <v>0</v>
      </c>
      <c r="J1456" s="70">
        <v>0</v>
      </c>
      <c r="K1456" s="70">
        <v>0</v>
      </c>
      <c r="L1456" s="70">
        <v>0</v>
      </c>
      <c r="M1456" s="70">
        <v>0</v>
      </c>
      <c r="N1456" s="70">
        <v>0</v>
      </c>
      <c r="O1456" s="70">
        <v>0</v>
      </c>
      <c r="Q1456" s="70">
        <v>0</v>
      </c>
    </row>
    <row r="1457" spans="2:21" ht="15.75" x14ac:dyDescent="0.25">
      <c r="B1457" s="73" t="s">
        <v>5287</v>
      </c>
      <c r="C1457" s="75">
        <v>-9</v>
      </c>
      <c r="D1457" s="75">
        <v>-9</v>
      </c>
      <c r="E1457" s="75">
        <v>-9</v>
      </c>
      <c r="F1457" s="75">
        <v>-9</v>
      </c>
      <c r="G1457" s="75">
        <v>-9</v>
      </c>
      <c r="H1457" s="75">
        <v>-9</v>
      </c>
      <c r="I1457" s="75">
        <v>-9</v>
      </c>
      <c r="J1457" s="75">
        <v>-9</v>
      </c>
      <c r="K1457" s="75">
        <v>-9</v>
      </c>
      <c r="L1457" s="75">
        <v>-9</v>
      </c>
      <c r="M1457" s="75">
        <v>-9</v>
      </c>
      <c r="N1457" s="75">
        <v>-9</v>
      </c>
      <c r="O1457" s="75">
        <v>-9</v>
      </c>
      <c r="Q1457" s="70">
        <v>-9</v>
      </c>
      <c r="R1457" s="75"/>
      <c r="T1457" s="75"/>
      <c r="U1457" s="75"/>
    </row>
    <row r="1458" spans="2:21" ht="15.75" thickBot="1" x14ac:dyDescent="0.25">
      <c r="B1458" s="70" t="s">
        <v>5288</v>
      </c>
      <c r="C1458" s="101">
        <v>20063</v>
      </c>
      <c r="D1458" s="101">
        <v>6221</v>
      </c>
      <c r="E1458" s="101">
        <v>6203</v>
      </c>
      <c r="F1458" s="101">
        <v>6909</v>
      </c>
      <c r="G1458" s="101">
        <v>17376</v>
      </c>
      <c r="H1458" s="101">
        <v>8232</v>
      </c>
      <c r="I1458" s="101">
        <v>10612</v>
      </c>
      <c r="J1458" s="101">
        <v>8581</v>
      </c>
      <c r="K1458" s="101">
        <v>7822</v>
      </c>
      <c r="L1458" s="101">
        <v>7224</v>
      </c>
      <c r="M1458" s="101">
        <v>7436</v>
      </c>
      <c r="N1458" s="101">
        <v>7117</v>
      </c>
      <c r="O1458" s="101">
        <v>7405</v>
      </c>
      <c r="Q1458" s="70">
        <v>12527</v>
      </c>
      <c r="R1458" s="101"/>
      <c r="T1458" s="101"/>
      <c r="U1458" s="101"/>
    </row>
    <row r="1459" spans="2:21" ht="15.75" thickTop="1" x14ac:dyDescent="0.2"/>
    <row r="1460" spans="2:21" x14ac:dyDescent="0.2">
      <c r="B1460" s="70" t="s">
        <v>5289</v>
      </c>
      <c r="C1460" s="70">
        <v>0</v>
      </c>
      <c r="D1460" s="70">
        <v>39506</v>
      </c>
      <c r="E1460" s="70">
        <v>0</v>
      </c>
      <c r="F1460" s="70">
        <v>0</v>
      </c>
      <c r="G1460" s="70">
        <v>22314</v>
      </c>
      <c r="H1460" s="70">
        <v>0</v>
      </c>
      <c r="I1460" s="70">
        <v>0</v>
      </c>
      <c r="J1460" s="70">
        <v>29652</v>
      </c>
      <c r="K1460" s="70">
        <v>0</v>
      </c>
      <c r="L1460" s="70">
        <v>0</v>
      </c>
      <c r="M1460" s="70">
        <v>60797</v>
      </c>
      <c r="N1460" s="70">
        <v>0</v>
      </c>
      <c r="O1460" s="70">
        <v>0</v>
      </c>
      <c r="Q1460" s="70">
        <v>0</v>
      </c>
    </row>
    <row r="1462" spans="2:21" x14ac:dyDescent="0.2">
      <c r="B1462" s="70" t="s">
        <v>5290</v>
      </c>
      <c r="C1462" s="70">
        <v>57454</v>
      </c>
      <c r="D1462" s="70">
        <v>104420</v>
      </c>
      <c r="E1462" s="70">
        <v>105368</v>
      </c>
      <c r="F1462" s="70">
        <v>106325</v>
      </c>
      <c r="G1462" s="70">
        <v>107290</v>
      </c>
      <c r="H1462" s="70">
        <v>108264</v>
      </c>
      <c r="I1462" s="70">
        <v>109246</v>
      </c>
      <c r="J1462" s="70">
        <v>110237</v>
      </c>
      <c r="K1462" s="70">
        <v>111237</v>
      </c>
      <c r="L1462" s="70">
        <v>112246</v>
      </c>
      <c r="M1462" s="70">
        <v>113264</v>
      </c>
      <c r="N1462" s="70">
        <v>114291</v>
      </c>
      <c r="O1462" s="70">
        <v>115325</v>
      </c>
      <c r="Q1462" s="70">
        <v>91352</v>
      </c>
    </row>
    <row r="1464" spans="2:21" x14ac:dyDescent="0.2">
      <c r="B1464" s="70" t="s">
        <v>5291</v>
      </c>
      <c r="C1464" s="70">
        <v>8242</v>
      </c>
      <c r="D1464" s="70">
        <v>24775</v>
      </c>
      <c r="E1464" s="70">
        <v>21683</v>
      </c>
      <c r="F1464" s="70">
        <v>28697</v>
      </c>
      <c r="G1464" s="70">
        <v>25048</v>
      </c>
      <c r="H1464" s="70">
        <v>19375</v>
      </c>
      <c r="I1464" s="70">
        <v>20731</v>
      </c>
      <c r="J1464" s="70">
        <v>29324</v>
      </c>
      <c r="K1464" s="70">
        <v>27399</v>
      </c>
      <c r="L1464" s="70">
        <v>31568</v>
      </c>
      <c r="M1464" s="70">
        <v>28427</v>
      </c>
      <c r="N1464" s="70">
        <v>20192</v>
      </c>
      <c r="O1464" s="70">
        <v>21571</v>
      </c>
      <c r="Q1464" s="70">
        <v>18696</v>
      </c>
    </row>
    <row r="1465" spans="2:21" x14ac:dyDescent="0.2">
      <c r="B1465" s="70" t="s">
        <v>5292</v>
      </c>
      <c r="C1465" s="75">
        <v>3430</v>
      </c>
      <c r="D1465" s="75">
        <v>1970</v>
      </c>
      <c r="E1465" s="75">
        <v>2452</v>
      </c>
      <c r="F1465" s="75">
        <v>2976</v>
      </c>
      <c r="G1465" s="75">
        <v>3577</v>
      </c>
      <c r="H1465" s="75">
        <v>4075</v>
      </c>
      <c r="I1465" s="75">
        <v>4527</v>
      </c>
      <c r="J1465" s="75">
        <v>4990</v>
      </c>
      <c r="K1465" s="75">
        <v>5489</v>
      </c>
      <c r="L1465" s="75">
        <v>5929</v>
      </c>
      <c r="M1465" s="75">
        <v>6301</v>
      </c>
      <c r="N1465" s="75">
        <v>6750</v>
      </c>
      <c r="O1465" s="75">
        <v>1915</v>
      </c>
      <c r="Q1465" s="70">
        <v>1396</v>
      </c>
      <c r="R1465" s="75"/>
      <c r="T1465" s="75"/>
      <c r="U1465" s="75"/>
    </row>
    <row r="1466" spans="2:21" ht="15.75" thickBot="1" x14ac:dyDescent="0.25">
      <c r="B1466" s="70" t="s">
        <v>5293</v>
      </c>
      <c r="C1466" s="101">
        <v>11672</v>
      </c>
      <c r="D1466" s="101">
        <v>26745</v>
      </c>
      <c r="E1466" s="101">
        <v>24135</v>
      </c>
      <c r="F1466" s="101">
        <v>31673</v>
      </c>
      <c r="G1466" s="101">
        <v>28625</v>
      </c>
      <c r="H1466" s="101">
        <v>23450</v>
      </c>
      <c r="I1466" s="101">
        <v>25258</v>
      </c>
      <c r="J1466" s="101">
        <v>34314</v>
      </c>
      <c r="K1466" s="101">
        <v>32888</v>
      </c>
      <c r="L1466" s="101">
        <v>37497</v>
      </c>
      <c r="M1466" s="101">
        <v>34728</v>
      </c>
      <c r="N1466" s="101">
        <v>26942</v>
      </c>
      <c r="O1466" s="101">
        <v>23486</v>
      </c>
      <c r="Q1466" s="70">
        <v>20092</v>
      </c>
      <c r="R1466" s="101"/>
      <c r="T1466" s="101"/>
      <c r="U1466" s="101"/>
    </row>
    <row r="1467" spans="2:21" ht="15.75" thickTop="1" x14ac:dyDescent="0.2"/>
    <row r="1468" spans="2:21" x14ac:dyDescent="0.2">
      <c r="B1468" s="70" t="s">
        <v>5294</v>
      </c>
      <c r="C1468" s="70">
        <v>70168</v>
      </c>
      <c r="D1468" s="70">
        <v>14137</v>
      </c>
      <c r="E1468" s="70">
        <v>17653</v>
      </c>
      <c r="F1468" s="70">
        <v>20584</v>
      </c>
      <c r="G1468" s="70">
        <v>19805</v>
      </c>
      <c r="H1468" s="70">
        <v>21853</v>
      </c>
      <c r="I1468" s="70">
        <v>28654</v>
      </c>
      <c r="J1468" s="70">
        <v>36036</v>
      </c>
      <c r="K1468" s="70">
        <v>44214</v>
      </c>
      <c r="L1468" s="70">
        <v>52518</v>
      </c>
      <c r="M1468" s="70">
        <v>63005</v>
      </c>
      <c r="N1468" s="70">
        <v>27084</v>
      </c>
      <c r="O1468" s="70">
        <v>14194</v>
      </c>
      <c r="Q1468" s="70">
        <v>9397</v>
      </c>
    </row>
    <row r="1469" spans="2:21" ht="15.75" x14ac:dyDescent="0.25">
      <c r="B1469" s="73" t="s">
        <v>5295</v>
      </c>
      <c r="C1469" s="75">
        <v>5</v>
      </c>
      <c r="D1469" s="75">
        <v>0</v>
      </c>
      <c r="E1469" s="75">
        <v>0</v>
      </c>
      <c r="F1469" s="75">
        <v>0</v>
      </c>
      <c r="G1469" s="75">
        <v>0</v>
      </c>
      <c r="H1469" s="75">
        <v>0</v>
      </c>
      <c r="I1469" s="75">
        <v>0</v>
      </c>
      <c r="J1469" s="75">
        <v>0</v>
      </c>
      <c r="K1469" s="75">
        <v>0</v>
      </c>
      <c r="L1469" s="75">
        <v>0</v>
      </c>
      <c r="M1469" s="75">
        <v>0</v>
      </c>
      <c r="N1469" s="75">
        <v>0</v>
      </c>
      <c r="O1469" s="75">
        <v>0</v>
      </c>
      <c r="Q1469" s="70">
        <v>0</v>
      </c>
      <c r="R1469" s="75"/>
      <c r="T1469" s="75"/>
      <c r="U1469" s="75"/>
    </row>
    <row r="1470" spans="2:21" ht="15.75" thickBot="1" x14ac:dyDescent="0.25">
      <c r="B1470" s="70" t="s">
        <v>5296</v>
      </c>
      <c r="C1470" s="101">
        <v>70173</v>
      </c>
      <c r="D1470" s="101">
        <v>14137</v>
      </c>
      <c r="E1470" s="101">
        <v>17653</v>
      </c>
      <c r="F1470" s="101">
        <v>20584</v>
      </c>
      <c r="G1470" s="101">
        <v>19805</v>
      </c>
      <c r="H1470" s="101">
        <v>21853</v>
      </c>
      <c r="I1470" s="101">
        <v>28654</v>
      </c>
      <c r="J1470" s="101">
        <v>36036</v>
      </c>
      <c r="K1470" s="101">
        <v>44214</v>
      </c>
      <c r="L1470" s="101">
        <v>52518</v>
      </c>
      <c r="M1470" s="101">
        <v>63005</v>
      </c>
      <c r="N1470" s="101">
        <v>27084</v>
      </c>
      <c r="O1470" s="101">
        <v>14194</v>
      </c>
      <c r="Q1470" s="70">
        <v>9397</v>
      </c>
      <c r="R1470" s="101"/>
      <c r="T1470" s="101"/>
      <c r="U1470" s="101"/>
    </row>
    <row r="1471" spans="2:21" ht="15.75" thickTop="1" x14ac:dyDescent="0.2"/>
    <row r="1472" spans="2:21" x14ac:dyDescent="0.2">
      <c r="B1472" s="70" t="s">
        <v>5297</v>
      </c>
      <c r="C1472" s="70">
        <v>523990</v>
      </c>
      <c r="D1472" s="70">
        <v>374892</v>
      </c>
      <c r="E1472" s="70">
        <v>337726</v>
      </c>
      <c r="F1472" s="70">
        <v>374533</v>
      </c>
      <c r="G1472" s="70">
        <v>420156</v>
      </c>
      <c r="H1472" s="70">
        <v>364686</v>
      </c>
      <c r="I1472" s="70">
        <v>387531</v>
      </c>
      <c r="J1472" s="70">
        <v>447993</v>
      </c>
      <c r="K1472" s="70">
        <v>462257</v>
      </c>
      <c r="L1472" s="70">
        <v>438984</v>
      </c>
      <c r="M1472" s="70">
        <v>498018</v>
      </c>
      <c r="N1472" s="70">
        <v>402410</v>
      </c>
      <c r="O1472" s="70">
        <v>412814</v>
      </c>
      <c r="Q1472" s="70">
        <v>511041</v>
      </c>
    </row>
    <row r="1474" spans="1:21" x14ac:dyDescent="0.2">
      <c r="A1474" s="70" t="s">
        <v>5298</v>
      </c>
      <c r="C1474" s="71">
        <v>407149</v>
      </c>
      <c r="D1474" s="71">
        <v>554615</v>
      </c>
      <c r="E1474" s="71">
        <v>567185</v>
      </c>
      <c r="F1474" s="71">
        <v>572426</v>
      </c>
      <c r="G1474" s="71">
        <v>577742</v>
      </c>
      <c r="H1474" s="71">
        <v>589211</v>
      </c>
      <c r="I1474" s="71">
        <v>594023</v>
      </c>
      <c r="J1474" s="71">
        <v>601375</v>
      </c>
      <c r="K1474" s="71">
        <v>610328</v>
      </c>
      <c r="L1474" s="71">
        <v>611405</v>
      </c>
      <c r="M1474" s="71">
        <v>611487</v>
      </c>
      <c r="N1474" s="71">
        <v>610840</v>
      </c>
      <c r="O1474" s="71">
        <v>615974</v>
      </c>
      <c r="Q1474" s="70">
        <v>502293</v>
      </c>
      <c r="R1474" s="71"/>
      <c r="T1474" s="71"/>
      <c r="U1474" s="71"/>
    </row>
    <row r="1475" spans="1:21" x14ac:dyDescent="0.2">
      <c r="A1475" s="70" t="s">
        <v>1576</v>
      </c>
      <c r="B1475" s="70" t="s">
        <v>5080</v>
      </c>
      <c r="C1475" s="100">
        <v>-18490</v>
      </c>
      <c r="D1475" s="100">
        <v>-7459</v>
      </c>
      <c r="E1475" s="100">
        <v>-7409</v>
      </c>
      <c r="F1475" s="100">
        <v>-7360</v>
      </c>
      <c r="G1475" s="100">
        <v>-7310</v>
      </c>
      <c r="H1475" s="100">
        <v>-7261</v>
      </c>
      <c r="I1475" s="100">
        <v>-7211</v>
      </c>
      <c r="J1475" s="100">
        <v>-7162</v>
      </c>
      <c r="K1475" s="100">
        <v>-7112</v>
      </c>
      <c r="L1475" s="100">
        <v>-7063</v>
      </c>
      <c r="M1475" s="100">
        <v>-7013</v>
      </c>
      <c r="N1475" s="100">
        <v>-6964</v>
      </c>
      <c r="O1475" s="100">
        <v>-6914</v>
      </c>
      <c r="Q1475" s="70">
        <v>-8896</v>
      </c>
      <c r="R1475" s="100"/>
      <c r="T1475" s="100"/>
      <c r="U1475" s="100"/>
    </row>
    <row r="1476" spans="1:21" ht="15.75" thickBot="1" x14ac:dyDescent="0.25">
      <c r="A1476" s="70" t="s">
        <v>5299</v>
      </c>
      <c r="C1476" s="103">
        <v>425639</v>
      </c>
      <c r="D1476" s="103">
        <v>562074</v>
      </c>
      <c r="E1476" s="103">
        <v>574594</v>
      </c>
      <c r="F1476" s="103">
        <v>579786</v>
      </c>
      <c r="G1476" s="103">
        <v>585052</v>
      </c>
      <c r="H1476" s="103">
        <v>596472</v>
      </c>
      <c r="I1476" s="103">
        <v>601234</v>
      </c>
      <c r="J1476" s="103">
        <v>608537</v>
      </c>
      <c r="K1476" s="103">
        <v>617440</v>
      </c>
      <c r="L1476" s="103">
        <v>618468</v>
      </c>
      <c r="M1476" s="103">
        <v>618500</v>
      </c>
      <c r="N1476" s="103">
        <v>617804</v>
      </c>
      <c r="O1476" s="103">
        <v>622888</v>
      </c>
      <c r="Q1476" s="70">
        <v>511189</v>
      </c>
      <c r="R1476" s="103"/>
      <c r="T1476" s="103"/>
      <c r="U1476" s="103"/>
    </row>
    <row r="1477" spans="1:21" ht="15.75" thickTop="1" x14ac:dyDescent="0.2"/>
    <row r="1478" spans="1:21" x14ac:dyDescent="0.2">
      <c r="B1478" s="70" t="s">
        <v>5300</v>
      </c>
      <c r="C1478" s="70">
        <v>31327</v>
      </c>
      <c r="D1478" s="70">
        <v>11822</v>
      </c>
      <c r="E1478" s="70">
        <v>11623</v>
      </c>
      <c r="F1478" s="70">
        <v>11424</v>
      </c>
      <c r="G1478" s="70">
        <v>11225</v>
      </c>
      <c r="H1478" s="70">
        <v>11194</v>
      </c>
      <c r="I1478" s="70">
        <v>11164</v>
      </c>
      <c r="J1478" s="70">
        <v>11133</v>
      </c>
      <c r="K1478" s="70">
        <v>11102</v>
      </c>
      <c r="L1478" s="70">
        <v>11072</v>
      </c>
      <c r="M1478" s="70">
        <v>11041</v>
      </c>
      <c r="N1478" s="70">
        <v>11010</v>
      </c>
      <c r="O1478" s="70">
        <v>10979</v>
      </c>
      <c r="Q1478" s="70">
        <v>14455</v>
      </c>
    </row>
    <row r="1479" spans="1:21" x14ac:dyDescent="0.2">
      <c r="Q1479" s="71"/>
    </row>
    <row r="1480" spans="1:21" x14ac:dyDescent="0.2">
      <c r="A1480" s="70" t="s">
        <v>5301</v>
      </c>
      <c r="Q1480" s="71"/>
    </row>
    <row r="1481" spans="1:21" x14ac:dyDescent="0.2">
      <c r="A1481" s="71" t="s">
        <v>2623</v>
      </c>
      <c r="B1481" s="71" t="s">
        <v>5051</v>
      </c>
      <c r="C1481" s="71">
        <v>1069</v>
      </c>
      <c r="D1481" s="71">
        <v>513</v>
      </c>
      <c r="E1481" s="71">
        <v>261</v>
      </c>
      <c r="F1481" s="71">
        <v>22</v>
      </c>
      <c r="G1481" s="71">
        <v>0</v>
      </c>
      <c r="H1481" s="71">
        <v>0</v>
      </c>
      <c r="I1481" s="71">
        <v>97</v>
      </c>
      <c r="J1481" s="71">
        <v>383</v>
      </c>
      <c r="K1481" s="71">
        <v>688</v>
      </c>
      <c r="L1481" s="71">
        <v>1001</v>
      </c>
      <c r="M1481" s="71">
        <v>1141</v>
      </c>
      <c r="N1481" s="71">
        <v>1066</v>
      </c>
      <c r="O1481" s="71">
        <v>986</v>
      </c>
      <c r="Q1481" s="71">
        <v>1018</v>
      </c>
      <c r="R1481" s="71"/>
      <c r="T1481" s="71"/>
      <c r="U1481" s="71"/>
    </row>
    <row r="1482" spans="1:21" x14ac:dyDescent="0.2">
      <c r="A1482" s="71" t="s">
        <v>2625</v>
      </c>
      <c r="B1482" s="71" t="s">
        <v>5052</v>
      </c>
      <c r="C1482" s="71">
        <v>0</v>
      </c>
      <c r="D1482" s="71">
        <v>1581</v>
      </c>
      <c r="E1482" s="71">
        <v>0</v>
      </c>
      <c r="F1482" s="71">
        <v>0</v>
      </c>
      <c r="G1482" s="71">
        <v>0</v>
      </c>
      <c r="H1482" s="71">
        <v>0</v>
      </c>
      <c r="I1482" s="71">
        <v>0</v>
      </c>
      <c r="J1482" s="71">
        <v>0</v>
      </c>
      <c r="K1482" s="71">
        <v>0</v>
      </c>
      <c r="L1482" s="71">
        <v>0</v>
      </c>
      <c r="M1482" s="71">
        <v>0</v>
      </c>
      <c r="N1482" s="71">
        <v>0</v>
      </c>
      <c r="O1482" s="71">
        <v>0</v>
      </c>
      <c r="Q1482" s="71">
        <v>0</v>
      </c>
      <c r="R1482" s="71"/>
      <c r="T1482" s="71"/>
      <c r="U1482" s="71"/>
    </row>
    <row r="1483" spans="1:21" x14ac:dyDescent="0.2">
      <c r="A1483" s="71" t="s">
        <v>2627</v>
      </c>
      <c r="B1483" s="71" t="s">
        <v>5053</v>
      </c>
      <c r="C1483" s="71">
        <v>0</v>
      </c>
      <c r="D1483" s="71">
        <v>0</v>
      </c>
      <c r="E1483" s="71">
        <v>0</v>
      </c>
      <c r="F1483" s="71">
        <v>0</v>
      </c>
      <c r="G1483" s="71">
        <v>0</v>
      </c>
      <c r="H1483" s="71">
        <v>0</v>
      </c>
      <c r="I1483" s="71">
        <v>0</v>
      </c>
      <c r="J1483" s="71">
        <v>0</v>
      </c>
      <c r="K1483" s="71">
        <v>0</v>
      </c>
      <c r="L1483" s="71">
        <v>0</v>
      </c>
      <c r="M1483" s="71">
        <v>0</v>
      </c>
      <c r="N1483" s="71">
        <v>0</v>
      </c>
      <c r="O1483" s="71">
        <v>0</v>
      </c>
      <c r="Q1483" s="71">
        <v>177</v>
      </c>
      <c r="R1483" s="71"/>
      <c r="T1483" s="71"/>
      <c r="U1483" s="71"/>
    </row>
    <row r="1484" spans="1:21" x14ac:dyDescent="0.2">
      <c r="A1484" s="71" t="s">
        <v>2629</v>
      </c>
      <c r="B1484" s="71" t="s">
        <v>5054</v>
      </c>
      <c r="C1484" s="71">
        <v>0</v>
      </c>
      <c r="D1484" s="71">
        <v>350</v>
      </c>
      <c r="E1484" s="71">
        <v>349</v>
      </c>
      <c r="F1484" s="71">
        <v>223</v>
      </c>
      <c r="G1484" s="71">
        <v>0</v>
      </c>
      <c r="H1484" s="71">
        <v>0</v>
      </c>
      <c r="I1484" s="71">
        <v>0</v>
      </c>
      <c r="J1484" s="71">
        <v>0</v>
      </c>
      <c r="K1484" s="71">
        <v>0</v>
      </c>
      <c r="L1484" s="71">
        <v>0</v>
      </c>
      <c r="M1484" s="71">
        <v>0</v>
      </c>
      <c r="N1484" s="71">
        <v>0</v>
      </c>
      <c r="O1484" s="71">
        <v>0</v>
      </c>
      <c r="Q1484" s="70">
        <v>0</v>
      </c>
      <c r="R1484" s="71"/>
      <c r="T1484" s="71"/>
      <c r="U1484" s="71"/>
    </row>
    <row r="1485" spans="1:21" x14ac:dyDescent="0.2">
      <c r="A1485" s="71" t="s">
        <v>2631</v>
      </c>
      <c r="B1485" s="71" t="s">
        <v>5056</v>
      </c>
      <c r="C1485" s="100">
        <v>994</v>
      </c>
      <c r="D1485" s="100">
        <v>10069</v>
      </c>
      <c r="E1485" s="100">
        <v>9651</v>
      </c>
      <c r="F1485" s="100">
        <v>9439</v>
      </c>
      <c r="G1485" s="100">
        <v>9209</v>
      </c>
      <c r="H1485" s="100">
        <v>8664</v>
      </c>
      <c r="I1485" s="100">
        <v>7869</v>
      </c>
      <c r="J1485" s="100">
        <v>7162</v>
      </c>
      <c r="K1485" s="100">
        <v>6415</v>
      </c>
      <c r="L1485" s="100">
        <v>5596</v>
      </c>
      <c r="M1485" s="100">
        <v>4650</v>
      </c>
      <c r="N1485" s="100">
        <v>3436</v>
      </c>
      <c r="O1485" s="100">
        <v>1504</v>
      </c>
      <c r="Q1485" s="70">
        <v>1399</v>
      </c>
      <c r="R1485" s="100"/>
      <c r="T1485" s="100"/>
      <c r="U1485" s="100"/>
    </row>
    <row r="1486" spans="1:21" ht="15.75" thickBot="1" x14ac:dyDescent="0.25">
      <c r="B1486" s="70" t="s">
        <v>5302</v>
      </c>
      <c r="C1486" s="101">
        <v>2063</v>
      </c>
      <c r="D1486" s="101">
        <v>12513</v>
      </c>
      <c r="E1486" s="101">
        <v>10261</v>
      </c>
      <c r="F1486" s="101">
        <v>9684</v>
      </c>
      <c r="G1486" s="101">
        <v>9209</v>
      </c>
      <c r="H1486" s="101">
        <v>8664</v>
      </c>
      <c r="I1486" s="101">
        <v>7966</v>
      </c>
      <c r="J1486" s="101">
        <v>7545</v>
      </c>
      <c r="K1486" s="101">
        <v>7103</v>
      </c>
      <c r="L1486" s="101">
        <v>6597</v>
      </c>
      <c r="M1486" s="101">
        <v>5791</v>
      </c>
      <c r="N1486" s="101">
        <v>4502</v>
      </c>
      <c r="O1486" s="101">
        <v>2490</v>
      </c>
      <c r="Q1486" s="70">
        <v>2594</v>
      </c>
      <c r="R1486" s="101"/>
      <c r="T1486" s="101"/>
      <c r="U1486" s="101"/>
    </row>
    <row r="1487" spans="1:21" ht="15.75" thickTop="1" x14ac:dyDescent="0.2"/>
    <row r="1488" spans="1:21" x14ac:dyDescent="0.2">
      <c r="A1488" s="70" t="s">
        <v>5303</v>
      </c>
      <c r="C1488" s="71">
        <v>43059</v>
      </c>
      <c r="D1488" s="71">
        <v>18750</v>
      </c>
      <c r="E1488" s="71">
        <v>18726</v>
      </c>
      <c r="F1488" s="71">
        <v>18702</v>
      </c>
      <c r="G1488" s="71">
        <v>18678</v>
      </c>
      <c r="H1488" s="71">
        <v>18655</v>
      </c>
      <c r="I1488" s="71">
        <v>18631</v>
      </c>
      <c r="J1488" s="71">
        <v>18607</v>
      </c>
      <c r="K1488" s="71">
        <v>18583</v>
      </c>
      <c r="L1488" s="71">
        <v>18559</v>
      </c>
      <c r="M1488" s="71">
        <v>18536</v>
      </c>
      <c r="N1488" s="71">
        <v>18512</v>
      </c>
      <c r="O1488" s="71">
        <v>18488</v>
      </c>
      <c r="Q1488" s="70">
        <v>21088</v>
      </c>
      <c r="R1488" s="71"/>
      <c r="T1488" s="71"/>
      <c r="U1488" s="71"/>
    </row>
    <row r="1489" spans="1:21" x14ac:dyDescent="0.2">
      <c r="A1489" s="70" t="s">
        <v>3147</v>
      </c>
      <c r="B1489" s="70" t="s">
        <v>5049</v>
      </c>
      <c r="C1489" s="100">
        <v>41493</v>
      </c>
      <c r="D1489" s="100">
        <v>62458</v>
      </c>
      <c r="E1489" s="100">
        <v>62421</v>
      </c>
      <c r="F1489" s="100">
        <v>62384</v>
      </c>
      <c r="G1489" s="100">
        <v>62347</v>
      </c>
      <c r="H1489" s="100">
        <v>62310</v>
      </c>
      <c r="I1489" s="100">
        <v>62273</v>
      </c>
      <c r="J1489" s="100">
        <v>62236</v>
      </c>
      <c r="K1489" s="100">
        <v>62199</v>
      </c>
      <c r="L1489" s="100">
        <v>62162</v>
      </c>
      <c r="M1489" s="100">
        <v>62125</v>
      </c>
      <c r="N1489" s="100">
        <v>62088</v>
      </c>
      <c r="O1489" s="100">
        <v>62051</v>
      </c>
      <c r="Q1489" s="70">
        <v>52697</v>
      </c>
      <c r="R1489" s="100"/>
      <c r="T1489" s="100"/>
      <c r="U1489" s="100"/>
    </row>
    <row r="1490" spans="1:21" ht="15.75" thickBot="1" x14ac:dyDescent="0.25">
      <c r="A1490" s="70" t="s">
        <v>5304</v>
      </c>
      <c r="C1490" s="103">
        <v>1566</v>
      </c>
      <c r="D1490" s="103">
        <v>-43708</v>
      </c>
      <c r="E1490" s="103">
        <v>-43695</v>
      </c>
      <c r="F1490" s="103">
        <v>-43682</v>
      </c>
      <c r="G1490" s="103">
        <v>-43669</v>
      </c>
      <c r="H1490" s="103">
        <v>-43655</v>
      </c>
      <c r="I1490" s="103">
        <v>-43642</v>
      </c>
      <c r="J1490" s="103">
        <v>-43629</v>
      </c>
      <c r="K1490" s="103">
        <v>-43616</v>
      </c>
      <c r="L1490" s="103">
        <v>-43603</v>
      </c>
      <c r="M1490" s="103">
        <v>-43589</v>
      </c>
      <c r="N1490" s="103">
        <v>-43576</v>
      </c>
      <c r="O1490" s="103">
        <v>-43563</v>
      </c>
      <c r="Q1490" s="70">
        <v>-31609</v>
      </c>
      <c r="R1490" s="103"/>
      <c r="T1490" s="103"/>
      <c r="U1490" s="103"/>
    </row>
    <row r="1491" spans="1:21" ht="15.75" thickTop="1" x14ac:dyDescent="0.2"/>
    <row r="1492" spans="1:21" x14ac:dyDescent="0.2">
      <c r="B1492" s="70" t="s">
        <v>5305</v>
      </c>
      <c r="C1492" s="70">
        <v>0</v>
      </c>
      <c r="D1492" s="70">
        <v>0</v>
      </c>
      <c r="E1492" s="70">
        <v>0</v>
      </c>
      <c r="F1492" s="70">
        <v>0</v>
      </c>
      <c r="G1492" s="70">
        <v>0</v>
      </c>
      <c r="H1492" s="70">
        <v>0</v>
      </c>
      <c r="I1492" s="70">
        <v>0</v>
      </c>
      <c r="J1492" s="70">
        <v>0</v>
      </c>
      <c r="K1492" s="70">
        <v>0</v>
      </c>
      <c r="L1492" s="70">
        <v>0</v>
      </c>
      <c r="M1492" s="70">
        <v>0</v>
      </c>
      <c r="N1492" s="70">
        <v>0</v>
      </c>
      <c r="O1492" s="70">
        <v>0</v>
      </c>
      <c r="Q1492" s="70">
        <v>0</v>
      </c>
    </row>
    <row r="1494" spans="1:21" x14ac:dyDescent="0.2">
      <c r="A1494" s="70" t="s">
        <v>5306</v>
      </c>
      <c r="C1494" s="71"/>
      <c r="D1494" s="71"/>
      <c r="E1494" s="71"/>
      <c r="F1494" s="71"/>
      <c r="G1494" s="71"/>
      <c r="H1494" s="71"/>
      <c r="I1494" s="71"/>
      <c r="J1494" s="71"/>
      <c r="K1494" s="71"/>
      <c r="L1494" s="71"/>
      <c r="M1494" s="71"/>
      <c r="N1494" s="71"/>
      <c r="O1494" s="71"/>
      <c r="R1494" s="71"/>
      <c r="T1494" s="71"/>
      <c r="U1494" s="71"/>
    </row>
    <row r="1495" spans="1:21" x14ac:dyDescent="0.2">
      <c r="B1495" s="71" t="s">
        <v>3731</v>
      </c>
      <c r="C1495" s="71">
        <v>76090</v>
      </c>
      <c r="D1495" s="71">
        <v>184010</v>
      </c>
      <c r="E1495" s="71">
        <v>181977</v>
      </c>
      <c r="F1495" s="71">
        <v>180458</v>
      </c>
      <c r="G1495" s="71">
        <v>179255</v>
      </c>
      <c r="H1495" s="71">
        <v>177985</v>
      </c>
      <c r="I1495" s="71">
        <v>178046</v>
      </c>
      <c r="J1495" s="71">
        <v>178373</v>
      </c>
      <c r="K1495" s="71">
        <v>179646</v>
      </c>
      <c r="L1495" s="71">
        <v>173896</v>
      </c>
      <c r="M1495" s="71">
        <v>173860</v>
      </c>
      <c r="N1495" s="71">
        <v>173687</v>
      </c>
      <c r="O1495" s="71">
        <v>175620</v>
      </c>
      <c r="Q1495" s="70">
        <v>125884</v>
      </c>
      <c r="R1495" s="71"/>
      <c r="T1495" s="71"/>
      <c r="U1495" s="71"/>
    </row>
    <row r="1496" spans="1:21" x14ac:dyDescent="0.2">
      <c r="B1496" s="71" t="s">
        <v>3732</v>
      </c>
      <c r="C1496" s="71">
        <v>39692</v>
      </c>
      <c r="D1496" s="71">
        <v>39996</v>
      </c>
      <c r="E1496" s="71">
        <v>40402</v>
      </c>
      <c r="F1496" s="71">
        <v>40809</v>
      </c>
      <c r="G1496" s="71">
        <v>41215</v>
      </c>
      <c r="H1496" s="71">
        <v>41621</v>
      </c>
      <c r="I1496" s="71">
        <v>42028</v>
      </c>
      <c r="J1496" s="71">
        <v>42434</v>
      </c>
      <c r="K1496" s="71">
        <v>42840</v>
      </c>
      <c r="L1496" s="71">
        <v>43247</v>
      </c>
      <c r="M1496" s="71">
        <v>43653</v>
      </c>
      <c r="N1496" s="71">
        <v>44059</v>
      </c>
      <c r="O1496" s="71">
        <v>44470</v>
      </c>
      <c r="Q1496" s="70">
        <v>39774</v>
      </c>
      <c r="R1496" s="71"/>
      <c r="T1496" s="71"/>
      <c r="U1496" s="71"/>
    </row>
    <row r="1497" spans="1:21" ht="15.75" x14ac:dyDescent="0.25">
      <c r="B1497" s="86" t="s">
        <v>5307</v>
      </c>
      <c r="C1497" s="71">
        <v>0</v>
      </c>
      <c r="D1497" s="71">
        <v>0</v>
      </c>
      <c r="E1497" s="71">
        <v>0</v>
      </c>
      <c r="F1497" s="71">
        <v>0</v>
      </c>
      <c r="G1497" s="71">
        <v>0</v>
      </c>
      <c r="H1497" s="71">
        <v>0</v>
      </c>
      <c r="I1497" s="71">
        <v>0</v>
      </c>
      <c r="J1497" s="71">
        <v>0</v>
      </c>
      <c r="K1497" s="71">
        <v>0</v>
      </c>
      <c r="L1497" s="71">
        <v>0</v>
      </c>
      <c r="M1497" s="71">
        <v>0</v>
      </c>
      <c r="N1497" s="71">
        <v>0</v>
      </c>
      <c r="O1497" s="71">
        <v>0</v>
      </c>
      <c r="Q1497" s="70">
        <v>0</v>
      </c>
      <c r="R1497" s="71"/>
      <c r="T1497" s="71"/>
      <c r="U1497" s="71"/>
    </row>
    <row r="1498" spans="1:21" x14ac:dyDescent="0.2">
      <c r="B1498" s="70" t="s">
        <v>5308</v>
      </c>
      <c r="C1498" s="100">
        <v>-2063</v>
      </c>
      <c r="D1498" s="100">
        <v>-12513</v>
      </c>
      <c r="E1498" s="100">
        <v>-10261</v>
      </c>
      <c r="F1498" s="100">
        <v>-9684</v>
      </c>
      <c r="G1498" s="100">
        <v>-9209</v>
      </c>
      <c r="H1498" s="100">
        <v>-8664</v>
      </c>
      <c r="I1498" s="100">
        <v>-7966</v>
      </c>
      <c r="J1498" s="100">
        <v>-7545</v>
      </c>
      <c r="K1498" s="100">
        <v>-7103</v>
      </c>
      <c r="L1498" s="100">
        <v>-6597</v>
      </c>
      <c r="M1498" s="100">
        <v>-5791</v>
      </c>
      <c r="N1498" s="100">
        <v>-4502</v>
      </c>
      <c r="O1498" s="100">
        <v>-2490</v>
      </c>
      <c r="Q1498" s="70">
        <v>-2594</v>
      </c>
      <c r="R1498" s="100"/>
      <c r="T1498" s="100"/>
      <c r="U1498" s="100"/>
    </row>
    <row r="1499" spans="1:21" ht="15.75" thickBot="1" x14ac:dyDescent="0.25">
      <c r="B1499" s="70" t="s">
        <v>569</v>
      </c>
      <c r="C1499" s="103">
        <v>113719</v>
      </c>
      <c r="D1499" s="103">
        <v>211493</v>
      </c>
      <c r="E1499" s="103">
        <v>212118</v>
      </c>
      <c r="F1499" s="103">
        <v>211583</v>
      </c>
      <c r="G1499" s="103">
        <v>211261</v>
      </c>
      <c r="H1499" s="103">
        <v>210942</v>
      </c>
      <c r="I1499" s="103">
        <v>212108</v>
      </c>
      <c r="J1499" s="103">
        <v>213262</v>
      </c>
      <c r="K1499" s="103">
        <v>215383</v>
      </c>
      <c r="L1499" s="103">
        <v>210546</v>
      </c>
      <c r="M1499" s="103">
        <v>211722</v>
      </c>
      <c r="N1499" s="103">
        <v>213244</v>
      </c>
      <c r="O1499" s="103">
        <v>217600</v>
      </c>
      <c r="Q1499" s="70">
        <v>163064</v>
      </c>
      <c r="R1499" s="103"/>
      <c r="T1499" s="103"/>
      <c r="U1499" s="103"/>
    </row>
    <row r="1500" spans="1:21" ht="15.75" thickTop="1" x14ac:dyDescent="0.2"/>
    <row r="1501" spans="1:21" x14ac:dyDescent="0.2">
      <c r="B1501" s="70" t="s">
        <v>570</v>
      </c>
      <c r="C1501" s="70">
        <v>119697</v>
      </c>
      <c r="D1501" s="70">
        <v>119697</v>
      </c>
      <c r="E1501" s="70">
        <v>119697</v>
      </c>
      <c r="F1501" s="70">
        <v>119697</v>
      </c>
      <c r="G1501" s="70">
        <v>119697</v>
      </c>
      <c r="H1501" s="70">
        <v>119697</v>
      </c>
      <c r="I1501" s="70">
        <v>119697</v>
      </c>
      <c r="J1501" s="70">
        <v>119697</v>
      </c>
      <c r="K1501" s="70">
        <v>119697</v>
      </c>
      <c r="L1501" s="70">
        <v>119697</v>
      </c>
      <c r="M1501" s="70">
        <v>119697</v>
      </c>
      <c r="N1501" s="70">
        <v>119697</v>
      </c>
      <c r="O1501" s="70">
        <v>119697</v>
      </c>
      <c r="Q1501" s="70">
        <v>119697</v>
      </c>
    </row>
    <row r="1502" spans="1:21" x14ac:dyDescent="0.2">
      <c r="B1502" s="70" t="s">
        <v>3707</v>
      </c>
      <c r="C1502" s="70">
        <v>1069579</v>
      </c>
      <c r="D1502" s="70">
        <v>1285840</v>
      </c>
      <c r="E1502" s="70">
        <v>1335840</v>
      </c>
      <c r="F1502" s="70">
        <v>1385840</v>
      </c>
      <c r="G1502" s="70">
        <v>1385840</v>
      </c>
      <c r="H1502" s="70">
        <v>1385840</v>
      </c>
      <c r="I1502" s="70">
        <v>1385840</v>
      </c>
      <c r="J1502" s="70">
        <v>1385840</v>
      </c>
      <c r="K1502" s="70">
        <v>1385840</v>
      </c>
      <c r="L1502" s="70">
        <v>1435840</v>
      </c>
      <c r="M1502" s="70">
        <v>1435840</v>
      </c>
      <c r="N1502" s="70">
        <v>1535840</v>
      </c>
      <c r="O1502" s="70">
        <v>1585840</v>
      </c>
      <c r="Q1502" s="70">
        <v>1154040</v>
      </c>
    </row>
    <row r="1503" spans="1:21" x14ac:dyDescent="0.2">
      <c r="B1503" s="70" t="s">
        <v>3708</v>
      </c>
      <c r="C1503" s="75">
        <v>-701</v>
      </c>
      <c r="D1503" s="75">
        <v>-701</v>
      </c>
      <c r="E1503" s="75">
        <v>-701</v>
      </c>
      <c r="F1503" s="75">
        <v>-701</v>
      </c>
      <c r="G1503" s="75">
        <v>-701</v>
      </c>
      <c r="H1503" s="75">
        <v>-701</v>
      </c>
      <c r="I1503" s="75">
        <v>-701</v>
      </c>
      <c r="J1503" s="75">
        <v>-701</v>
      </c>
      <c r="K1503" s="75">
        <v>-701</v>
      </c>
      <c r="L1503" s="75">
        <v>-701</v>
      </c>
      <c r="M1503" s="75">
        <v>-701</v>
      </c>
      <c r="N1503" s="75">
        <v>-701</v>
      </c>
      <c r="O1503" s="75">
        <v>-701</v>
      </c>
      <c r="Q1503" s="70">
        <v>-701</v>
      </c>
      <c r="R1503" s="75"/>
      <c r="T1503" s="75"/>
      <c r="U1503" s="75"/>
    </row>
    <row r="1504" spans="1:21" ht="15.75" thickBot="1" x14ac:dyDescent="0.25">
      <c r="B1504" s="70" t="s">
        <v>3709</v>
      </c>
      <c r="C1504" s="101">
        <v>1188575</v>
      </c>
      <c r="D1504" s="101">
        <v>1404836</v>
      </c>
      <c r="E1504" s="101">
        <v>1454836</v>
      </c>
      <c r="F1504" s="101">
        <v>1504836</v>
      </c>
      <c r="G1504" s="101">
        <v>1504836</v>
      </c>
      <c r="H1504" s="101">
        <v>1504836</v>
      </c>
      <c r="I1504" s="101">
        <v>1504836</v>
      </c>
      <c r="J1504" s="101">
        <v>1504836</v>
      </c>
      <c r="K1504" s="101">
        <v>1504836</v>
      </c>
      <c r="L1504" s="101">
        <v>1554836</v>
      </c>
      <c r="M1504" s="101">
        <v>1554836</v>
      </c>
      <c r="N1504" s="101">
        <v>1654836</v>
      </c>
      <c r="O1504" s="101">
        <v>1704836</v>
      </c>
      <c r="Q1504" s="70">
        <v>1273036</v>
      </c>
      <c r="R1504" s="101"/>
      <c r="T1504" s="101"/>
      <c r="U1504" s="101"/>
    </row>
    <row r="1505" spans="1:21" ht="15.75" thickTop="1" x14ac:dyDescent="0.2"/>
    <row r="1506" spans="1:21" x14ac:dyDescent="0.2">
      <c r="B1506" s="70" t="s">
        <v>3710</v>
      </c>
      <c r="C1506" s="70">
        <v>192101</v>
      </c>
      <c r="D1506" s="70">
        <v>153070</v>
      </c>
      <c r="E1506" s="70">
        <v>159283</v>
      </c>
      <c r="F1506" s="70">
        <v>164498</v>
      </c>
      <c r="G1506" s="70">
        <v>149142</v>
      </c>
      <c r="H1506" s="70">
        <v>166620</v>
      </c>
      <c r="I1506" s="70">
        <v>184627</v>
      </c>
      <c r="J1506" s="70">
        <v>176323</v>
      </c>
      <c r="K1506" s="70">
        <v>197762</v>
      </c>
      <c r="L1506" s="70">
        <v>212722</v>
      </c>
      <c r="M1506" s="70">
        <v>167693</v>
      </c>
      <c r="N1506" s="70">
        <v>176405</v>
      </c>
      <c r="O1506" s="70">
        <v>183987</v>
      </c>
      <c r="Q1506" s="70">
        <v>177202</v>
      </c>
    </row>
    <row r="1508" spans="1:21" x14ac:dyDescent="0.2">
      <c r="B1508" s="70" t="s">
        <v>3711</v>
      </c>
      <c r="C1508" s="75">
        <v>790599</v>
      </c>
      <c r="D1508" s="75">
        <v>1659491</v>
      </c>
      <c r="E1508" s="75">
        <v>1659524</v>
      </c>
      <c r="F1508" s="75">
        <v>1564556</v>
      </c>
      <c r="G1508" s="75">
        <v>1564588</v>
      </c>
      <c r="H1508" s="75">
        <v>1664622</v>
      </c>
      <c r="I1508" s="75">
        <v>1664654</v>
      </c>
      <c r="J1508" s="75">
        <v>1664687</v>
      </c>
      <c r="K1508" s="75">
        <v>1664719</v>
      </c>
      <c r="L1508" s="75">
        <v>1664751</v>
      </c>
      <c r="M1508" s="75">
        <v>1664784</v>
      </c>
      <c r="N1508" s="75">
        <v>1664817</v>
      </c>
      <c r="O1508" s="75">
        <v>1664850</v>
      </c>
      <c r="Q1508" s="70">
        <v>1371615</v>
      </c>
      <c r="R1508" s="75"/>
      <c r="T1508" s="75"/>
      <c r="U1508" s="75"/>
    </row>
    <row r="1510" spans="1:21" ht="15.75" thickBot="1" x14ac:dyDescent="0.25">
      <c r="B1510" s="70" t="s">
        <v>3712</v>
      </c>
      <c r="C1510" s="101">
        <v>3269579</v>
      </c>
      <c r="D1510" s="101">
        <v>4346483</v>
      </c>
      <c r="E1510" s="101">
        <v>4376270</v>
      </c>
      <c r="F1510" s="101">
        <v>4377218</v>
      </c>
      <c r="G1510" s="101">
        <v>4411800</v>
      </c>
      <c r="H1510" s="101">
        <v>4484381</v>
      </c>
      <c r="I1510" s="101">
        <v>4530478</v>
      </c>
      <c r="J1510" s="101">
        <v>4590687</v>
      </c>
      <c r="K1510" s="101">
        <v>4636986</v>
      </c>
      <c r="L1510" s="101">
        <v>4674373</v>
      </c>
      <c r="M1510" s="101">
        <v>4688796</v>
      </c>
      <c r="N1510" s="101">
        <v>4701452</v>
      </c>
      <c r="O1510" s="101">
        <v>4776881</v>
      </c>
      <c r="Q1510" s="70">
        <v>3992587</v>
      </c>
      <c r="R1510" s="101"/>
      <c r="T1510" s="101"/>
      <c r="U1510" s="101"/>
    </row>
    <row r="1511" spans="1:21" ht="15.75" thickTop="1" x14ac:dyDescent="0.2"/>
    <row r="1512" spans="1:21" x14ac:dyDescent="0.2">
      <c r="A1512" s="70" t="s">
        <v>3713</v>
      </c>
      <c r="C1512" s="71">
        <v>3298978</v>
      </c>
      <c r="D1512" s="71">
        <v>4440980</v>
      </c>
      <c r="E1512" s="71">
        <v>4468330</v>
      </c>
      <c r="F1512" s="71">
        <v>4467944</v>
      </c>
      <c r="G1512" s="71">
        <v>4502065</v>
      </c>
      <c r="H1512" s="71">
        <v>4565431</v>
      </c>
      <c r="I1512" s="71">
        <v>4611280</v>
      </c>
      <c r="J1512" s="71">
        <v>4671280</v>
      </c>
      <c r="K1512" s="71">
        <v>4717540</v>
      </c>
      <c r="L1512" s="71">
        <v>4754934</v>
      </c>
      <c r="M1512" s="71">
        <v>4769328</v>
      </c>
      <c r="N1512" s="71">
        <v>4781807</v>
      </c>
      <c r="O1512" s="71">
        <v>4856990</v>
      </c>
      <c r="Q1512" s="70">
        <v>4036689</v>
      </c>
      <c r="R1512" s="71"/>
      <c r="T1512" s="71"/>
      <c r="U1512" s="71"/>
    </row>
    <row r="1513" spans="1:21" x14ac:dyDescent="0.2">
      <c r="A1513" s="70" t="s">
        <v>1576</v>
      </c>
      <c r="B1513" s="70" t="s">
        <v>5080</v>
      </c>
      <c r="C1513" s="71">
        <v>-18490</v>
      </c>
      <c r="D1513" s="71">
        <v>-7459</v>
      </c>
      <c r="E1513" s="71">
        <v>-7409</v>
      </c>
      <c r="F1513" s="71">
        <v>-7360</v>
      </c>
      <c r="G1513" s="71">
        <v>-7310</v>
      </c>
      <c r="H1513" s="71">
        <v>-7261</v>
      </c>
      <c r="I1513" s="71">
        <v>-7211</v>
      </c>
      <c r="J1513" s="71">
        <v>-7162</v>
      </c>
      <c r="K1513" s="71">
        <v>-7112</v>
      </c>
      <c r="L1513" s="71">
        <v>-7063</v>
      </c>
      <c r="M1513" s="71">
        <v>-7013</v>
      </c>
      <c r="N1513" s="71">
        <v>-6964</v>
      </c>
      <c r="O1513" s="71">
        <v>-6914</v>
      </c>
      <c r="Q1513" s="70">
        <v>-8896</v>
      </c>
      <c r="R1513" s="71"/>
      <c r="T1513" s="71"/>
      <c r="U1513" s="71"/>
    </row>
    <row r="1514" spans="1:21" x14ac:dyDescent="0.2">
      <c r="A1514" s="70" t="s">
        <v>3147</v>
      </c>
      <c r="B1514" s="70" t="s">
        <v>5049</v>
      </c>
      <c r="C1514" s="71">
        <v>-41493</v>
      </c>
      <c r="D1514" s="71">
        <v>-62458</v>
      </c>
      <c r="E1514" s="71">
        <v>-62421</v>
      </c>
      <c r="F1514" s="71">
        <v>-62384</v>
      </c>
      <c r="G1514" s="71">
        <v>-62347</v>
      </c>
      <c r="H1514" s="71">
        <v>-62310</v>
      </c>
      <c r="I1514" s="71">
        <v>-62273</v>
      </c>
      <c r="J1514" s="71">
        <v>-62236</v>
      </c>
      <c r="K1514" s="71">
        <v>-62199</v>
      </c>
      <c r="L1514" s="71">
        <v>-62162</v>
      </c>
      <c r="M1514" s="71">
        <v>-62125</v>
      </c>
      <c r="N1514" s="71">
        <v>-62088</v>
      </c>
      <c r="O1514" s="71">
        <v>-62051</v>
      </c>
      <c r="Q1514" s="70">
        <v>-52697</v>
      </c>
      <c r="R1514" s="71"/>
      <c r="T1514" s="71"/>
      <c r="U1514" s="71"/>
    </row>
    <row r="1515" spans="1:21" x14ac:dyDescent="0.2">
      <c r="B1515" s="70" t="s">
        <v>5286</v>
      </c>
      <c r="C1515" s="71">
        <v>-1</v>
      </c>
      <c r="D1515" s="71">
        <v>0</v>
      </c>
      <c r="E1515" s="71">
        <v>0</v>
      </c>
      <c r="F1515" s="71">
        <v>0</v>
      </c>
      <c r="G1515" s="71">
        <v>0</v>
      </c>
      <c r="H1515" s="71">
        <v>0</v>
      </c>
      <c r="I1515" s="71">
        <v>0</v>
      </c>
      <c r="J1515" s="71">
        <v>0</v>
      </c>
      <c r="K1515" s="71">
        <v>0</v>
      </c>
      <c r="L1515" s="71">
        <v>0</v>
      </c>
      <c r="M1515" s="71">
        <v>0</v>
      </c>
      <c r="N1515" s="71">
        <v>0</v>
      </c>
      <c r="O1515" s="71">
        <v>0</v>
      </c>
      <c r="Q1515" s="70">
        <v>0</v>
      </c>
      <c r="R1515" s="71"/>
      <c r="T1515" s="71"/>
      <c r="U1515" s="71"/>
    </row>
    <row r="1516" spans="1:21" x14ac:dyDescent="0.2">
      <c r="B1516" s="70" t="s">
        <v>5287</v>
      </c>
      <c r="C1516" s="71">
        <v>-9</v>
      </c>
      <c r="D1516" s="71">
        <v>-9</v>
      </c>
      <c r="E1516" s="71">
        <v>-9</v>
      </c>
      <c r="F1516" s="71">
        <v>-9</v>
      </c>
      <c r="G1516" s="71">
        <v>-9</v>
      </c>
      <c r="H1516" s="71">
        <v>-9</v>
      </c>
      <c r="I1516" s="71">
        <v>-9</v>
      </c>
      <c r="J1516" s="71">
        <v>-9</v>
      </c>
      <c r="K1516" s="71">
        <v>-9</v>
      </c>
      <c r="L1516" s="71">
        <v>-9</v>
      </c>
      <c r="M1516" s="71">
        <v>-9</v>
      </c>
      <c r="N1516" s="71">
        <v>-9</v>
      </c>
      <c r="O1516" s="71">
        <v>-9</v>
      </c>
      <c r="Q1516" s="70">
        <v>-9</v>
      </c>
      <c r="R1516" s="71"/>
      <c r="T1516" s="71"/>
      <c r="U1516" s="71"/>
    </row>
    <row r="1517" spans="1:21" x14ac:dyDescent="0.2">
      <c r="B1517" s="70" t="s">
        <v>5295</v>
      </c>
      <c r="C1517" s="71">
        <v>5</v>
      </c>
      <c r="D1517" s="71">
        <v>0</v>
      </c>
      <c r="E1517" s="71">
        <v>0</v>
      </c>
      <c r="F1517" s="71">
        <v>0</v>
      </c>
      <c r="G1517" s="71">
        <v>0</v>
      </c>
      <c r="H1517" s="71">
        <v>0</v>
      </c>
      <c r="I1517" s="71">
        <v>0</v>
      </c>
      <c r="J1517" s="71">
        <v>0</v>
      </c>
      <c r="K1517" s="71">
        <v>0</v>
      </c>
      <c r="L1517" s="71">
        <v>0</v>
      </c>
      <c r="M1517" s="71">
        <v>0</v>
      </c>
      <c r="N1517" s="71">
        <v>0</v>
      </c>
      <c r="O1517" s="71">
        <v>0</v>
      </c>
      <c r="Q1517" s="70">
        <v>0</v>
      </c>
      <c r="R1517" s="71"/>
      <c r="T1517" s="71"/>
      <c r="U1517" s="71"/>
    </row>
    <row r="1518" spans="1:21" x14ac:dyDescent="0.2">
      <c r="B1518" s="71" t="s">
        <v>5307</v>
      </c>
      <c r="C1518" s="100">
        <v>0</v>
      </c>
      <c r="D1518" s="100">
        <v>0</v>
      </c>
      <c r="E1518" s="100">
        <v>0</v>
      </c>
      <c r="F1518" s="100">
        <v>0</v>
      </c>
      <c r="G1518" s="100">
        <v>0</v>
      </c>
      <c r="H1518" s="100">
        <v>0</v>
      </c>
      <c r="I1518" s="100">
        <v>0</v>
      </c>
      <c r="J1518" s="100">
        <v>0</v>
      </c>
      <c r="K1518" s="100">
        <v>0</v>
      </c>
      <c r="L1518" s="100">
        <v>0</v>
      </c>
      <c r="M1518" s="100">
        <v>0</v>
      </c>
      <c r="N1518" s="100">
        <v>0</v>
      </c>
      <c r="O1518" s="100">
        <v>0</v>
      </c>
      <c r="Q1518" s="70">
        <v>0</v>
      </c>
      <c r="R1518" s="100"/>
      <c r="T1518" s="100"/>
      <c r="U1518" s="100"/>
    </row>
    <row r="1519" spans="1:21" ht="15.75" thickBot="1" x14ac:dyDescent="0.25">
      <c r="A1519" s="70" t="s">
        <v>3714</v>
      </c>
      <c r="C1519" s="103">
        <v>3238990</v>
      </c>
      <c r="D1519" s="103">
        <v>4371054</v>
      </c>
      <c r="E1519" s="103">
        <v>4398491</v>
      </c>
      <c r="F1519" s="103">
        <v>4398191</v>
      </c>
      <c r="G1519" s="103">
        <v>4432399</v>
      </c>
      <c r="H1519" s="103">
        <v>4495851</v>
      </c>
      <c r="I1519" s="103">
        <v>4541787</v>
      </c>
      <c r="J1519" s="103">
        <v>4601873</v>
      </c>
      <c r="K1519" s="103">
        <v>4648220</v>
      </c>
      <c r="L1519" s="103">
        <v>4685700</v>
      </c>
      <c r="M1519" s="103">
        <v>4700181</v>
      </c>
      <c r="N1519" s="103">
        <v>4712746</v>
      </c>
      <c r="O1519" s="103">
        <v>4788016</v>
      </c>
      <c r="Q1519" s="70">
        <v>3975087</v>
      </c>
      <c r="R1519" s="103"/>
      <c r="T1519" s="103"/>
      <c r="U1519" s="103"/>
    </row>
    <row r="1520" spans="1:21" ht="15.75" thickTop="1" x14ac:dyDescent="0.2">
      <c r="C1520" s="71"/>
      <c r="D1520" s="71"/>
      <c r="E1520" s="71"/>
      <c r="F1520" s="71"/>
      <c r="G1520" s="71"/>
      <c r="H1520" s="71"/>
      <c r="I1520" s="71"/>
      <c r="J1520" s="71"/>
      <c r="K1520" s="71"/>
      <c r="L1520" s="71"/>
      <c r="M1520" s="71"/>
      <c r="N1520" s="71"/>
      <c r="O1520" s="71"/>
      <c r="R1520" s="71"/>
      <c r="T1520" s="71"/>
      <c r="U1520" s="71"/>
    </row>
    <row r="1521" spans="3:21" x14ac:dyDescent="0.2">
      <c r="C1521" s="71">
        <v>12</v>
      </c>
      <c r="D1521" s="71">
        <v>264</v>
      </c>
      <c r="E1521" s="71">
        <v>264</v>
      </c>
      <c r="F1521" s="71">
        <v>264</v>
      </c>
      <c r="G1521" s="71">
        <v>264</v>
      </c>
      <c r="H1521" s="71">
        <v>264</v>
      </c>
      <c r="I1521" s="71">
        <v>264</v>
      </c>
      <c r="J1521" s="71">
        <v>264</v>
      </c>
      <c r="K1521" s="71">
        <v>264</v>
      </c>
      <c r="L1521" s="71">
        <v>-8</v>
      </c>
      <c r="M1521" s="71">
        <v>264</v>
      </c>
      <c r="N1521" s="71">
        <v>264</v>
      </c>
      <c r="O1521" s="71">
        <v>264</v>
      </c>
      <c r="Q1521" s="70">
        <v>264</v>
      </c>
      <c r="R1521" s="71"/>
      <c r="T1521" s="71"/>
      <c r="U1521" s="71"/>
    </row>
    <row r="1525" spans="3:21" x14ac:dyDescent="0.2">
      <c r="C1525" s="71"/>
      <c r="D1525" s="71"/>
      <c r="E1525" s="71"/>
      <c r="F1525" s="71"/>
      <c r="G1525" s="71"/>
      <c r="H1525" s="71"/>
      <c r="I1525" s="71"/>
      <c r="J1525" s="71"/>
      <c r="K1525" s="71"/>
      <c r="L1525" s="71"/>
      <c r="M1525" s="71"/>
      <c r="N1525" s="71"/>
      <c r="O1525" s="71"/>
      <c r="R1525" s="71"/>
      <c r="T1525" s="71"/>
      <c r="U1525" s="71"/>
    </row>
    <row r="1529" spans="3:21" x14ac:dyDescent="0.2">
      <c r="C1529" s="71"/>
      <c r="D1529" s="71"/>
      <c r="E1529" s="71"/>
      <c r="F1529" s="71"/>
      <c r="G1529" s="71"/>
      <c r="H1529" s="71"/>
      <c r="I1529" s="71"/>
      <c r="J1529" s="71"/>
      <c r="K1529" s="71"/>
      <c r="L1529" s="71"/>
      <c r="M1529" s="71"/>
      <c r="N1529" s="71"/>
      <c r="O1529" s="71"/>
      <c r="R1529" s="71"/>
      <c r="T1529" s="71"/>
      <c r="U1529" s="71"/>
    </row>
    <row r="1538" spans="1:21" x14ac:dyDescent="0.2">
      <c r="D1538" s="71"/>
      <c r="E1538" s="71"/>
      <c r="F1538" s="71"/>
      <c r="G1538" s="71"/>
      <c r="H1538" s="71"/>
      <c r="I1538" s="71"/>
      <c r="J1538" s="71"/>
      <c r="K1538" s="71"/>
      <c r="L1538" s="71"/>
      <c r="M1538" s="71"/>
      <c r="N1538" s="71"/>
      <c r="O1538" s="71"/>
      <c r="Q1538" s="71"/>
      <c r="R1538" s="71"/>
      <c r="T1538" s="71"/>
      <c r="U1538" s="71"/>
    </row>
    <row r="1539" spans="1:21" x14ac:dyDescent="0.2">
      <c r="C1539" s="71"/>
      <c r="D1539" s="71"/>
      <c r="E1539" s="71"/>
      <c r="F1539" s="71"/>
      <c r="G1539" s="71"/>
      <c r="H1539" s="71"/>
      <c r="I1539" s="71"/>
      <c r="J1539" s="71"/>
      <c r="K1539" s="71"/>
      <c r="L1539" s="71"/>
      <c r="M1539" s="71"/>
      <c r="N1539" s="71"/>
      <c r="O1539" s="71"/>
      <c r="R1539" s="71"/>
      <c r="T1539" s="71"/>
      <c r="U1539" s="71"/>
    </row>
    <row r="1540" spans="1:21" x14ac:dyDescent="0.2">
      <c r="A1540" s="71"/>
      <c r="B1540" s="71"/>
      <c r="C1540" s="71"/>
      <c r="D1540" s="71"/>
      <c r="E1540" s="71"/>
      <c r="F1540" s="71"/>
      <c r="G1540" s="71"/>
      <c r="H1540" s="71"/>
      <c r="I1540" s="71"/>
      <c r="J1540" s="71"/>
      <c r="K1540" s="71"/>
      <c r="L1540" s="71"/>
      <c r="M1540" s="71"/>
      <c r="N1540" s="71"/>
      <c r="O1540" s="71"/>
      <c r="R1540" s="71"/>
      <c r="T1540" s="71"/>
      <c r="U1540" s="71"/>
    </row>
    <row r="1545" spans="1:21" x14ac:dyDescent="0.2">
      <c r="C1545" s="71"/>
      <c r="D1545" s="71"/>
      <c r="E1545" s="71"/>
      <c r="F1545" s="71"/>
      <c r="G1545" s="71"/>
      <c r="H1545" s="71"/>
      <c r="I1545" s="71"/>
      <c r="J1545" s="71"/>
      <c r="K1545" s="71"/>
      <c r="L1545" s="71"/>
      <c r="M1545" s="71"/>
      <c r="N1545" s="71"/>
      <c r="O1545" s="71"/>
      <c r="R1545" s="71"/>
      <c r="T1545" s="71"/>
      <c r="U1545" s="71"/>
    </row>
    <row r="1546" spans="1:21" x14ac:dyDescent="0.2">
      <c r="C1546" s="71"/>
      <c r="D1546" s="71"/>
      <c r="E1546" s="71"/>
      <c r="F1546" s="71"/>
      <c r="G1546" s="71"/>
      <c r="H1546" s="71"/>
      <c r="I1546" s="71"/>
      <c r="J1546" s="71"/>
      <c r="K1546" s="71"/>
      <c r="L1546" s="71"/>
      <c r="M1546" s="71"/>
      <c r="N1546" s="71"/>
      <c r="O1546" s="71"/>
      <c r="R1546" s="71"/>
      <c r="T1546" s="71"/>
      <c r="U1546" s="71"/>
    </row>
  </sheetData>
  <phoneticPr fontId="16" type="noConversion"/>
  <printOptions horizontalCentered="1"/>
  <pageMargins left="0.5" right="0.5" top="0.5" bottom="0.5" header="0.5" footer="0.5"/>
  <pageSetup scale="35" fitToHeight="4" orientation="landscape" r:id="rId1"/>
  <headerFooter alignWithMargins="0">
    <oddFooter>&amp;C&amp;R</oddFooter>
  </headerFooter>
  <customProperties>
    <customPr name="_pios_id" r:id="rId2"/>
    <customPr name="EpmWorksheetKeyString_GUID" r:id="rId3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bac886-2f20-4c15-ac8f-bd6773befed2">
      <Terms xmlns="http://schemas.microsoft.com/office/infopath/2007/PartnerControls"/>
    </lcf76f155ced4ddcb4097134ff3c332f>
    <TaxCatchAll xmlns="f5f9a743-18e3-40ef-b0a4-47096f190587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B9469E761E20748A773F85B33816D32" ma:contentTypeVersion="8" ma:contentTypeDescription="Create a new document." ma:contentTypeScope="" ma:versionID="45849dd9197746f20f4ab6a8c6450c2b">
  <xsd:schema xmlns:xsd="http://www.w3.org/2001/XMLSchema" xmlns:xs="http://www.w3.org/2001/XMLSchema" xmlns:p="http://schemas.microsoft.com/office/2006/metadata/properties" xmlns:ns2="9bbac886-2f20-4c15-ac8f-bd6773befed2" xmlns:ns3="f5f9a743-18e3-40ef-b0a4-47096f190587" targetNamespace="http://schemas.microsoft.com/office/2006/metadata/properties" ma:root="true" ma:fieldsID="52adc7b104ba52613c2eddb51410fe75" ns2:_="" ns3:_="">
    <xsd:import namespace="9bbac886-2f20-4c15-ac8f-bd6773befed2"/>
    <xsd:import namespace="f5f9a743-18e3-40ef-b0a4-47096f19058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bac886-2f20-4c15-ac8f-bd6773befed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Image Tags" ma:readOnly="false" ma:fieldId="{5cf76f15-5ced-4ddc-b409-7134ff3c332f}" ma:taxonomyMulti="true" ma:sspId="0d90dcfc-fae9-4e4b-a5af-fefb3c7f5e2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f9a743-18e3-40ef-b0a4-47096f190587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0ab0eab9-6703-42af-a6a2-7b4a6e090421}" ma:internalName="TaxCatchAll" ma:showField="CatchAllData" ma:web="f5f9a743-18e3-40ef-b0a4-47096f19058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5A24497-6F07-47C2-B7CE-89C723FACF78}">
  <ds:schemaRefs>
    <ds:schemaRef ds:uri="94791C15-4105-42DF-B17E-66B53D20FDE0"/>
    <ds:schemaRef ds:uri="http://purl.org/dc/dcmitype/"/>
    <ds:schemaRef ds:uri="94791c15-4105-42df-b17e-66b53d20fde0"/>
    <ds:schemaRef ds:uri="http://schemas.openxmlformats.org/package/2006/metadata/core-properties"/>
    <ds:schemaRef ds:uri="http://schemas.microsoft.com/office/2006/documentManagement/types"/>
    <ds:schemaRef ds:uri="http://purl.org/dc/elements/1.1/"/>
    <ds:schemaRef ds:uri="http://schemas.microsoft.com/office/infopath/2007/PartnerControls"/>
    <ds:schemaRef ds:uri="ce9d3abe-bc67-4c3a-8bb7-62a662d1f451"/>
    <ds:schemaRef ds:uri="http://schemas.microsoft.com/office/2006/metadata/properties"/>
    <ds:schemaRef ds:uri="http://purl.org/dc/terms/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927D085C-929C-441F-9BD7-F107B1BDAE4F}"/>
</file>

<file path=customXml/itemProps3.xml><?xml version="1.0" encoding="utf-8"?>
<ds:datastoreItem xmlns:ds="http://schemas.openxmlformats.org/officeDocument/2006/customXml" ds:itemID="{36BEC589-57AA-4EAE-AD2A-9A44603656E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25</vt:i4>
      </vt:variant>
    </vt:vector>
  </HeadingPairs>
  <TitlesOfParts>
    <vt:vector size="45" baseType="lpstr">
      <vt:lpstr>D-4a 2022B</vt:lpstr>
      <vt:lpstr>D-4a 2019</vt:lpstr>
      <vt:lpstr>DL 1207</vt:lpstr>
      <vt:lpstr>FAGLB03</vt:lpstr>
      <vt:lpstr>Required Debt Amort</vt:lpstr>
      <vt:lpstr>PD0900</vt:lpstr>
      <vt:lpstr>189 Rollfwd</vt:lpstr>
      <vt:lpstr>1810200</vt:lpstr>
      <vt:lpstr>2008 BS Accts</vt:lpstr>
      <vt:lpstr>2009 BS Accts</vt:lpstr>
      <vt:lpstr>$85.95M</vt:lpstr>
      <vt:lpstr>$75.0M</vt:lpstr>
      <vt:lpstr>$54.2M</vt:lpstr>
      <vt:lpstr>$20.0M</vt:lpstr>
      <vt:lpstr>$51.6M</vt:lpstr>
      <vt:lpstr>Unamortized 182s</vt:lpstr>
      <vt:lpstr>7500110</vt:lpstr>
      <vt:lpstr>7500110-2019</vt:lpstr>
      <vt:lpstr>219 &amp; 190</vt:lpstr>
      <vt:lpstr>181 &amp; 189</vt:lpstr>
      <vt:lpstr>'2009 BS Accts'!\Z</vt:lpstr>
      <vt:lpstr>\Z</vt:lpstr>
      <vt:lpstr>'2009 BS Accts'!BS_ACC_NUM</vt:lpstr>
      <vt:lpstr>BS_ACC_NUM</vt:lpstr>
      <vt:lpstr>'2009 BS Accts'!BSACCTS</vt:lpstr>
      <vt:lpstr>BSACCTS</vt:lpstr>
      <vt:lpstr>'2009 BS Accts'!BSDOWNLOAD</vt:lpstr>
      <vt:lpstr>BSDOWNLOAD</vt:lpstr>
      <vt:lpstr>'2009 BS Accts'!BSFERC</vt:lpstr>
      <vt:lpstr>BSFERC</vt:lpstr>
      <vt:lpstr>'2009 BS Accts'!BSHEADER</vt:lpstr>
      <vt:lpstr>BSHEADER</vt:lpstr>
      <vt:lpstr>'$20.0M'!Print_Area</vt:lpstr>
      <vt:lpstr>'$51.6M'!Print_Area</vt:lpstr>
      <vt:lpstr>'$54.2M'!Print_Area</vt:lpstr>
      <vt:lpstr>'$75.0M'!Print_Area</vt:lpstr>
      <vt:lpstr>'$85.95M'!Print_Area</vt:lpstr>
      <vt:lpstr>'2008 BS Accts'!Print_Area</vt:lpstr>
      <vt:lpstr>'2009 BS Accts'!Print_Area</vt:lpstr>
      <vt:lpstr>'D-4a 2019'!Print_Area</vt:lpstr>
      <vt:lpstr>'D-4a 2022B'!Print_Area</vt:lpstr>
      <vt:lpstr>'Required Debt Amort'!Print_Area</vt:lpstr>
      <vt:lpstr>'Unamortized 182s'!Print_Area</vt:lpstr>
      <vt:lpstr>'2008 BS Accts'!Print_Titles</vt:lpstr>
      <vt:lpstr>'2009 BS Accts'!Print_Titles</vt:lpstr>
    </vt:vector>
  </TitlesOfParts>
  <Company>TECO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cenadmin</dc:creator>
  <cp:lastModifiedBy>Vega, Tison</cp:lastModifiedBy>
  <cp:lastPrinted>2023-05-04T12:56:24Z</cp:lastPrinted>
  <dcterms:created xsi:type="dcterms:W3CDTF">2007-08-27T14:35:25Z</dcterms:created>
  <dcterms:modified xsi:type="dcterms:W3CDTF">2023-05-18T10:59:00Z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0x0101001B9469E761E20748A773F85B33816D32</vt:lpwstr>
  </property>
  <property fmtid="{D5CDD505-2E9C-101B-9397-08002B2CF9AE}" pid="3" name="CofWorkbookId">
    <vt:lpwstr>0d4f64b8-dabf-4385-adb4-4c73560a53a9</vt:lpwstr>
  </property>
  <property fmtid="{D5CDD505-2E9C-101B-9397-08002B2CF9AE}" pid="4" name="MSIP_Label_a83f872e-d8d7-43ac-9961-0f2ad31e50e5_Enabled">
    <vt:lpwstr>true</vt:lpwstr>
  </property>
  <property fmtid="{D5CDD505-2E9C-101B-9397-08002B2CF9AE}" pid="5" name="MSIP_Label_a83f872e-d8d7-43ac-9961-0f2ad31e50e5_SetDate">
    <vt:lpwstr>2023-05-18T10:59:00Z</vt:lpwstr>
  </property>
  <property fmtid="{D5CDD505-2E9C-101B-9397-08002B2CF9AE}" pid="6" name="MSIP_Label_a83f872e-d8d7-43ac-9961-0f2ad31e50e5_Method">
    <vt:lpwstr>Standard</vt:lpwstr>
  </property>
  <property fmtid="{D5CDD505-2E9C-101B-9397-08002B2CF9AE}" pid="7" name="MSIP_Label_a83f872e-d8d7-43ac-9961-0f2ad31e50e5_Name">
    <vt:lpwstr>a83f872e-d8d7-43ac-9961-0f2ad31e50e5</vt:lpwstr>
  </property>
  <property fmtid="{D5CDD505-2E9C-101B-9397-08002B2CF9AE}" pid="8" name="MSIP_Label_a83f872e-d8d7-43ac-9961-0f2ad31e50e5_SiteId">
    <vt:lpwstr>fa8c194a-f8e2-43c5-bc39-b637579e39e0</vt:lpwstr>
  </property>
  <property fmtid="{D5CDD505-2E9C-101B-9397-08002B2CF9AE}" pid="9" name="MSIP_Label_a83f872e-d8d7-43ac-9961-0f2ad31e50e5_ActionId">
    <vt:lpwstr>49bf2ba0-95d9-4500-99c2-7093d1904bba</vt:lpwstr>
  </property>
  <property fmtid="{D5CDD505-2E9C-101B-9397-08002B2CF9AE}" pid="10" name="MSIP_Label_a83f872e-d8d7-43ac-9961-0f2ad31e50e5_ContentBits">
    <vt:lpwstr>0</vt:lpwstr>
  </property>
</Properties>
</file>