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FF9A7844-980E-42BF-A091-D5EE718F57B5}" xr6:coauthVersionLast="47" xr6:coauthVersionMax="47" xr10:uidLastSave="{00000000-0000-0000-0000-000000000000}"/>
  <bookViews>
    <workbookView xWindow="690" yWindow="885" windowWidth="27105" windowHeight="13980" tabRatio="746" xr2:uid="{00000000-000D-0000-FFFF-FFFF00000000}"/>
  </bookViews>
  <sheets>
    <sheet name="Level Rate -- RIM" sheetId="61" r:id="rId1"/>
    <sheet name="Fixed Costs - RIM" sheetId="72" r:id="rId2"/>
    <sheet name="NEL" sheetId="77" r:id="rId3"/>
    <sheet name="How_to_use" sheetId="67" r:id="rId4"/>
  </sheets>
  <definedNames>
    <definedName name="_Fill" hidden="1">#REF!</definedName>
    <definedName name="solver_typ" localSheetId="0" hidden="1">2</definedName>
    <definedName name="solver_ver" localSheetId="0" hidden="1">17</definedName>
    <definedName name="wrn.ACTUAL._.ALL._.PAGES." hidden="1">{"ACTUAL",#N/A,FALSE,"OVER_UND"}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72" l="1"/>
  <c r="L12" i="72"/>
  <c r="L13" i="72"/>
  <c r="L14" i="72"/>
  <c r="L15" i="72"/>
  <c r="L16" i="72"/>
  <c r="L17" i="72"/>
  <c r="L18" i="72"/>
  <c r="L19" i="72"/>
  <c r="L20" i="72"/>
  <c r="L21" i="72"/>
  <c r="L22" i="72"/>
  <c r="L23" i="72"/>
  <c r="L24" i="72"/>
  <c r="L25" i="72"/>
  <c r="L26" i="72"/>
  <c r="L27" i="72"/>
  <c r="L28" i="72"/>
  <c r="L29" i="72"/>
  <c r="L30" i="72"/>
  <c r="L31" i="72"/>
  <c r="L32" i="72"/>
  <c r="L33" i="72"/>
  <c r="L34" i="72"/>
  <c r="L35" i="72"/>
  <c r="L36" i="72"/>
  <c r="L37" i="72"/>
  <c r="L38" i="72"/>
  <c r="L39" i="72"/>
  <c r="L40" i="72"/>
  <c r="L41" i="72"/>
  <c r="L42" i="72"/>
  <c r="L43" i="72"/>
  <c r="L44" i="72"/>
  <c r="L45" i="72"/>
  <c r="L46" i="72"/>
  <c r="L47" i="72"/>
  <c r="L48" i="72"/>
  <c r="L49" i="72"/>
  <c r="L50" i="72"/>
  <c r="L51" i="72"/>
  <c r="L52" i="72"/>
  <c r="L53" i="72"/>
  <c r="L54" i="72"/>
  <c r="L55" i="72"/>
  <c r="L10" i="72"/>
  <c r="X15" i="61"/>
  <c r="X16" i="61" s="1"/>
  <c r="X17" i="61" s="1"/>
  <c r="X18" i="61" s="1"/>
  <c r="X19" i="61" s="1"/>
  <c r="X20" i="61" s="1"/>
  <c r="X21" i="61" s="1"/>
  <c r="X22" i="61" s="1"/>
  <c r="X23" i="61" s="1"/>
  <c r="X24" i="61" s="1"/>
  <c r="X25" i="61" s="1"/>
  <c r="X26" i="61" s="1"/>
  <c r="X27" i="61" s="1"/>
  <c r="X28" i="61" s="1"/>
  <c r="X29" i="61" s="1"/>
  <c r="X30" i="61" s="1"/>
  <c r="X31" i="61" s="1"/>
  <c r="X32" i="61" s="1"/>
  <c r="X33" i="61" s="1"/>
  <c r="X34" i="61" s="1"/>
  <c r="X35" i="61" s="1"/>
  <c r="X36" i="61" s="1"/>
  <c r="X37" i="61" s="1"/>
  <c r="X38" i="61" s="1"/>
  <c r="X39" i="61" s="1"/>
  <c r="X40" i="61" s="1"/>
  <c r="X41" i="61" s="1"/>
  <c r="X42" i="61" s="1"/>
  <c r="X43" i="61" s="1"/>
  <c r="X44" i="61" s="1"/>
  <c r="X45" i="61" s="1"/>
  <c r="X46" i="61" s="1"/>
  <c r="X47" i="61" s="1"/>
  <c r="X48" i="61" s="1"/>
  <c r="X49" i="61" s="1"/>
  <c r="X50" i="61" s="1"/>
  <c r="X51" i="61" s="1"/>
  <c r="X52" i="61" s="1"/>
  <c r="X53" i="61" s="1"/>
  <c r="X54" i="61" s="1"/>
  <c r="X55" i="61" s="1"/>
  <c r="X56" i="61" s="1"/>
  <c r="X57" i="61" s="1"/>
  <c r="X14" i="61"/>
  <c r="X13" i="61"/>
  <c r="O12" i="61"/>
  <c r="O13" i="61" s="1"/>
  <c r="O14" i="61" s="1"/>
  <c r="O15" i="61" s="1"/>
  <c r="O16" i="61" s="1"/>
  <c r="O17" i="61" s="1"/>
  <c r="O18" i="61" s="1"/>
  <c r="O19" i="61" s="1"/>
  <c r="O20" i="61" s="1"/>
  <c r="O21" i="61" s="1"/>
  <c r="O22" i="61" l="1"/>
  <c r="O23" i="61" s="1"/>
  <c r="O24" i="61" s="1"/>
  <c r="O25" i="61" s="1"/>
  <c r="O26" i="61" s="1"/>
  <c r="O27" i="61" s="1"/>
  <c r="O28" i="61" s="1"/>
  <c r="O29" i="61" s="1"/>
  <c r="O30" i="61" s="1"/>
  <c r="O31" i="61" s="1"/>
  <c r="O32" i="61" s="1"/>
  <c r="O33" i="61" s="1"/>
  <c r="O34" i="61" s="1"/>
  <c r="O35" i="61" s="1"/>
  <c r="O36" i="61" s="1"/>
  <c r="O37" i="61" s="1"/>
  <c r="O38" i="61" s="1"/>
  <c r="O39" i="61" s="1"/>
  <c r="O40" i="61" s="1"/>
  <c r="O41" i="61" s="1"/>
  <c r="O42" i="61" s="1"/>
  <c r="O43" i="61" s="1"/>
  <c r="O44" i="61" s="1"/>
  <c r="O45" i="61" s="1"/>
  <c r="O46" i="61" s="1"/>
  <c r="O47" i="61" s="1"/>
  <c r="O48" i="61" s="1"/>
  <c r="O49" i="61" s="1"/>
  <c r="O50" i="61" s="1"/>
  <c r="O51" i="61" s="1"/>
  <c r="O52" i="61" s="1"/>
  <c r="O53" i="61" s="1"/>
  <c r="O54" i="61" s="1"/>
  <c r="O55" i="61" s="1"/>
  <c r="O56" i="61" s="1"/>
  <c r="O57" i="61" s="1"/>
  <c r="L9" i="72" l="1"/>
  <c r="G55" i="72" l="1"/>
  <c r="M55" i="72" s="1"/>
  <c r="N55" i="72" s="1"/>
  <c r="G54" i="72"/>
  <c r="M54" i="72" s="1"/>
  <c r="N54" i="72" s="1"/>
  <c r="G53" i="72"/>
  <c r="M53" i="72" s="1"/>
  <c r="N53" i="72" s="1"/>
  <c r="G52" i="72"/>
  <c r="M52" i="72" s="1"/>
  <c r="N52" i="72" s="1"/>
  <c r="G51" i="72"/>
  <c r="M51" i="72" s="1"/>
  <c r="N51" i="72" s="1"/>
  <c r="G50" i="72"/>
  <c r="M50" i="72" s="1"/>
  <c r="N50" i="72" s="1"/>
  <c r="G49" i="72"/>
  <c r="M49" i="72" s="1"/>
  <c r="N49" i="72" s="1"/>
  <c r="G48" i="72"/>
  <c r="M48" i="72" s="1"/>
  <c r="N48" i="72" s="1"/>
  <c r="G47" i="72"/>
  <c r="M47" i="72" s="1"/>
  <c r="N47" i="72" s="1"/>
  <c r="G46" i="72"/>
  <c r="M46" i="72" s="1"/>
  <c r="N46" i="72" s="1"/>
  <c r="G45" i="72"/>
  <c r="M45" i="72" s="1"/>
  <c r="N45" i="72" s="1"/>
  <c r="G44" i="72"/>
  <c r="M44" i="72" s="1"/>
  <c r="N44" i="72" s="1"/>
  <c r="G43" i="72"/>
  <c r="M43" i="72" s="1"/>
  <c r="N43" i="72" s="1"/>
  <c r="G42" i="72"/>
  <c r="M42" i="72" s="1"/>
  <c r="N42" i="72" s="1"/>
  <c r="G41" i="72"/>
  <c r="M41" i="72" s="1"/>
  <c r="N41" i="72" s="1"/>
  <c r="G40" i="72"/>
  <c r="M40" i="72" s="1"/>
  <c r="N40" i="72" s="1"/>
  <c r="G39" i="72"/>
  <c r="M39" i="72" s="1"/>
  <c r="N39" i="72" s="1"/>
  <c r="G38" i="72"/>
  <c r="M38" i="72" s="1"/>
  <c r="N38" i="72" s="1"/>
  <c r="G37" i="72"/>
  <c r="M37" i="72" s="1"/>
  <c r="N37" i="72" s="1"/>
  <c r="G36" i="72"/>
  <c r="M36" i="72" s="1"/>
  <c r="N36" i="72" s="1"/>
  <c r="G35" i="72"/>
  <c r="M35" i="72" s="1"/>
  <c r="N35" i="72" s="1"/>
  <c r="G34" i="72"/>
  <c r="M34" i="72" s="1"/>
  <c r="N34" i="72" s="1"/>
  <c r="G33" i="72"/>
  <c r="M33" i="72" s="1"/>
  <c r="N33" i="72" s="1"/>
  <c r="G32" i="72"/>
  <c r="M32" i="72" s="1"/>
  <c r="N32" i="72" s="1"/>
  <c r="G31" i="72"/>
  <c r="M31" i="72" s="1"/>
  <c r="N31" i="72" s="1"/>
  <c r="G30" i="72"/>
  <c r="M30" i="72" s="1"/>
  <c r="N30" i="72" s="1"/>
  <c r="G29" i="72"/>
  <c r="M29" i="72" s="1"/>
  <c r="N29" i="72" s="1"/>
  <c r="G28" i="72"/>
  <c r="M28" i="72" s="1"/>
  <c r="N28" i="72" s="1"/>
  <c r="G27" i="72"/>
  <c r="M27" i="72" s="1"/>
  <c r="N27" i="72" s="1"/>
  <c r="G26" i="72"/>
  <c r="M26" i="72" s="1"/>
  <c r="N26" i="72" s="1"/>
  <c r="G25" i="72"/>
  <c r="M25" i="72" s="1"/>
  <c r="N25" i="72" s="1"/>
  <c r="G24" i="72"/>
  <c r="M24" i="72" s="1"/>
  <c r="N24" i="72" s="1"/>
  <c r="G23" i="72"/>
  <c r="M23" i="72" s="1"/>
  <c r="N23" i="72" s="1"/>
  <c r="G22" i="72"/>
  <c r="M22" i="72" s="1"/>
  <c r="N22" i="72" s="1"/>
  <c r="G21" i="72"/>
  <c r="M21" i="72" s="1"/>
  <c r="N21" i="72" s="1"/>
  <c r="G20" i="72"/>
  <c r="M20" i="72" s="1"/>
  <c r="N20" i="72" s="1"/>
  <c r="G19" i="72"/>
  <c r="M19" i="72" s="1"/>
  <c r="N19" i="72" s="1"/>
  <c r="G18" i="72"/>
  <c r="M18" i="72" s="1"/>
  <c r="N18" i="72" s="1"/>
  <c r="G17" i="72"/>
  <c r="M17" i="72" s="1"/>
  <c r="N17" i="72" s="1"/>
  <c r="G16" i="72"/>
  <c r="M16" i="72" s="1"/>
  <c r="N16" i="72" s="1"/>
  <c r="G15" i="72"/>
  <c r="M15" i="72" s="1"/>
  <c r="N15" i="72" s="1"/>
  <c r="G14" i="72"/>
  <c r="M14" i="72" s="1"/>
  <c r="N14" i="72" s="1"/>
  <c r="G13" i="72"/>
  <c r="M13" i="72" s="1"/>
  <c r="N13" i="72" s="1"/>
  <c r="G12" i="72"/>
  <c r="M12" i="72" s="1"/>
  <c r="N12" i="72" s="1"/>
  <c r="G11" i="72"/>
  <c r="M11" i="72" s="1"/>
  <c r="N11" i="72" s="1"/>
  <c r="G10" i="72"/>
  <c r="M10" i="72" s="1"/>
  <c r="N10" i="72" s="1"/>
  <c r="G9" i="72"/>
  <c r="M9" i="72" s="1"/>
  <c r="N9" i="72" s="1"/>
  <c r="O9" i="72" s="1"/>
  <c r="O10" i="72" s="1"/>
  <c r="O11" i="72" s="1"/>
  <c r="O12" i="72" s="1"/>
  <c r="O13" i="72" l="1"/>
  <c r="O14" i="72" s="1"/>
  <c r="O15" i="72" s="1"/>
  <c r="O16" i="72" s="1"/>
  <c r="O17" i="72" s="1"/>
  <c r="O18" i="72" s="1"/>
  <c r="O19" i="72" s="1"/>
  <c r="O20" i="72" s="1"/>
  <c r="O21" i="72" s="1"/>
  <c r="O22" i="72" s="1"/>
  <c r="O23" i="72" s="1"/>
  <c r="O24" i="72" s="1"/>
  <c r="O25" i="72" s="1"/>
  <c r="O26" i="72" s="1"/>
  <c r="O27" i="72" s="1"/>
  <c r="O28" i="72" s="1"/>
  <c r="O29" i="72" s="1"/>
  <c r="O30" i="72" s="1"/>
  <c r="O31" i="72" s="1"/>
  <c r="O32" i="72" s="1"/>
  <c r="O33" i="72" s="1"/>
  <c r="O34" i="72" s="1"/>
  <c r="O35" i="72" s="1"/>
  <c r="O36" i="72" s="1"/>
  <c r="O37" i="72" s="1"/>
  <c r="O38" i="72" s="1"/>
  <c r="O39" i="72" s="1"/>
  <c r="O40" i="72" s="1"/>
  <c r="O41" i="72" s="1"/>
  <c r="O42" i="72" s="1"/>
  <c r="O43" i="72" s="1"/>
  <c r="O44" i="72" s="1"/>
  <c r="O45" i="72" s="1"/>
  <c r="O46" i="72" s="1"/>
  <c r="O47" i="72" s="1"/>
  <c r="O48" i="72" s="1"/>
  <c r="O49" i="72" s="1"/>
  <c r="O50" i="72" s="1"/>
  <c r="O51" i="72" s="1"/>
  <c r="O52" i="72" s="1"/>
  <c r="O53" i="72" s="1"/>
  <c r="O54" i="72" s="1"/>
  <c r="O55" i="72" s="1"/>
  <c r="Y52" i="61"/>
  <c r="Y53" i="61"/>
  <c r="N57" i="61" l="1"/>
  <c r="P57" i="61" s="1"/>
  <c r="V11" i="61"/>
  <c r="I57" i="61"/>
  <c r="G57" i="61"/>
  <c r="C57" i="61"/>
  <c r="N56" i="61"/>
  <c r="P56" i="61" s="1"/>
  <c r="I56" i="61"/>
  <c r="G56" i="61"/>
  <c r="C56" i="61"/>
  <c r="N55" i="61"/>
  <c r="P55" i="61" s="1"/>
  <c r="I55" i="61"/>
  <c r="G55" i="61"/>
  <c r="C55" i="61"/>
  <c r="N54" i="61"/>
  <c r="P54" i="61" s="1"/>
  <c r="J54" i="61"/>
  <c r="I54" i="61"/>
  <c r="L54" i="61" s="1"/>
  <c r="G54" i="61"/>
  <c r="C54" i="61"/>
  <c r="N53" i="61"/>
  <c r="P53" i="61" s="1"/>
  <c r="J53" i="61"/>
  <c r="I53" i="61"/>
  <c r="L53" i="61" s="1"/>
  <c r="G53" i="61"/>
  <c r="C53" i="61"/>
  <c r="N52" i="61"/>
  <c r="P52" i="61" s="1"/>
  <c r="J52" i="61"/>
  <c r="I52" i="61"/>
  <c r="G52" i="61"/>
  <c r="C52" i="61"/>
  <c r="H54" i="61" l="1"/>
  <c r="M54" i="61" s="1"/>
  <c r="Q54" i="61" s="1"/>
  <c r="H56" i="61"/>
  <c r="H53" i="61"/>
  <c r="M53" i="61" s="1"/>
  <c r="Q53" i="61" s="1"/>
  <c r="L52" i="61"/>
  <c r="Y54" i="61"/>
  <c r="H52" i="61"/>
  <c r="M52" i="61" s="1"/>
  <c r="Q52" i="61" s="1"/>
  <c r="H55" i="61"/>
  <c r="H57" i="61"/>
  <c r="C51" i="61"/>
  <c r="Y45" i="61"/>
  <c r="N51" i="61"/>
  <c r="P51" i="61" s="1"/>
  <c r="G51" i="61"/>
  <c r="N50" i="61"/>
  <c r="P50" i="61" s="1"/>
  <c r="G50" i="61"/>
  <c r="C50" i="61"/>
  <c r="N49" i="61"/>
  <c r="P49" i="61" s="1"/>
  <c r="G49" i="61"/>
  <c r="C49" i="61"/>
  <c r="N48" i="61"/>
  <c r="P48" i="61" s="1"/>
  <c r="G48" i="61"/>
  <c r="C48" i="61"/>
  <c r="N47" i="61"/>
  <c r="P47" i="61" s="1"/>
  <c r="G47" i="61"/>
  <c r="C47" i="61"/>
  <c r="N46" i="61"/>
  <c r="P46" i="61" s="1"/>
  <c r="G46" i="61"/>
  <c r="C46" i="61"/>
  <c r="A5" i="77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J45" i="61"/>
  <c r="J44" i="61"/>
  <c r="J43" i="61"/>
  <c r="J42" i="61"/>
  <c r="J41" i="61"/>
  <c r="J40" i="61"/>
  <c r="J39" i="61"/>
  <c r="J38" i="61"/>
  <c r="J37" i="61"/>
  <c r="J36" i="61"/>
  <c r="J35" i="61"/>
  <c r="J34" i="61"/>
  <c r="J33" i="61"/>
  <c r="J32" i="61"/>
  <c r="J31" i="61"/>
  <c r="J30" i="61"/>
  <c r="J29" i="61"/>
  <c r="J28" i="61"/>
  <c r="J27" i="61"/>
  <c r="J26" i="61"/>
  <c r="J25" i="61"/>
  <c r="J24" i="61"/>
  <c r="J23" i="61"/>
  <c r="J22" i="61"/>
  <c r="J21" i="61"/>
  <c r="J20" i="61"/>
  <c r="R60" i="61"/>
  <c r="I20" i="61"/>
  <c r="C20" i="61"/>
  <c r="G20" i="61"/>
  <c r="N20" i="61"/>
  <c r="P20" i="61" s="1"/>
  <c r="B10" i="61"/>
  <c r="I21" i="61"/>
  <c r="C21" i="61"/>
  <c r="G21" i="61"/>
  <c r="N21" i="61"/>
  <c r="P21" i="61" s="1"/>
  <c r="I22" i="61"/>
  <c r="C22" i="61"/>
  <c r="G22" i="61"/>
  <c r="N22" i="61"/>
  <c r="P22" i="61" s="1"/>
  <c r="I23" i="61"/>
  <c r="C23" i="61"/>
  <c r="G23" i="61"/>
  <c r="N23" i="61"/>
  <c r="P23" i="61" s="1"/>
  <c r="I24" i="61"/>
  <c r="C24" i="61"/>
  <c r="G24" i="61"/>
  <c r="N24" i="61"/>
  <c r="P24" i="61" s="1"/>
  <c r="I25" i="61"/>
  <c r="L25" i="61" s="1"/>
  <c r="C25" i="61"/>
  <c r="G25" i="61"/>
  <c r="N25" i="61"/>
  <c r="P25" i="61" s="1"/>
  <c r="I26" i="61"/>
  <c r="C26" i="61"/>
  <c r="G26" i="61"/>
  <c r="N26" i="61"/>
  <c r="P26" i="61" s="1"/>
  <c r="I27" i="61"/>
  <c r="C27" i="61"/>
  <c r="G27" i="61"/>
  <c r="N27" i="61"/>
  <c r="P27" i="61" s="1"/>
  <c r="I28" i="61"/>
  <c r="C28" i="61"/>
  <c r="G28" i="61"/>
  <c r="N28" i="61"/>
  <c r="P28" i="61" s="1"/>
  <c r="I29" i="61"/>
  <c r="C29" i="61"/>
  <c r="G29" i="61"/>
  <c r="N29" i="61"/>
  <c r="P29" i="61" s="1"/>
  <c r="I30" i="61"/>
  <c r="C30" i="61"/>
  <c r="G30" i="61"/>
  <c r="N30" i="61"/>
  <c r="P30" i="61" s="1"/>
  <c r="I31" i="61"/>
  <c r="C31" i="61"/>
  <c r="G31" i="61"/>
  <c r="N31" i="61"/>
  <c r="P31" i="61" s="1"/>
  <c r="I32" i="61"/>
  <c r="L32" i="61" s="1"/>
  <c r="C32" i="61"/>
  <c r="G32" i="61"/>
  <c r="N32" i="61"/>
  <c r="P32" i="61" s="1"/>
  <c r="I33" i="61"/>
  <c r="C33" i="61"/>
  <c r="G33" i="61"/>
  <c r="N33" i="61"/>
  <c r="P33" i="61" s="1"/>
  <c r="I34" i="61"/>
  <c r="C34" i="61"/>
  <c r="G34" i="61"/>
  <c r="N34" i="61"/>
  <c r="P34" i="61" s="1"/>
  <c r="I35" i="61"/>
  <c r="C35" i="61"/>
  <c r="G35" i="61"/>
  <c r="N35" i="61"/>
  <c r="P35" i="61" s="1"/>
  <c r="I36" i="61"/>
  <c r="C36" i="61"/>
  <c r="G36" i="61"/>
  <c r="N36" i="61"/>
  <c r="P36" i="61" s="1"/>
  <c r="I37" i="61"/>
  <c r="C37" i="61"/>
  <c r="G37" i="61"/>
  <c r="N37" i="61"/>
  <c r="P37" i="61" s="1"/>
  <c r="I38" i="61"/>
  <c r="C38" i="61"/>
  <c r="G38" i="61"/>
  <c r="N38" i="61"/>
  <c r="P38" i="61" s="1"/>
  <c r="I39" i="61"/>
  <c r="C39" i="61"/>
  <c r="G39" i="61"/>
  <c r="N39" i="61"/>
  <c r="P39" i="61" s="1"/>
  <c r="I40" i="61"/>
  <c r="C40" i="61"/>
  <c r="G40" i="61"/>
  <c r="N40" i="61"/>
  <c r="P40" i="61" s="1"/>
  <c r="I41" i="61"/>
  <c r="C41" i="61"/>
  <c r="G41" i="61"/>
  <c r="N41" i="61"/>
  <c r="P41" i="61" s="1"/>
  <c r="I42" i="61"/>
  <c r="C42" i="61"/>
  <c r="G42" i="61"/>
  <c r="N42" i="61"/>
  <c r="P42" i="61" s="1"/>
  <c r="I43" i="61"/>
  <c r="C43" i="61"/>
  <c r="G43" i="61"/>
  <c r="N43" i="61"/>
  <c r="P43" i="61" s="1"/>
  <c r="I44" i="61"/>
  <c r="C44" i="61"/>
  <c r="G44" i="61"/>
  <c r="N44" i="61"/>
  <c r="P44" i="61" s="1"/>
  <c r="I45" i="61"/>
  <c r="C45" i="61"/>
  <c r="G45" i="61"/>
  <c r="N45" i="61"/>
  <c r="P45" i="61" s="1"/>
  <c r="J11" i="61"/>
  <c r="I11" i="61"/>
  <c r="C11" i="61"/>
  <c r="G11" i="61"/>
  <c r="N11" i="61"/>
  <c r="P11" i="61" s="1"/>
  <c r="J12" i="61"/>
  <c r="I12" i="61"/>
  <c r="C12" i="61"/>
  <c r="G12" i="61"/>
  <c r="N12" i="61"/>
  <c r="P12" i="61" s="1"/>
  <c r="J13" i="61"/>
  <c r="I13" i="61"/>
  <c r="C13" i="61"/>
  <c r="G13" i="61"/>
  <c r="N13" i="61"/>
  <c r="P13" i="61" s="1"/>
  <c r="J14" i="61"/>
  <c r="I14" i="61"/>
  <c r="C14" i="61"/>
  <c r="G14" i="61"/>
  <c r="N14" i="61"/>
  <c r="P14" i="61" s="1"/>
  <c r="J15" i="61"/>
  <c r="I15" i="61"/>
  <c r="C15" i="61"/>
  <c r="G15" i="61"/>
  <c r="N15" i="61"/>
  <c r="P15" i="61" s="1"/>
  <c r="J16" i="61"/>
  <c r="I16" i="61"/>
  <c r="L16" i="61" s="1"/>
  <c r="C16" i="61"/>
  <c r="G16" i="61"/>
  <c r="N16" i="61"/>
  <c r="P16" i="61" s="1"/>
  <c r="J17" i="61"/>
  <c r="I17" i="61"/>
  <c r="C17" i="61"/>
  <c r="G17" i="61"/>
  <c r="N17" i="61"/>
  <c r="P17" i="61" s="1"/>
  <c r="J18" i="61"/>
  <c r="I18" i="61"/>
  <c r="C18" i="61"/>
  <c r="G18" i="61"/>
  <c r="N18" i="61"/>
  <c r="P18" i="61" s="1"/>
  <c r="J19" i="61"/>
  <c r="I19" i="61"/>
  <c r="C19" i="61"/>
  <c r="G19" i="61"/>
  <c r="N19" i="61"/>
  <c r="P19" i="61" s="1"/>
  <c r="Y20" i="61"/>
  <c r="Y21" i="61"/>
  <c r="Y22" i="61"/>
  <c r="Y23" i="61"/>
  <c r="Y24" i="61"/>
  <c r="Y25" i="61"/>
  <c r="Y26" i="61"/>
  <c r="Y27" i="61"/>
  <c r="Y28" i="61"/>
  <c r="Y29" i="61"/>
  <c r="Y30" i="61"/>
  <c r="Y31" i="61"/>
  <c r="Y32" i="61"/>
  <c r="Y33" i="61"/>
  <c r="Y34" i="61"/>
  <c r="Y35" i="61"/>
  <c r="Y36" i="61"/>
  <c r="Y37" i="61"/>
  <c r="Y38" i="61"/>
  <c r="Y39" i="61"/>
  <c r="Y40" i="61"/>
  <c r="Y41" i="61"/>
  <c r="Y42" i="61"/>
  <c r="Y43" i="61"/>
  <c r="Y44" i="61"/>
  <c r="T11" i="61"/>
  <c r="S12" i="61"/>
  <c r="S13" i="61" s="1"/>
  <c r="S14" i="61" s="1"/>
  <c r="A12" i="61"/>
  <c r="Y12" i="61"/>
  <c r="Y13" i="61"/>
  <c r="Y14" i="61"/>
  <c r="Y15" i="61"/>
  <c r="Y16" i="61"/>
  <c r="Y17" i="61"/>
  <c r="Y18" i="61"/>
  <c r="Y19" i="61"/>
  <c r="Y11" i="61"/>
  <c r="L21" i="61" l="1"/>
  <c r="L23" i="61"/>
  <c r="L33" i="61"/>
  <c r="L39" i="61"/>
  <c r="Y55" i="61"/>
  <c r="J55" i="61"/>
  <c r="L55" i="61" s="1"/>
  <c r="M55" i="61" s="1"/>
  <c r="Q55" i="61" s="1"/>
  <c r="A13" i="61"/>
  <c r="V12" i="61"/>
  <c r="L31" i="61"/>
  <c r="L13" i="61"/>
  <c r="B12" i="61"/>
  <c r="T12" i="61" s="1"/>
  <c r="L37" i="61"/>
  <c r="L29" i="61"/>
  <c r="L12" i="61"/>
  <c r="L15" i="61"/>
  <c r="L36" i="61"/>
  <c r="L19" i="61"/>
  <c r="L38" i="61"/>
  <c r="L17" i="61"/>
  <c r="L14" i="61"/>
  <c r="L24" i="61"/>
  <c r="L30" i="61"/>
  <c r="H46" i="61"/>
  <c r="B13" i="61"/>
  <c r="B14" i="61" s="1"/>
  <c r="B15" i="61" s="1"/>
  <c r="B16" i="61" s="1"/>
  <c r="B17" i="61" s="1"/>
  <c r="B18" i="61" s="1"/>
  <c r="B19" i="61" s="1"/>
  <c r="B20" i="61" s="1"/>
  <c r="B21" i="61" s="1"/>
  <c r="B22" i="61" s="1"/>
  <c r="B23" i="61" s="1"/>
  <c r="B24" i="61" s="1"/>
  <c r="B25" i="61" s="1"/>
  <c r="B26" i="61" s="1"/>
  <c r="B27" i="61" s="1"/>
  <c r="B28" i="61" s="1"/>
  <c r="B29" i="61" s="1"/>
  <c r="B30" i="61" s="1"/>
  <c r="B31" i="61" s="1"/>
  <c r="B32" i="61" s="1"/>
  <c r="B33" i="61" s="1"/>
  <c r="B34" i="61" s="1"/>
  <c r="B35" i="61" s="1"/>
  <c r="B36" i="61" s="1"/>
  <c r="B37" i="61" s="1"/>
  <c r="H49" i="61"/>
  <c r="H18" i="61"/>
  <c r="H39" i="61"/>
  <c r="H26" i="61"/>
  <c r="H47" i="61"/>
  <c r="H48" i="61"/>
  <c r="H27" i="61"/>
  <c r="H35" i="61"/>
  <c r="H24" i="61"/>
  <c r="H44" i="61"/>
  <c r="H37" i="61"/>
  <c r="H34" i="61"/>
  <c r="H30" i="61"/>
  <c r="H13" i="61"/>
  <c r="M13" i="61" s="1"/>
  <c r="Q13" i="61" s="1"/>
  <c r="H28" i="61"/>
  <c r="H25" i="61"/>
  <c r="M25" i="61" s="1"/>
  <c r="Q25" i="61" s="1"/>
  <c r="H20" i="61"/>
  <c r="H15" i="61"/>
  <c r="H36" i="61"/>
  <c r="H50" i="61"/>
  <c r="H21" i="61"/>
  <c r="M21" i="61" s="1"/>
  <c r="Q21" i="61" s="1"/>
  <c r="H14" i="61"/>
  <c r="H43" i="61"/>
  <c r="H40" i="61"/>
  <c r="H38" i="61"/>
  <c r="H29" i="61"/>
  <c r="H45" i="61"/>
  <c r="H23" i="61"/>
  <c r="M23" i="61" s="1"/>
  <c r="Q23" i="61" s="1"/>
  <c r="S15" i="61"/>
  <c r="L18" i="61"/>
  <c r="H17" i="61"/>
  <c r="L34" i="61"/>
  <c r="L27" i="61"/>
  <c r="J46" i="61"/>
  <c r="Y46" i="61"/>
  <c r="H12" i="61"/>
  <c r="H33" i="61"/>
  <c r="M33" i="61" s="1"/>
  <c r="Q33" i="61" s="1"/>
  <c r="H19" i="61"/>
  <c r="L40" i="61"/>
  <c r="H16" i="61"/>
  <c r="M16" i="61" s="1"/>
  <c r="Q16" i="61" s="1"/>
  <c r="H41" i="61"/>
  <c r="H32" i="61"/>
  <c r="M32" i="61" s="1"/>
  <c r="Q32" i="61" s="1"/>
  <c r="L22" i="61"/>
  <c r="L26" i="61"/>
  <c r="L35" i="61"/>
  <c r="L20" i="61"/>
  <c r="H51" i="61"/>
  <c r="H22" i="61"/>
  <c r="L28" i="61"/>
  <c r="L11" i="61"/>
  <c r="H11" i="61"/>
  <c r="H42" i="61"/>
  <c r="H31" i="61"/>
  <c r="I46" i="61"/>
  <c r="M29" i="61" l="1"/>
  <c r="Q29" i="61" s="1"/>
  <c r="R29" i="61" s="1"/>
  <c r="M31" i="61"/>
  <c r="Q31" i="61" s="1"/>
  <c r="R31" i="61" s="1"/>
  <c r="M39" i="61"/>
  <c r="Q39" i="61" s="1"/>
  <c r="Y56" i="61"/>
  <c r="J56" i="61"/>
  <c r="L56" i="61" s="1"/>
  <c r="M56" i="61" s="1"/>
  <c r="Q56" i="61" s="1"/>
  <c r="M36" i="61"/>
  <c r="Q36" i="61" s="1"/>
  <c r="R36" i="61" s="1"/>
  <c r="M15" i="61"/>
  <c r="Q15" i="61" s="1"/>
  <c r="R15" i="61" s="1"/>
  <c r="M38" i="61"/>
  <c r="Q38" i="61" s="1"/>
  <c r="M30" i="61"/>
  <c r="Q30" i="61" s="1"/>
  <c r="R30" i="61" s="1"/>
  <c r="M12" i="61"/>
  <c r="Q12" i="61" s="1"/>
  <c r="R12" i="61" s="1"/>
  <c r="M37" i="61"/>
  <c r="Q37" i="61" s="1"/>
  <c r="R37" i="61" s="1"/>
  <c r="A14" i="61"/>
  <c r="V13" i="61"/>
  <c r="M11" i="61"/>
  <c r="Q11" i="61" s="1"/>
  <c r="R11" i="61" s="1"/>
  <c r="M14" i="61"/>
  <c r="Q14" i="61" s="1"/>
  <c r="R14" i="61" s="1"/>
  <c r="M17" i="61"/>
  <c r="Q17" i="61" s="1"/>
  <c r="R17" i="61" s="1"/>
  <c r="M19" i="61"/>
  <c r="Q19" i="61" s="1"/>
  <c r="R19" i="61" s="1"/>
  <c r="T14" i="61"/>
  <c r="M24" i="61"/>
  <c r="Q24" i="61" s="1"/>
  <c r="R24" i="61" s="1"/>
  <c r="M27" i="61"/>
  <c r="Q27" i="61" s="1"/>
  <c r="R27" i="61" s="1"/>
  <c r="M28" i="61"/>
  <c r="Q28" i="61" s="1"/>
  <c r="R28" i="61" s="1"/>
  <c r="M35" i="61"/>
  <c r="Q35" i="61" s="1"/>
  <c r="R35" i="61" s="1"/>
  <c r="R13" i="61"/>
  <c r="R32" i="61"/>
  <c r="R21" i="61"/>
  <c r="T13" i="61"/>
  <c r="R23" i="61"/>
  <c r="R25" i="61"/>
  <c r="R16" i="61"/>
  <c r="M26" i="61"/>
  <c r="Q26" i="61" s="1"/>
  <c r="R26" i="61" s="1"/>
  <c r="M40" i="61"/>
  <c r="Q40" i="61" s="1"/>
  <c r="M34" i="61"/>
  <c r="Q34" i="61" s="1"/>
  <c r="R34" i="61" s="1"/>
  <c r="M18" i="61"/>
  <c r="Q18" i="61" s="1"/>
  <c r="R18" i="61" s="1"/>
  <c r="M20" i="61"/>
  <c r="Q20" i="61" s="1"/>
  <c r="R20" i="61" s="1"/>
  <c r="R33" i="61"/>
  <c r="J47" i="61"/>
  <c r="Y47" i="61"/>
  <c r="T15" i="61"/>
  <c r="S16" i="61"/>
  <c r="L41" i="61"/>
  <c r="M41" i="61" s="1"/>
  <c r="Q41" i="61" s="1"/>
  <c r="I47" i="61"/>
  <c r="M22" i="61"/>
  <c r="Q22" i="61" s="1"/>
  <c r="R22" i="61" s="1"/>
  <c r="B38" i="61"/>
  <c r="Y57" i="61" l="1"/>
  <c r="J57" i="61"/>
  <c r="L57" i="61" s="1"/>
  <c r="M57" i="61" s="1"/>
  <c r="Q57" i="61" s="1"/>
  <c r="A15" i="61"/>
  <c r="V14" i="61"/>
  <c r="L42" i="61"/>
  <c r="M42" i="61" s="1"/>
  <c r="Q42" i="61" s="1"/>
  <c r="I48" i="61"/>
  <c r="B39" i="61"/>
  <c r="R38" i="61"/>
  <c r="S17" i="61"/>
  <c r="T16" i="61"/>
  <c r="J48" i="61"/>
  <c r="Y48" i="61"/>
  <c r="A16" i="61" l="1"/>
  <c r="V15" i="61"/>
  <c r="I49" i="61"/>
  <c r="Y49" i="61"/>
  <c r="J49" i="61"/>
  <c r="L43" i="61"/>
  <c r="M43" i="61" s="1"/>
  <c r="Q43" i="61" s="1"/>
  <c r="S18" i="61"/>
  <c r="T17" i="61"/>
  <c r="B40" i="61"/>
  <c r="R39" i="61"/>
  <c r="A17" i="61" l="1"/>
  <c r="V16" i="61"/>
  <c r="B41" i="61"/>
  <c r="R40" i="61"/>
  <c r="T18" i="61"/>
  <c r="S19" i="61"/>
  <c r="L44" i="61"/>
  <c r="M44" i="61" s="1"/>
  <c r="Q44" i="61" s="1"/>
  <c r="Y50" i="61"/>
  <c r="W58" i="61"/>
  <c r="J50" i="61"/>
  <c r="X58" i="61"/>
  <c r="I50" i="61"/>
  <c r="A18" i="61" l="1"/>
  <c r="V17" i="61"/>
  <c r="L45" i="61"/>
  <c r="M45" i="61" s="1"/>
  <c r="Q45" i="61" s="1"/>
  <c r="Y51" i="61"/>
  <c r="Y58" i="61" s="1"/>
  <c r="J51" i="61"/>
  <c r="T19" i="61"/>
  <c r="S20" i="61"/>
  <c r="B42" i="61"/>
  <c r="R41" i="61"/>
  <c r="I51" i="61"/>
  <c r="A19" i="61" l="1"/>
  <c r="V18" i="61"/>
  <c r="S21" i="61"/>
  <c r="T20" i="61"/>
  <c r="B43" i="61"/>
  <c r="R42" i="61"/>
  <c r="L46" i="61"/>
  <c r="M46" i="61" s="1"/>
  <c r="Q46" i="61" s="1"/>
  <c r="A20" i="61" l="1"/>
  <c r="V19" i="61"/>
  <c r="L47" i="61"/>
  <c r="M47" i="61" s="1"/>
  <c r="Q47" i="61" s="1"/>
  <c r="S22" i="61"/>
  <c r="T21" i="61"/>
  <c r="B44" i="61"/>
  <c r="R43" i="61"/>
  <c r="A21" i="61" l="1"/>
  <c r="V20" i="61"/>
  <c r="S23" i="61"/>
  <c r="T22" i="61"/>
  <c r="B45" i="61"/>
  <c r="R44" i="61"/>
  <c r="L48" i="61"/>
  <c r="M48" i="61" s="1"/>
  <c r="Q48" i="61" s="1"/>
  <c r="A22" i="61" l="1"/>
  <c r="V21" i="61"/>
  <c r="L49" i="61"/>
  <c r="M49" i="61" s="1"/>
  <c r="Q49" i="61" s="1"/>
  <c r="B46" i="61"/>
  <c r="R45" i="61"/>
  <c r="T23" i="61"/>
  <c r="S24" i="61"/>
  <c r="A23" i="61" l="1"/>
  <c r="V22" i="61"/>
  <c r="B47" i="61"/>
  <c r="R46" i="61"/>
  <c r="L50" i="61"/>
  <c r="M50" i="61" s="1"/>
  <c r="Q50" i="61" s="1"/>
  <c r="T24" i="61"/>
  <c r="S25" i="61"/>
  <c r="A24" i="61" l="1"/>
  <c r="V23" i="61"/>
  <c r="L51" i="61"/>
  <c r="M51" i="61" s="1"/>
  <c r="Q51" i="61" s="1"/>
  <c r="S26" i="61"/>
  <c r="T25" i="61"/>
  <c r="B48" i="61"/>
  <c r="R47" i="61"/>
  <c r="A25" i="61" l="1"/>
  <c r="V24" i="61"/>
  <c r="T26" i="61"/>
  <c r="S27" i="61"/>
  <c r="B49" i="61"/>
  <c r="R48" i="61"/>
  <c r="A26" i="61" l="1"/>
  <c r="V25" i="61"/>
  <c r="B50" i="61"/>
  <c r="R49" i="61"/>
  <c r="T27" i="61"/>
  <c r="S28" i="61"/>
  <c r="A27" i="61" l="1"/>
  <c r="V26" i="61"/>
  <c r="S29" i="61"/>
  <c r="T28" i="61"/>
  <c r="B51" i="61"/>
  <c r="R50" i="61"/>
  <c r="R51" i="61" l="1"/>
  <c r="B52" i="61"/>
  <c r="A28" i="61"/>
  <c r="V27" i="61"/>
  <c r="S30" i="61"/>
  <c r="T29" i="61"/>
  <c r="B53" i="61" l="1"/>
  <c r="R52" i="61"/>
  <c r="A29" i="61"/>
  <c r="V28" i="61"/>
  <c r="T30" i="61"/>
  <c r="S31" i="61"/>
  <c r="A30" i="61" l="1"/>
  <c r="V29" i="61"/>
  <c r="B54" i="61"/>
  <c r="R53" i="61"/>
  <c r="T31" i="61"/>
  <c r="S32" i="61"/>
  <c r="B55" i="61" l="1"/>
  <c r="R54" i="61"/>
  <c r="A31" i="61"/>
  <c r="V30" i="61"/>
  <c r="S33" i="61"/>
  <c r="T32" i="61"/>
  <c r="A32" i="61" l="1"/>
  <c r="V31" i="61"/>
  <c r="B56" i="61"/>
  <c r="R55" i="61"/>
  <c r="S34" i="61"/>
  <c r="T33" i="61"/>
  <c r="B57" i="61" l="1"/>
  <c r="R57" i="61" s="1"/>
  <c r="R56" i="61"/>
  <c r="A33" i="61"/>
  <c r="V32" i="61"/>
  <c r="T34" i="61"/>
  <c r="S35" i="61"/>
  <c r="R58" i="61" l="1"/>
  <c r="A34" i="61"/>
  <c r="V33" i="61"/>
  <c r="T35" i="61"/>
  <c r="S36" i="61"/>
  <c r="A35" i="61" l="1"/>
  <c r="V34" i="61"/>
  <c r="T36" i="61"/>
  <c r="S37" i="61"/>
  <c r="A36" i="61" l="1"/>
  <c r="V35" i="61"/>
  <c r="S38" i="61"/>
  <c r="T37" i="61"/>
  <c r="A37" i="61" l="1"/>
  <c r="V36" i="61"/>
  <c r="S39" i="61"/>
  <c r="T38" i="61"/>
  <c r="A38" i="61" l="1"/>
  <c r="V37" i="61"/>
  <c r="T39" i="61"/>
  <c r="S40" i="61"/>
  <c r="A39" i="61" l="1"/>
  <c r="V38" i="61"/>
  <c r="T40" i="61"/>
  <c r="S41" i="61"/>
  <c r="A40" i="61" l="1"/>
  <c r="V39" i="61"/>
  <c r="S42" i="61"/>
  <c r="T41" i="61"/>
  <c r="A41" i="61" l="1"/>
  <c r="V40" i="61"/>
  <c r="T42" i="61"/>
  <c r="S43" i="61"/>
  <c r="A42" i="61" l="1"/>
  <c r="V41" i="61"/>
  <c r="T43" i="61"/>
  <c r="S44" i="61"/>
  <c r="A43" i="61" l="1"/>
  <c r="V42" i="61"/>
  <c r="S45" i="61"/>
  <c r="T44" i="61"/>
  <c r="A44" i="61" l="1"/>
  <c r="V43" i="61"/>
  <c r="S46" i="61"/>
  <c r="T45" i="61"/>
  <c r="A45" i="61" l="1"/>
  <c r="V44" i="61"/>
  <c r="T46" i="61"/>
  <c r="S47" i="61"/>
  <c r="A46" i="61" l="1"/>
  <c r="V45" i="61"/>
  <c r="T47" i="61"/>
  <c r="S48" i="61"/>
  <c r="A47" i="61" l="1"/>
  <c r="V46" i="61"/>
  <c r="S49" i="61"/>
  <c r="T48" i="61"/>
  <c r="A48" i="61" l="1"/>
  <c r="V47" i="61"/>
  <c r="S50" i="61"/>
  <c r="T49" i="61"/>
  <c r="A49" i="61" l="1"/>
  <c r="V48" i="61"/>
  <c r="T50" i="61"/>
  <c r="S51" i="61"/>
  <c r="T51" i="61" l="1"/>
  <c r="S52" i="61"/>
  <c r="A50" i="61"/>
  <c r="V49" i="61"/>
  <c r="A51" i="61" l="1"/>
  <c r="V50" i="61"/>
  <c r="S53" i="61"/>
  <c r="T52" i="61"/>
  <c r="T53" i="61" l="1"/>
  <c r="S54" i="61"/>
  <c r="A52" i="61"/>
  <c r="V51" i="61"/>
  <c r="V52" i="61" l="1"/>
  <c r="A53" i="61"/>
  <c r="T54" i="61"/>
  <c r="S55" i="61"/>
  <c r="S56" i="61" l="1"/>
  <c r="T55" i="61"/>
  <c r="A54" i="61"/>
  <c r="V53" i="61"/>
  <c r="A55" i="61" l="1"/>
  <c r="V54" i="61"/>
  <c r="T56" i="61"/>
  <c r="S57" i="61"/>
  <c r="T57" i="61" s="1"/>
  <c r="T58" i="61" l="1"/>
  <c r="A56" i="61"/>
  <c r="V55" i="61"/>
  <c r="A57" i="61" l="1"/>
  <c r="V57" i="61" s="1"/>
  <c r="V56" i="61"/>
</calcChain>
</file>

<file path=xl/sharedStrings.xml><?xml version="1.0" encoding="utf-8"?>
<sst xmlns="http://schemas.openxmlformats.org/spreadsheetml/2006/main" count="157" uniqueCount="85">
  <si>
    <t>Annual</t>
  </si>
  <si>
    <t>Total</t>
  </si>
  <si>
    <t>NPV</t>
  </si>
  <si>
    <t>Discount</t>
  </si>
  <si>
    <t>Generation</t>
  </si>
  <si>
    <t xml:space="preserve">System </t>
  </si>
  <si>
    <t>Emission</t>
  </si>
  <si>
    <t>Cumulative</t>
  </si>
  <si>
    <t>Capital</t>
  </si>
  <si>
    <t>Net Fuel</t>
  </si>
  <si>
    <t>Costs</t>
  </si>
  <si>
    <t>Annual Cost</t>
  </si>
  <si>
    <t>Total Costs</t>
  </si>
  <si>
    <t>Year</t>
  </si>
  <si>
    <t>(Millions)</t>
  </si>
  <si>
    <t>Startup</t>
  </si>
  <si>
    <t>Fixed</t>
  </si>
  <si>
    <t>($000)</t>
  </si>
  <si>
    <t xml:space="preserve">Transmission </t>
  </si>
  <si>
    <t>Nominal</t>
  </si>
  <si>
    <t>Revenue</t>
  </si>
  <si>
    <t>Levelized System</t>
  </si>
  <si>
    <t>Factor</t>
  </si>
  <si>
    <t>Requirements</t>
  </si>
  <si>
    <t>Rate</t>
  </si>
  <si>
    <t>Average Rate</t>
  </si>
  <si>
    <t>(GWH)</t>
  </si>
  <si>
    <t>(cents/kWh)</t>
  </si>
  <si>
    <t>Variable Costs</t>
  </si>
  <si>
    <t>Fixed Costs</t>
  </si>
  <si>
    <t>NEL Forecast</t>
  </si>
  <si>
    <t>DSM Energy</t>
  </si>
  <si>
    <t>NEL Adjusted</t>
  </si>
  <si>
    <t>for DSM</t>
  </si>
  <si>
    <t>Other Costs</t>
  </si>
  <si>
    <t>DSM</t>
  </si>
  <si>
    <t>"Other" Program Costs -</t>
  </si>
  <si>
    <t>No New DSM</t>
  </si>
  <si>
    <t>Costs Associated for</t>
  </si>
  <si>
    <t>existing Load</t>
  </si>
  <si>
    <t>Management Customer</t>
  </si>
  <si>
    <t>Other</t>
  </si>
  <si>
    <t>Admin Costs</t>
  </si>
  <si>
    <t>Incentive Costs</t>
  </si>
  <si>
    <t>Existing</t>
  </si>
  <si>
    <t>Load Control</t>
  </si>
  <si>
    <t>Total Annual</t>
  </si>
  <si>
    <t>Case name:</t>
  </si>
  <si>
    <t>Date:</t>
  </si>
  <si>
    <t xml:space="preserve">Factor </t>
  </si>
  <si>
    <t>T+D Costs</t>
  </si>
  <si>
    <t>(Avoided)</t>
  </si>
  <si>
    <t>Interconnection</t>
  </si>
  <si>
    <t>NEL</t>
  </si>
  <si>
    <t>MWh</t>
  </si>
  <si>
    <t>(7) =</t>
  </si>
  <si>
    <t>(3)+(4)+(5)+(6)</t>
  </si>
  <si>
    <t>(8)+(9)+(10)</t>
  </si>
  <si>
    <t xml:space="preserve">(11) = </t>
  </si>
  <si>
    <t>(12) = (2)+(7)+(11)</t>
  </si>
  <si>
    <t>(15) = (13) - (14)</t>
  </si>
  <si>
    <t xml:space="preserve"> (16) = (12)/(15)</t>
  </si>
  <si>
    <t xml:space="preserve"> (17) = (16) *(1)</t>
  </si>
  <si>
    <t>(19) = (18) * (1)</t>
  </si>
  <si>
    <t>Levelized System Average Rate (2024-2070, 2024 cents/kWh)=</t>
  </si>
  <si>
    <t>Fixed O&amp;M &amp;</t>
  </si>
  <si>
    <t>Capital Replacement</t>
  </si>
  <si>
    <t>System Fixed Costs</t>
  </si>
  <si>
    <t>System Variable Costs</t>
  </si>
  <si>
    <t>VOM + PTC</t>
  </si>
  <si>
    <t>Variable</t>
  </si>
  <si>
    <t xml:space="preserve"> -- Click on cell T58, which is at the bottom of the "NPV Levelized System Average Rate column".</t>
  </si>
  <si>
    <t xml:space="preserve"> -- In the "To Value" box, enter the number that appears in cell R58</t>
  </si>
  <si>
    <t xml:space="preserve"> -- In the "By Changing Cell" box, enter S11</t>
  </si>
  <si>
    <t xml:space="preserve"> -- Click OK, and see that the cells S and R in row 58 have the same value.</t>
  </si>
  <si>
    <t>rev. 3-14-2024</t>
  </si>
  <si>
    <t xml:space="preserve"> -- Click [Data] , [What-if Analysis], [Goal Seek...]</t>
  </si>
  <si>
    <t>GWh Reduction</t>
  </si>
  <si>
    <t>Calculation of System Average Levelized Rate -- Portfolio: RIM</t>
  </si>
  <si>
    <t>RIM Plan</t>
  </si>
  <si>
    <t>FPL 000001</t>
  </si>
  <si>
    <t>20240012-EG</t>
  </si>
  <si>
    <t>FPL 000002</t>
  </si>
  <si>
    <t>FPL 000003</t>
  </si>
  <si>
    <t>FPL 000004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</si>
</sst>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00"/>
    <numFmt numFmtId="166" formatCode="0_);\(0\)"/>
    <numFmt numFmtId="167" formatCode="General_)"/>
    <numFmt numFmtId="168" formatCode="0.00000"/>
    <numFmt numFmtId="169" formatCode="0.0000"/>
    <numFmt numFmtId="170" formatCode="#,##0.000"/>
    <numFmt numFmtId="171" formatCode="m/d/yyyy;;\-"/>
    <numFmt numFmtId="172" formatCode="_ * #,##0_ ;_ * \-#,##0_ ;_ * &quot;-&quot;_ ;_ @_ "/>
    <numFmt numFmtId="173" formatCode="_ * #,##0.00_ ;_ * \-#,##0.00_ ;_ * &quot;-&quot;??_ ;_ @_ "/>
    <numFmt numFmtId="174" formatCode="0.00%;\(0.00%\)"/>
    <numFmt numFmtId="175" formatCode="_(* #,##0_);_(* \(#,##0\);_(* &quot;-&quot;_)"/>
    <numFmt numFmtId="176" formatCode="0.000%;\(0.000%\);0%"/>
    <numFmt numFmtId="177" formatCode="&quot;$&quot;#.;\(&quot;$&quot;#,\)"/>
    <numFmt numFmtId="178" formatCode="_([$€-2]* #,##0.00_);_([$€-2]* \(#,##0.00\);_([$€-2]* &quot;-&quot;??_)"/>
    <numFmt numFmtId="179" formatCode="&quot;$&quot;#,\);\(&quot;$&quot;#,\)"/>
    <numFmt numFmtId="180" formatCode="#,##0.00000"/>
    <numFmt numFmtId="181" formatCode="#,##0.000000"/>
    <numFmt numFmtId="182" formatCode="#,##0.0000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Arial"/>
      <family val="2"/>
    </font>
    <font>
      <b/>
      <sz val="10"/>
      <color indexed="10"/>
      <name val="Times New Roman"/>
      <family val="1"/>
    </font>
    <font>
      <b/>
      <sz val="11"/>
      <color indexed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2"/>
      <name val="Souvienne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sz val="10"/>
      <name val="MS Serif"/>
      <family val="1"/>
    </font>
    <font>
      <sz val="8"/>
      <name val="Arial"/>
      <family val="2"/>
    </font>
    <font>
      <sz val="10"/>
      <color indexed="16"/>
      <name val="MS Serif"/>
      <family val="1"/>
    </font>
    <font>
      <sz val="8"/>
      <name val="Arial MT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9"/>
      <name val="Calibri"/>
      <family val="2"/>
    </font>
    <font>
      <sz val="11"/>
      <color indexed="60"/>
      <name val="Calibri"/>
      <family val="2"/>
    </font>
    <font>
      <sz val="12"/>
      <name val="Helv"/>
    </font>
    <font>
      <sz val="12"/>
      <name val="Arial MT"/>
    </font>
    <font>
      <b/>
      <sz val="11"/>
      <color indexed="63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9"/>
      <name val="Arial"/>
      <family val="2"/>
    </font>
    <font>
      <sz val="8"/>
      <name val="Helv"/>
    </font>
    <font>
      <sz val="8"/>
      <color indexed="56"/>
      <name val="Garamond"/>
      <family val="1"/>
    </font>
    <font>
      <b/>
      <sz val="8"/>
      <color indexed="8"/>
      <name val="Helv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8.25"/>
      <name val="Microsoft Sans Serif"/>
      <family val="2"/>
    </font>
    <font>
      <sz val="11"/>
      <color rgb="FF000000"/>
      <name val="Calibri"/>
      <family val="2"/>
    </font>
    <font>
      <sz val="11"/>
      <color rgb="FF0000FF"/>
      <name val="Calibri"/>
      <family val="2"/>
    </font>
    <font>
      <sz val="11"/>
      <color indexed="0"/>
      <name val="Calibri"/>
      <family val="2"/>
    </font>
    <font>
      <sz val="11"/>
      <color rgb="FF2D2F32"/>
      <name val="Calibri"/>
      <family val="2"/>
    </font>
    <font>
      <sz val="9.75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6E6FA"/>
      </patternFill>
    </fill>
    <fill>
      <patternFill patternType="solid">
        <fgColor rgb="FFFFF6E9"/>
      </patternFill>
    </fill>
    <fill>
      <patternFill patternType="solid">
        <fgColor rgb="FFB0C4DE"/>
      </patternFill>
    </fill>
    <fill>
      <patternFill patternType="solid">
        <fgColor rgb="FFF5F5F5"/>
      </patternFill>
    </fill>
    <fill>
      <patternFill patternType="solid">
        <fgColor rgb="FFF0F8FF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47">
    <xf numFmtId="0" fontId="0" fillId="0" borderId="0"/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165" fontId="22" fillId="0" borderId="0">
      <alignment horizontal="left" wrapText="1"/>
    </xf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6" borderId="0" applyNumberFormat="0" applyBorder="0" applyAlignment="0" applyProtection="0"/>
    <xf numFmtId="0" fontId="23" fillId="8" borderId="0" applyNumberFormat="0" applyBorder="0" applyAlignment="0" applyProtection="0"/>
    <xf numFmtId="0" fontId="23" fillId="10" borderId="0" applyNumberFormat="0" applyBorder="0" applyAlignment="0" applyProtection="0"/>
    <xf numFmtId="0" fontId="23" fillId="2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5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0" fontId="23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4" borderId="0" applyNumberFormat="0" applyBorder="0" applyAlignment="0" applyProtection="0"/>
    <xf numFmtId="0" fontId="24" fillId="13" borderId="0" applyNumberFormat="0" applyBorder="0" applyAlignment="0" applyProtection="0"/>
    <xf numFmtId="0" fontId="24" fillId="12" borderId="0" applyNumberFormat="0" applyBorder="0" applyAlignment="0" applyProtection="0"/>
    <xf numFmtId="0" fontId="24" fillId="5" borderId="0" applyNumberFormat="0" applyBorder="0" applyAlignment="0" applyProtection="0"/>
    <xf numFmtId="0" fontId="24" fillId="16" borderId="0" applyNumberFormat="0" applyBorder="0" applyAlignment="0" applyProtection="0"/>
    <xf numFmtId="0" fontId="24" fillId="10" borderId="0" applyNumberFormat="0" applyBorder="0" applyAlignment="0" applyProtection="0"/>
    <xf numFmtId="0" fontId="24" fillId="17" borderId="0" applyNumberFormat="0" applyBorder="0" applyAlignment="0" applyProtection="0"/>
    <xf numFmtId="0" fontId="24" fillId="4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21" borderId="0" applyNumberFormat="0" applyBorder="0" applyAlignment="0" applyProtection="0"/>
    <xf numFmtId="0" fontId="24" fillId="13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15" borderId="0" applyNumberFormat="0" applyBorder="0" applyAlignment="0" applyProtection="0"/>
    <xf numFmtId="39" fontId="25" fillId="0" borderId="0" applyNumberFormat="0" applyFill="0" applyBorder="0" applyAlignment="0">
      <protection locked="0"/>
    </xf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177" fontId="22" fillId="0" borderId="0" applyFill="0" applyBorder="0" applyAlignment="0"/>
    <xf numFmtId="0" fontId="27" fillId="24" borderId="1" applyNumberFormat="0" applyAlignment="0" applyProtection="0"/>
    <xf numFmtId="0" fontId="28" fillId="25" borderId="1" applyNumberFormat="0" applyAlignment="0" applyProtection="0"/>
    <xf numFmtId="0" fontId="29" fillId="26" borderId="2" applyNumberFormat="0" applyAlignment="0" applyProtection="0"/>
    <xf numFmtId="0" fontId="29" fillId="26" borderId="2" applyNumberFormat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0" borderId="0" applyNumberFormat="0" applyAlignment="0">
      <alignment horizontal="left"/>
    </xf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33" fillId="0" borderId="0" applyNumberFormat="0" applyAlignment="0">
      <alignment horizontal="left"/>
    </xf>
    <xf numFmtId="178" fontId="3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38" fontId="32" fillId="27" borderId="0" applyNumberFormat="0" applyBorder="0" applyAlignment="0" applyProtection="0"/>
    <xf numFmtId="0" fontId="19" fillId="0" borderId="3" applyNumberFormat="0" applyAlignment="0" applyProtection="0">
      <alignment horizontal="left" vertical="center"/>
    </xf>
    <xf numFmtId="0" fontId="19" fillId="0" borderId="4">
      <alignment horizontal="left" vertical="center"/>
    </xf>
    <xf numFmtId="0" fontId="37" fillId="0" borderId="5" applyNumberFormat="0" applyFill="0" applyAlignment="0" applyProtection="0"/>
    <xf numFmtId="0" fontId="38" fillId="0" borderId="6" applyNumberFormat="0" applyFill="0" applyAlignment="0" applyProtection="0"/>
    <xf numFmtId="0" fontId="39" fillId="0" borderId="7" applyNumberFormat="0" applyFill="0" applyAlignment="0" applyProtection="0"/>
    <xf numFmtId="0" fontId="40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11" borderId="1" applyNumberFormat="0" applyAlignment="0" applyProtection="0"/>
    <xf numFmtId="10" fontId="32" fillId="28" borderId="11" applyNumberFormat="0" applyBorder="0" applyAlignment="0" applyProtection="0"/>
    <xf numFmtId="0" fontId="43" fillId="8" borderId="1" applyNumberFormat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172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46" fillId="11" borderId="0" applyNumberFormat="0" applyBorder="0" applyAlignment="0" applyProtection="0"/>
    <xf numFmtId="0" fontId="47" fillId="11" borderId="0" applyNumberFormat="0" applyBorder="0" applyAlignment="0" applyProtection="0"/>
    <xf numFmtId="179" fontId="22" fillId="0" borderId="0"/>
    <xf numFmtId="165" fontId="22" fillId="0" borderId="0">
      <alignment horizontal="left" wrapText="1"/>
    </xf>
    <xf numFmtId="0" fontId="7" fillId="0" borderId="0"/>
    <xf numFmtId="0" fontId="22" fillId="0" borderId="0"/>
    <xf numFmtId="0" fontId="22" fillId="0" borderId="0"/>
    <xf numFmtId="165" fontId="48" fillId="0" borderId="0">
      <alignment horizontal="left" wrapText="1"/>
    </xf>
    <xf numFmtId="0" fontId="22" fillId="0" borderId="0"/>
    <xf numFmtId="165" fontId="22" fillId="0" borderId="0">
      <alignment horizontal="left" wrapText="1"/>
    </xf>
    <xf numFmtId="0" fontId="22" fillId="0" borderId="0"/>
    <xf numFmtId="165" fontId="22" fillId="0" borderId="0">
      <alignment horizontal="left" wrapText="1"/>
    </xf>
    <xf numFmtId="0" fontId="22" fillId="0" borderId="0"/>
    <xf numFmtId="165" fontId="22" fillId="0" borderId="0">
      <alignment horizontal="left" wrapText="1"/>
    </xf>
    <xf numFmtId="0" fontId="7" fillId="0" borderId="0"/>
    <xf numFmtId="0" fontId="32" fillId="0" borderId="0"/>
    <xf numFmtId="0" fontId="7" fillId="0" borderId="0"/>
    <xf numFmtId="167" fontId="48" fillId="0" borderId="0"/>
    <xf numFmtId="0" fontId="30" fillId="0" borderId="0"/>
    <xf numFmtId="0" fontId="5" fillId="0" borderId="0"/>
    <xf numFmtId="165" fontId="49" fillId="0" borderId="0">
      <alignment horizontal="left" wrapText="1"/>
    </xf>
    <xf numFmtId="165" fontId="2" fillId="0" borderId="0">
      <alignment horizontal="left" wrapText="1"/>
    </xf>
    <xf numFmtId="165" fontId="2" fillId="0" borderId="0">
      <alignment horizontal="left" wrapText="1"/>
    </xf>
    <xf numFmtId="0" fontId="12" fillId="0" borderId="0"/>
    <xf numFmtId="0" fontId="22" fillId="6" borderId="14" applyNumberFormat="0" applyFont="0" applyAlignment="0" applyProtection="0"/>
    <xf numFmtId="0" fontId="48" fillId="6" borderId="14" applyNumberFormat="0" applyFont="0" applyAlignment="0" applyProtection="0"/>
    <xf numFmtId="0" fontId="50" fillId="24" borderId="15" applyNumberFormat="0" applyAlignment="0" applyProtection="0"/>
    <xf numFmtId="0" fontId="50" fillId="25" borderId="15" applyNumberFormat="0" applyAlignment="0" applyProtection="0"/>
    <xf numFmtId="40" fontId="51" fillId="29" borderId="0">
      <alignment horizontal="right"/>
    </xf>
    <xf numFmtId="0" fontId="52" fillId="29" borderId="0">
      <alignment horizontal="right"/>
    </xf>
    <xf numFmtId="0" fontId="53" fillId="29" borderId="16"/>
    <xf numFmtId="0" fontId="53" fillId="0" borderId="0" applyBorder="0">
      <alignment horizontal="centerContinuous"/>
    </xf>
    <xf numFmtId="0" fontId="54" fillId="0" borderId="0" applyBorder="0">
      <alignment horizontal="centerContinuous"/>
    </xf>
    <xf numFmtId="9" fontId="2" fillId="0" borderId="0" applyFont="0" applyFill="0" applyBorder="0" applyAlignment="0" applyProtection="0"/>
    <xf numFmtId="1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175" fontId="55" fillId="30" borderId="11" applyNumberFormat="0" applyProtection="0">
      <alignment horizontal="center" vertical="center" wrapText="1"/>
    </xf>
    <xf numFmtId="14" fontId="56" fillId="0" borderId="0" applyNumberFormat="0" applyFill="0" applyBorder="0" applyAlignment="0" applyProtection="0">
      <alignment horizontal="left"/>
    </xf>
    <xf numFmtId="165" fontId="22" fillId="0" borderId="0">
      <alignment horizontal="left" wrapText="1"/>
    </xf>
    <xf numFmtId="165" fontId="22" fillId="0" borderId="0">
      <alignment horizontal="left" wrapText="1"/>
    </xf>
    <xf numFmtId="2" fontId="57" fillId="0" borderId="0" applyProtection="0"/>
    <xf numFmtId="165" fontId="22" fillId="0" borderId="0">
      <alignment horizontal="left" wrapText="1"/>
    </xf>
    <xf numFmtId="40" fontId="58" fillId="0" borderId="0" applyBorder="0">
      <alignment horizontal="right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7" applyNumberFormat="0" applyFill="0" applyAlignment="0" applyProtection="0"/>
    <xf numFmtId="0" fontId="61" fillId="0" borderId="18" applyNumberFormat="0" applyFill="0" applyAlignment="0" applyProtection="0"/>
    <xf numFmtId="3" fontId="2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76" fontId="22" fillId="0" borderId="0" applyFont="0" applyFill="0" applyBorder="0" applyAlignment="0" applyProtection="0"/>
    <xf numFmtId="0" fontId="1" fillId="0" borderId="0"/>
    <xf numFmtId="165" fontId="2" fillId="0" borderId="0">
      <alignment horizontal="left" wrapText="1"/>
    </xf>
    <xf numFmtId="0" fontId="62" fillId="0" borderId="0"/>
    <xf numFmtId="0" fontId="1" fillId="0" borderId="0"/>
    <xf numFmtId="9" fontId="2" fillId="0" borderId="0" applyFont="0" applyFill="0" applyBorder="0" applyAlignment="0" applyProtection="0"/>
    <xf numFmtId="0" fontId="63" fillId="0" borderId="0">
      <alignment vertical="top"/>
      <protection locked="0"/>
    </xf>
    <xf numFmtId="0" fontId="1" fillId="0" borderId="0"/>
    <xf numFmtId="0" fontId="2" fillId="0" borderId="0"/>
    <xf numFmtId="165" fontId="2" fillId="0" borderId="0">
      <alignment horizontal="left" wrapText="1"/>
    </xf>
    <xf numFmtId="0" fontId="64" fillId="0" borderId="0">
      <alignment vertical="center"/>
    </xf>
    <xf numFmtId="0" fontId="65" fillId="38" borderId="0">
      <alignment vertical="center"/>
    </xf>
    <xf numFmtId="0" fontId="66" fillId="39" borderId="0">
      <alignment vertical="center"/>
    </xf>
    <xf numFmtId="0" fontId="64" fillId="0" borderId="0">
      <alignment vertical="center"/>
    </xf>
    <xf numFmtId="0" fontId="67" fillId="0" borderId="0">
      <alignment vertical="center"/>
    </xf>
    <xf numFmtId="0" fontId="67" fillId="0" borderId="0">
      <alignment vertical="center"/>
    </xf>
    <xf numFmtId="0" fontId="66" fillId="40" borderId="0">
      <alignment vertical="center"/>
    </xf>
    <xf numFmtId="0" fontId="68" fillId="41" borderId="50">
      <alignment vertical="center" wrapText="1"/>
    </xf>
    <xf numFmtId="0" fontId="68" fillId="42" borderId="0">
      <alignment vertical="center"/>
    </xf>
    <xf numFmtId="165" fontId="2" fillId="0" borderId="0">
      <alignment horizontal="left" wrapText="1"/>
    </xf>
    <xf numFmtId="0" fontId="1" fillId="0" borderId="0"/>
  </cellStyleXfs>
  <cellXfs count="186">
    <xf numFmtId="0" fontId="0" fillId="0" borderId="0" xfId="0"/>
    <xf numFmtId="0" fontId="15" fillId="0" borderId="0" xfId="196" applyFont="1" applyAlignment="1">
      <alignment horizontal="center"/>
    </xf>
    <xf numFmtId="0" fontId="4" fillId="0" borderId="0" xfId="0" applyFont="1"/>
    <xf numFmtId="0" fontId="14" fillId="0" borderId="0" xfId="196" applyFont="1" applyAlignment="1">
      <alignment horizontal="center"/>
    </xf>
    <xf numFmtId="0" fontId="14" fillId="0" borderId="0" xfId="196" applyFont="1"/>
    <xf numFmtId="166" fontId="14" fillId="0" borderId="0" xfId="196" applyNumberFormat="1" applyFont="1" applyAlignment="1">
      <alignment horizontal="center"/>
    </xf>
    <xf numFmtId="0" fontId="16" fillId="0" borderId="0" xfId="196" applyFont="1" applyAlignment="1">
      <alignment horizontal="center"/>
    </xf>
    <xf numFmtId="168" fontId="14" fillId="0" borderId="0" xfId="196" applyNumberFormat="1" applyFont="1" applyAlignment="1">
      <alignment horizontal="center"/>
    </xf>
    <xf numFmtId="0" fontId="14" fillId="0" borderId="0" xfId="196" applyFont="1" applyBorder="1"/>
    <xf numFmtId="0" fontId="14" fillId="0" borderId="3" xfId="196" applyFont="1" applyBorder="1"/>
    <xf numFmtId="0" fontId="14" fillId="0" borderId="3" xfId="196" applyFont="1" applyBorder="1" applyAlignment="1">
      <alignment horizontal="center"/>
    </xf>
    <xf numFmtId="3" fontId="14" fillId="0" borderId="0" xfId="196" applyNumberFormat="1" applyFont="1"/>
    <xf numFmtId="0" fontId="17" fillId="0" borderId="0" xfId="0" applyFont="1" applyFill="1" applyBorder="1"/>
    <xf numFmtId="0" fontId="17" fillId="0" borderId="0" xfId="196" applyFont="1" applyAlignment="1">
      <alignment horizontal="center"/>
    </xf>
    <xf numFmtId="169" fontId="14" fillId="0" borderId="0" xfId="196" applyNumberFormat="1" applyFont="1" applyAlignment="1">
      <alignment horizontal="center"/>
    </xf>
    <xf numFmtId="0" fontId="14" fillId="0" borderId="0" xfId="196" applyFont="1" applyAlignment="1">
      <alignment vertical="center"/>
    </xf>
    <xf numFmtId="3" fontId="14" fillId="0" borderId="0" xfId="196" applyNumberFormat="1" applyFont="1" applyAlignment="1">
      <alignment horizontal="center"/>
    </xf>
    <xf numFmtId="0" fontId="14" fillId="0" borderId="0" xfId="196" quotePrefix="1" applyFont="1"/>
    <xf numFmtId="0" fontId="17" fillId="0" borderId="0" xfId="0" applyFont="1" applyFill="1" applyBorder="1" applyAlignment="1">
      <alignment horizontal="center"/>
    </xf>
    <xf numFmtId="0" fontId="11" fillId="0" borderId="0" xfId="196" applyFont="1" applyAlignment="1">
      <alignment horizontal="center"/>
    </xf>
    <xf numFmtId="168" fontId="14" fillId="0" borderId="0" xfId="196" applyNumberFormat="1" applyFont="1" applyBorder="1" applyAlignment="1">
      <alignment horizontal="center"/>
    </xf>
    <xf numFmtId="0" fontId="17" fillId="0" borderId="0" xfId="0" applyFont="1" applyFill="1" applyBorder="1" applyAlignment="1" applyProtection="1">
      <alignment horizontal="left"/>
    </xf>
    <xf numFmtId="0" fontId="14" fillId="0" borderId="19" xfId="196" applyFont="1" applyBorder="1" applyAlignment="1">
      <alignment horizontal="center"/>
    </xf>
    <xf numFmtId="166" fontId="14" fillId="0" borderId="20" xfId="196" applyNumberFormat="1" applyFont="1" applyBorder="1" applyAlignment="1">
      <alignment horizontal="center"/>
    </xf>
    <xf numFmtId="0" fontId="14" fillId="0" borderId="21" xfId="196" applyFont="1" applyBorder="1" applyAlignment="1">
      <alignment horizontal="center"/>
    </xf>
    <xf numFmtId="0" fontId="14" fillId="0" borderId="0" xfId="196" applyFont="1" applyBorder="1" applyAlignment="1">
      <alignment horizontal="center"/>
    </xf>
    <xf numFmtId="166" fontId="14" fillId="0" borderId="22" xfId="196" applyNumberFormat="1" applyFont="1" applyBorder="1" applyAlignment="1">
      <alignment horizontal="center"/>
    </xf>
    <xf numFmtId="0" fontId="14" fillId="0" borderId="23" xfId="196" applyFont="1" applyBorder="1" applyAlignment="1">
      <alignment horizontal="center"/>
    </xf>
    <xf numFmtId="0" fontId="14" fillId="0" borderId="11" xfId="196" applyFont="1" applyBorder="1" applyAlignment="1">
      <alignment horizontal="center"/>
    </xf>
    <xf numFmtId="168" fontId="14" fillId="0" borderId="11" xfId="196" applyNumberFormat="1" applyFont="1" applyBorder="1" applyAlignment="1">
      <alignment horizontal="center"/>
    </xf>
    <xf numFmtId="0" fontId="14" fillId="0" borderId="24" xfId="196" applyFont="1" applyBorder="1" applyAlignment="1">
      <alignment horizontal="center"/>
    </xf>
    <xf numFmtId="0" fontId="14" fillId="0" borderId="25" xfId="196" applyFont="1" applyBorder="1" applyAlignment="1">
      <alignment horizontal="center"/>
    </xf>
    <xf numFmtId="0" fontId="14" fillId="0" borderId="26" xfId="196" applyFont="1" applyBorder="1" applyAlignment="1">
      <alignment horizontal="center"/>
    </xf>
    <xf numFmtId="3" fontId="14" fillId="0" borderId="11" xfId="196" applyNumberFormat="1" applyFont="1" applyFill="1" applyBorder="1" applyAlignment="1">
      <alignment horizontal="center"/>
    </xf>
    <xf numFmtId="169" fontId="14" fillId="0" borderId="11" xfId="196" applyNumberFormat="1" applyFont="1" applyBorder="1" applyAlignment="1">
      <alignment horizontal="center"/>
    </xf>
    <xf numFmtId="49" fontId="14" fillId="0" borderId="26" xfId="196" applyNumberFormat="1" applyFont="1" applyBorder="1" applyAlignment="1">
      <alignment horizontal="center"/>
    </xf>
    <xf numFmtId="49" fontId="14" fillId="0" borderId="25" xfId="196" applyNumberFormat="1" applyFont="1" applyBorder="1" applyAlignment="1">
      <alignment horizontal="center"/>
    </xf>
    <xf numFmtId="38" fontId="14" fillId="0" borderId="11" xfId="196" applyNumberFormat="1" applyFont="1" applyFill="1" applyBorder="1" applyAlignment="1">
      <alignment horizontal="center"/>
    </xf>
    <xf numFmtId="0" fontId="14" fillId="0" borderId="0" xfId="196" applyFont="1" applyFill="1" applyBorder="1" applyAlignment="1"/>
    <xf numFmtId="0" fontId="14" fillId="0" borderId="0" xfId="196" applyFont="1" applyFill="1" applyBorder="1"/>
    <xf numFmtId="2" fontId="14" fillId="0" borderId="0" xfId="196" applyNumberFormat="1" applyFont="1" applyFill="1" applyBorder="1" applyAlignment="1">
      <alignment horizontal="center"/>
    </xf>
    <xf numFmtId="0" fontId="14" fillId="0" borderId="0" xfId="196" applyFont="1" applyFill="1" applyBorder="1" applyAlignment="1">
      <alignment horizontal="center"/>
    </xf>
    <xf numFmtId="3" fontId="14" fillId="0" borderId="0" xfId="196" applyNumberFormat="1" applyFont="1" applyFill="1" applyBorder="1" applyAlignment="1">
      <alignment horizontal="center"/>
    </xf>
    <xf numFmtId="0" fontId="14" fillId="0" borderId="0" xfId="196" applyFont="1" applyFill="1" applyBorder="1" applyAlignment="1">
      <alignment vertical="center"/>
    </xf>
    <xf numFmtId="0" fontId="14" fillId="0" borderId="0" xfId="196" applyFont="1" applyFill="1" applyBorder="1" applyAlignment="1">
      <alignment horizontal="center" vertical="center"/>
    </xf>
    <xf numFmtId="3" fontId="14" fillId="0" borderId="0" xfId="196" applyNumberFormat="1" applyFont="1" applyFill="1" applyBorder="1"/>
    <xf numFmtId="2" fontId="14" fillId="0" borderId="0" xfId="196" applyNumberFormat="1" applyFont="1" applyFill="1" applyBorder="1" applyAlignment="1">
      <alignment horizontal="center" vertical="center"/>
    </xf>
    <xf numFmtId="164" fontId="14" fillId="0" borderId="0" xfId="196" applyNumberFormat="1" applyFont="1" applyFill="1" applyBorder="1" applyAlignment="1">
      <alignment horizontal="center"/>
    </xf>
    <xf numFmtId="164" fontId="14" fillId="0" borderId="0" xfId="196" applyNumberFormat="1" applyFont="1" applyFill="1" applyBorder="1" applyAlignment="1">
      <alignment horizontal="center" vertical="center"/>
    </xf>
    <xf numFmtId="166" fontId="14" fillId="0" borderId="22" xfId="196" applyNumberFormat="1" applyFont="1" applyFill="1" applyBorder="1" applyAlignment="1">
      <alignment horizontal="center"/>
    </xf>
    <xf numFmtId="166" fontId="14" fillId="0" borderId="20" xfId="196" applyNumberFormat="1" applyFont="1" applyFill="1" applyBorder="1" applyAlignment="1">
      <alignment horizontal="center"/>
    </xf>
    <xf numFmtId="0" fontId="14" fillId="0" borderId="23" xfId="196" applyFont="1" applyFill="1" applyBorder="1" applyAlignment="1">
      <alignment horizontal="center"/>
    </xf>
    <xf numFmtId="0" fontId="14" fillId="0" borderId="0" xfId="196" applyFont="1" applyFill="1" applyAlignment="1">
      <alignment horizontal="center"/>
    </xf>
    <xf numFmtId="0" fontId="14" fillId="0" borderId="25" xfId="196" applyFont="1" applyFill="1" applyBorder="1" applyAlignment="1">
      <alignment horizontal="center"/>
    </xf>
    <xf numFmtId="0" fontId="14" fillId="0" borderId="26" xfId="196" applyFont="1" applyFill="1" applyBorder="1" applyAlignment="1">
      <alignment horizontal="center"/>
    </xf>
    <xf numFmtId="169" fontId="14" fillId="0" borderId="11" xfId="196" applyNumberFormat="1" applyFont="1" applyFill="1" applyBorder="1" applyAlignment="1">
      <alignment horizontal="center"/>
    </xf>
    <xf numFmtId="1" fontId="14" fillId="0" borderId="0" xfId="196" applyNumberFormat="1" applyFont="1" applyAlignment="1">
      <alignment horizontal="center"/>
    </xf>
    <xf numFmtId="164" fontId="14" fillId="0" borderId="11" xfId="196" applyNumberFormat="1" applyFont="1" applyFill="1" applyBorder="1" applyAlignment="1">
      <alignment horizontal="center"/>
    </xf>
    <xf numFmtId="169" fontId="18" fillId="0" borderId="28" xfId="196" applyNumberFormat="1" applyFont="1" applyBorder="1" applyAlignment="1">
      <alignment horizontal="center"/>
    </xf>
    <xf numFmtId="0" fontId="15" fillId="0" borderId="0" xfId="196" applyFont="1" applyFill="1" applyAlignment="1">
      <alignment horizontal="center"/>
    </xf>
    <xf numFmtId="0" fontId="4" fillId="0" borderId="0" xfId="195" applyNumberFormat="1" applyFont="1" applyFill="1" applyAlignment="1"/>
    <xf numFmtId="0" fontId="6" fillId="0" borderId="0" xfId="195" applyNumberFormat="1" applyFont="1" applyFill="1" applyAlignment="1"/>
    <xf numFmtId="0" fontId="8" fillId="0" borderId="0" xfId="195" applyNumberFormat="1" applyFont="1" applyFill="1" applyAlignment="1"/>
    <xf numFmtId="0" fontId="15" fillId="33" borderId="29" xfId="195" applyNumberFormat="1" applyFont="1" applyFill="1" applyBorder="1" applyAlignment="1">
      <alignment horizontal="left" vertical="center"/>
    </xf>
    <xf numFmtId="0" fontId="15" fillId="33" borderId="3" xfId="195" applyNumberFormat="1" applyFont="1" applyFill="1" applyBorder="1" applyAlignment="1">
      <alignment vertical="center"/>
    </xf>
    <xf numFmtId="0" fontId="5" fillId="33" borderId="3" xfId="195" applyNumberFormat="1" applyFont="1" applyFill="1" applyBorder="1" applyAlignment="1">
      <alignment vertical="center" wrapText="1"/>
    </xf>
    <xf numFmtId="0" fontId="19" fillId="33" borderId="3" xfId="195" applyNumberFormat="1" applyFont="1" applyFill="1" applyBorder="1" applyAlignment="1">
      <alignment horizontal="left" vertical="center"/>
    </xf>
    <xf numFmtId="14" fontId="19" fillId="33" borderId="28" xfId="195" applyNumberFormat="1" applyFont="1" applyFill="1" applyBorder="1" applyAlignment="1">
      <alignment horizontal="center" vertical="center"/>
    </xf>
    <xf numFmtId="0" fontId="5" fillId="0" borderId="0" xfId="195" applyNumberFormat="1" applyFont="1" applyFill="1" applyBorder="1" applyAlignment="1">
      <alignment wrapText="1"/>
    </xf>
    <xf numFmtId="0" fontId="2" fillId="0" borderId="0" xfId="195" applyNumberFormat="1" applyFill="1" applyBorder="1" applyAlignment="1">
      <alignment horizontal="center"/>
    </xf>
    <xf numFmtId="0" fontId="6" fillId="0" borderId="19" xfId="195" applyNumberFormat="1" applyFont="1" applyFill="1" applyBorder="1" applyAlignment="1">
      <alignment horizontal="center"/>
    </xf>
    <xf numFmtId="0" fontId="10" fillId="0" borderId="22" xfId="195" applyNumberFormat="1" applyFont="1" applyFill="1" applyBorder="1" applyAlignment="1">
      <alignment horizontal="center"/>
    </xf>
    <xf numFmtId="0" fontId="6" fillId="0" borderId="21" xfId="195" applyNumberFormat="1" applyFont="1" applyFill="1" applyBorder="1" applyAlignment="1">
      <alignment horizontal="center"/>
    </xf>
    <xf numFmtId="0" fontId="10" fillId="0" borderId="23" xfId="195" applyNumberFormat="1" applyFont="1" applyFill="1" applyBorder="1" applyAlignment="1">
      <alignment horizontal="center"/>
    </xf>
    <xf numFmtId="0" fontId="6" fillId="0" borderId="21" xfId="195" applyNumberFormat="1" applyFont="1" applyFill="1" applyBorder="1" applyAlignment="1"/>
    <xf numFmtId="164" fontId="4" fillId="0" borderId="11" xfId="195" applyNumberFormat="1" applyFont="1" applyFill="1" applyBorder="1" applyAlignment="1">
      <alignment horizontal="center"/>
    </xf>
    <xf numFmtId="3" fontId="4" fillId="0" borderId="11" xfId="195" applyNumberFormat="1" applyFont="1" applyFill="1" applyBorder="1" applyAlignment="1">
      <alignment horizontal="center"/>
    </xf>
    <xf numFmtId="3" fontId="4" fillId="34" borderId="31" xfId="195" applyNumberFormat="1" applyFont="1" applyFill="1" applyBorder="1" applyAlignment="1">
      <alignment horizontal="center"/>
    </xf>
    <xf numFmtId="3" fontId="6" fillId="32" borderId="30" xfId="195" applyNumberFormat="1" applyFont="1" applyFill="1" applyBorder="1" applyAlignment="1">
      <alignment horizontal="center"/>
    </xf>
    <xf numFmtId="3" fontId="6" fillId="0" borderId="32" xfId="195" applyNumberFormat="1" applyFont="1" applyFill="1" applyBorder="1" applyAlignment="1">
      <alignment horizontal="center"/>
    </xf>
    <xf numFmtId="164" fontId="4" fillId="0" borderId="27" xfId="195" applyNumberFormat="1" applyFont="1" applyFill="1" applyBorder="1" applyAlignment="1">
      <alignment horizontal="center"/>
    </xf>
    <xf numFmtId="166" fontId="14" fillId="29" borderId="22" xfId="196" applyNumberFormat="1" applyFont="1" applyFill="1" applyBorder="1" applyAlignment="1">
      <alignment horizontal="center"/>
    </xf>
    <xf numFmtId="0" fontId="14" fillId="29" borderId="23" xfId="196" applyFont="1" applyFill="1" applyBorder="1" applyAlignment="1">
      <alignment horizontal="center"/>
    </xf>
    <xf numFmtId="49" fontId="14" fillId="29" borderId="25" xfId="196" applyNumberFormat="1" applyFont="1" applyFill="1" applyBorder="1" applyAlignment="1">
      <alignment horizontal="center"/>
    </xf>
    <xf numFmtId="38" fontId="14" fillId="29" borderId="11" xfId="196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0" fillId="34" borderId="33" xfId="0" applyNumberFormat="1" applyFont="1" applyFill="1" applyBorder="1" applyAlignment="1">
      <alignment horizontal="center"/>
    </xf>
    <xf numFmtId="0" fontId="10" fillId="0" borderId="34" xfId="0" applyNumberFormat="1" applyFont="1" applyFill="1" applyBorder="1" applyAlignment="1">
      <alignment horizontal="center"/>
    </xf>
    <xf numFmtId="0" fontId="10" fillId="32" borderId="33" xfId="0" applyNumberFormat="1" applyFont="1" applyFill="1" applyBorder="1" applyAlignment="1">
      <alignment horizontal="center"/>
    </xf>
    <xf numFmtId="0" fontId="10" fillId="34" borderId="35" xfId="0" applyNumberFormat="1" applyFont="1" applyFill="1" applyBorder="1" applyAlignment="1">
      <alignment horizontal="center"/>
    </xf>
    <xf numFmtId="0" fontId="10" fillId="0" borderId="16" xfId="0" applyNumberFormat="1" applyFont="1" applyFill="1" applyBorder="1" applyAlignment="1">
      <alignment horizontal="center"/>
    </xf>
    <xf numFmtId="0" fontId="10" fillId="32" borderId="35" xfId="0" applyNumberFormat="1" applyFont="1" applyFill="1" applyBorder="1" applyAlignment="1">
      <alignment horizontal="center"/>
    </xf>
    <xf numFmtId="3" fontId="17" fillId="0" borderId="11" xfId="196" applyNumberFormat="1" applyFont="1" applyFill="1" applyBorder="1" applyAlignment="1">
      <alignment horizontal="center"/>
    </xf>
    <xf numFmtId="0" fontId="17" fillId="0" borderId="23" xfId="196" applyFont="1" applyFill="1" applyBorder="1" applyAlignment="1">
      <alignment horizontal="center"/>
    </xf>
    <xf numFmtId="10" fontId="17" fillId="34" borderId="25" xfId="206" applyNumberFormat="1" applyFont="1" applyFill="1" applyBorder="1" applyAlignment="1">
      <alignment horizontal="center"/>
    </xf>
    <xf numFmtId="164" fontId="17" fillId="0" borderId="11" xfId="196" applyNumberFormat="1" applyFont="1" applyFill="1" applyBorder="1" applyAlignment="1">
      <alignment horizontal="center"/>
    </xf>
    <xf numFmtId="3" fontId="14" fillId="0" borderId="0" xfId="196" applyNumberFormat="1" applyFont="1" applyFill="1" applyAlignment="1">
      <alignment horizontal="center"/>
    </xf>
    <xf numFmtId="0" fontId="14" fillId="0" borderId="23" xfId="196" applyFont="1" applyBorder="1"/>
    <xf numFmtId="0" fontId="18" fillId="0" borderId="29" xfId="196" applyFont="1" applyBorder="1"/>
    <xf numFmtId="3" fontId="4" fillId="0" borderId="0" xfId="194" applyNumberFormat="1" applyFont="1" applyBorder="1" applyAlignment="1">
      <alignment horizontal="center" wrapText="1"/>
    </xf>
    <xf numFmtId="166" fontId="14" fillId="27" borderId="22" xfId="196" applyNumberFormat="1" applyFont="1" applyFill="1" applyBorder="1" applyAlignment="1">
      <alignment horizontal="center"/>
    </xf>
    <xf numFmtId="0" fontId="14" fillId="27" borderId="23" xfId="196" applyFont="1" applyFill="1" applyBorder="1"/>
    <xf numFmtId="0" fontId="14" fillId="27" borderId="23" xfId="196" applyFont="1" applyFill="1" applyBorder="1" applyAlignment="1">
      <alignment horizontal="center"/>
    </xf>
    <xf numFmtId="49" fontId="14" fillId="27" borderId="25" xfId="196" applyNumberFormat="1" applyFont="1" applyFill="1" applyBorder="1" applyAlignment="1">
      <alignment horizontal="center"/>
    </xf>
    <xf numFmtId="3" fontId="14" fillId="27" borderId="11" xfId="196" applyNumberFormat="1" applyFont="1" applyFill="1" applyBorder="1" applyAlignment="1">
      <alignment horizontal="center"/>
    </xf>
    <xf numFmtId="166" fontId="14" fillId="32" borderId="22" xfId="196" applyNumberFormat="1" applyFont="1" applyFill="1" applyBorder="1" applyAlignment="1">
      <alignment horizontal="center"/>
    </xf>
    <xf numFmtId="0" fontId="14" fillId="32" borderId="23" xfId="196" applyFont="1" applyFill="1" applyBorder="1" applyAlignment="1">
      <alignment horizontal="center"/>
    </xf>
    <xf numFmtId="49" fontId="14" fillId="32" borderId="25" xfId="196" applyNumberFormat="1" applyFont="1" applyFill="1" applyBorder="1" applyAlignment="1">
      <alignment horizontal="center"/>
    </xf>
    <xf numFmtId="38" fontId="14" fillId="32" borderId="11" xfId="196" applyNumberFormat="1" applyFont="1" applyFill="1" applyBorder="1" applyAlignment="1">
      <alignment horizontal="center"/>
    </xf>
    <xf numFmtId="0" fontId="16" fillId="32" borderId="33" xfId="196" applyFont="1" applyFill="1" applyBorder="1" applyAlignment="1">
      <alignment horizontal="center"/>
    </xf>
    <xf numFmtId="3" fontId="14" fillId="32" borderId="35" xfId="196" applyNumberFormat="1" applyFont="1" applyFill="1" applyBorder="1" applyAlignment="1">
      <alignment horizontal="center"/>
    </xf>
    <xf numFmtId="168" fontId="18" fillId="27" borderId="36" xfId="196" applyNumberFormat="1" applyFont="1" applyFill="1" applyBorder="1" applyAlignment="1">
      <alignment horizontal="center"/>
    </xf>
    <xf numFmtId="169" fontId="18" fillId="31" borderId="11" xfId="196" applyNumberFormat="1" applyFont="1" applyFill="1" applyBorder="1" applyAlignment="1">
      <alignment horizontal="center"/>
    </xf>
    <xf numFmtId="0" fontId="4" fillId="0" borderId="0" xfId="195" applyNumberFormat="1" applyFont="1" applyFill="1" applyBorder="1" applyAlignment="1"/>
    <xf numFmtId="0" fontId="4" fillId="0" borderId="3" xfId="195" applyNumberFormat="1" applyFont="1" applyFill="1" applyBorder="1" applyAlignment="1"/>
    <xf numFmtId="0" fontId="21" fillId="0" borderId="0" xfId="196" applyFont="1" applyBorder="1" applyAlignment="1"/>
    <xf numFmtId="180" fontId="14" fillId="0" borderId="0" xfId="196" applyNumberFormat="1" applyFont="1"/>
    <xf numFmtId="180" fontId="18" fillId="0" borderId="0" xfId="196" applyNumberFormat="1" applyFont="1"/>
    <xf numFmtId="181" fontId="14" fillId="0" borderId="0" xfId="196" applyNumberFormat="1" applyFont="1" applyAlignment="1">
      <alignment horizontal="center"/>
    </xf>
    <xf numFmtId="180" fontId="14" fillId="0" borderId="0" xfId="196" applyNumberFormat="1" applyFont="1" applyAlignment="1">
      <alignment horizontal="center"/>
    </xf>
    <xf numFmtId="0" fontId="23" fillId="0" borderId="0" xfId="0" applyNumberFormat="1" applyFont="1" applyFill="1" applyBorder="1" applyAlignment="1" applyProtection="1"/>
    <xf numFmtId="0" fontId="6" fillId="0" borderId="31" xfId="228" applyNumberFormat="1" applyFont="1" applyBorder="1" applyAlignment="1">
      <alignment horizontal="center"/>
    </xf>
    <xf numFmtId="0" fontId="6" fillId="0" borderId="30" xfId="228" applyNumberFormat="1" applyFont="1" applyBorder="1" applyAlignment="1">
      <alignment horizontal="center"/>
    </xf>
    <xf numFmtId="0" fontId="6" fillId="0" borderId="46" xfId="228" applyNumberFormat="1" applyFont="1" applyBorder="1" applyAlignment="1">
      <alignment horizontal="center"/>
    </xf>
    <xf numFmtId="164" fontId="14" fillId="0" borderId="11" xfId="196" applyNumberFormat="1" applyFont="1" applyBorder="1" applyAlignment="1">
      <alignment horizontal="center"/>
    </xf>
    <xf numFmtId="0" fontId="9" fillId="0" borderId="23" xfId="228" applyNumberFormat="1" applyFont="1" applyBorder="1" applyAlignment="1">
      <alignment horizontal="center" vertical="center" wrapText="1"/>
    </xf>
    <xf numFmtId="3" fontId="6" fillId="36" borderId="30" xfId="228" applyNumberFormat="1" applyFont="1" applyFill="1" applyBorder="1" applyAlignment="1">
      <alignment horizontal="center"/>
    </xf>
    <xf numFmtId="3" fontId="6" fillId="36" borderId="31" xfId="228" applyNumberFormat="1" applyFont="1" applyFill="1" applyBorder="1" applyAlignment="1">
      <alignment horizontal="center"/>
    </xf>
    <xf numFmtId="3" fontId="6" fillId="36" borderId="46" xfId="228" applyNumberFormat="1" applyFont="1" applyFill="1" applyBorder="1" applyAlignment="1">
      <alignment horizontal="center"/>
    </xf>
    <xf numFmtId="3" fontId="4" fillId="35" borderId="11" xfId="228" applyNumberFormat="1" applyFont="1" applyFill="1" applyBorder="1" applyAlignment="1">
      <alignment horizontal="center"/>
    </xf>
    <xf numFmtId="3" fontId="4" fillId="35" borderId="27" xfId="228" applyNumberFormat="1" applyFont="1" applyFill="1" applyBorder="1" applyAlignment="1">
      <alignment horizontal="center"/>
    </xf>
    <xf numFmtId="3" fontId="4" fillId="35" borderId="47" xfId="228" applyNumberFormat="1" applyFont="1" applyFill="1" applyBorder="1" applyAlignment="1">
      <alignment horizontal="center"/>
    </xf>
    <xf numFmtId="38" fontId="4" fillId="0" borderId="44" xfId="228" applyNumberFormat="1" applyFont="1" applyBorder="1" applyAlignment="1">
      <alignment horizontal="center"/>
    </xf>
    <xf numFmtId="38" fontId="4" fillId="0" borderId="27" xfId="228" applyNumberFormat="1" applyFont="1" applyBorder="1" applyAlignment="1">
      <alignment horizontal="center"/>
    </xf>
    <xf numFmtId="38" fontId="4" fillId="0" borderId="11" xfId="228" applyNumberFormat="1" applyFont="1" applyBorder="1" applyAlignment="1">
      <alignment horizontal="center"/>
    </xf>
    <xf numFmtId="38" fontId="4" fillId="0" borderId="45" xfId="228" applyNumberFormat="1" applyFont="1" applyBorder="1" applyAlignment="1">
      <alignment horizontal="center"/>
    </xf>
    <xf numFmtId="38" fontId="4" fillId="0" borderId="48" xfId="228" applyNumberFormat="1" applyFont="1" applyBorder="1" applyAlignment="1">
      <alignment horizontal="center"/>
    </xf>
    <xf numFmtId="38" fontId="4" fillId="0" borderId="47" xfId="228" applyNumberFormat="1" applyFont="1" applyBorder="1" applyAlignment="1">
      <alignment horizontal="center"/>
    </xf>
    <xf numFmtId="38" fontId="4" fillId="0" borderId="49" xfId="228" applyNumberFormat="1" applyFont="1" applyBorder="1" applyAlignment="1">
      <alignment horizontal="center"/>
    </xf>
    <xf numFmtId="0" fontId="9" fillId="0" borderId="40" xfId="228" applyNumberFormat="1" applyFont="1" applyBorder="1" applyAlignment="1">
      <alignment horizontal="center" vertical="center"/>
    </xf>
    <xf numFmtId="0" fontId="9" fillId="0" borderId="23" xfId="228" applyNumberFormat="1" applyFont="1" applyBorder="1" applyAlignment="1">
      <alignment horizontal="center" vertical="center"/>
    </xf>
    <xf numFmtId="0" fontId="9" fillId="0" borderId="41" xfId="228" applyNumberFormat="1" applyFont="1" applyBorder="1" applyAlignment="1">
      <alignment horizontal="center" vertical="center"/>
    </xf>
    <xf numFmtId="0" fontId="9" fillId="0" borderId="42" xfId="228" applyNumberFormat="1" applyFont="1" applyBorder="1" applyAlignment="1">
      <alignment horizontal="center" vertical="center"/>
    </xf>
    <xf numFmtId="0" fontId="9" fillId="0" borderId="43" xfId="228" applyNumberFormat="1" applyFont="1" applyBorder="1" applyAlignment="1">
      <alignment horizontal="center" vertical="center"/>
    </xf>
    <xf numFmtId="0" fontId="9" fillId="0" borderId="23" xfId="228" quotePrefix="1" applyNumberFormat="1" applyFont="1" applyBorder="1" applyAlignment="1">
      <alignment horizontal="center" vertical="center"/>
    </xf>
    <xf numFmtId="0" fontId="9" fillId="36" borderId="33" xfId="228" applyNumberFormat="1" applyFont="1" applyFill="1" applyBorder="1" applyAlignment="1">
      <alignment horizontal="center" vertical="center"/>
    </xf>
    <xf numFmtId="0" fontId="9" fillId="36" borderId="35" xfId="228" applyNumberFormat="1" applyFont="1" applyFill="1" applyBorder="1" applyAlignment="1">
      <alignment horizontal="center" vertical="center"/>
    </xf>
    <xf numFmtId="0" fontId="2" fillId="0" borderId="0" xfId="0" quotePrefix="1" applyFont="1"/>
    <xf numFmtId="0" fontId="2" fillId="0" borderId="0" xfId="0" applyFont="1"/>
    <xf numFmtId="0" fontId="20" fillId="0" borderId="0" xfId="0" applyFont="1" applyAlignment="1">
      <alignment horizontal="center"/>
    </xf>
    <xf numFmtId="182" fontId="14" fillId="0" borderId="0" xfId="196" applyNumberFormat="1" applyFont="1" applyFill="1" applyBorder="1" applyAlignment="1">
      <alignment horizontal="center"/>
    </xf>
    <xf numFmtId="10" fontId="9" fillId="0" borderId="23" xfId="206" applyNumberFormat="1" applyFont="1" applyFill="1" applyBorder="1" applyAlignment="1">
      <alignment horizontal="center"/>
    </xf>
    <xf numFmtId="0" fontId="9" fillId="0" borderId="51" xfId="228" applyNumberFormat="1" applyFont="1" applyBorder="1" applyAlignment="1">
      <alignment horizontal="center" vertical="center"/>
    </xf>
    <xf numFmtId="0" fontId="9" fillId="34" borderId="35" xfId="0" applyNumberFormat="1" applyFont="1" applyFill="1" applyBorder="1" applyAlignment="1">
      <alignment horizontal="center"/>
    </xf>
    <xf numFmtId="0" fontId="9" fillId="32" borderId="35" xfId="0" applyNumberFormat="1" applyFont="1" applyFill="1" applyBorder="1" applyAlignment="1">
      <alignment horizontal="center"/>
    </xf>
    <xf numFmtId="0" fontId="9" fillId="0" borderId="16" xfId="0" applyNumberFormat="1" applyFont="1" applyFill="1" applyBorder="1" applyAlignment="1">
      <alignment horizontal="center"/>
    </xf>
    <xf numFmtId="0" fontId="9" fillId="0" borderId="23" xfId="0" applyNumberFormat="1" applyFont="1" applyFill="1" applyBorder="1" applyAlignment="1">
      <alignment horizontal="center"/>
    </xf>
    <xf numFmtId="0" fontId="6" fillId="0" borderId="52" xfId="228" applyNumberFormat="1" applyFont="1" applyBorder="1" applyAlignment="1">
      <alignment horizontal="center"/>
    </xf>
    <xf numFmtId="164" fontId="4" fillId="0" borderId="53" xfId="195" applyNumberFormat="1" applyFont="1" applyFill="1" applyBorder="1" applyAlignment="1">
      <alignment horizontal="center"/>
    </xf>
    <xf numFmtId="3" fontId="4" fillId="35" borderId="53" xfId="228" applyNumberFormat="1" applyFont="1" applyFill="1" applyBorder="1" applyAlignment="1">
      <alignment horizontal="center"/>
    </xf>
    <xf numFmtId="3" fontId="6" fillId="36" borderId="52" xfId="228" applyNumberFormat="1" applyFont="1" applyFill="1" applyBorder="1" applyAlignment="1">
      <alignment horizontal="center"/>
    </xf>
    <xf numFmtId="38" fontId="4" fillId="0" borderId="54" xfId="228" applyNumberFormat="1" applyFont="1" applyBorder="1" applyAlignment="1">
      <alignment horizontal="center"/>
    </xf>
    <xf numFmtId="38" fontId="4" fillId="0" borderId="53" xfId="228" applyNumberFormat="1" applyFont="1" applyBorder="1" applyAlignment="1">
      <alignment horizontal="center"/>
    </xf>
    <xf numFmtId="38" fontId="4" fillId="0" borderId="55" xfId="228" applyNumberFormat="1" applyFont="1" applyBorder="1" applyAlignment="1">
      <alignment horizontal="center"/>
    </xf>
    <xf numFmtId="3" fontId="4" fillId="34" borderId="52" xfId="195" applyNumberFormat="1" applyFont="1" applyFill="1" applyBorder="1" applyAlignment="1">
      <alignment horizontal="center"/>
    </xf>
    <xf numFmtId="3" fontId="6" fillId="32" borderId="52" xfId="195" applyNumberFormat="1" applyFont="1" applyFill="1" applyBorder="1" applyAlignment="1">
      <alignment horizontal="center"/>
    </xf>
    <xf numFmtId="3" fontId="6" fillId="0" borderId="56" xfId="195" applyNumberFormat="1" applyFont="1" applyFill="1" applyBorder="1" applyAlignment="1">
      <alignment horizontal="center"/>
    </xf>
    <xf numFmtId="3" fontId="4" fillId="0" borderId="53" xfId="195" applyNumberFormat="1" applyFont="1" applyFill="1" applyBorder="1" applyAlignment="1">
      <alignment horizontal="center"/>
    </xf>
    <xf numFmtId="0" fontId="6" fillId="0" borderId="55" xfId="195" applyNumberFormat="1" applyFont="1" applyFill="1" applyBorder="1" applyAlignment="1">
      <alignment horizontal="center"/>
    </xf>
    <xf numFmtId="0" fontId="6" fillId="0" borderId="45" xfId="195" applyNumberFormat="1" applyFont="1" applyFill="1" applyBorder="1" applyAlignment="1">
      <alignment horizontal="center"/>
    </xf>
    <xf numFmtId="164" fontId="4" fillId="0" borderId="47" xfId="195" applyNumberFormat="1" applyFont="1" applyFill="1" applyBorder="1" applyAlignment="1">
      <alignment horizontal="center"/>
    </xf>
    <xf numFmtId="3" fontId="4" fillId="34" borderId="46" xfId="195" applyNumberFormat="1" applyFont="1" applyFill="1" applyBorder="1" applyAlignment="1">
      <alignment horizontal="center"/>
    </xf>
    <xf numFmtId="3" fontId="6" fillId="32" borderId="57" xfId="195" applyNumberFormat="1" applyFont="1" applyFill="1" applyBorder="1" applyAlignment="1">
      <alignment horizontal="center"/>
    </xf>
    <xf numFmtId="3" fontId="6" fillId="0" borderId="58" xfId="195" applyNumberFormat="1" applyFont="1" applyFill="1" applyBorder="1" applyAlignment="1">
      <alignment horizontal="center"/>
    </xf>
    <xf numFmtId="3" fontId="4" fillId="0" borderId="47" xfId="195" applyNumberFormat="1" applyFont="1" applyFill="1" applyBorder="1" applyAlignment="1">
      <alignment horizontal="center"/>
    </xf>
    <xf numFmtId="0" fontId="6" fillId="0" borderId="49" xfId="195" applyNumberFormat="1" applyFont="1" applyFill="1" applyBorder="1" applyAlignment="1">
      <alignment horizontal="center"/>
    </xf>
    <xf numFmtId="0" fontId="11" fillId="0" borderId="0" xfId="196" applyFont="1" applyAlignment="1"/>
    <xf numFmtId="3" fontId="14" fillId="32" borderId="57" xfId="196" applyNumberFormat="1" applyFont="1" applyFill="1" applyBorder="1" applyAlignment="1">
      <alignment horizontal="center"/>
    </xf>
    <xf numFmtId="0" fontId="15" fillId="0" borderId="0" xfId="196" applyFont="1" applyAlignment="1">
      <alignment horizontal="center"/>
    </xf>
    <xf numFmtId="0" fontId="6" fillId="36" borderId="29" xfId="228" applyNumberFormat="1" applyFont="1" applyFill="1" applyBorder="1" applyAlignment="1">
      <alignment horizontal="center"/>
    </xf>
    <xf numFmtId="0" fontId="6" fillId="36" borderId="3" xfId="228" applyNumberFormat="1" applyFont="1" applyFill="1" applyBorder="1" applyAlignment="1">
      <alignment horizontal="center"/>
    </xf>
    <xf numFmtId="0" fontId="6" fillId="36" borderId="28" xfId="228" applyNumberFormat="1" applyFont="1" applyFill="1" applyBorder="1" applyAlignment="1">
      <alignment horizontal="center"/>
    </xf>
    <xf numFmtId="0" fontId="6" fillId="37" borderId="37" xfId="228" applyNumberFormat="1" applyFont="1" applyFill="1" applyBorder="1" applyAlignment="1">
      <alignment horizontal="center"/>
    </xf>
    <xf numFmtId="0" fontId="6" fillId="37" borderId="38" xfId="228" applyNumberFormat="1" applyFont="1" applyFill="1" applyBorder="1" applyAlignment="1">
      <alignment horizontal="center"/>
    </xf>
    <xf numFmtId="0" fontId="6" fillId="37" borderId="39" xfId="228" applyNumberFormat="1" applyFont="1" applyFill="1" applyBorder="1" applyAlignment="1">
      <alignment horizontal="center"/>
    </xf>
    <xf numFmtId="1" fontId="6" fillId="0" borderId="0" xfId="0" applyNumberFormat="1" applyFont="1"/>
  </cellXfs>
  <cellStyles count="247">
    <cellStyle name="_CC Oil" xfId="1" xr:uid="{00000000-0005-0000-0000-000000000000}"/>
    <cellStyle name="_CC Oil 2" xfId="2" xr:uid="{00000000-0005-0000-0000-000001000000}"/>
    <cellStyle name="_CC Oil_130204 2013 - 2061 LONG-TERM FORECAST FPL METHODOLOGY Clean Copy" xfId="3" xr:uid="{00000000-0005-0000-0000-000002000000}"/>
    <cellStyle name="_CC Oil_MTHLY_MWH_to EOC_AS AVAILABLE" xfId="4" xr:uid="{00000000-0005-0000-0000-000003000000}"/>
    <cellStyle name="_DSO Oil" xfId="5" xr:uid="{00000000-0005-0000-0000-000004000000}"/>
    <cellStyle name="_DSO Oil 2" xfId="6" xr:uid="{00000000-0005-0000-0000-000005000000}"/>
    <cellStyle name="_DSO Oil_130204 2013 - 2061 LONG-TERM FORECAST FPL METHODOLOGY Clean Copy" xfId="7" xr:uid="{00000000-0005-0000-0000-000006000000}"/>
    <cellStyle name="_DSO Oil_MTHLY_MWH_to EOC_AS AVAILABLE" xfId="8" xr:uid="{00000000-0005-0000-0000-000007000000}"/>
    <cellStyle name="_FLCC Oil" xfId="9" xr:uid="{00000000-0005-0000-0000-000008000000}"/>
    <cellStyle name="_FLCC Oil 2" xfId="10" xr:uid="{00000000-0005-0000-0000-000009000000}"/>
    <cellStyle name="_FLCC Oil_130204 2013 - 2061 LONG-TERM FORECAST FPL METHODOLOGY Clean Copy" xfId="11" xr:uid="{00000000-0005-0000-0000-00000A000000}"/>
    <cellStyle name="_FLCC Oil_MTHLY_MWH_to EOC_AS AVAILABLE" xfId="12" xr:uid="{00000000-0005-0000-0000-00000B000000}"/>
    <cellStyle name="_FLPEGT Oil" xfId="13" xr:uid="{00000000-0005-0000-0000-00000C000000}"/>
    <cellStyle name="_FLPEGT Oil 2" xfId="14" xr:uid="{00000000-0005-0000-0000-00000D000000}"/>
    <cellStyle name="_FLPEGT Oil_130204 2013 - 2061 LONG-TERM FORECAST FPL METHODOLOGY Clean Copy" xfId="15" xr:uid="{00000000-0005-0000-0000-00000E000000}"/>
    <cellStyle name="_FLPEGT Oil_MTHLY_MWH_to EOC_AS AVAILABLE" xfId="16" xr:uid="{00000000-0005-0000-0000-00000F000000}"/>
    <cellStyle name="_FMCT Oil" xfId="17" xr:uid="{00000000-0005-0000-0000-000010000000}"/>
    <cellStyle name="_FMCT Oil 2" xfId="18" xr:uid="{00000000-0005-0000-0000-000011000000}"/>
    <cellStyle name="_FMCT Oil_130204 2013 - 2061 LONG-TERM FORECAST FPL METHODOLOGY Clean Copy" xfId="19" xr:uid="{00000000-0005-0000-0000-000012000000}"/>
    <cellStyle name="_FMCT Oil_MTHLY_MWH_to EOC_AS AVAILABLE" xfId="20" xr:uid="{00000000-0005-0000-0000-000013000000}"/>
    <cellStyle name="_GTDW_DataTemplate" xfId="21" xr:uid="{00000000-0005-0000-0000-000014000000}"/>
    <cellStyle name="_GTDW_DataTemplate 2" xfId="22" xr:uid="{00000000-0005-0000-0000-000015000000}"/>
    <cellStyle name="_GTDW_DataTemplate_130204 2013 - 2061 LONG-TERM FORECAST FPL METHODOLOGY Clean Copy" xfId="23" xr:uid="{00000000-0005-0000-0000-000016000000}"/>
    <cellStyle name="_GTDW_DataTemplate_MTHLY_MWH_to EOC_AS AVAILABLE" xfId="24" xr:uid="{00000000-0005-0000-0000-000017000000}"/>
    <cellStyle name="_Gulfstream Gas" xfId="25" xr:uid="{00000000-0005-0000-0000-000018000000}"/>
    <cellStyle name="_Gulfstream Gas 2" xfId="26" xr:uid="{00000000-0005-0000-0000-000019000000}"/>
    <cellStyle name="_Gulfstream Gas_130204 2013 - 2061 LONG-TERM FORECAST FPL METHODOLOGY Clean Copy" xfId="27" xr:uid="{00000000-0005-0000-0000-00001A000000}"/>
    <cellStyle name="_Gulfstream Gas_MTHLY_MWH_to EOC_AS AVAILABLE" xfId="28" xr:uid="{00000000-0005-0000-0000-00001B000000}"/>
    <cellStyle name="_MR .7 Oil" xfId="29" xr:uid="{00000000-0005-0000-0000-00001C000000}"/>
    <cellStyle name="_MR .7 Oil 2" xfId="30" xr:uid="{00000000-0005-0000-0000-00001D000000}"/>
    <cellStyle name="_MR .7 Oil_130204 2013 - 2061 LONG-TERM FORECAST FPL METHODOLOGY Clean Copy" xfId="31" xr:uid="{00000000-0005-0000-0000-00001E000000}"/>
    <cellStyle name="_MR .7 Oil_MTHLY_MWH_to EOC_AS AVAILABLE" xfId="32" xr:uid="{00000000-0005-0000-0000-00001F000000}"/>
    <cellStyle name="_MR 1 Oil" xfId="33" xr:uid="{00000000-0005-0000-0000-000020000000}"/>
    <cellStyle name="_MR 1 Oil 2" xfId="34" xr:uid="{00000000-0005-0000-0000-000021000000}"/>
    <cellStyle name="_MR 1 Oil_130204 2013 - 2061 LONG-TERM FORECAST FPL METHODOLOGY Clean Copy" xfId="35" xr:uid="{00000000-0005-0000-0000-000022000000}"/>
    <cellStyle name="_MR 1 Oil_MTHLY_MWH_to EOC_AS AVAILABLE" xfId="36" xr:uid="{00000000-0005-0000-0000-000023000000}"/>
    <cellStyle name="_MRCT Oil" xfId="37" xr:uid="{00000000-0005-0000-0000-000024000000}"/>
    <cellStyle name="_MRCT Oil 2" xfId="38" xr:uid="{00000000-0005-0000-0000-000025000000}"/>
    <cellStyle name="_MRCT Oil_130204 2013 - 2061 LONG-TERM FORECAST FPL METHODOLOGY Clean Copy" xfId="39" xr:uid="{00000000-0005-0000-0000-000026000000}"/>
    <cellStyle name="_MRCT Oil_MTHLY_MWH_to EOC_AS AVAILABLE" xfId="40" xr:uid="{00000000-0005-0000-0000-000027000000}"/>
    <cellStyle name="_MT Gulfstream Gas" xfId="41" xr:uid="{00000000-0005-0000-0000-000028000000}"/>
    <cellStyle name="_MT Gulfstream Gas 2" xfId="42" xr:uid="{00000000-0005-0000-0000-000029000000}"/>
    <cellStyle name="_MT Gulfstream Gas_130204 2013 - 2061 LONG-TERM FORECAST FPL METHODOLOGY Clean Copy" xfId="43" xr:uid="{00000000-0005-0000-0000-00002A000000}"/>
    <cellStyle name="_MT Gulfstream Gas_MTHLY_MWH_to EOC_AS AVAILABLE" xfId="44" xr:uid="{00000000-0005-0000-0000-00002B000000}"/>
    <cellStyle name="_MT Oil" xfId="45" xr:uid="{00000000-0005-0000-0000-00002C000000}"/>
    <cellStyle name="_MT Oil 2" xfId="46" xr:uid="{00000000-0005-0000-0000-00002D000000}"/>
    <cellStyle name="_MT Oil_130204 2013 - 2061 LONG-TERM FORECAST FPL METHODOLOGY Clean Copy" xfId="47" xr:uid="{00000000-0005-0000-0000-00002E000000}"/>
    <cellStyle name="_MT Oil_MTHLY_MWH_to EOC_AS AVAILABLE" xfId="48" xr:uid="{00000000-0005-0000-0000-00002F000000}"/>
    <cellStyle name="_OLCT Oil" xfId="49" xr:uid="{00000000-0005-0000-0000-000030000000}"/>
    <cellStyle name="_OLCT Oil 2" xfId="50" xr:uid="{00000000-0005-0000-0000-000031000000}"/>
    <cellStyle name="_OLCT Oil_130204 2013 - 2061 LONG-TERM FORECAST FPL METHODOLOGY Clean Copy" xfId="51" xr:uid="{00000000-0005-0000-0000-000032000000}"/>
    <cellStyle name="_OLCT Oil_MTHLY_MWH_to EOC_AS AVAILABLE" xfId="52" xr:uid="{00000000-0005-0000-0000-000033000000}"/>
    <cellStyle name="_PE Oil" xfId="53" xr:uid="{00000000-0005-0000-0000-000034000000}"/>
    <cellStyle name="_PE Oil 2" xfId="54" xr:uid="{00000000-0005-0000-0000-000035000000}"/>
    <cellStyle name="_PE Oil_130204 2013 - 2061 LONG-TERM FORECAST FPL METHODOLOGY Clean Copy" xfId="55" xr:uid="{00000000-0005-0000-0000-000036000000}"/>
    <cellStyle name="_PE Oil_MTHLY_MWH_to EOC_AS AVAILABLE" xfId="56" xr:uid="{00000000-0005-0000-0000-000037000000}"/>
    <cellStyle name="_PN Oil" xfId="57" xr:uid="{00000000-0005-0000-0000-000038000000}"/>
    <cellStyle name="_PN Oil 2" xfId="58" xr:uid="{00000000-0005-0000-0000-000039000000}"/>
    <cellStyle name="_PN Oil_130204 2013 - 2061 LONG-TERM FORECAST FPL METHODOLOGY Clean Copy" xfId="59" xr:uid="{00000000-0005-0000-0000-00003A000000}"/>
    <cellStyle name="_PN Oil_MTHLY_MWH_to EOC_AS AVAILABLE" xfId="60" xr:uid="{00000000-0005-0000-0000-00003B000000}"/>
    <cellStyle name="_RV Oil" xfId="61" xr:uid="{00000000-0005-0000-0000-00003C000000}"/>
    <cellStyle name="_RV Oil 2" xfId="62" xr:uid="{00000000-0005-0000-0000-00003D000000}"/>
    <cellStyle name="_RV Oil_130204 2013 - 2061 LONG-TERM FORECAST FPL METHODOLOGY Clean Copy" xfId="63" xr:uid="{00000000-0005-0000-0000-00003E000000}"/>
    <cellStyle name="_RV Oil_MTHLY_MWH_to EOC_AS AVAILABLE" xfId="64" xr:uid="{00000000-0005-0000-0000-00003F000000}"/>
    <cellStyle name="_SHCT Oil" xfId="65" xr:uid="{00000000-0005-0000-0000-000040000000}"/>
    <cellStyle name="_SHCT Oil 2" xfId="66" xr:uid="{00000000-0005-0000-0000-000041000000}"/>
    <cellStyle name="_SHCT Oil_130204 2013 - 2061 LONG-TERM FORECAST FPL METHODOLOGY Clean Copy" xfId="67" xr:uid="{00000000-0005-0000-0000-000042000000}"/>
    <cellStyle name="_SHCT Oil_MTHLY_MWH_to EOC_AS AVAILABLE" xfId="68" xr:uid="{00000000-0005-0000-0000-000043000000}"/>
    <cellStyle name="_SN Oil" xfId="69" xr:uid="{00000000-0005-0000-0000-000044000000}"/>
    <cellStyle name="_SN Oil 2" xfId="70" xr:uid="{00000000-0005-0000-0000-000045000000}"/>
    <cellStyle name="_SN Oil_130204 2013 - 2061 LONG-TERM FORECAST FPL METHODOLOGY Clean Copy" xfId="71" xr:uid="{00000000-0005-0000-0000-000046000000}"/>
    <cellStyle name="_SN Oil_MTHLY_MWH_to EOC_AS AVAILABLE" xfId="72" xr:uid="{00000000-0005-0000-0000-000047000000}"/>
    <cellStyle name="_TP Oil" xfId="73" xr:uid="{00000000-0005-0000-0000-000048000000}"/>
    <cellStyle name="_TP Oil 2" xfId="74" xr:uid="{00000000-0005-0000-0000-000049000000}"/>
    <cellStyle name="_TP Oil_130204 2013 - 2061 LONG-TERM FORECAST FPL METHODOLOGY Clean Copy" xfId="75" xr:uid="{00000000-0005-0000-0000-00004A000000}"/>
    <cellStyle name="_TP Oil_MTHLY_MWH_to EOC_AS AVAILABLE" xfId="76" xr:uid="{00000000-0005-0000-0000-00004B000000}"/>
    <cellStyle name="_x0010_“+ˆÉ•?pý¤" xfId="77" xr:uid="{00000000-0005-0000-0000-00004C000000}"/>
    <cellStyle name="20% - Accent1" xfId="78" builtinId="30" customBuiltin="1"/>
    <cellStyle name="20% - Accent1 2" xfId="79" xr:uid="{00000000-0005-0000-0000-00004E000000}"/>
    <cellStyle name="20% - Accent2" xfId="80" builtinId="34" customBuiltin="1"/>
    <cellStyle name="20% - Accent2 2" xfId="81" xr:uid="{00000000-0005-0000-0000-000050000000}"/>
    <cellStyle name="20% - Accent3" xfId="82" builtinId="38" customBuiltin="1"/>
    <cellStyle name="20% - Accent3 2" xfId="83" xr:uid="{00000000-0005-0000-0000-000052000000}"/>
    <cellStyle name="20% - Accent4" xfId="84" builtinId="42" customBuiltin="1"/>
    <cellStyle name="20% - Accent4 2" xfId="85" xr:uid="{00000000-0005-0000-0000-000054000000}"/>
    <cellStyle name="20% - Accent5" xfId="86" builtinId="46" customBuiltin="1"/>
    <cellStyle name="20% - Accent5 2" xfId="87" xr:uid="{00000000-0005-0000-0000-000056000000}"/>
    <cellStyle name="20% - Accent6" xfId="88" builtinId="50" customBuiltin="1"/>
    <cellStyle name="20% - Accent6 2" xfId="89" xr:uid="{00000000-0005-0000-0000-000058000000}"/>
    <cellStyle name="40% - Accent1" xfId="90" builtinId="31" customBuiltin="1"/>
    <cellStyle name="40% - Accent1 2" xfId="91" xr:uid="{00000000-0005-0000-0000-00005A000000}"/>
    <cellStyle name="40% - Accent2" xfId="92" builtinId="35" customBuiltin="1"/>
    <cellStyle name="40% - Accent2 2" xfId="93" xr:uid="{00000000-0005-0000-0000-00005C000000}"/>
    <cellStyle name="40% - Accent3" xfId="94" builtinId="39" customBuiltin="1"/>
    <cellStyle name="40% - Accent3 2" xfId="95" xr:uid="{00000000-0005-0000-0000-00005E000000}"/>
    <cellStyle name="40% - Accent4" xfId="96" builtinId="43" customBuiltin="1"/>
    <cellStyle name="40% - Accent4 2" xfId="97" xr:uid="{00000000-0005-0000-0000-000060000000}"/>
    <cellStyle name="40% - Accent5" xfId="98" builtinId="47" customBuiltin="1"/>
    <cellStyle name="40% - Accent5 2" xfId="99" xr:uid="{00000000-0005-0000-0000-000062000000}"/>
    <cellStyle name="40% - Accent6" xfId="100" builtinId="51" customBuiltin="1"/>
    <cellStyle name="40% - Accent6 2" xfId="101" xr:uid="{00000000-0005-0000-0000-000064000000}"/>
    <cellStyle name="60% - Accent1" xfId="102" builtinId="32" customBuiltin="1"/>
    <cellStyle name="60% - Accent1 2" xfId="103" xr:uid="{00000000-0005-0000-0000-000066000000}"/>
    <cellStyle name="60% - Accent2" xfId="104" builtinId="36" customBuiltin="1"/>
    <cellStyle name="60% - Accent2 2" xfId="105" xr:uid="{00000000-0005-0000-0000-000068000000}"/>
    <cellStyle name="60% - Accent3" xfId="106" builtinId="40" customBuiltin="1"/>
    <cellStyle name="60% - Accent3 2" xfId="107" xr:uid="{00000000-0005-0000-0000-00006A000000}"/>
    <cellStyle name="60% - Accent4" xfId="108" builtinId="44" customBuiltin="1"/>
    <cellStyle name="60% - Accent4 2" xfId="109" xr:uid="{00000000-0005-0000-0000-00006C000000}"/>
    <cellStyle name="60% - Accent5" xfId="110" builtinId="48" customBuiltin="1"/>
    <cellStyle name="60% - Accent5 2" xfId="111" xr:uid="{00000000-0005-0000-0000-00006E000000}"/>
    <cellStyle name="60% - Accent6" xfId="112" builtinId="52" customBuiltin="1"/>
    <cellStyle name="60% - Accent6 2" xfId="113" xr:uid="{00000000-0005-0000-0000-000070000000}"/>
    <cellStyle name="Accent1" xfId="114" builtinId="29" customBuiltin="1"/>
    <cellStyle name="Accent1 2" xfId="115" xr:uid="{00000000-0005-0000-0000-000072000000}"/>
    <cellStyle name="Accent2" xfId="116" builtinId="33" customBuiltin="1"/>
    <cellStyle name="Accent2 2" xfId="117" xr:uid="{00000000-0005-0000-0000-000074000000}"/>
    <cellStyle name="Accent3" xfId="118" builtinId="37" customBuiltin="1"/>
    <cellStyle name="Accent3 2" xfId="119" xr:uid="{00000000-0005-0000-0000-000076000000}"/>
    <cellStyle name="Accent4" xfId="120" builtinId="41" customBuiltin="1"/>
    <cellStyle name="Accent4 2" xfId="121" xr:uid="{00000000-0005-0000-0000-000078000000}"/>
    <cellStyle name="Accent5" xfId="122" builtinId="45" customBuiltin="1"/>
    <cellStyle name="Accent5 2" xfId="123" xr:uid="{00000000-0005-0000-0000-00007A000000}"/>
    <cellStyle name="Accent6" xfId="124" builtinId="49" customBuiltin="1"/>
    <cellStyle name="Accent6 2" xfId="125" xr:uid="{00000000-0005-0000-0000-00007C000000}"/>
    <cellStyle name="ActiveColumnHeaderStyle" xfId="241" xr:uid="{1C5F3DF6-91C9-45EA-B32C-A12D4B4AFA22}"/>
    <cellStyle name="ActiveRowHeaderStyle" xfId="240" xr:uid="{50580490-343F-430D-A173-89840E2EACCB}"/>
    <cellStyle name="Adjustable" xfId="126" xr:uid="{00000000-0005-0000-0000-00007D000000}"/>
    <cellStyle name="alt" xfId="244" xr:uid="{03032D03-10B5-4CD6-B376-6CFF23536050}"/>
    <cellStyle name="Bad" xfId="127" builtinId="27" customBuiltin="1"/>
    <cellStyle name="Bad 2" xfId="128" xr:uid="{00000000-0005-0000-0000-00007F000000}"/>
    <cellStyle name="Calc Currency (0)" xfId="129" xr:uid="{00000000-0005-0000-0000-000080000000}"/>
    <cellStyle name="Calculation" xfId="130" builtinId="22" customBuiltin="1"/>
    <cellStyle name="Calculation 2" xfId="131" xr:uid="{00000000-0005-0000-0000-000082000000}"/>
    <cellStyle name="Check Cell" xfId="132" builtinId="23" customBuiltin="1"/>
    <cellStyle name="Check Cell 2" xfId="133" xr:uid="{00000000-0005-0000-0000-000084000000}"/>
    <cellStyle name="Comma 2" xfId="134" xr:uid="{00000000-0005-0000-0000-000086000000}"/>
    <cellStyle name="Comma 2 2" xfId="135" xr:uid="{00000000-0005-0000-0000-000087000000}"/>
    <cellStyle name="Comma 3" xfId="136" xr:uid="{00000000-0005-0000-0000-000088000000}"/>
    <cellStyle name="Comma 3 2" xfId="137" xr:uid="{00000000-0005-0000-0000-000089000000}"/>
    <cellStyle name="Comma 4" xfId="138" xr:uid="{00000000-0005-0000-0000-00008A000000}"/>
    <cellStyle name="Copied" xfId="139" xr:uid="{00000000-0005-0000-0000-00008B000000}"/>
    <cellStyle name="Currency 2" xfId="140" xr:uid="{00000000-0005-0000-0000-00008C000000}"/>
    <cellStyle name="Currency 2 2" xfId="141" xr:uid="{00000000-0005-0000-0000-00008D000000}"/>
    <cellStyle name="Currency 3" xfId="142" xr:uid="{00000000-0005-0000-0000-00008E000000}"/>
    <cellStyle name="Currency 3 2" xfId="143" xr:uid="{00000000-0005-0000-0000-00008F000000}"/>
    <cellStyle name="Date" xfId="144" xr:uid="{00000000-0005-0000-0000-000090000000}"/>
    <cellStyle name="DefaultHeaderStyle" xfId="243" xr:uid="{5C7353F6-0555-4443-A981-8E3D16E922F9}"/>
    <cellStyle name="Dollars" xfId="145" xr:uid="{00000000-0005-0000-0000-000091000000}"/>
    <cellStyle name="Duration" xfId="146" xr:uid="{00000000-0005-0000-0000-000092000000}"/>
    <cellStyle name="Entered" xfId="147" xr:uid="{00000000-0005-0000-0000-000093000000}"/>
    <cellStyle name="Euro" xfId="148" xr:uid="{00000000-0005-0000-0000-000094000000}"/>
    <cellStyle name="Explanatory Text" xfId="149" builtinId="53" customBuiltin="1"/>
    <cellStyle name="Explanatory Text 2" xfId="150" xr:uid="{00000000-0005-0000-0000-000096000000}"/>
    <cellStyle name="FrozenColumnHeader" xfId="242" xr:uid="{DC8DD4FD-6709-4A4A-9A84-8492E9E4CEBF}"/>
    <cellStyle name="Good" xfId="151" builtinId="26" customBuiltin="1"/>
    <cellStyle name="Good 2" xfId="152" xr:uid="{00000000-0005-0000-0000-000098000000}"/>
    <cellStyle name="Grey" xfId="153" xr:uid="{00000000-0005-0000-0000-000099000000}"/>
    <cellStyle name="Header1" xfId="154" xr:uid="{00000000-0005-0000-0000-00009A000000}"/>
    <cellStyle name="Header2" xfId="155" xr:uid="{00000000-0005-0000-0000-00009B000000}"/>
    <cellStyle name="Heading 1" xfId="156" builtinId="16" customBuiltin="1"/>
    <cellStyle name="Heading 1 2" xfId="157" xr:uid="{00000000-0005-0000-0000-00009D000000}"/>
    <cellStyle name="Heading 2" xfId="158" builtinId="17" customBuiltin="1"/>
    <cellStyle name="Heading 2 2" xfId="159" xr:uid="{00000000-0005-0000-0000-00009F000000}"/>
    <cellStyle name="Heading 3" xfId="160" builtinId="18" customBuiltin="1"/>
    <cellStyle name="Heading 3 2" xfId="161" xr:uid="{00000000-0005-0000-0000-0000A1000000}"/>
    <cellStyle name="Heading 4" xfId="162" builtinId="19" customBuiltin="1"/>
    <cellStyle name="Heading 4 2" xfId="163" xr:uid="{00000000-0005-0000-0000-0000A3000000}"/>
    <cellStyle name="InactiveRowHeaderStyle" xfId="239" xr:uid="{A9DA7EE9-2757-44C6-8240-546F133AA518}"/>
    <cellStyle name="Input" xfId="164" builtinId="20" customBuiltin="1"/>
    <cellStyle name="Input [yellow]" xfId="165" xr:uid="{00000000-0005-0000-0000-0000A5000000}"/>
    <cellStyle name="Input 2" xfId="166" xr:uid="{00000000-0005-0000-0000-0000A6000000}"/>
    <cellStyle name="Linked Cell" xfId="167" builtinId="24" customBuiltin="1"/>
    <cellStyle name="Linked Cell 2" xfId="168" xr:uid="{00000000-0005-0000-0000-0000A8000000}"/>
    <cellStyle name="Millares [0]_2AV_M_M " xfId="169" xr:uid="{00000000-0005-0000-0000-0000A9000000}"/>
    <cellStyle name="Millares_2AV_M_M " xfId="170" xr:uid="{00000000-0005-0000-0000-0000AA000000}"/>
    <cellStyle name="Moneda [0]_2AV_M_M " xfId="171" xr:uid="{00000000-0005-0000-0000-0000AB000000}"/>
    <cellStyle name="Moneda_2AV_M_M " xfId="172" xr:uid="{00000000-0005-0000-0000-0000AC000000}"/>
    <cellStyle name="Neutral" xfId="173" builtinId="28" customBuiltin="1"/>
    <cellStyle name="Neutral 2" xfId="174" xr:uid="{00000000-0005-0000-0000-0000AE000000}"/>
    <cellStyle name="NonStandardColumnStyle" xfId="238" xr:uid="{3E105239-6C3A-4820-8C5F-4FFF98741B59}"/>
    <cellStyle name="Normal" xfId="0" builtinId="0"/>
    <cellStyle name="Normal - Style1" xfId="175" xr:uid="{00000000-0005-0000-0000-0000B0000000}"/>
    <cellStyle name="Normal 10" xfId="176" xr:uid="{00000000-0005-0000-0000-0000B1000000}"/>
    <cellStyle name="Normal 11" xfId="227" xr:uid="{3792DF75-3336-4065-B29A-1A92D72D0996}"/>
    <cellStyle name="Normal 12" xfId="246" xr:uid="{AB3995DA-09ED-485B-ADC4-5D9A72DA20C5}"/>
    <cellStyle name="Normal 13" xfId="177" xr:uid="{00000000-0005-0000-0000-0000B2000000}"/>
    <cellStyle name="Normal 2" xfId="178" xr:uid="{00000000-0005-0000-0000-0000B3000000}"/>
    <cellStyle name="Normal 2 2" xfId="179" xr:uid="{00000000-0005-0000-0000-0000B4000000}"/>
    <cellStyle name="Normal 2 2 2" xfId="228" xr:uid="{9487D0A4-C3F6-4A47-9036-A420C32BD52C}"/>
    <cellStyle name="Normal 2 2 2 2" xfId="229" xr:uid="{1BA8FC94-77AA-40F8-A8F5-C05E98BA36F7}"/>
    <cellStyle name="Normal 2 2 3" xfId="234" xr:uid="{561BBD82-B6B5-4A69-8014-D23C0D5693E0}"/>
    <cellStyle name="Normal 2 2 4" xfId="232" xr:uid="{492AC89A-9607-4345-915C-D191F3362CB4}"/>
    <cellStyle name="Normal 2 2 5" xfId="245" xr:uid="{71E7C63B-79DF-4ADD-A65D-E88D1900249D}"/>
    <cellStyle name="Normal 2 3" xfId="180" xr:uid="{00000000-0005-0000-0000-0000B5000000}"/>
    <cellStyle name="Normal 2 4" xfId="236" xr:uid="{F06EDA38-C0D5-47E0-AF8A-F9E56F82A1AA}"/>
    <cellStyle name="Normal 2_2009-Oct 2021 RR Current" xfId="181" xr:uid="{00000000-0005-0000-0000-0000B6000000}"/>
    <cellStyle name="Normal 3" xfId="182" xr:uid="{00000000-0005-0000-0000-0000B7000000}"/>
    <cellStyle name="Normal 3 2" xfId="183" xr:uid="{00000000-0005-0000-0000-0000B8000000}"/>
    <cellStyle name="Normal 4" xfId="184" xr:uid="{00000000-0005-0000-0000-0000B9000000}"/>
    <cellStyle name="Normal 4 2" xfId="185" xr:uid="{00000000-0005-0000-0000-0000BA000000}"/>
    <cellStyle name="Normal 4 2 2" xfId="233" xr:uid="{BBD1213B-C2CF-4CA4-A5A1-93F456F3AB17}"/>
    <cellStyle name="Normal 4 3 2" xfId="235" xr:uid="{DBE3F030-FA2B-48BE-BF0B-C763EFF38509}"/>
    <cellStyle name="Normal 5" xfId="186" xr:uid="{00000000-0005-0000-0000-0000BB000000}"/>
    <cellStyle name="Normal 5 2" xfId="187" xr:uid="{00000000-0005-0000-0000-0000BC000000}"/>
    <cellStyle name="Normal 5 2 2 2" xfId="230" xr:uid="{95BECE48-3354-44FD-ADB1-172921C58F9A}"/>
    <cellStyle name="Normal 6" xfId="188" xr:uid="{00000000-0005-0000-0000-0000BD000000}"/>
    <cellStyle name="Normal 6 2" xfId="189" xr:uid="{00000000-0005-0000-0000-0000BE000000}"/>
    <cellStyle name="Normal 7" xfId="190" xr:uid="{00000000-0005-0000-0000-0000BF000000}"/>
    <cellStyle name="Normal 7 2" xfId="191" xr:uid="{00000000-0005-0000-0000-0000C0000000}"/>
    <cellStyle name="Normal 8" xfId="192" xr:uid="{00000000-0005-0000-0000-0000C1000000}"/>
    <cellStyle name="Normal 9" xfId="193" xr:uid="{00000000-0005-0000-0000-0000C2000000}"/>
    <cellStyle name="Normal_2008-2040 FPL Hourly Fcst (Jan2009 Update) JAN1309" xfId="194" xr:uid="{00000000-0005-0000-0000-0000C3000000}"/>
    <cellStyle name="Normal_FC - Supply Only A" xfId="195" xr:uid="{00000000-0005-0000-0000-0000C5000000}"/>
    <cellStyle name="Normal_system average levelized rate" xfId="196" xr:uid="{00000000-0005-0000-0000-0000C6000000}"/>
    <cellStyle name="Note" xfId="197" builtinId="10" customBuiltin="1"/>
    <cellStyle name="Note 2" xfId="198" xr:uid="{00000000-0005-0000-0000-0000C8000000}"/>
    <cellStyle name="Output" xfId="199" builtinId="21" customBuiltin="1"/>
    <cellStyle name="Output 2" xfId="200" xr:uid="{00000000-0005-0000-0000-0000CA000000}"/>
    <cellStyle name="Output Amounts" xfId="201" xr:uid="{00000000-0005-0000-0000-0000CB000000}"/>
    <cellStyle name="Output Column Headings" xfId="202" xr:uid="{00000000-0005-0000-0000-0000CC000000}"/>
    <cellStyle name="Output Line Items" xfId="203" xr:uid="{00000000-0005-0000-0000-0000CD000000}"/>
    <cellStyle name="Output Report Heading" xfId="204" xr:uid="{00000000-0005-0000-0000-0000CE000000}"/>
    <cellStyle name="Output Report Title" xfId="205" xr:uid="{00000000-0005-0000-0000-0000CF000000}"/>
    <cellStyle name="Percent" xfId="206" builtinId="5"/>
    <cellStyle name="Percent [2]" xfId="207" xr:uid="{00000000-0005-0000-0000-0000D1000000}"/>
    <cellStyle name="Percent 2" xfId="208" xr:uid="{00000000-0005-0000-0000-0000D2000000}"/>
    <cellStyle name="Percent 2 2" xfId="209" xr:uid="{00000000-0005-0000-0000-0000D3000000}"/>
    <cellStyle name="Percent 2 3" xfId="231" xr:uid="{2AFF157F-BA35-411C-85C5-3EC5EE6AD9C0}"/>
    <cellStyle name="Percent 3" xfId="210" xr:uid="{00000000-0005-0000-0000-0000D4000000}"/>
    <cellStyle name="Price" xfId="211" xr:uid="{00000000-0005-0000-0000-0000D5000000}"/>
    <cellStyle name="ReportHeader" xfId="212" xr:uid="{00000000-0005-0000-0000-0000D6000000}"/>
    <cellStyle name="ResolvedCell" xfId="237" xr:uid="{97D5F71E-FBEB-491A-A8BF-C95754BA9DC1}"/>
    <cellStyle name="RevList" xfId="213" xr:uid="{00000000-0005-0000-0000-0000D7000000}"/>
    <cellStyle name="Style 1" xfId="214" xr:uid="{00000000-0005-0000-0000-0000D8000000}"/>
    <cellStyle name="Style 1 2" xfId="215" xr:uid="{00000000-0005-0000-0000-0000D9000000}"/>
    <cellStyle name="Style 1 3" xfId="216" xr:uid="{00000000-0005-0000-0000-0000DA000000}"/>
    <cellStyle name="Style 1_MTHLY_MWH_to EOC_AS AVAILABLE" xfId="217" xr:uid="{00000000-0005-0000-0000-0000DB000000}"/>
    <cellStyle name="Subtotal" xfId="218" xr:uid="{00000000-0005-0000-0000-0000DC000000}"/>
    <cellStyle name="Title" xfId="219" builtinId="15" customBuiltin="1"/>
    <cellStyle name="Title 2" xfId="220" xr:uid="{00000000-0005-0000-0000-0000DE000000}"/>
    <cellStyle name="Total" xfId="221" builtinId="25" customBuiltin="1"/>
    <cellStyle name="Total 2" xfId="222" xr:uid="{00000000-0005-0000-0000-0000E0000000}"/>
    <cellStyle name="Unit" xfId="223" xr:uid="{00000000-0005-0000-0000-0000E1000000}"/>
    <cellStyle name="Warning Text" xfId="224" builtinId="11" customBuiltin="1"/>
    <cellStyle name="Warning Text 2" xfId="225" xr:uid="{00000000-0005-0000-0000-0000E3000000}"/>
    <cellStyle name="Yield" xfId="226" xr:uid="{00000000-0005-0000-0000-0000E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5"/>
  <sheetViews>
    <sheetView tabSelected="1" zoomScale="85" workbookViewId="0"/>
  </sheetViews>
  <sheetFormatPr defaultColWidth="10.28515625" defaultRowHeight="15"/>
  <cols>
    <col min="1" max="1" width="10.28515625" style="3" customWidth="1"/>
    <col min="2" max="2" width="10.28515625" style="4" customWidth="1"/>
    <col min="3" max="3" width="13.5703125" style="4" bestFit="1" customWidth="1"/>
    <col min="4" max="4" width="12" style="4" bestFit="1" customWidth="1"/>
    <col min="5" max="5" width="14.140625" style="4" bestFit="1" customWidth="1"/>
    <col min="6" max="6" width="10.42578125" style="4" bestFit="1" customWidth="1"/>
    <col min="7" max="7" width="10.85546875" style="4" bestFit="1" customWidth="1"/>
    <col min="8" max="8" width="18" style="4" bestFit="1" customWidth="1"/>
    <col min="9" max="9" width="12.140625" style="4" bestFit="1" customWidth="1"/>
    <col min="10" max="10" width="9.42578125" style="4" customWidth="1"/>
    <col min="11" max="11" width="13.5703125" style="4" bestFit="1" customWidth="1"/>
    <col min="12" max="12" width="13.28515625" style="4" bestFit="1" customWidth="1"/>
    <col min="13" max="13" width="17.5703125" style="3" bestFit="1" customWidth="1"/>
    <col min="14" max="14" width="13.140625" style="3" bestFit="1" customWidth="1"/>
    <col min="15" max="15" width="12.28515625" style="3" bestFit="1" customWidth="1"/>
    <col min="16" max="16" width="15.7109375" style="3" bestFit="1" customWidth="1"/>
    <col min="17" max="18" width="15" style="3" bestFit="1" customWidth="1"/>
    <col min="19" max="20" width="16" style="3" bestFit="1" customWidth="1"/>
    <col min="21" max="21" width="16.85546875" style="3" customWidth="1"/>
    <col min="22" max="22" width="5.28515625" style="3" bestFit="1" customWidth="1"/>
    <col min="23" max="23" width="22.140625" style="3" bestFit="1" customWidth="1"/>
    <col min="24" max="24" width="21" style="3" bestFit="1" customWidth="1"/>
    <col min="25" max="25" width="18.5703125" style="3" bestFit="1" customWidth="1"/>
    <col min="26" max="26" width="16.85546875" style="3" customWidth="1"/>
    <col min="27" max="27" width="3.7109375" style="3" customWidth="1"/>
    <col min="28" max="28" width="5.85546875" style="3" bestFit="1" customWidth="1"/>
    <col min="29" max="29" width="14.5703125" style="4" customWidth="1"/>
    <col min="30" max="31" width="14" style="4" bestFit="1" customWidth="1"/>
    <col min="32" max="32" width="13.42578125" style="4" bestFit="1" customWidth="1"/>
    <col min="33" max="16384" width="10.28515625" style="4"/>
  </cols>
  <sheetData>
    <row r="1" spans="1:35" ht="15.75">
      <c r="A1" s="185" t="s">
        <v>80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9"/>
      <c r="V1" s="19"/>
      <c r="W1" s="19"/>
      <c r="X1" s="19"/>
      <c r="Y1" s="19"/>
      <c r="Z1" s="19"/>
    </row>
    <row r="2" spans="1:35">
      <c r="A2" s="185" t="s">
        <v>81</v>
      </c>
    </row>
    <row r="3" spans="1:35" ht="18.75">
      <c r="A3" s="178" t="s">
        <v>78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"/>
      <c r="V3" s="1"/>
      <c r="W3" s="1"/>
      <c r="X3" s="1"/>
      <c r="Y3" s="1"/>
      <c r="Z3" s="1"/>
    </row>
    <row r="4" spans="1:35" ht="18.75">
      <c r="A4" s="1"/>
      <c r="B4" s="1"/>
      <c r="C4" s="1"/>
      <c r="D4" s="1"/>
      <c r="E4" s="1"/>
      <c r="F4" s="1"/>
      <c r="G4" s="1"/>
      <c r="H4" s="5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35">
      <c r="A6" s="22"/>
      <c r="B6" s="26">
        <v>-1</v>
      </c>
      <c r="C6" s="26">
        <v>-2</v>
      </c>
      <c r="D6" s="100">
        <v>-3</v>
      </c>
      <c r="E6" s="100">
        <v>-4</v>
      </c>
      <c r="F6" s="100">
        <v>-5</v>
      </c>
      <c r="G6" s="23">
        <v>-6</v>
      </c>
      <c r="H6" s="26" t="s">
        <v>55</v>
      </c>
      <c r="I6" s="105">
        <v>-8</v>
      </c>
      <c r="J6" s="105">
        <v>-9</v>
      </c>
      <c r="K6" s="81">
        <v>-10</v>
      </c>
      <c r="L6" s="26" t="s">
        <v>58</v>
      </c>
      <c r="M6" s="23" t="s">
        <v>59</v>
      </c>
      <c r="N6" s="49">
        <v>-13</v>
      </c>
      <c r="O6" s="50">
        <v>-14</v>
      </c>
      <c r="P6" s="26" t="s">
        <v>60</v>
      </c>
      <c r="Q6" s="23" t="s">
        <v>61</v>
      </c>
      <c r="R6" s="26" t="s">
        <v>62</v>
      </c>
      <c r="S6" s="23">
        <v>-18</v>
      </c>
      <c r="T6" s="26" t="s">
        <v>63</v>
      </c>
      <c r="U6" s="5"/>
      <c r="V6" s="5"/>
      <c r="W6" s="5">
        <v>1000000</v>
      </c>
      <c r="X6" s="5"/>
      <c r="Y6" s="5"/>
      <c r="Z6" s="5"/>
      <c r="AB6" s="41"/>
      <c r="AC6" s="38"/>
      <c r="AD6" s="38"/>
      <c r="AE6" s="38"/>
      <c r="AF6" s="39"/>
      <c r="AG6" s="39"/>
    </row>
    <row r="7" spans="1:35">
      <c r="A7" s="24"/>
      <c r="B7" s="93" t="s">
        <v>0</v>
      </c>
      <c r="C7" s="97"/>
      <c r="D7" s="101"/>
      <c r="E7" s="101"/>
      <c r="F7" s="102" t="s">
        <v>35</v>
      </c>
      <c r="H7" s="27" t="s">
        <v>56</v>
      </c>
      <c r="I7" s="106" t="s">
        <v>44</v>
      </c>
      <c r="J7" s="106" t="s">
        <v>41</v>
      </c>
      <c r="K7" s="82" t="s">
        <v>41</v>
      </c>
      <c r="L7" s="27" t="s">
        <v>57</v>
      </c>
      <c r="M7" s="25" t="s">
        <v>0</v>
      </c>
      <c r="N7" s="51"/>
      <c r="O7" s="52"/>
      <c r="P7" s="27" t="s">
        <v>0</v>
      </c>
      <c r="Q7" s="25" t="s">
        <v>19</v>
      </c>
      <c r="R7" s="27" t="s">
        <v>2</v>
      </c>
      <c r="S7" s="25" t="s">
        <v>19</v>
      </c>
      <c r="T7" s="27" t="s">
        <v>2</v>
      </c>
      <c r="W7" s="115"/>
      <c r="X7" s="115"/>
      <c r="Y7" s="115"/>
      <c r="AB7" s="41"/>
      <c r="AC7" s="38"/>
      <c r="AD7" s="38"/>
      <c r="AE7" s="38"/>
      <c r="AF7" s="39"/>
      <c r="AG7" s="39"/>
    </row>
    <row r="8" spans="1:35">
      <c r="A8" s="24"/>
      <c r="B8" s="93" t="s">
        <v>3</v>
      </c>
      <c r="C8" s="27" t="s">
        <v>0</v>
      </c>
      <c r="D8" s="102" t="s">
        <v>35</v>
      </c>
      <c r="E8" s="102" t="s">
        <v>35</v>
      </c>
      <c r="F8" s="102" t="s">
        <v>51</v>
      </c>
      <c r="G8" s="25" t="s">
        <v>4</v>
      </c>
      <c r="H8" s="27" t="s">
        <v>46</v>
      </c>
      <c r="I8" s="106" t="s">
        <v>45</v>
      </c>
      <c r="J8" s="106" t="s">
        <v>35</v>
      </c>
      <c r="K8" s="82" t="s">
        <v>8</v>
      </c>
      <c r="L8" s="27" t="s">
        <v>0</v>
      </c>
      <c r="M8" s="25" t="s">
        <v>20</v>
      </c>
      <c r="N8" s="51" t="s">
        <v>0</v>
      </c>
      <c r="O8" s="41" t="s">
        <v>0</v>
      </c>
      <c r="P8" s="27" t="s">
        <v>32</v>
      </c>
      <c r="Q8" s="25" t="s">
        <v>0</v>
      </c>
      <c r="R8" s="27" t="s">
        <v>0</v>
      </c>
      <c r="S8" s="25" t="s">
        <v>21</v>
      </c>
      <c r="T8" s="27" t="s">
        <v>21</v>
      </c>
      <c r="W8" s="52"/>
      <c r="X8" s="3" t="s">
        <v>38</v>
      </c>
      <c r="AB8" s="41"/>
      <c r="AC8" s="41"/>
      <c r="AD8" s="38"/>
      <c r="AE8" s="39"/>
      <c r="AF8" s="41"/>
      <c r="AG8" s="39"/>
      <c r="AH8" s="15"/>
      <c r="AI8" s="15"/>
    </row>
    <row r="9" spans="1:35" ht="15.75" thickBot="1">
      <c r="A9" s="24"/>
      <c r="B9" s="93" t="s">
        <v>22</v>
      </c>
      <c r="C9" s="27" t="s">
        <v>28</v>
      </c>
      <c r="D9" s="102" t="s">
        <v>42</v>
      </c>
      <c r="E9" s="102" t="s">
        <v>43</v>
      </c>
      <c r="F9" s="102" t="s">
        <v>50</v>
      </c>
      <c r="G9" s="25" t="s">
        <v>29</v>
      </c>
      <c r="H9" s="27" t="s">
        <v>29</v>
      </c>
      <c r="I9" s="106" t="s">
        <v>10</v>
      </c>
      <c r="J9" s="106" t="s">
        <v>10</v>
      </c>
      <c r="K9" s="82" t="s">
        <v>10</v>
      </c>
      <c r="L9" s="27" t="s">
        <v>34</v>
      </c>
      <c r="M9" s="25" t="s">
        <v>23</v>
      </c>
      <c r="N9" s="51" t="s">
        <v>30</v>
      </c>
      <c r="O9" s="41" t="s">
        <v>31</v>
      </c>
      <c r="P9" s="27" t="s">
        <v>33</v>
      </c>
      <c r="Q9" s="25" t="s">
        <v>24</v>
      </c>
      <c r="R9" s="27" t="s">
        <v>24</v>
      </c>
      <c r="S9" s="25" t="s">
        <v>25</v>
      </c>
      <c r="T9" s="27" t="s">
        <v>25</v>
      </c>
      <c r="W9" s="3" t="s">
        <v>36</v>
      </c>
      <c r="X9" s="3" t="s">
        <v>39</v>
      </c>
      <c r="AB9" s="41"/>
      <c r="AC9" s="39" t="s">
        <v>77</v>
      </c>
      <c r="AD9" s="39"/>
      <c r="AE9" s="39"/>
      <c r="AF9" s="41"/>
      <c r="AG9" s="39"/>
      <c r="AH9" s="15"/>
      <c r="AI9" s="15"/>
    </row>
    <row r="10" spans="1:35" ht="15.75" thickBot="1">
      <c r="A10" s="30" t="s">
        <v>13</v>
      </c>
      <c r="B10" s="94">
        <f>'Fixed Costs - RIM'!$C$8</f>
        <v>8.1438910919999996E-2</v>
      </c>
      <c r="C10" s="36" t="s">
        <v>17</v>
      </c>
      <c r="D10" s="103" t="s">
        <v>17</v>
      </c>
      <c r="E10" s="103" t="s">
        <v>17</v>
      </c>
      <c r="F10" s="103" t="s">
        <v>17</v>
      </c>
      <c r="G10" s="35" t="s">
        <v>17</v>
      </c>
      <c r="H10" s="36" t="s">
        <v>17</v>
      </c>
      <c r="I10" s="107" t="s">
        <v>17</v>
      </c>
      <c r="J10" s="107" t="s">
        <v>17</v>
      </c>
      <c r="K10" s="83" t="s">
        <v>17</v>
      </c>
      <c r="L10" s="36" t="s">
        <v>17</v>
      </c>
      <c r="M10" s="35" t="s">
        <v>17</v>
      </c>
      <c r="N10" s="53" t="s">
        <v>26</v>
      </c>
      <c r="O10" s="54" t="s">
        <v>26</v>
      </c>
      <c r="P10" s="31" t="s">
        <v>26</v>
      </c>
      <c r="Q10" s="32" t="s">
        <v>27</v>
      </c>
      <c r="R10" s="31" t="s">
        <v>27</v>
      </c>
      <c r="S10" s="32" t="s">
        <v>27</v>
      </c>
      <c r="T10" s="31" t="s">
        <v>27</v>
      </c>
      <c r="U10" s="6"/>
      <c r="V10" s="6" t="s">
        <v>13</v>
      </c>
      <c r="W10" s="6" t="s">
        <v>37</v>
      </c>
      <c r="X10" s="6" t="s">
        <v>40</v>
      </c>
      <c r="Y10" s="109" t="s">
        <v>1</v>
      </c>
      <c r="Z10" s="6"/>
      <c r="AB10" s="41"/>
      <c r="AC10" s="41"/>
      <c r="AD10" s="41"/>
      <c r="AE10" s="39"/>
      <c r="AF10" s="41"/>
      <c r="AG10" s="39"/>
      <c r="AH10" s="15"/>
      <c r="AI10" s="15"/>
    </row>
    <row r="11" spans="1:35" ht="15.75" thickTop="1">
      <c r="A11" s="28">
        <v>2024</v>
      </c>
      <c r="B11" s="95">
        <v>1</v>
      </c>
      <c r="C11" s="33">
        <f>'Fixed Costs - RIM'!L9*1000</f>
        <v>2699245.8964895969</v>
      </c>
      <c r="D11" s="104">
        <v>0</v>
      </c>
      <c r="E11" s="104">
        <v>0</v>
      </c>
      <c r="F11" s="104">
        <v>0</v>
      </c>
      <c r="G11" s="33">
        <f>'Fixed Costs - RIM'!G9*1000</f>
        <v>172692.60292053223</v>
      </c>
      <c r="H11" s="37">
        <f t="shared" ref="H11:H57" si="0">SUM(D11:G11)</f>
        <v>172692.60292053223</v>
      </c>
      <c r="I11" s="108">
        <f>X11/1000</f>
        <v>109833.20258635563</v>
      </c>
      <c r="J11" s="108">
        <f>W11/1000</f>
        <v>29443.389429999999</v>
      </c>
      <c r="K11" s="84">
        <v>10859878.200178469</v>
      </c>
      <c r="L11" s="33">
        <f>SUM(I11:K11)</f>
        <v>10999154.792194825</v>
      </c>
      <c r="M11" s="33">
        <f t="shared" ref="M11:M57" si="1">C11+H11+L11</f>
        <v>13871093.291604955</v>
      </c>
      <c r="N11" s="33">
        <f>NEL!B4/1000</f>
        <v>140469.03977881325</v>
      </c>
      <c r="O11" s="92">
        <v>113.16277017307091</v>
      </c>
      <c r="P11" s="33">
        <f t="shared" ref="P11:P40" si="2">N11-O11</f>
        <v>140355.87700864018</v>
      </c>
      <c r="Q11" s="57">
        <f t="shared" ref="Q11:Q40" si="3">(M11/P11)/10</f>
        <v>9.8828019084309968</v>
      </c>
      <c r="R11" s="29">
        <f t="shared" ref="R11:R57" si="4">Q11*B11</f>
        <v>9.8828019084309968</v>
      </c>
      <c r="S11" s="112">
        <v>14.831099108365679</v>
      </c>
      <c r="T11" s="34">
        <f t="shared" ref="T11:T57" si="5">S11*B11</f>
        <v>14.831099108365679</v>
      </c>
      <c r="U11" s="120"/>
      <c r="V11" s="56">
        <f t="shared" ref="V11:V57" si="6">A11</f>
        <v>2024</v>
      </c>
      <c r="W11" s="16">
        <v>29443389.43</v>
      </c>
      <c r="X11" s="16">
        <v>109833202.58635563</v>
      </c>
      <c r="Y11" s="110">
        <f>W11+X11</f>
        <v>139276592.01635563</v>
      </c>
      <c r="Z11" s="14"/>
      <c r="AB11" s="41"/>
      <c r="AC11" s="41">
        <v>0</v>
      </c>
      <c r="AD11" s="40"/>
      <c r="AE11" s="39"/>
      <c r="AF11" s="42"/>
      <c r="AG11" s="39"/>
      <c r="AH11" s="15"/>
      <c r="AI11" s="15"/>
    </row>
    <row r="12" spans="1:35">
      <c r="A12" s="28">
        <f t="shared" ref="A12:A57" si="7">A11+1</f>
        <v>2025</v>
      </c>
      <c r="B12" s="95">
        <f t="shared" ref="B12:B40" si="8">B11/(1+$B$10)</f>
        <v>0.92469393314993775</v>
      </c>
      <c r="C12" s="33">
        <f>'Fixed Costs - RIM'!L10*1000</f>
        <v>2847612.687063023</v>
      </c>
      <c r="D12" s="104">
        <v>948.69405355913079</v>
      </c>
      <c r="E12" s="104">
        <v>525.34029853007337</v>
      </c>
      <c r="F12" s="104">
        <v>0</v>
      </c>
      <c r="G12" s="33">
        <f>'Fixed Costs - RIM'!G10*1000</f>
        <v>365018.49858474685</v>
      </c>
      <c r="H12" s="37">
        <f t="shared" si="0"/>
        <v>366492.53293683607</v>
      </c>
      <c r="I12" s="108">
        <f t="shared" ref="I12:I45" si="9">X12/1000</f>
        <v>109833.20258635563</v>
      </c>
      <c r="J12" s="108">
        <f>W12/1000</f>
        <v>29443.389429999999</v>
      </c>
      <c r="K12" s="84">
        <v>11202336.756806841</v>
      </c>
      <c r="L12" s="33">
        <f t="shared" ref="L12:L40" si="10">SUM(I12:K12)</f>
        <v>11341613.348823197</v>
      </c>
      <c r="M12" s="33">
        <f t="shared" si="1"/>
        <v>14555718.568823056</v>
      </c>
      <c r="N12" s="33">
        <f>NEL!B5/1000</f>
        <v>141760.59545007616</v>
      </c>
      <c r="O12" s="92">
        <f>O11+AC12</f>
        <v>113.31761008288137</v>
      </c>
      <c r="P12" s="33">
        <f t="shared" si="2"/>
        <v>141647.27783999327</v>
      </c>
      <c r="Q12" s="57">
        <f t="shared" si="3"/>
        <v>10.276031273446284</v>
      </c>
      <c r="R12" s="29">
        <f t="shared" si="4"/>
        <v>9.5021837754148084</v>
      </c>
      <c r="S12" s="55">
        <f t="shared" ref="S12:S37" si="11">S11</f>
        <v>14.831099108365679</v>
      </c>
      <c r="T12" s="34">
        <f t="shared" si="5"/>
        <v>13.714227367451194</v>
      </c>
      <c r="U12" s="120"/>
      <c r="V12" s="56">
        <f t="shared" si="6"/>
        <v>2025</v>
      </c>
      <c r="W12" s="16">
        <v>29443389.43</v>
      </c>
      <c r="X12" s="16">
        <v>109833202.58635563</v>
      </c>
      <c r="Y12" s="110">
        <f t="shared" ref="Y12:Y51" si="12">W12+X12</f>
        <v>139276592.01635563</v>
      </c>
      <c r="Z12" s="14"/>
      <c r="AB12" s="41"/>
      <c r="AC12" s="150">
        <v>0.15483990981046566</v>
      </c>
      <c r="AD12" s="42"/>
      <c r="AE12" s="39"/>
      <c r="AF12" s="41"/>
      <c r="AG12" s="39"/>
      <c r="AH12" s="15"/>
      <c r="AI12" s="15"/>
    </row>
    <row r="13" spans="1:35">
      <c r="A13" s="28">
        <f t="shared" si="7"/>
        <v>2026</v>
      </c>
      <c r="B13" s="95">
        <f t="shared" si="8"/>
        <v>0.85505887000430159</v>
      </c>
      <c r="C13" s="33">
        <f>'Fixed Costs - RIM'!L11*1000</f>
        <v>2961980.035792354</v>
      </c>
      <c r="D13" s="104">
        <v>1332.4434916931327</v>
      </c>
      <c r="E13" s="104">
        <v>1576.4453834162168</v>
      </c>
      <c r="F13" s="104">
        <v>-209.54175261687394</v>
      </c>
      <c r="G13" s="33">
        <f>'Fixed Costs - RIM'!G11*1000</f>
        <v>1002077.1925048828</v>
      </c>
      <c r="H13" s="37">
        <f t="shared" si="0"/>
        <v>1004776.5396273753</v>
      </c>
      <c r="I13" s="108">
        <f t="shared" si="9"/>
        <v>109833.20258635563</v>
      </c>
      <c r="J13" s="108">
        <f t="shared" ref="J13:J19" si="13">W13/1000</f>
        <v>29443.389429999999</v>
      </c>
      <c r="K13" s="84">
        <v>12157659.839351771</v>
      </c>
      <c r="L13" s="33">
        <f t="shared" si="10"/>
        <v>12296936.431368127</v>
      </c>
      <c r="M13" s="33">
        <f t="shared" si="1"/>
        <v>16263693.006787857</v>
      </c>
      <c r="N13" s="33">
        <f>NEL!B6/1000</f>
        <v>142991.00188578918</v>
      </c>
      <c r="O13" s="33">
        <f>O12+AC13</f>
        <v>113.47204534292675</v>
      </c>
      <c r="P13" s="33">
        <f t="shared" si="2"/>
        <v>142877.52984044625</v>
      </c>
      <c r="Q13" s="57">
        <f t="shared" si="3"/>
        <v>11.382960655149763</v>
      </c>
      <c r="R13" s="29">
        <f t="shared" si="4"/>
        <v>9.7331014750957809</v>
      </c>
      <c r="S13" s="55">
        <f t="shared" si="11"/>
        <v>14.831099108365679</v>
      </c>
      <c r="T13" s="34">
        <f t="shared" si="5"/>
        <v>12.681462844520963</v>
      </c>
      <c r="U13" s="120"/>
      <c r="V13" s="56">
        <f t="shared" si="6"/>
        <v>2026</v>
      </c>
      <c r="W13" s="16">
        <v>29443389.43</v>
      </c>
      <c r="X13" s="16">
        <f>X12</f>
        <v>109833202.58635563</v>
      </c>
      <c r="Y13" s="110">
        <f t="shared" si="12"/>
        <v>139276592.01635563</v>
      </c>
      <c r="Z13" s="14"/>
      <c r="AB13" s="41"/>
      <c r="AC13" s="43">
        <v>0.15443526004537253</v>
      </c>
      <c r="AD13" s="44"/>
      <c r="AE13" s="44"/>
      <c r="AF13" s="41"/>
      <c r="AG13" s="41"/>
      <c r="AH13" s="15"/>
      <c r="AI13" s="15"/>
    </row>
    <row r="14" spans="1:35">
      <c r="A14" s="28">
        <f t="shared" si="7"/>
        <v>2027</v>
      </c>
      <c r="B14" s="95">
        <f t="shared" si="8"/>
        <v>0.79066774957901897</v>
      </c>
      <c r="C14" s="33">
        <f>'Fixed Costs - RIM'!L12*1000</f>
        <v>2534977.5223157494</v>
      </c>
      <c r="D14" s="104">
        <v>1709.884928462533</v>
      </c>
      <c r="E14" s="104">
        <v>2628.296099748191</v>
      </c>
      <c r="F14" s="104">
        <v>-413.56753381553432</v>
      </c>
      <c r="G14" s="33">
        <f>'Fixed Costs - RIM'!G12*1000</f>
        <v>1518427.0116348239</v>
      </c>
      <c r="H14" s="37">
        <f t="shared" si="0"/>
        <v>1522351.6251292191</v>
      </c>
      <c r="I14" s="108">
        <f t="shared" si="9"/>
        <v>109833.20258635563</v>
      </c>
      <c r="J14" s="108">
        <f t="shared" si="13"/>
        <v>29443.389429999999</v>
      </c>
      <c r="K14" s="84">
        <v>12794985.855433038</v>
      </c>
      <c r="L14" s="33">
        <f t="shared" si="10"/>
        <v>12934262.447449394</v>
      </c>
      <c r="M14" s="33">
        <f t="shared" si="1"/>
        <v>16991591.594894361</v>
      </c>
      <c r="N14" s="33">
        <f>NEL!B7/1000</f>
        <v>144052.94912134702</v>
      </c>
      <c r="O14" s="33">
        <f t="shared" ref="O14:O21" si="14">O13+AC14</f>
        <v>113.6262059641178</v>
      </c>
      <c r="P14" s="33">
        <f t="shared" si="2"/>
        <v>143939.32291538289</v>
      </c>
      <c r="Q14" s="57">
        <f t="shared" si="3"/>
        <v>11.804690511767344</v>
      </c>
      <c r="R14" s="29">
        <f t="shared" si="4"/>
        <v>9.3335880814158845</v>
      </c>
      <c r="S14" s="55">
        <f t="shared" si="11"/>
        <v>14.831099108365679</v>
      </c>
      <c r="T14" s="34">
        <f t="shared" si="5"/>
        <v>11.726471755794886</v>
      </c>
      <c r="U14" s="120"/>
      <c r="V14" s="56">
        <f t="shared" si="6"/>
        <v>2027</v>
      </c>
      <c r="W14" s="16">
        <v>29443389.43</v>
      </c>
      <c r="X14" s="96">
        <f>X13</f>
        <v>109833202.58635563</v>
      </c>
      <c r="Y14" s="110">
        <f t="shared" si="12"/>
        <v>139276592.01635563</v>
      </c>
      <c r="Z14" s="14"/>
      <c r="AB14" s="41"/>
      <c r="AC14" s="39">
        <v>0.15416062119104676</v>
      </c>
      <c r="AD14" s="45"/>
      <c r="AE14" s="46"/>
      <c r="AF14" s="42"/>
      <c r="AG14" s="47"/>
      <c r="AH14" s="15"/>
      <c r="AI14" s="15"/>
    </row>
    <row r="15" spans="1:35">
      <c r="A15" s="28">
        <f t="shared" si="7"/>
        <v>2028</v>
      </c>
      <c r="B15" s="95">
        <f t="shared" si="8"/>
        <v>0.73112567117303318</v>
      </c>
      <c r="C15" s="33">
        <f>'Fixed Costs - RIM'!L13*1000</f>
        <v>2353351.2226845655</v>
      </c>
      <c r="D15" s="104">
        <v>2075.8012999400817</v>
      </c>
      <c r="E15" s="104">
        <v>3576.6388271594305</v>
      </c>
      <c r="F15" s="104">
        <v>-620.40777874884236</v>
      </c>
      <c r="G15" s="33">
        <f>'Fixed Costs - RIM'!G13*1000</f>
        <v>2000223.4958725006</v>
      </c>
      <c r="H15" s="37">
        <f t="shared" si="0"/>
        <v>2005255.5282208512</v>
      </c>
      <c r="I15" s="108">
        <f t="shared" si="9"/>
        <v>109833.20258635563</v>
      </c>
      <c r="J15" s="108">
        <f t="shared" si="13"/>
        <v>29443.389429999999</v>
      </c>
      <c r="K15" s="84">
        <v>13073195.357879939</v>
      </c>
      <c r="L15" s="33">
        <f t="shared" si="10"/>
        <v>13212471.949896295</v>
      </c>
      <c r="M15" s="33">
        <f t="shared" si="1"/>
        <v>17571078.700801712</v>
      </c>
      <c r="N15" s="33">
        <f>NEL!B8/1000</f>
        <v>145101.0749486612</v>
      </c>
      <c r="O15" s="33">
        <f t="shared" si="14"/>
        <v>113.75280772013259</v>
      </c>
      <c r="P15" s="33">
        <f t="shared" si="2"/>
        <v>144987.32214094108</v>
      </c>
      <c r="Q15" s="57">
        <f t="shared" si="3"/>
        <v>12.119044921542173</v>
      </c>
      <c r="R15" s="29">
        <f t="shared" si="4"/>
        <v>8.860544852238661</v>
      </c>
      <c r="S15" s="55">
        <f t="shared" si="11"/>
        <v>14.831099108365679</v>
      </c>
      <c r="T15" s="34">
        <f t="shared" si="5"/>
        <v>10.843397289837631</v>
      </c>
      <c r="U15" s="120"/>
      <c r="V15" s="56">
        <f t="shared" si="6"/>
        <v>2028</v>
      </c>
      <c r="W15" s="16">
        <v>29443389.43</v>
      </c>
      <c r="X15" s="96">
        <f t="shared" ref="X15:X57" si="15">X14</f>
        <v>109833202.58635563</v>
      </c>
      <c r="Y15" s="110">
        <f t="shared" si="12"/>
        <v>139276592.01635563</v>
      </c>
      <c r="Z15" s="14"/>
      <c r="AB15" s="41"/>
      <c r="AC15" s="39">
        <v>0.12660175601478996</v>
      </c>
      <c r="AD15" s="39"/>
      <c r="AE15" s="39"/>
      <c r="AF15" s="42"/>
      <c r="AG15" s="48"/>
      <c r="AH15" s="15"/>
      <c r="AI15" s="15"/>
    </row>
    <row r="16" spans="1:35">
      <c r="A16" s="28">
        <f t="shared" si="7"/>
        <v>2029</v>
      </c>
      <c r="B16" s="95">
        <f t="shared" si="8"/>
        <v>0.67606747250388011</v>
      </c>
      <c r="C16" s="33">
        <f>'Fixed Costs - RIM'!L14*1000</f>
        <v>2086766.5197560273</v>
      </c>
      <c r="D16" s="104">
        <v>2456.2196112779025</v>
      </c>
      <c r="E16" s="104">
        <v>4422.3018380485064</v>
      </c>
      <c r="F16" s="104">
        <v>-830.48014881015956</v>
      </c>
      <c r="G16" s="33">
        <f>'Fixed Costs - RIM'!G14*1000</f>
        <v>2470101.9975128123</v>
      </c>
      <c r="H16" s="37">
        <f t="shared" si="0"/>
        <v>2476150.0388133284</v>
      </c>
      <c r="I16" s="108">
        <f t="shared" si="9"/>
        <v>109833.20258635563</v>
      </c>
      <c r="J16" s="108">
        <f t="shared" si="13"/>
        <v>29443.389429999999</v>
      </c>
      <c r="K16" s="84">
        <v>13452685.131728483</v>
      </c>
      <c r="L16" s="33">
        <f t="shared" si="10"/>
        <v>13591961.723744839</v>
      </c>
      <c r="M16" s="33">
        <f t="shared" si="1"/>
        <v>18154878.282314196</v>
      </c>
      <c r="N16" s="33">
        <f>NEL!B9/1000</f>
        <v>146550.77966747939</v>
      </c>
      <c r="O16" s="33">
        <f t="shared" si="14"/>
        <v>113.87901783994764</v>
      </c>
      <c r="P16" s="33">
        <f t="shared" si="2"/>
        <v>146436.90064963946</v>
      </c>
      <c r="Q16" s="57">
        <f t="shared" si="3"/>
        <v>12.397748246359717</v>
      </c>
      <c r="R16" s="29">
        <f t="shared" si="4"/>
        <v>8.3817143216558261</v>
      </c>
      <c r="S16" s="55">
        <f t="shared" si="11"/>
        <v>14.831099108365679</v>
      </c>
      <c r="T16" s="34">
        <f t="shared" si="5"/>
        <v>10.026823688647335</v>
      </c>
      <c r="U16" s="120"/>
      <c r="V16" s="56">
        <f t="shared" si="6"/>
        <v>2029</v>
      </c>
      <c r="W16" s="16">
        <v>29443389.43</v>
      </c>
      <c r="X16" s="96">
        <f t="shared" si="15"/>
        <v>109833202.58635563</v>
      </c>
      <c r="Y16" s="110">
        <f t="shared" si="12"/>
        <v>139276592.01635563</v>
      </c>
      <c r="Z16" s="14"/>
      <c r="AB16" s="41"/>
      <c r="AC16" s="43">
        <v>0.12621011981504454</v>
      </c>
      <c r="AD16" s="45"/>
      <c r="AE16" s="39"/>
      <c r="AF16" s="42"/>
      <c r="AG16" s="41"/>
    </row>
    <row r="17" spans="1:33">
      <c r="A17" s="28">
        <f t="shared" si="7"/>
        <v>2030</v>
      </c>
      <c r="B17" s="95">
        <f t="shared" si="8"/>
        <v>0.62515549022435035</v>
      </c>
      <c r="C17" s="33">
        <f>'Fixed Costs - RIM'!L15*1000</f>
        <v>1569627.2335108765</v>
      </c>
      <c r="D17" s="104">
        <v>2630.1060198123514</v>
      </c>
      <c r="E17" s="104">
        <v>5270.1235273692064</v>
      </c>
      <c r="F17" s="104">
        <v>-1044.1892618612403</v>
      </c>
      <c r="G17" s="33">
        <f>'Fixed Costs - RIM'!G15*1000</f>
        <v>2883593.9639739962</v>
      </c>
      <c r="H17" s="37">
        <f t="shared" si="0"/>
        <v>2890450.0042593167</v>
      </c>
      <c r="I17" s="108">
        <f t="shared" si="9"/>
        <v>109833.20258635563</v>
      </c>
      <c r="J17" s="108">
        <f t="shared" si="13"/>
        <v>29443.389429999999</v>
      </c>
      <c r="K17" s="84">
        <v>13835256.619957393</v>
      </c>
      <c r="L17" s="33">
        <f t="shared" si="10"/>
        <v>13974533.211973749</v>
      </c>
      <c r="M17" s="33">
        <f t="shared" si="1"/>
        <v>18434610.449743941</v>
      </c>
      <c r="N17" s="33">
        <f>NEL!B10/1000</f>
        <v>148289.96700672709</v>
      </c>
      <c r="O17" s="33">
        <f t="shared" si="14"/>
        <v>114.00486234740066</v>
      </c>
      <c r="P17" s="33">
        <f t="shared" si="2"/>
        <v>148175.96214437968</v>
      </c>
      <c r="Q17" s="57">
        <f t="shared" si="3"/>
        <v>12.44102631962776</v>
      </c>
      <c r="R17" s="29">
        <f t="shared" si="4"/>
        <v>7.7775759077409372</v>
      </c>
      <c r="S17" s="55">
        <f t="shared" si="11"/>
        <v>14.831099108365679</v>
      </c>
      <c r="T17" s="34">
        <f t="shared" si="5"/>
        <v>9.2717430336562714</v>
      </c>
      <c r="U17" s="120"/>
      <c r="V17" s="56">
        <f t="shared" si="6"/>
        <v>2030</v>
      </c>
      <c r="W17" s="16">
        <v>29443389.43</v>
      </c>
      <c r="X17" s="96">
        <f t="shared" si="15"/>
        <v>109833202.58635563</v>
      </c>
      <c r="Y17" s="110">
        <f t="shared" si="12"/>
        <v>139276592.01635563</v>
      </c>
      <c r="Z17" s="14"/>
      <c r="AB17" s="41"/>
      <c r="AC17" s="43">
        <v>0.1258445074530303</v>
      </c>
      <c r="AD17" s="44"/>
      <c r="AE17" s="44"/>
      <c r="AF17" s="41"/>
      <c r="AG17" s="41"/>
    </row>
    <row r="18" spans="1:33">
      <c r="A18" s="28">
        <f t="shared" si="7"/>
        <v>2031</v>
      </c>
      <c r="B18" s="95">
        <f t="shared" si="8"/>
        <v>0.57807748908583201</v>
      </c>
      <c r="C18" s="33">
        <f>'Fixed Costs - RIM'!L16*1000</f>
        <v>1186025.4966537077</v>
      </c>
      <c r="D18" s="104">
        <v>2800.8465863374481</v>
      </c>
      <c r="E18" s="104">
        <v>6119.7111168402826</v>
      </c>
      <c r="F18" s="104">
        <v>-1261.9311583846229</v>
      </c>
      <c r="G18" s="33">
        <f>'Fixed Costs - RIM'!G16*1000</f>
        <v>3299348.5837593107</v>
      </c>
      <c r="H18" s="37">
        <f t="shared" si="0"/>
        <v>3307007.2103041038</v>
      </c>
      <c r="I18" s="108">
        <f t="shared" si="9"/>
        <v>109833.20258635563</v>
      </c>
      <c r="J18" s="108">
        <f t="shared" si="13"/>
        <v>29443.389429999999</v>
      </c>
      <c r="K18" s="84">
        <v>14250744.92000314</v>
      </c>
      <c r="L18" s="33">
        <f t="shared" si="10"/>
        <v>14390021.512019496</v>
      </c>
      <c r="M18" s="33">
        <f t="shared" si="1"/>
        <v>18883054.21897731</v>
      </c>
      <c r="N18" s="33">
        <f>NEL!B11/1000</f>
        <v>149577.66103711218</v>
      </c>
      <c r="O18" s="33">
        <f t="shared" si="14"/>
        <v>114.13036914858998</v>
      </c>
      <c r="P18" s="33">
        <f t="shared" si="2"/>
        <v>149463.53066796358</v>
      </c>
      <c r="Q18" s="57">
        <f t="shared" si="3"/>
        <v>12.63388743366863</v>
      </c>
      <c r="R18" s="29">
        <f t="shared" si="4"/>
        <v>7.3033659250482073</v>
      </c>
      <c r="S18" s="55">
        <f t="shared" si="11"/>
        <v>14.831099108365679</v>
      </c>
      <c r="T18" s="34">
        <f t="shared" si="5"/>
        <v>8.5735245329471539</v>
      </c>
      <c r="U18" s="120"/>
      <c r="V18" s="56">
        <f t="shared" si="6"/>
        <v>2031</v>
      </c>
      <c r="W18" s="16">
        <v>29443389.43</v>
      </c>
      <c r="X18" s="96">
        <f t="shared" si="15"/>
        <v>109833202.58635563</v>
      </c>
      <c r="Y18" s="110">
        <f t="shared" si="12"/>
        <v>139276592.01635563</v>
      </c>
      <c r="Z18" s="14"/>
      <c r="AB18" s="41"/>
      <c r="AC18" s="46">
        <v>0.12550680118931437</v>
      </c>
      <c r="AD18" s="45"/>
      <c r="AE18" s="39"/>
      <c r="AF18" s="42"/>
      <c r="AG18" s="47"/>
    </row>
    <row r="19" spans="1:33">
      <c r="A19" s="28">
        <f t="shared" si="7"/>
        <v>2032</v>
      </c>
      <c r="B19" s="95">
        <f t="shared" si="8"/>
        <v>0.53454474704821819</v>
      </c>
      <c r="C19" s="33">
        <f>'Fixed Costs - RIM'!L17*1000</f>
        <v>932796.17441249185</v>
      </c>
      <c r="D19" s="104">
        <v>2979.3447958567958</v>
      </c>
      <c r="E19" s="104">
        <v>6970.6713733886236</v>
      </c>
      <c r="F19" s="104">
        <v>-1484.0448391184634</v>
      </c>
      <c r="G19" s="33">
        <f>'Fixed Costs - RIM'!G17*1000</f>
        <v>3710646.3980789171</v>
      </c>
      <c r="H19" s="37">
        <f t="shared" si="0"/>
        <v>3719112.3694090438</v>
      </c>
      <c r="I19" s="108">
        <f t="shared" si="9"/>
        <v>109833.20258635563</v>
      </c>
      <c r="J19" s="108">
        <f t="shared" si="13"/>
        <v>29443.389429999999</v>
      </c>
      <c r="K19" s="84">
        <v>14703480.850589929</v>
      </c>
      <c r="L19" s="33">
        <f t="shared" si="10"/>
        <v>14842757.442606285</v>
      </c>
      <c r="M19" s="33">
        <f t="shared" si="1"/>
        <v>19494665.986427821</v>
      </c>
      <c r="N19" s="33">
        <f>NEL!B12/1000</f>
        <v>151677.42700159541</v>
      </c>
      <c r="O19" s="33">
        <f t="shared" si="14"/>
        <v>114.25556822662176</v>
      </c>
      <c r="P19" s="33">
        <f t="shared" si="2"/>
        <v>151563.17143336879</v>
      </c>
      <c r="Q19" s="57">
        <f t="shared" si="3"/>
        <v>12.862403050861335</v>
      </c>
      <c r="R19" s="29">
        <f t="shared" si="4"/>
        <v>6.8755299852549028</v>
      </c>
      <c r="S19" s="55">
        <f t="shared" si="11"/>
        <v>14.831099108365679</v>
      </c>
      <c r="T19" s="34">
        <f t="shared" si="5"/>
        <v>7.9278861213283864</v>
      </c>
      <c r="U19" s="120"/>
      <c r="V19" s="56">
        <f t="shared" si="6"/>
        <v>2032</v>
      </c>
      <c r="W19" s="16">
        <v>29443389.43</v>
      </c>
      <c r="X19" s="96">
        <f t="shared" si="15"/>
        <v>109833202.58635563</v>
      </c>
      <c r="Y19" s="110">
        <f t="shared" si="12"/>
        <v>139276592.01635563</v>
      </c>
      <c r="Z19" s="14"/>
      <c r="AB19" s="41"/>
      <c r="AC19" s="39">
        <v>0.1251990780317771</v>
      </c>
      <c r="AD19" s="39"/>
      <c r="AE19" s="39"/>
      <c r="AF19" s="42"/>
      <c r="AG19" s="48"/>
    </row>
    <row r="20" spans="1:33">
      <c r="A20" s="28">
        <f t="shared" si="7"/>
        <v>2033</v>
      </c>
      <c r="B20" s="95">
        <f t="shared" si="8"/>
        <v>0.4942902845926555</v>
      </c>
      <c r="C20" s="33">
        <f>'Fixed Costs - RIM'!L18*1000</f>
        <v>812094.71047285828</v>
      </c>
      <c r="D20" s="104">
        <v>3164.1616017681904</v>
      </c>
      <c r="E20" s="104">
        <v>7822.5667215394287</v>
      </c>
      <c r="F20" s="104">
        <v>-1699.1907647922555</v>
      </c>
      <c r="G20" s="33">
        <f>'Fixed Costs - RIM'!G18*1000</f>
        <v>4113908.6437034602</v>
      </c>
      <c r="H20" s="37">
        <f t="shared" si="0"/>
        <v>4123196.1812619758</v>
      </c>
      <c r="I20" s="108">
        <f t="shared" si="9"/>
        <v>109833.20258635563</v>
      </c>
      <c r="J20" s="108">
        <f t="shared" ref="J20:J40" si="16">W20/1000</f>
        <v>29443.389429999999</v>
      </c>
      <c r="K20" s="84">
        <v>15205712.264756653</v>
      </c>
      <c r="L20" s="33">
        <f t="shared" si="10"/>
        <v>15344988.85677301</v>
      </c>
      <c r="M20" s="33">
        <f t="shared" si="1"/>
        <v>20280279.748507842</v>
      </c>
      <c r="N20" s="33">
        <f>NEL!B13/1000</f>
        <v>153686.05484132862</v>
      </c>
      <c r="O20" s="33">
        <f t="shared" si="14"/>
        <v>114.38049187876931</v>
      </c>
      <c r="P20" s="33">
        <f t="shared" si="2"/>
        <v>153571.67434944984</v>
      </c>
      <c r="Q20" s="57">
        <f t="shared" si="3"/>
        <v>13.205742422499345</v>
      </c>
      <c r="R20" s="29">
        <f t="shared" si="4"/>
        <v>6.5274701802745048</v>
      </c>
      <c r="S20" s="55">
        <f t="shared" si="11"/>
        <v>14.831099108365679</v>
      </c>
      <c r="T20" s="34">
        <f t="shared" si="5"/>
        <v>7.330868199095951</v>
      </c>
      <c r="U20" s="120"/>
      <c r="V20" s="56">
        <f t="shared" si="6"/>
        <v>2033</v>
      </c>
      <c r="W20" s="16">
        <v>29443389.43</v>
      </c>
      <c r="X20" s="96">
        <f t="shared" si="15"/>
        <v>109833202.58635563</v>
      </c>
      <c r="Y20" s="110">
        <f t="shared" si="12"/>
        <v>139276592.01635563</v>
      </c>
      <c r="Z20" s="14"/>
      <c r="AB20" s="41"/>
      <c r="AC20" s="39">
        <v>0.12492365214754887</v>
      </c>
      <c r="AD20" s="39"/>
      <c r="AE20" s="39"/>
      <c r="AF20" s="39"/>
      <c r="AG20" s="39"/>
    </row>
    <row r="21" spans="1:33">
      <c r="A21" s="28">
        <f t="shared" si="7"/>
        <v>2034</v>
      </c>
      <c r="B21" s="95">
        <f t="shared" si="8"/>
        <v>0.45706722737778471</v>
      </c>
      <c r="C21" s="33">
        <f>'Fixed Costs - RIM'!L19*1000</f>
        <v>987075.34129383357</v>
      </c>
      <c r="D21" s="104">
        <v>3351.6923705986246</v>
      </c>
      <c r="E21" s="104">
        <v>8674.9324451374432</v>
      </c>
      <c r="F21" s="104">
        <v>-1656.5319523764038</v>
      </c>
      <c r="G21" s="33">
        <f>'Fixed Costs - RIM'!G19*1000</f>
        <v>4398023.2904930068</v>
      </c>
      <c r="H21" s="37">
        <f t="shared" si="0"/>
        <v>4408393.3833563663</v>
      </c>
      <c r="I21" s="108">
        <f t="shared" si="9"/>
        <v>109833.20258635563</v>
      </c>
      <c r="J21" s="108">
        <f t="shared" si="16"/>
        <v>29443.389429999999</v>
      </c>
      <c r="K21" s="84">
        <v>15755980.331482695</v>
      </c>
      <c r="L21" s="33">
        <f t="shared" si="10"/>
        <v>15895256.923499051</v>
      </c>
      <c r="M21" s="33">
        <f t="shared" si="1"/>
        <v>21290725.648149252</v>
      </c>
      <c r="N21" s="33">
        <f>NEL!B14/1000</f>
        <v>155677.52606339942</v>
      </c>
      <c r="O21" s="33">
        <f t="shared" si="14"/>
        <v>114.50165096718291</v>
      </c>
      <c r="P21" s="33">
        <f t="shared" si="2"/>
        <v>155563.02441243225</v>
      </c>
      <c r="Q21" s="57">
        <f t="shared" si="3"/>
        <v>13.686237927402846</v>
      </c>
      <c r="R21" s="29">
        <f t="shared" si="4"/>
        <v>6.255530822710698</v>
      </c>
      <c r="S21" s="55">
        <f t="shared" si="11"/>
        <v>14.831099108365679</v>
      </c>
      <c r="T21" s="34">
        <f t="shared" si="5"/>
        <v>6.7788093484258356</v>
      </c>
      <c r="U21" s="120"/>
      <c r="V21" s="56">
        <f t="shared" si="6"/>
        <v>2034</v>
      </c>
      <c r="W21" s="16">
        <v>29443389.43</v>
      </c>
      <c r="X21" s="96">
        <f t="shared" si="15"/>
        <v>109833202.58635563</v>
      </c>
      <c r="Y21" s="110">
        <f t="shared" si="12"/>
        <v>139276592.01635563</v>
      </c>
      <c r="Z21" s="14"/>
      <c r="AC21" s="4">
        <v>0.12115908841360362</v>
      </c>
    </row>
    <row r="22" spans="1:33">
      <c r="A22" s="28">
        <f t="shared" si="7"/>
        <v>2035</v>
      </c>
      <c r="B22" s="95">
        <f t="shared" si="8"/>
        <v>0.42264729219790065</v>
      </c>
      <c r="C22" s="33">
        <f>'Fixed Costs - RIM'!L20*1000</f>
        <v>1374101.9114225018</v>
      </c>
      <c r="D22" s="104">
        <v>2166.4850679351052</v>
      </c>
      <c r="E22" s="104">
        <v>8696.0764841131713</v>
      </c>
      <c r="F22" s="104">
        <v>-1614.4486905443987</v>
      </c>
      <c r="G22" s="33">
        <f>'Fixed Costs - RIM'!G20*1000</f>
        <v>4256441.9533195505</v>
      </c>
      <c r="H22" s="37">
        <f t="shared" si="0"/>
        <v>4265690.0661810543</v>
      </c>
      <c r="I22" s="108">
        <f t="shared" si="9"/>
        <v>109833.20258635563</v>
      </c>
      <c r="J22" s="108">
        <f t="shared" si="16"/>
        <v>29443.389429999999</v>
      </c>
      <c r="K22" s="84">
        <v>16345144.779350987</v>
      </c>
      <c r="L22" s="33">
        <f t="shared" si="10"/>
        <v>16484421.371367343</v>
      </c>
      <c r="M22" s="33">
        <f t="shared" si="1"/>
        <v>22124213.348970897</v>
      </c>
      <c r="N22" s="33">
        <f>NEL!B15/1000</f>
        <v>157715.25018778408</v>
      </c>
      <c r="O22" s="33">
        <f t="shared" ref="O22:O57" si="17">O21</f>
        <v>114.50165096718291</v>
      </c>
      <c r="P22" s="33">
        <f t="shared" si="2"/>
        <v>157600.74853681691</v>
      </c>
      <c r="Q22" s="124">
        <f t="shared" si="3"/>
        <v>14.038139764166468</v>
      </c>
      <c r="R22" s="29">
        <f t="shared" si="4"/>
        <v>5.9331817588206333</v>
      </c>
      <c r="S22" s="55">
        <f t="shared" si="11"/>
        <v>14.831099108365679</v>
      </c>
      <c r="T22" s="34">
        <f t="shared" si="5"/>
        <v>6.2683238784694533</v>
      </c>
      <c r="U22" s="120"/>
      <c r="V22" s="56">
        <f t="shared" si="6"/>
        <v>2035</v>
      </c>
      <c r="W22" s="16">
        <v>29443389.43</v>
      </c>
      <c r="X22" s="96">
        <f t="shared" si="15"/>
        <v>109833202.58635563</v>
      </c>
      <c r="Y22" s="110">
        <f t="shared" si="12"/>
        <v>139276592.01635563</v>
      </c>
      <c r="Z22" s="14"/>
    </row>
    <row r="23" spans="1:33">
      <c r="A23" s="28">
        <f t="shared" si="7"/>
        <v>2036</v>
      </c>
      <c r="B23" s="95">
        <f t="shared" si="8"/>
        <v>0.39081938695764779</v>
      </c>
      <c r="C23" s="33">
        <f>'Fixed Costs - RIM'!L21*1000</f>
        <v>1844494.4407279482</v>
      </c>
      <c r="D23" s="104">
        <v>1811.5783463153341</v>
      </c>
      <c r="E23" s="104">
        <v>8696.0764841131713</v>
      </c>
      <c r="F23" s="104">
        <v>-1573.7693933601299</v>
      </c>
      <c r="G23" s="33">
        <f>'Fixed Costs - RIM'!G21*1000</f>
        <v>4206266.821872713</v>
      </c>
      <c r="H23" s="37">
        <f t="shared" si="0"/>
        <v>4215200.7073097816</v>
      </c>
      <c r="I23" s="108">
        <f t="shared" si="9"/>
        <v>109833.20258635563</v>
      </c>
      <c r="J23" s="108">
        <f t="shared" si="16"/>
        <v>29443.389429999999</v>
      </c>
      <c r="K23" s="84">
        <v>16968234.853518717</v>
      </c>
      <c r="L23" s="33">
        <f t="shared" si="10"/>
        <v>17107511.445535071</v>
      </c>
      <c r="M23" s="33">
        <f t="shared" si="1"/>
        <v>23167206.593572803</v>
      </c>
      <c r="N23" s="33">
        <f>NEL!B16/1000</f>
        <v>159678.55276802424</v>
      </c>
      <c r="O23" s="33">
        <f t="shared" si="17"/>
        <v>114.50165096718291</v>
      </c>
      <c r="P23" s="33">
        <f t="shared" si="2"/>
        <v>159564.05111705707</v>
      </c>
      <c r="Q23" s="124">
        <f t="shared" si="3"/>
        <v>14.519063931622801</v>
      </c>
      <c r="R23" s="29">
        <f t="shared" si="4"/>
        <v>5.6743316649557185</v>
      </c>
      <c r="S23" s="55">
        <f t="shared" si="11"/>
        <v>14.831099108365679</v>
      </c>
      <c r="T23" s="34">
        <f t="shared" si="5"/>
        <v>5.7962810614395917</v>
      </c>
      <c r="U23" s="120"/>
      <c r="V23" s="56">
        <f t="shared" si="6"/>
        <v>2036</v>
      </c>
      <c r="W23" s="16">
        <v>29443389.43</v>
      </c>
      <c r="X23" s="96">
        <f t="shared" si="15"/>
        <v>109833202.58635563</v>
      </c>
      <c r="Y23" s="110">
        <f t="shared" si="12"/>
        <v>139276592.01635563</v>
      </c>
      <c r="Z23" s="14"/>
    </row>
    <row r="24" spans="1:33">
      <c r="A24" s="28">
        <f t="shared" si="7"/>
        <v>2037</v>
      </c>
      <c r="B24" s="95">
        <f t="shared" si="8"/>
        <v>0.3613883160771148</v>
      </c>
      <c r="C24" s="33">
        <f>'Fixed Costs - RIM'!L22*1000</f>
        <v>2412485.4200248318</v>
      </c>
      <c r="D24" s="104">
        <v>1474.7560352428379</v>
      </c>
      <c r="E24" s="104">
        <v>8696.0764841131713</v>
      </c>
      <c r="F24" s="104">
        <v>-1534.1395850342678</v>
      </c>
      <c r="G24" s="33">
        <f>'Fixed Costs - RIM'!G22*1000</f>
        <v>4204637.8373870812</v>
      </c>
      <c r="H24" s="37">
        <f t="shared" si="0"/>
        <v>4213274.5303214034</v>
      </c>
      <c r="I24" s="108">
        <f t="shared" si="9"/>
        <v>109833.20258635563</v>
      </c>
      <c r="J24" s="108">
        <f t="shared" si="16"/>
        <v>29443.389429999999</v>
      </c>
      <c r="K24" s="84">
        <v>17609372.300392464</v>
      </c>
      <c r="L24" s="33">
        <f t="shared" si="10"/>
        <v>17748648.892408818</v>
      </c>
      <c r="M24" s="33">
        <f t="shared" si="1"/>
        <v>24374408.842755053</v>
      </c>
      <c r="N24" s="33">
        <f>NEL!B17/1000</f>
        <v>161501.51323125177</v>
      </c>
      <c r="O24" s="33">
        <f t="shared" si="17"/>
        <v>114.50165096718291</v>
      </c>
      <c r="P24" s="33">
        <f t="shared" si="2"/>
        <v>161387.0115802846</v>
      </c>
      <c r="Q24" s="124">
        <f t="shared" si="3"/>
        <v>15.103079612221213</v>
      </c>
      <c r="R24" s="29">
        <f t="shared" si="4"/>
        <v>5.4580765086392287</v>
      </c>
      <c r="S24" s="55">
        <f t="shared" si="11"/>
        <v>14.831099108365679</v>
      </c>
      <c r="T24" s="34">
        <f t="shared" si="5"/>
        <v>5.3597859323450718</v>
      </c>
      <c r="U24" s="120"/>
      <c r="V24" s="56">
        <f t="shared" si="6"/>
        <v>2037</v>
      </c>
      <c r="W24" s="16">
        <v>29443389.43</v>
      </c>
      <c r="X24" s="96">
        <f t="shared" si="15"/>
        <v>109833202.58635563</v>
      </c>
      <c r="Y24" s="110">
        <f t="shared" si="12"/>
        <v>139276592.01635563</v>
      </c>
      <c r="Z24" s="14"/>
    </row>
    <row r="25" spans="1:33">
      <c r="A25" s="28">
        <f t="shared" si="7"/>
        <v>2038</v>
      </c>
      <c r="B25" s="95">
        <f t="shared" si="8"/>
        <v>0.33417358338778019</v>
      </c>
      <c r="C25" s="33">
        <f>'Fixed Costs - RIM'!L23*1000</f>
        <v>3031480.8922410002</v>
      </c>
      <c r="D25" s="104">
        <v>1144.8474216551899</v>
      </c>
      <c r="E25" s="104">
        <v>8696.0764841131713</v>
      </c>
      <c r="F25" s="104">
        <v>-1495.2314197614169</v>
      </c>
      <c r="G25" s="33">
        <f>'Fixed Costs - RIM'!G23*1000</f>
        <v>4494592.0104141273</v>
      </c>
      <c r="H25" s="37">
        <f t="shared" si="0"/>
        <v>4502937.702900134</v>
      </c>
      <c r="I25" s="108">
        <f t="shared" si="9"/>
        <v>109833.20258635563</v>
      </c>
      <c r="J25" s="108">
        <f t="shared" si="16"/>
        <v>29443.389429999999</v>
      </c>
      <c r="K25" s="84">
        <v>18263728.403979845</v>
      </c>
      <c r="L25" s="33">
        <f t="shared" si="10"/>
        <v>18403004.9959962</v>
      </c>
      <c r="M25" s="33">
        <f t="shared" si="1"/>
        <v>25937423.591137335</v>
      </c>
      <c r="N25" s="33">
        <f>NEL!B18/1000</f>
        <v>163154.1174881566</v>
      </c>
      <c r="O25" s="33">
        <f t="shared" si="17"/>
        <v>114.50165096718291</v>
      </c>
      <c r="P25" s="33">
        <f t="shared" si="2"/>
        <v>163039.61583718943</v>
      </c>
      <c r="Q25" s="124">
        <f t="shared" si="3"/>
        <v>15.908663338018608</v>
      </c>
      <c r="R25" s="29">
        <f t="shared" si="4"/>
        <v>5.3162550345754829</v>
      </c>
      <c r="S25" s="55">
        <f t="shared" si="11"/>
        <v>14.831099108365679</v>
      </c>
      <c r="T25" s="34">
        <f t="shared" si="5"/>
        <v>4.956161534621871</v>
      </c>
      <c r="U25" s="120"/>
      <c r="V25" s="56">
        <f t="shared" si="6"/>
        <v>2038</v>
      </c>
      <c r="W25" s="16">
        <v>29443389.43</v>
      </c>
      <c r="X25" s="96">
        <f t="shared" si="15"/>
        <v>109833202.58635563</v>
      </c>
      <c r="Y25" s="110">
        <f t="shared" si="12"/>
        <v>139276592.01635563</v>
      </c>
      <c r="Z25" s="14"/>
      <c r="AC25" s="11"/>
      <c r="AD25" s="11"/>
    </row>
    <row r="26" spans="1:33">
      <c r="A26" s="28">
        <f t="shared" si="7"/>
        <v>2039</v>
      </c>
      <c r="B26" s="95">
        <f t="shared" si="8"/>
        <v>0.30900828517765516</v>
      </c>
      <c r="C26" s="33">
        <f>'Fixed Costs - RIM'!L24*1000</f>
        <v>3635852.2597278906</v>
      </c>
      <c r="D26" s="104">
        <v>824.6546498532847</v>
      </c>
      <c r="E26" s="104">
        <v>8696.0764841131713</v>
      </c>
      <c r="F26" s="104">
        <v>-1456.7379309614628</v>
      </c>
      <c r="G26" s="33">
        <f>'Fixed Costs - RIM'!G24*1000</f>
        <v>4483428.3922271756</v>
      </c>
      <c r="H26" s="37">
        <f t="shared" si="0"/>
        <v>4491492.3854301805</v>
      </c>
      <c r="I26" s="108">
        <f t="shared" si="9"/>
        <v>109833.20258635563</v>
      </c>
      <c r="J26" s="108">
        <f t="shared" si="16"/>
        <v>29443.389429999999</v>
      </c>
      <c r="K26" s="84">
        <v>18925302.381772649</v>
      </c>
      <c r="L26" s="33">
        <f t="shared" si="10"/>
        <v>19064578.973789003</v>
      </c>
      <c r="M26" s="33">
        <f t="shared" si="1"/>
        <v>27191923.618947074</v>
      </c>
      <c r="N26" s="33">
        <f>NEL!B19/1000</f>
        <v>164626.97309057534</v>
      </c>
      <c r="O26" s="33">
        <f t="shared" si="17"/>
        <v>114.50165096718291</v>
      </c>
      <c r="P26" s="33">
        <f t="shared" si="2"/>
        <v>164512.47143960817</v>
      </c>
      <c r="Q26" s="124">
        <f t="shared" si="3"/>
        <v>16.528791635671897</v>
      </c>
      <c r="R26" s="29">
        <f t="shared" si="4"/>
        <v>5.1075335593977433</v>
      </c>
      <c r="S26" s="55">
        <f t="shared" si="11"/>
        <v>14.831099108365679</v>
      </c>
      <c r="T26" s="34">
        <f t="shared" si="5"/>
        <v>4.5829325027759289</v>
      </c>
      <c r="U26" s="120"/>
      <c r="V26" s="56">
        <f t="shared" si="6"/>
        <v>2039</v>
      </c>
      <c r="W26" s="16">
        <v>29443389.43</v>
      </c>
      <c r="X26" s="96">
        <f t="shared" si="15"/>
        <v>109833202.58635563</v>
      </c>
      <c r="Y26" s="110">
        <f t="shared" si="12"/>
        <v>139276592.01635563</v>
      </c>
      <c r="Z26" s="14"/>
      <c r="AC26" s="11"/>
      <c r="AD26" s="11"/>
    </row>
    <row r="27" spans="1:33">
      <c r="A27" s="28">
        <f t="shared" si="7"/>
        <v>2040</v>
      </c>
      <c r="B27" s="95">
        <f t="shared" si="8"/>
        <v>0.28573808659684358</v>
      </c>
      <c r="C27" s="33">
        <f>'Fixed Costs - RIM'!L25*1000</f>
        <v>4371816.6097306581</v>
      </c>
      <c r="D27" s="104">
        <v>829.18520442309364</v>
      </c>
      <c r="E27" s="104">
        <v>8696.0764841131713</v>
      </c>
      <c r="F27" s="104">
        <v>-1418.439790452446</v>
      </c>
      <c r="G27" s="33">
        <f>'Fixed Costs - RIM'!G25*1000</f>
        <v>4504763.8201904325</v>
      </c>
      <c r="H27" s="37">
        <f t="shared" si="0"/>
        <v>4512870.6420885166</v>
      </c>
      <c r="I27" s="108">
        <f t="shared" si="9"/>
        <v>109833.20258635563</v>
      </c>
      <c r="J27" s="108">
        <f t="shared" si="16"/>
        <v>29443.389429999999</v>
      </c>
      <c r="K27" s="84">
        <v>19602342.072269935</v>
      </c>
      <c r="L27" s="33">
        <f t="shared" si="10"/>
        <v>19741618.664286289</v>
      </c>
      <c r="M27" s="33">
        <f t="shared" si="1"/>
        <v>28626305.916105464</v>
      </c>
      <c r="N27" s="33">
        <f>NEL!B20/1000</f>
        <v>165934.75901036451</v>
      </c>
      <c r="O27" s="33">
        <f t="shared" si="17"/>
        <v>114.50165096718291</v>
      </c>
      <c r="P27" s="33">
        <f t="shared" si="2"/>
        <v>165820.25735939734</v>
      </c>
      <c r="Q27" s="124">
        <f t="shared" si="3"/>
        <v>17.2634552448324</v>
      </c>
      <c r="R27" s="29">
        <f t="shared" si="4"/>
        <v>4.9328266697086534</v>
      </c>
      <c r="S27" s="55">
        <f t="shared" si="11"/>
        <v>14.831099108365679</v>
      </c>
      <c r="T27" s="34">
        <f t="shared" si="5"/>
        <v>4.237809881352562</v>
      </c>
      <c r="U27" s="120"/>
      <c r="V27" s="56">
        <f t="shared" si="6"/>
        <v>2040</v>
      </c>
      <c r="W27" s="16">
        <v>29443389.43</v>
      </c>
      <c r="X27" s="96">
        <f t="shared" si="15"/>
        <v>109833202.58635563</v>
      </c>
      <c r="Y27" s="110">
        <f t="shared" si="12"/>
        <v>139276592.01635563</v>
      </c>
      <c r="Z27" s="14"/>
      <c r="AC27" s="11"/>
      <c r="AD27" s="11"/>
    </row>
    <row r="28" spans="1:33">
      <c r="A28" s="28">
        <f t="shared" si="7"/>
        <v>2041</v>
      </c>
      <c r="B28" s="95">
        <f t="shared" si="8"/>
        <v>0.26422027514597279</v>
      </c>
      <c r="C28" s="33">
        <f>'Fixed Costs - RIM'!L26*1000</f>
        <v>4954972.7418972906</v>
      </c>
      <c r="D28" s="104">
        <v>841.94648585819527</v>
      </c>
      <c r="E28" s="104">
        <v>8696.0764841131713</v>
      </c>
      <c r="F28" s="104">
        <v>-1380.7572354497847</v>
      </c>
      <c r="G28" s="33">
        <f>'Fixed Costs - RIM'!G26*1000</f>
        <v>4531550.486541748</v>
      </c>
      <c r="H28" s="37">
        <f t="shared" si="0"/>
        <v>4539707.7522762697</v>
      </c>
      <c r="I28" s="108">
        <f t="shared" si="9"/>
        <v>109833.20258635563</v>
      </c>
      <c r="J28" s="108">
        <f t="shared" si="16"/>
        <v>29443.389429999999</v>
      </c>
      <c r="K28" s="84">
        <v>19999891.722335413</v>
      </c>
      <c r="L28" s="33">
        <f t="shared" si="10"/>
        <v>20139168.314351767</v>
      </c>
      <c r="M28" s="33">
        <f t="shared" si="1"/>
        <v>29633848.808525328</v>
      </c>
      <c r="N28" s="33">
        <f>NEL!B21/1000</f>
        <v>164918.52822270812</v>
      </c>
      <c r="O28" s="33">
        <f t="shared" si="17"/>
        <v>114.50165096718291</v>
      </c>
      <c r="P28" s="33">
        <f t="shared" si="2"/>
        <v>164804.02657174095</v>
      </c>
      <c r="Q28" s="124">
        <f t="shared" si="3"/>
        <v>17.981265036400913</v>
      </c>
      <c r="R28" s="29">
        <f t="shared" si="4"/>
        <v>4.7510147953905095</v>
      </c>
      <c r="S28" s="55">
        <f t="shared" si="11"/>
        <v>14.831099108365679</v>
      </c>
      <c r="T28" s="34">
        <f t="shared" si="5"/>
        <v>3.9186770871295713</v>
      </c>
      <c r="U28" s="120"/>
      <c r="V28" s="56">
        <f t="shared" si="6"/>
        <v>2041</v>
      </c>
      <c r="W28" s="16">
        <v>29443389.43</v>
      </c>
      <c r="X28" s="96">
        <f t="shared" si="15"/>
        <v>109833202.58635563</v>
      </c>
      <c r="Y28" s="110">
        <f t="shared" si="12"/>
        <v>139276592.01635563</v>
      </c>
      <c r="Z28" s="14"/>
      <c r="AC28" s="11"/>
      <c r="AD28" s="11"/>
    </row>
    <row r="29" spans="1:33">
      <c r="A29" s="28">
        <f t="shared" si="7"/>
        <v>2042</v>
      </c>
      <c r="B29" s="95">
        <f t="shared" si="8"/>
        <v>0.24432288544268835</v>
      </c>
      <c r="C29" s="33">
        <f>'Fixed Costs - RIM'!L27*1000</f>
        <v>5607834.2437344817</v>
      </c>
      <c r="D29" s="104">
        <v>859.92335117447772</v>
      </c>
      <c r="E29" s="104">
        <v>8696.0764841131713</v>
      </c>
      <c r="F29" s="104">
        <v>-1344.6955894766547</v>
      </c>
      <c r="G29" s="33">
        <f>'Fixed Costs - RIM'!G27*1000</f>
        <v>4537656.7219734229</v>
      </c>
      <c r="H29" s="37">
        <f t="shared" si="0"/>
        <v>4545868.0262192339</v>
      </c>
      <c r="I29" s="108">
        <f t="shared" si="9"/>
        <v>109833.20258635563</v>
      </c>
      <c r="J29" s="108">
        <f t="shared" si="16"/>
        <v>29443.389429999999</v>
      </c>
      <c r="K29" s="84">
        <v>20430952.528708454</v>
      </c>
      <c r="L29" s="33">
        <f t="shared" si="10"/>
        <v>20570229.120724808</v>
      </c>
      <c r="M29" s="33">
        <f t="shared" si="1"/>
        <v>30723931.390678525</v>
      </c>
      <c r="N29" s="33">
        <f>NEL!B22/1000</f>
        <v>166510.76719574467</v>
      </c>
      <c r="O29" s="33">
        <f t="shared" si="17"/>
        <v>114.50165096718291</v>
      </c>
      <c r="P29" s="33">
        <f t="shared" si="2"/>
        <v>166396.2655447775</v>
      </c>
      <c r="Q29" s="124">
        <f t="shared" si="3"/>
        <v>18.464315464105574</v>
      </c>
      <c r="R29" s="29">
        <f t="shared" si="4"/>
        <v>4.5112548319143251</v>
      </c>
      <c r="S29" s="55">
        <f t="shared" si="11"/>
        <v>14.831099108365679</v>
      </c>
      <c r="T29" s="34">
        <f t="shared" si="5"/>
        <v>3.6235769284423851</v>
      </c>
      <c r="U29" s="120"/>
      <c r="V29" s="56">
        <f t="shared" si="6"/>
        <v>2042</v>
      </c>
      <c r="W29" s="16">
        <v>29443389.43</v>
      </c>
      <c r="X29" s="96">
        <f t="shared" si="15"/>
        <v>109833202.58635563</v>
      </c>
      <c r="Y29" s="110">
        <f t="shared" si="12"/>
        <v>139276592.01635563</v>
      </c>
      <c r="Z29" s="14"/>
      <c r="AC29" s="11"/>
      <c r="AD29" s="11"/>
    </row>
    <row r="30" spans="1:33">
      <c r="A30" s="28">
        <f t="shared" si="7"/>
        <v>2043</v>
      </c>
      <c r="B30" s="95">
        <f t="shared" si="8"/>
        <v>0.22592388989854117</v>
      </c>
      <c r="C30" s="33">
        <f>'Fixed Costs - RIM'!L28*1000</f>
        <v>6312067.362165452</v>
      </c>
      <c r="D30" s="104">
        <v>870.75930032368933</v>
      </c>
      <c r="E30" s="104">
        <v>8696.0764841131713</v>
      </c>
      <c r="F30" s="104">
        <v>-1310.8072826863997</v>
      </c>
      <c r="G30" s="33">
        <f>'Fixed Costs - RIM'!G28*1000</f>
        <v>4420291.1276817322</v>
      </c>
      <c r="H30" s="37">
        <f t="shared" si="0"/>
        <v>4428547.1561834831</v>
      </c>
      <c r="I30" s="108">
        <f t="shared" si="9"/>
        <v>109833.20258635563</v>
      </c>
      <c r="J30" s="108">
        <f t="shared" si="16"/>
        <v>29443.389429999999</v>
      </c>
      <c r="K30" s="84">
        <v>20868865.153961189</v>
      </c>
      <c r="L30" s="33">
        <f t="shared" si="10"/>
        <v>21008141.745977543</v>
      </c>
      <c r="M30" s="33">
        <f t="shared" si="1"/>
        <v>31748756.264326479</v>
      </c>
      <c r="N30" s="33">
        <f>NEL!B23/1000</f>
        <v>168119.10276074152</v>
      </c>
      <c r="O30" s="33">
        <f t="shared" si="17"/>
        <v>114.50165096718291</v>
      </c>
      <c r="P30" s="33">
        <f t="shared" si="2"/>
        <v>168004.60110977435</v>
      </c>
      <c r="Q30" s="124">
        <f t="shared" si="3"/>
        <v>18.897551647161031</v>
      </c>
      <c r="R30" s="29">
        <f t="shared" si="4"/>
        <v>4.2694083776852043</v>
      </c>
      <c r="S30" s="55">
        <f t="shared" si="11"/>
        <v>14.831099108365679</v>
      </c>
      <c r="T30" s="34">
        <f t="shared" si="5"/>
        <v>3.3506996020327597</v>
      </c>
      <c r="U30" s="120"/>
      <c r="V30" s="56">
        <f t="shared" si="6"/>
        <v>2043</v>
      </c>
      <c r="W30" s="16">
        <v>29443389.43</v>
      </c>
      <c r="X30" s="96">
        <f t="shared" si="15"/>
        <v>109833202.58635563</v>
      </c>
      <c r="Y30" s="110">
        <f t="shared" si="12"/>
        <v>139276592.01635563</v>
      </c>
      <c r="Z30" s="14"/>
      <c r="AC30" s="11"/>
      <c r="AD30" s="11"/>
    </row>
    <row r="31" spans="1:33">
      <c r="A31" s="28">
        <f t="shared" si="7"/>
        <v>2044</v>
      </c>
      <c r="B31" s="95">
        <f t="shared" si="8"/>
        <v>0.20891045034281555</v>
      </c>
      <c r="C31" s="33">
        <f>'Fixed Costs - RIM'!L29*1000</f>
        <v>6941810.3246769914</v>
      </c>
      <c r="D31" s="104">
        <v>880.62593571683021</v>
      </c>
      <c r="E31" s="104">
        <v>8696.0764841131713</v>
      </c>
      <c r="F31" s="104">
        <v>-1279.1775877362093</v>
      </c>
      <c r="G31" s="33">
        <f>'Fixed Costs - RIM'!G29*1000</f>
        <v>4474371.6594009427</v>
      </c>
      <c r="H31" s="37">
        <f t="shared" si="0"/>
        <v>4482669.1842330368</v>
      </c>
      <c r="I31" s="108">
        <f t="shared" si="9"/>
        <v>109833.20258635563</v>
      </c>
      <c r="J31" s="108">
        <f t="shared" si="16"/>
        <v>29443.389429999999</v>
      </c>
      <c r="K31" s="84">
        <v>21313734.632471275</v>
      </c>
      <c r="L31" s="33">
        <f t="shared" si="10"/>
        <v>21453011.224487629</v>
      </c>
      <c r="M31" s="33">
        <f t="shared" si="1"/>
        <v>32877490.733397655</v>
      </c>
      <c r="N31" s="33">
        <f>NEL!B24/1000</f>
        <v>169743.69938976341</v>
      </c>
      <c r="O31" s="33">
        <f t="shared" si="17"/>
        <v>114.50165096718291</v>
      </c>
      <c r="P31" s="33">
        <f t="shared" si="2"/>
        <v>169629.19773879624</v>
      </c>
      <c r="Q31" s="124">
        <f t="shared" si="3"/>
        <v>19.381976199654087</v>
      </c>
      <c r="R31" s="29">
        <f t="shared" si="4"/>
        <v>4.0490973764034681</v>
      </c>
      <c r="S31" s="55">
        <f t="shared" si="11"/>
        <v>14.831099108365679</v>
      </c>
      <c r="T31" s="34">
        <f t="shared" si="5"/>
        <v>3.0983715938076042</v>
      </c>
      <c r="U31" s="120"/>
      <c r="V31" s="56">
        <f t="shared" si="6"/>
        <v>2044</v>
      </c>
      <c r="W31" s="16">
        <v>29443389.43</v>
      </c>
      <c r="X31" s="96">
        <f t="shared" si="15"/>
        <v>109833202.58635563</v>
      </c>
      <c r="Y31" s="110">
        <f t="shared" si="12"/>
        <v>139276592.01635563</v>
      </c>
      <c r="Z31" s="14"/>
      <c r="AC31" s="11"/>
      <c r="AD31" s="11"/>
    </row>
    <row r="32" spans="1:33">
      <c r="A32" s="28">
        <f t="shared" si="7"/>
        <v>2045</v>
      </c>
      <c r="B32" s="95">
        <f t="shared" si="8"/>
        <v>0.19317822600362289</v>
      </c>
      <c r="C32" s="33">
        <f>'Fixed Costs - RIM'!L30*1000</f>
        <v>7581280.6455752887</v>
      </c>
      <c r="D32" s="104">
        <v>2261.5824944325313</v>
      </c>
      <c r="E32" s="104">
        <v>8696.0764841131713</v>
      </c>
      <c r="F32" s="104">
        <v>-1249.8951547005786</v>
      </c>
      <c r="G32" s="33">
        <f>'Fixed Costs - RIM'!G30*1000</f>
        <v>4466431.8534316989</v>
      </c>
      <c r="H32" s="37">
        <f t="shared" si="0"/>
        <v>4476139.6172555443</v>
      </c>
      <c r="I32" s="108">
        <f t="shared" si="9"/>
        <v>109833.20258635563</v>
      </c>
      <c r="J32" s="108">
        <f t="shared" si="16"/>
        <v>29443.389429999999</v>
      </c>
      <c r="K32" s="84">
        <v>21765667.715793397</v>
      </c>
      <c r="L32" s="33">
        <f t="shared" si="10"/>
        <v>21904944.307809751</v>
      </c>
      <c r="M32" s="33">
        <f t="shared" si="1"/>
        <v>33962364.570640586</v>
      </c>
      <c r="N32" s="33">
        <f>NEL!B25/1000</f>
        <v>171384.72323944248</v>
      </c>
      <c r="O32" s="33">
        <f t="shared" si="17"/>
        <v>114.50165096718291</v>
      </c>
      <c r="P32" s="33">
        <f t="shared" si="2"/>
        <v>171270.22158847531</v>
      </c>
      <c r="Q32" s="124">
        <f t="shared" si="3"/>
        <v>19.829696169976753</v>
      </c>
      <c r="R32" s="29">
        <f t="shared" si="4"/>
        <v>3.8306655283069442</v>
      </c>
      <c r="S32" s="55">
        <f t="shared" si="11"/>
        <v>14.831099108365679</v>
      </c>
      <c r="T32" s="34">
        <f t="shared" si="5"/>
        <v>2.865045415437995</v>
      </c>
      <c r="U32" s="120"/>
      <c r="V32" s="56">
        <f t="shared" si="6"/>
        <v>2045</v>
      </c>
      <c r="W32" s="16">
        <v>29443389.43</v>
      </c>
      <c r="X32" s="96">
        <f t="shared" si="15"/>
        <v>109833202.58635563</v>
      </c>
      <c r="Y32" s="110">
        <f t="shared" si="12"/>
        <v>139276592.01635563</v>
      </c>
      <c r="Z32" s="14"/>
      <c r="AC32" s="11"/>
      <c r="AD32" s="11"/>
    </row>
    <row r="33" spans="1:30">
      <c r="A33" s="28">
        <f t="shared" si="7"/>
        <v>2046</v>
      </c>
      <c r="B33" s="95">
        <f t="shared" si="8"/>
        <v>0.17863073360221762</v>
      </c>
      <c r="C33" s="33">
        <f>'Fixed Costs - RIM'!L31*1000</f>
        <v>7991831.1847919244</v>
      </c>
      <c r="D33" s="104">
        <v>2805.0364079919941</v>
      </c>
      <c r="E33" s="104">
        <v>8696.0764841131713</v>
      </c>
      <c r="F33" s="104">
        <v>-1223.052145663391</v>
      </c>
      <c r="G33" s="33">
        <f>'Fixed Costs - RIM'!G31*1000</f>
        <v>4366438.6737785377</v>
      </c>
      <c r="H33" s="37">
        <f t="shared" si="0"/>
        <v>4376716.7345249793</v>
      </c>
      <c r="I33" s="108">
        <f t="shared" si="9"/>
        <v>109833.20258635563</v>
      </c>
      <c r="J33" s="108">
        <f t="shared" si="16"/>
        <v>29443.389429999999</v>
      </c>
      <c r="K33" s="84">
        <v>22224772.882065356</v>
      </c>
      <c r="L33" s="33">
        <f t="shared" si="10"/>
        <v>22364049.47408171</v>
      </c>
      <c r="M33" s="33">
        <f t="shared" si="1"/>
        <v>34732597.393398613</v>
      </c>
      <c r="N33" s="33">
        <f>NEL!B26/1000</f>
        <v>173042.34216823126</v>
      </c>
      <c r="O33" s="33">
        <f t="shared" si="17"/>
        <v>114.50165096718291</v>
      </c>
      <c r="P33" s="33">
        <f t="shared" si="2"/>
        <v>172927.84051726409</v>
      </c>
      <c r="Q33" s="124">
        <f t="shared" si="3"/>
        <v>20.085023492750501</v>
      </c>
      <c r="R33" s="29">
        <f t="shared" si="4"/>
        <v>3.5878024809277975</v>
      </c>
      <c r="S33" s="55">
        <f t="shared" si="11"/>
        <v>14.831099108365679</v>
      </c>
      <c r="T33" s="34">
        <f t="shared" si="5"/>
        <v>2.649290113854557</v>
      </c>
      <c r="U33" s="120"/>
      <c r="V33" s="56">
        <f t="shared" si="6"/>
        <v>2046</v>
      </c>
      <c r="W33" s="16">
        <v>29443389.43</v>
      </c>
      <c r="X33" s="96">
        <f t="shared" si="15"/>
        <v>109833202.58635563</v>
      </c>
      <c r="Y33" s="110">
        <f t="shared" si="12"/>
        <v>139276592.01635563</v>
      </c>
      <c r="Z33" s="14"/>
      <c r="AC33" s="11"/>
      <c r="AD33" s="11"/>
    </row>
    <row r="34" spans="1:30">
      <c r="A34" s="28">
        <f t="shared" si="7"/>
        <v>2047</v>
      </c>
      <c r="B34" s="95">
        <f t="shared" si="8"/>
        <v>0.16517875563609336</v>
      </c>
      <c r="C34" s="33">
        <f>'Fixed Costs - RIM'!L32*1000</f>
        <v>8630539.925776571</v>
      </c>
      <c r="D34" s="104">
        <v>3330.5039242627354</v>
      </c>
      <c r="E34" s="104">
        <v>8696.0764841131713</v>
      </c>
      <c r="F34" s="104">
        <v>-1198.7443747243408</v>
      </c>
      <c r="G34" s="33">
        <f>'Fixed Costs - RIM'!G32*1000</f>
        <v>4366123.8677444411</v>
      </c>
      <c r="H34" s="37">
        <f t="shared" si="0"/>
        <v>4376951.7037780927</v>
      </c>
      <c r="I34" s="108">
        <f t="shared" si="9"/>
        <v>109833.20258635563</v>
      </c>
      <c r="J34" s="108">
        <f t="shared" si="16"/>
        <v>29443.389429999999</v>
      </c>
      <c r="K34" s="84">
        <v>22691160.351764329</v>
      </c>
      <c r="L34" s="33">
        <f t="shared" si="10"/>
        <v>22830436.943780683</v>
      </c>
      <c r="M34" s="33">
        <f t="shared" si="1"/>
        <v>35837928.57333535</v>
      </c>
      <c r="N34" s="33">
        <f>NEL!B27/1000</f>
        <v>174716.72575385048</v>
      </c>
      <c r="O34" s="33">
        <f t="shared" si="17"/>
        <v>114.50165096718291</v>
      </c>
      <c r="P34" s="33">
        <f t="shared" si="2"/>
        <v>174602.22410288331</v>
      </c>
      <c r="Q34" s="124">
        <f t="shared" si="3"/>
        <v>20.525470828033708</v>
      </c>
      <c r="R34" s="29">
        <f t="shared" si="4"/>
        <v>3.3903717302195426</v>
      </c>
      <c r="S34" s="55">
        <f t="shared" si="11"/>
        <v>14.831099108365679</v>
      </c>
      <c r="T34" s="34">
        <f t="shared" si="5"/>
        <v>2.4497824954354166</v>
      </c>
      <c r="U34" s="120"/>
      <c r="V34" s="56">
        <f t="shared" si="6"/>
        <v>2047</v>
      </c>
      <c r="W34" s="16">
        <v>29443389.43</v>
      </c>
      <c r="X34" s="96">
        <f t="shared" si="15"/>
        <v>109833202.58635563</v>
      </c>
      <c r="Y34" s="110">
        <f t="shared" si="12"/>
        <v>139276592.01635563</v>
      </c>
      <c r="Z34" s="14"/>
      <c r="AC34" s="11"/>
      <c r="AD34" s="11"/>
    </row>
    <row r="35" spans="1:30">
      <c r="A35" s="28">
        <f t="shared" si="7"/>
        <v>2048</v>
      </c>
      <c r="B35" s="95">
        <f t="shared" si="8"/>
        <v>0.15273979322195161</v>
      </c>
      <c r="C35" s="33">
        <f>'Fixed Costs - RIM'!L33*1000</f>
        <v>9344054.7113834564</v>
      </c>
      <c r="D35" s="104">
        <v>3862.4177699286474</v>
      </c>
      <c r="E35" s="104">
        <v>8696.0764841131713</v>
      </c>
      <c r="F35" s="104">
        <v>-1177.0714535889697</v>
      </c>
      <c r="G35" s="33">
        <f>'Fixed Costs - RIM'!G33*1000</f>
        <v>4420663.8144354876</v>
      </c>
      <c r="H35" s="37">
        <f t="shared" si="0"/>
        <v>4432045.2372359401</v>
      </c>
      <c r="I35" s="108">
        <f t="shared" si="9"/>
        <v>109833.20258635563</v>
      </c>
      <c r="J35" s="108">
        <f t="shared" si="16"/>
        <v>29443.389429999999</v>
      </c>
      <c r="K35" s="84">
        <v>23164942.107887957</v>
      </c>
      <c r="L35" s="33">
        <f t="shared" si="10"/>
        <v>23304218.699904311</v>
      </c>
      <c r="M35" s="33">
        <f t="shared" si="1"/>
        <v>37080318.648523703</v>
      </c>
      <c r="N35" s="33">
        <f>NEL!B28/1000</f>
        <v>176408.04531090354</v>
      </c>
      <c r="O35" s="33">
        <f t="shared" si="17"/>
        <v>114.50165096718291</v>
      </c>
      <c r="P35" s="33">
        <f t="shared" si="2"/>
        <v>176293.54365993637</v>
      </c>
      <c r="Q35" s="124">
        <f t="shared" si="3"/>
        <v>21.033282262480494</v>
      </c>
      <c r="R35" s="29">
        <f t="shared" si="4"/>
        <v>3.2126191835502134</v>
      </c>
      <c r="S35" s="55">
        <f t="shared" si="11"/>
        <v>14.831099108365679</v>
      </c>
      <c r="T35" s="34">
        <f t="shared" si="5"/>
        <v>2.2652990110660447</v>
      </c>
      <c r="U35" s="120"/>
      <c r="V35" s="56">
        <f t="shared" si="6"/>
        <v>2048</v>
      </c>
      <c r="W35" s="16">
        <v>29443389.43</v>
      </c>
      <c r="X35" s="96">
        <f t="shared" si="15"/>
        <v>109833202.58635563</v>
      </c>
      <c r="Y35" s="110">
        <f t="shared" si="12"/>
        <v>139276592.01635563</v>
      </c>
      <c r="Z35" s="14"/>
      <c r="AC35" s="11"/>
      <c r="AD35" s="11"/>
    </row>
    <row r="36" spans="1:30">
      <c r="A36" s="28">
        <f t="shared" si="7"/>
        <v>2049</v>
      </c>
      <c r="B36" s="95">
        <f t="shared" si="8"/>
        <v>0.14123756014291464</v>
      </c>
      <c r="C36" s="33">
        <f>'Fixed Costs - RIM'!L34*1000</f>
        <v>10121545.511088498</v>
      </c>
      <c r="D36" s="104">
        <v>4396.3708582913887</v>
      </c>
      <c r="E36" s="104">
        <v>8696.0764841131713</v>
      </c>
      <c r="F36" s="104">
        <v>-1157.4663615028087</v>
      </c>
      <c r="G36" s="33">
        <f>'Fixed Costs - RIM'!G34*1000</f>
        <v>4477389.2945995275</v>
      </c>
      <c r="H36" s="37">
        <f t="shared" si="0"/>
        <v>4489324.2755804295</v>
      </c>
      <c r="I36" s="108">
        <f t="shared" si="9"/>
        <v>109833.20258635563</v>
      </c>
      <c r="J36" s="108">
        <f t="shared" si="16"/>
        <v>29443.389429999999</v>
      </c>
      <c r="K36" s="84">
        <v>23646231.919269901</v>
      </c>
      <c r="L36" s="33">
        <f t="shared" si="10"/>
        <v>23785508.511286255</v>
      </c>
      <c r="M36" s="33">
        <f t="shared" si="1"/>
        <v>38396378.297955185</v>
      </c>
      <c r="N36" s="33">
        <f>NEL!B29/1000</f>
        <v>178116.47390867816</v>
      </c>
      <c r="O36" s="33">
        <f t="shared" si="17"/>
        <v>114.50165096718291</v>
      </c>
      <c r="P36" s="33">
        <f t="shared" si="2"/>
        <v>178001.97225771099</v>
      </c>
      <c r="Q36" s="124">
        <f t="shared" si="3"/>
        <v>21.570760037627544</v>
      </c>
      <c r="R36" s="29">
        <f t="shared" si="4"/>
        <v>3.0466015181427997</v>
      </c>
      <c r="S36" s="55">
        <f t="shared" si="11"/>
        <v>14.831099108365679</v>
      </c>
      <c r="T36" s="34">
        <f t="shared" si="5"/>
        <v>2.0947082523033251</v>
      </c>
      <c r="U36" s="120"/>
      <c r="V36" s="56">
        <f t="shared" si="6"/>
        <v>2049</v>
      </c>
      <c r="W36" s="16">
        <v>29443389.43</v>
      </c>
      <c r="X36" s="96">
        <f t="shared" si="15"/>
        <v>109833202.58635563</v>
      </c>
      <c r="Y36" s="110">
        <f t="shared" si="12"/>
        <v>139276592.01635563</v>
      </c>
      <c r="Z36" s="14"/>
      <c r="AC36" s="11"/>
      <c r="AD36" s="11"/>
    </row>
    <row r="37" spans="1:30">
      <c r="A37" s="28">
        <f t="shared" si="7"/>
        <v>2050</v>
      </c>
      <c r="B37" s="95">
        <f t="shared" si="8"/>
        <v>0.13060151499705264</v>
      </c>
      <c r="C37" s="33">
        <f>'Fixed Costs - RIM'!L35*1000</f>
        <v>11201318.146655321</v>
      </c>
      <c r="D37" s="104">
        <v>4615.0093930456942</v>
      </c>
      <c r="E37" s="104">
        <v>8696.0764841131713</v>
      </c>
      <c r="F37" s="104">
        <v>-1138.6663812531924</v>
      </c>
      <c r="G37" s="33">
        <f>'Fixed Costs - RIM'!G35*1000</f>
        <v>4363666.420255187</v>
      </c>
      <c r="H37" s="37">
        <f t="shared" si="0"/>
        <v>4375838.8397510927</v>
      </c>
      <c r="I37" s="108">
        <f t="shared" si="9"/>
        <v>109833.20258635563</v>
      </c>
      <c r="J37" s="108">
        <f t="shared" si="16"/>
        <v>29443.389429999999</v>
      </c>
      <c r="K37" s="84">
        <v>24135145.366166316</v>
      </c>
      <c r="L37" s="33">
        <f t="shared" si="10"/>
        <v>24274421.95818267</v>
      </c>
      <c r="M37" s="33">
        <f t="shared" si="1"/>
        <v>39851578.944589086</v>
      </c>
      <c r="N37" s="33">
        <f>NEL!B30/1000</f>
        <v>179842.18638912725</v>
      </c>
      <c r="O37" s="33">
        <f t="shared" si="17"/>
        <v>114.50165096718291</v>
      </c>
      <c r="P37" s="33">
        <f t="shared" si="2"/>
        <v>179727.68473816008</v>
      </c>
      <c r="Q37" s="124">
        <f t="shared" si="3"/>
        <v>22.173311252881085</v>
      </c>
      <c r="R37" s="29">
        <f t="shared" si="4"/>
        <v>2.8958680421274652</v>
      </c>
      <c r="S37" s="55">
        <f t="shared" si="11"/>
        <v>14.831099108365679</v>
      </c>
      <c r="T37" s="34">
        <f t="shared" si="5"/>
        <v>1.9369640126239942</v>
      </c>
      <c r="U37" s="120"/>
      <c r="V37" s="56">
        <f t="shared" si="6"/>
        <v>2050</v>
      </c>
      <c r="W37" s="16">
        <v>29443389.43</v>
      </c>
      <c r="X37" s="96">
        <f t="shared" si="15"/>
        <v>109833202.58635563</v>
      </c>
      <c r="Y37" s="110">
        <f t="shared" si="12"/>
        <v>139276592.01635563</v>
      </c>
      <c r="Z37" s="14"/>
      <c r="AC37" s="11"/>
      <c r="AD37" s="11"/>
    </row>
    <row r="38" spans="1:30">
      <c r="A38" s="28">
        <f t="shared" si="7"/>
        <v>2051</v>
      </c>
      <c r="B38" s="95">
        <f t="shared" si="8"/>
        <v>0.12076642857796518</v>
      </c>
      <c r="C38" s="33">
        <f>'Fixed Costs - RIM'!L36*1000</f>
        <v>11471453.796841143</v>
      </c>
      <c r="D38" s="104">
        <v>4824.4034894999486</v>
      </c>
      <c r="E38" s="104">
        <v>8696.0764841131713</v>
      </c>
      <c r="F38" s="104">
        <v>-1120.0308487908269</v>
      </c>
      <c r="G38" s="33">
        <f>'Fixed Costs - RIM'!G36*1000</f>
        <v>4378752.2863178272</v>
      </c>
      <c r="H38" s="37">
        <f t="shared" si="0"/>
        <v>4391152.7354426496</v>
      </c>
      <c r="I38" s="108">
        <f t="shared" si="9"/>
        <v>109833.20258635563</v>
      </c>
      <c r="J38" s="108">
        <f t="shared" si="16"/>
        <v>29443.389429999999</v>
      </c>
      <c r="K38" s="84">
        <v>24631799.867536113</v>
      </c>
      <c r="L38" s="33">
        <f t="shared" si="10"/>
        <v>24771076.459552467</v>
      </c>
      <c r="M38" s="33">
        <f t="shared" si="1"/>
        <v>40633682.991836257</v>
      </c>
      <c r="N38" s="33">
        <f>NEL!B31/1000</f>
        <v>181585.35938502947</v>
      </c>
      <c r="O38" s="33">
        <f t="shared" si="17"/>
        <v>114.50165096718291</v>
      </c>
      <c r="P38" s="33">
        <f t="shared" si="2"/>
        <v>181470.8577340623</v>
      </c>
      <c r="Q38" s="124">
        <f t="shared" si="3"/>
        <v>22.391299351978137</v>
      </c>
      <c r="R38" s="29">
        <f t="shared" si="4"/>
        <v>2.7041172539585059</v>
      </c>
      <c r="S38" s="55">
        <f t="shared" ref="S38:S57" si="18">S37</f>
        <v>14.831099108365679</v>
      </c>
      <c r="T38" s="34">
        <f t="shared" si="5"/>
        <v>1.791098871203167</v>
      </c>
      <c r="U38" s="120"/>
      <c r="V38" s="56">
        <f t="shared" si="6"/>
        <v>2051</v>
      </c>
      <c r="W38" s="16">
        <v>29443389.43</v>
      </c>
      <c r="X38" s="96">
        <f t="shared" si="15"/>
        <v>109833202.58635563</v>
      </c>
      <c r="Y38" s="110">
        <f t="shared" si="12"/>
        <v>139276592.01635563</v>
      </c>
      <c r="Z38" s="14"/>
      <c r="AC38" s="11"/>
      <c r="AD38" s="11"/>
    </row>
    <row r="39" spans="1:30">
      <c r="A39" s="28">
        <f t="shared" si="7"/>
        <v>2052</v>
      </c>
      <c r="B39" s="95">
        <f t="shared" si="8"/>
        <v>0.11167198383422967</v>
      </c>
      <c r="C39" s="33">
        <f>'Fixed Costs - RIM'!L37*1000</f>
        <v>11992263.887082808</v>
      </c>
      <c r="D39" s="104">
        <v>5041.7067359444218</v>
      </c>
      <c r="E39" s="104">
        <v>8696.0764841131713</v>
      </c>
      <c r="F39" s="104">
        <v>-1101.5638753103931</v>
      </c>
      <c r="G39" s="33">
        <f>'Fixed Costs - RIM'!G37*1000</f>
        <v>4663616.3317928342</v>
      </c>
      <c r="H39" s="37">
        <f t="shared" si="0"/>
        <v>4676252.5511375815</v>
      </c>
      <c r="I39" s="108">
        <f t="shared" si="9"/>
        <v>109833.20258635563</v>
      </c>
      <c r="J39" s="108">
        <f t="shared" si="16"/>
        <v>29443.389429999999</v>
      </c>
      <c r="K39" s="84">
        <v>25136314.709630359</v>
      </c>
      <c r="L39" s="33">
        <f t="shared" si="10"/>
        <v>25275591.301646713</v>
      </c>
      <c r="M39" s="33">
        <f t="shared" si="1"/>
        <v>41944107.739867106</v>
      </c>
      <c r="N39" s="33">
        <f>NEL!B32/1000</f>
        <v>183346.17133835287</v>
      </c>
      <c r="O39" s="33">
        <f t="shared" si="17"/>
        <v>114.50165096718291</v>
      </c>
      <c r="P39" s="33">
        <f t="shared" si="2"/>
        <v>183231.6696873857</v>
      </c>
      <c r="Q39" s="124">
        <f t="shared" si="3"/>
        <v>22.891298109889288</v>
      </c>
      <c r="R39" s="29">
        <f t="shared" si="4"/>
        <v>2.5563166724720889</v>
      </c>
      <c r="S39" s="55">
        <f t="shared" si="18"/>
        <v>14.831099108365679</v>
      </c>
      <c r="T39" s="34">
        <f t="shared" si="5"/>
        <v>1.6562182598732702</v>
      </c>
      <c r="U39" s="120"/>
      <c r="V39" s="56">
        <f t="shared" si="6"/>
        <v>2052</v>
      </c>
      <c r="W39" s="16">
        <v>29443389.43</v>
      </c>
      <c r="X39" s="96">
        <f t="shared" si="15"/>
        <v>109833202.58635563</v>
      </c>
      <c r="Y39" s="110">
        <f t="shared" si="12"/>
        <v>139276592.01635563</v>
      </c>
      <c r="Z39" s="14"/>
      <c r="AC39" s="11"/>
      <c r="AD39" s="11"/>
    </row>
    <row r="40" spans="1:30">
      <c r="A40" s="28">
        <f t="shared" si="7"/>
        <v>2053</v>
      </c>
      <c r="B40" s="95">
        <f t="shared" si="8"/>
        <v>0.1032624059543301</v>
      </c>
      <c r="C40" s="33">
        <f>'Fixed Costs - RIM'!L38*1000</f>
        <v>13079726.899837615</v>
      </c>
      <c r="D40" s="104">
        <v>5264.4485595904207</v>
      </c>
      <c r="E40" s="104">
        <v>8696.0764841131713</v>
      </c>
      <c r="F40" s="104">
        <v>-1083.2696747864397</v>
      </c>
      <c r="G40" s="33">
        <f>'Fixed Costs - RIM'!G38*1000</f>
        <v>4920360.2661666889</v>
      </c>
      <c r="H40" s="37">
        <f t="shared" si="0"/>
        <v>4933237.5215356061</v>
      </c>
      <c r="I40" s="108">
        <f t="shared" si="9"/>
        <v>109833.20258635563</v>
      </c>
      <c r="J40" s="108">
        <f t="shared" si="16"/>
        <v>29443.389429999999</v>
      </c>
      <c r="K40" s="84">
        <v>25648811.075635657</v>
      </c>
      <c r="L40" s="33">
        <f t="shared" si="10"/>
        <v>25788087.667652011</v>
      </c>
      <c r="M40" s="33">
        <f t="shared" si="1"/>
        <v>43801052.089025229</v>
      </c>
      <c r="N40" s="33">
        <f>NEL!B33/1000</f>
        <v>185124.80251877927</v>
      </c>
      <c r="O40" s="33">
        <f t="shared" si="17"/>
        <v>114.50165096718291</v>
      </c>
      <c r="P40" s="33">
        <f t="shared" si="2"/>
        <v>185010.3008678121</v>
      </c>
      <c r="Q40" s="124">
        <f t="shared" si="3"/>
        <v>23.674926143880292</v>
      </c>
      <c r="R40" s="29">
        <f t="shared" si="4"/>
        <v>2.4447298344081498</v>
      </c>
      <c r="S40" s="55">
        <f t="shared" si="18"/>
        <v>14.831099108365679</v>
      </c>
      <c r="T40" s="34">
        <f t="shared" si="5"/>
        <v>1.5314949768769599</v>
      </c>
      <c r="U40" s="120"/>
      <c r="V40" s="56">
        <f t="shared" si="6"/>
        <v>2053</v>
      </c>
      <c r="W40" s="16">
        <v>29443389.43</v>
      </c>
      <c r="X40" s="96">
        <f t="shared" si="15"/>
        <v>109833202.58635563</v>
      </c>
      <c r="Y40" s="110">
        <f t="shared" si="12"/>
        <v>139276592.01635563</v>
      </c>
      <c r="Z40" s="14"/>
      <c r="AC40" s="11"/>
      <c r="AD40" s="11"/>
    </row>
    <row r="41" spans="1:30">
      <c r="A41" s="28">
        <f t="shared" si="7"/>
        <v>2054</v>
      </c>
      <c r="B41" s="95">
        <f>B40/(1+$B$10)</f>
        <v>9.5486120308435063E-2</v>
      </c>
      <c r="C41" s="33">
        <f>'Fixed Costs - RIM'!L39*1000</f>
        <v>13601306.347010249</v>
      </c>
      <c r="D41" s="104">
        <v>5486.5823654970145</v>
      </c>
      <c r="E41" s="104">
        <v>8696.0764841131713</v>
      </c>
      <c r="F41" s="104">
        <v>-1065.1525665428787</v>
      </c>
      <c r="G41" s="33">
        <f>'Fixed Costs - RIM'!G39*1000</f>
        <v>4970294.4367666235</v>
      </c>
      <c r="H41" s="37">
        <f t="shared" si="0"/>
        <v>4983411.9430496907</v>
      </c>
      <c r="I41" s="108">
        <f t="shared" si="9"/>
        <v>109833.20258635563</v>
      </c>
      <c r="J41" s="108">
        <f>W41/1000</f>
        <v>29443.389429999999</v>
      </c>
      <c r="K41" s="84">
        <v>26167862.568673439</v>
      </c>
      <c r="L41" s="33">
        <f>SUM(I41:K41)</f>
        <v>26307139.160689794</v>
      </c>
      <c r="M41" s="33">
        <f t="shared" si="1"/>
        <v>44891857.450749733</v>
      </c>
      <c r="N41" s="33">
        <f>NEL!B34/1000</f>
        <v>186921.43504245102</v>
      </c>
      <c r="O41" s="33">
        <f t="shared" si="17"/>
        <v>114.50165096718291</v>
      </c>
      <c r="P41" s="33">
        <f>N41-O41</f>
        <v>186806.93339148385</v>
      </c>
      <c r="Q41" s="124">
        <f>(M41/P41)/10</f>
        <v>24.031151647177705</v>
      </c>
      <c r="R41" s="29">
        <f t="shared" si="4"/>
        <v>2.2946414373326576</v>
      </c>
      <c r="S41" s="55">
        <f t="shared" si="18"/>
        <v>14.831099108365679</v>
      </c>
      <c r="T41" s="34">
        <f t="shared" si="5"/>
        <v>1.4161641137677292</v>
      </c>
      <c r="U41" s="14"/>
      <c r="V41" s="56">
        <f t="shared" si="6"/>
        <v>2054</v>
      </c>
      <c r="W41" s="16">
        <v>29443389.43</v>
      </c>
      <c r="X41" s="96">
        <f t="shared" si="15"/>
        <v>109833202.58635563</v>
      </c>
      <c r="Y41" s="110">
        <f t="shared" si="12"/>
        <v>139276592.01635563</v>
      </c>
      <c r="Z41" s="14"/>
      <c r="AC41" s="116"/>
      <c r="AD41" s="116"/>
    </row>
    <row r="42" spans="1:30">
      <c r="A42" s="28">
        <f t="shared" si="7"/>
        <v>2055</v>
      </c>
      <c r="B42" s="95">
        <f>B41/(1+$B$10)</f>
        <v>8.8295436149234963E-2</v>
      </c>
      <c r="C42" s="33">
        <f>'Fixed Costs - RIM'!L40*1000</f>
        <v>13850867.627729658</v>
      </c>
      <c r="D42" s="104">
        <v>3570.193118241637</v>
      </c>
      <c r="E42" s="104">
        <v>8696.0764841131713</v>
      </c>
      <c r="F42" s="104">
        <v>-1047.2169778867199</v>
      </c>
      <c r="G42" s="33">
        <f>'Fixed Costs - RIM'!G40*1000</f>
        <v>4835800.0203399668</v>
      </c>
      <c r="H42" s="37">
        <f t="shared" si="0"/>
        <v>4847019.0729644345</v>
      </c>
      <c r="I42" s="108">
        <f t="shared" si="9"/>
        <v>109833.20258635563</v>
      </c>
      <c r="J42" s="108">
        <f>W42/1000</f>
        <v>29443.389429999999</v>
      </c>
      <c r="K42" s="84">
        <v>26695116.774999283</v>
      </c>
      <c r="L42" s="33">
        <f>SUM(I42:K42)</f>
        <v>26834393.367015637</v>
      </c>
      <c r="M42" s="33">
        <f t="shared" si="1"/>
        <v>45532280.067709729</v>
      </c>
      <c r="N42" s="33">
        <f>NEL!B35/1000</f>
        <v>188736.25289088118</v>
      </c>
      <c r="O42" s="33">
        <f t="shared" si="17"/>
        <v>114.50165096718291</v>
      </c>
      <c r="P42" s="33">
        <f>N42-O42</f>
        <v>188621.75123991401</v>
      </c>
      <c r="Q42" s="124">
        <f>(M42/P42)/10</f>
        <v>24.139464175473471</v>
      </c>
      <c r="R42" s="29">
        <f t="shared" si="4"/>
        <v>2.1314045177822627</v>
      </c>
      <c r="S42" s="55">
        <f t="shared" si="18"/>
        <v>14.831099108365679</v>
      </c>
      <c r="T42" s="34">
        <f t="shared" si="5"/>
        <v>1.3095183643456774</v>
      </c>
      <c r="U42" s="14"/>
      <c r="V42" s="56">
        <f t="shared" si="6"/>
        <v>2055</v>
      </c>
      <c r="W42" s="16">
        <v>29443389.43</v>
      </c>
      <c r="X42" s="96">
        <f t="shared" si="15"/>
        <v>109833202.58635563</v>
      </c>
      <c r="Y42" s="110">
        <f t="shared" si="12"/>
        <v>139276592.01635563</v>
      </c>
      <c r="Z42" s="14"/>
      <c r="AC42" s="116"/>
      <c r="AD42" s="116"/>
    </row>
    <row r="43" spans="1:30">
      <c r="A43" s="28">
        <f t="shared" si="7"/>
        <v>2056</v>
      </c>
      <c r="B43" s="95">
        <f>B42/(1+$B$10)</f>
        <v>8.1646254132025281E-2</v>
      </c>
      <c r="C43" s="33">
        <f>'Fixed Costs - RIM'!L41*1000</f>
        <v>14801911.331563942</v>
      </c>
      <c r="D43" s="104">
        <v>2972.0721257985665</v>
      </c>
      <c r="E43" s="104">
        <v>8696.0764841131713</v>
      </c>
      <c r="F43" s="104">
        <v>-1029.4674468076478</v>
      </c>
      <c r="G43" s="33">
        <f>'Fixed Costs - RIM'!G41*1000</f>
        <v>5361410.4437522888</v>
      </c>
      <c r="H43" s="37">
        <f t="shared" si="0"/>
        <v>5372049.1249153931</v>
      </c>
      <c r="I43" s="108">
        <f t="shared" si="9"/>
        <v>109833.20258635563</v>
      </c>
      <c r="J43" s="108">
        <f>W43/1000</f>
        <v>29443.389429999999</v>
      </c>
      <c r="K43" s="84">
        <v>27230700.070107445</v>
      </c>
      <c r="L43" s="33">
        <f>SUM(I43:K43)</f>
        <v>27369976.662123799</v>
      </c>
      <c r="M43" s="33">
        <f t="shared" si="1"/>
        <v>47543937.118603133</v>
      </c>
      <c r="N43" s="33">
        <f>NEL!B36/1000</f>
        <v>190569.44193007273</v>
      </c>
      <c r="O43" s="33">
        <f t="shared" si="17"/>
        <v>114.50165096718291</v>
      </c>
      <c r="P43" s="33">
        <f>N43-O43</f>
        <v>190454.94027910556</v>
      </c>
      <c r="Q43" s="124">
        <f>(M43/P43)/10</f>
        <v>24.963351987052175</v>
      </c>
      <c r="R43" s="29">
        <f t="shared" si="4"/>
        <v>2.03816418032206</v>
      </c>
      <c r="S43" s="55">
        <f t="shared" si="18"/>
        <v>14.831099108365679</v>
      </c>
      <c r="T43" s="34">
        <f t="shared" si="5"/>
        <v>1.2109036868588778</v>
      </c>
      <c r="U43" s="14"/>
      <c r="V43" s="56">
        <f t="shared" si="6"/>
        <v>2056</v>
      </c>
      <c r="W43" s="16">
        <v>29443389.43</v>
      </c>
      <c r="X43" s="96">
        <f t="shared" si="15"/>
        <v>109833202.58635563</v>
      </c>
      <c r="Y43" s="110">
        <f t="shared" si="12"/>
        <v>139276592.01635563</v>
      </c>
      <c r="Z43" s="14"/>
      <c r="AC43" s="116"/>
      <c r="AD43" s="116"/>
    </row>
    <row r="44" spans="1:30">
      <c r="A44" s="28">
        <f t="shared" si="7"/>
        <v>2057</v>
      </c>
      <c r="B44" s="95">
        <f>B43/(1+$B$10)</f>
        <v>7.5497795860301822E-2</v>
      </c>
      <c r="C44" s="33">
        <f>'Fixed Costs - RIM'!L42*1000</f>
        <v>15203330.188773721</v>
      </c>
      <c r="D44" s="104">
        <v>2409.2778307770704</v>
      </c>
      <c r="E44" s="104">
        <v>8696.0764841131713</v>
      </c>
      <c r="F44" s="104">
        <v>-1011.9086247450903</v>
      </c>
      <c r="G44" s="33">
        <f>'Fixed Costs - RIM'!G42*1000</f>
        <v>5249927.9612464877</v>
      </c>
      <c r="H44" s="37">
        <f t="shared" si="0"/>
        <v>5260021.4069366325</v>
      </c>
      <c r="I44" s="108">
        <f t="shared" si="9"/>
        <v>109833.20258635563</v>
      </c>
      <c r="J44" s="108">
        <f>W44/1000</f>
        <v>29443.389429999999</v>
      </c>
      <c r="K44" s="84">
        <v>27774740.835283663</v>
      </c>
      <c r="L44" s="33">
        <f>SUM(I44:K44)</f>
        <v>27914017.427300017</v>
      </c>
      <c r="M44" s="33">
        <f t="shared" si="1"/>
        <v>48377369.023010373</v>
      </c>
      <c r="N44" s="33">
        <f>NEL!B37/1000</f>
        <v>192421.18992983163</v>
      </c>
      <c r="O44" s="33">
        <f t="shared" si="17"/>
        <v>114.50165096718291</v>
      </c>
      <c r="P44" s="33">
        <f>N44-O44</f>
        <v>192306.68827886446</v>
      </c>
      <c r="Q44" s="124">
        <f>(M44/P44)/10</f>
        <v>25.156363232077616</v>
      </c>
      <c r="R44" s="29">
        <f t="shared" si="4"/>
        <v>1.8992499758829984</v>
      </c>
      <c r="S44" s="55">
        <f t="shared" si="18"/>
        <v>14.831099108365679</v>
      </c>
      <c r="T44" s="34">
        <f t="shared" si="5"/>
        <v>1.1197152928672964</v>
      </c>
      <c r="U44" s="14"/>
      <c r="V44" s="56">
        <f t="shared" si="6"/>
        <v>2057</v>
      </c>
      <c r="W44" s="16">
        <v>29443389.43</v>
      </c>
      <c r="X44" s="96">
        <f t="shared" si="15"/>
        <v>109833202.58635563</v>
      </c>
      <c r="Y44" s="110">
        <f t="shared" si="12"/>
        <v>139276592.01635563</v>
      </c>
      <c r="Z44" s="14"/>
      <c r="AC44" s="116"/>
      <c r="AD44" s="116"/>
    </row>
    <row r="45" spans="1:30">
      <c r="A45" s="28">
        <f t="shared" si="7"/>
        <v>2058</v>
      </c>
      <c r="B45" s="95">
        <f>B44/(1+$B$10)</f>
        <v>6.9812353798213586E-2</v>
      </c>
      <c r="C45" s="33">
        <f>'Fixed Costs - RIM'!L43*1000</f>
        <v>15425468.65900049</v>
      </c>
      <c r="D45" s="104">
        <v>1863.2986458697278</v>
      </c>
      <c r="E45" s="104">
        <v>8696.0764841131713</v>
      </c>
      <c r="F45" s="104">
        <v>-994.54527942445975</v>
      </c>
      <c r="G45" s="33">
        <f>'Fixed Costs - RIM'!G43*1000</f>
        <v>5360856.9197254144</v>
      </c>
      <c r="H45" s="37">
        <f t="shared" si="0"/>
        <v>5370421.7495759726</v>
      </c>
      <c r="I45" s="108">
        <f t="shared" si="9"/>
        <v>109833.20258635563</v>
      </c>
      <c r="J45" s="108">
        <f>W45/1000</f>
        <v>29443.389429999999</v>
      </c>
      <c r="K45" s="84">
        <v>28327369.490628313</v>
      </c>
      <c r="L45" s="33">
        <f>SUM(I45:K45)</f>
        <v>28466646.082644667</v>
      </c>
      <c r="M45" s="33">
        <f t="shared" si="1"/>
        <v>49262536.49122113</v>
      </c>
      <c r="N45" s="33">
        <f>NEL!B38/1000</f>
        <v>194291.68658327684</v>
      </c>
      <c r="O45" s="33">
        <f t="shared" si="17"/>
        <v>114.50165096718291</v>
      </c>
      <c r="P45" s="33">
        <f>N45-O45</f>
        <v>194177.18493230967</v>
      </c>
      <c r="Q45" s="124">
        <f>(M45/P45)/10</f>
        <v>25.369889108441907</v>
      </c>
      <c r="R45" s="29">
        <f t="shared" si="4"/>
        <v>1.7711316742599919</v>
      </c>
      <c r="S45" s="55">
        <f t="shared" si="18"/>
        <v>14.831099108365679</v>
      </c>
      <c r="T45" s="34">
        <f t="shared" si="5"/>
        <v>1.0353939381695949</v>
      </c>
      <c r="U45" s="14"/>
      <c r="V45" s="56">
        <f t="shared" si="6"/>
        <v>2058</v>
      </c>
      <c r="W45" s="16">
        <v>29443389.43</v>
      </c>
      <c r="X45" s="96">
        <f t="shared" si="15"/>
        <v>109833202.58635563</v>
      </c>
      <c r="Y45" s="110">
        <f t="shared" si="12"/>
        <v>139276592.01635563</v>
      </c>
      <c r="Z45" s="14"/>
      <c r="AC45" s="116"/>
      <c r="AD45" s="116"/>
    </row>
    <row r="46" spans="1:30">
      <c r="A46" s="28">
        <f t="shared" si="7"/>
        <v>2059</v>
      </c>
      <c r="B46" s="95">
        <f t="shared" ref="B46:B57" si="19">B45/(1+$B$10)</f>
        <v>6.4555060016125113E-2</v>
      </c>
      <c r="C46" s="33">
        <f>'Fixed Costs - RIM'!L44*1000</f>
        <v>15797077.676408811</v>
      </c>
      <c r="D46" s="104">
        <v>1338.5203380057028</v>
      </c>
      <c r="E46" s="104">
        <v>8696.0764841131713</v>
      </c>
      <c r="F46" s="104">
        <v>-977.38229776430489</v>
      </c>
      <c r="G46" s="33">
        <f>'Fixed Costs - RIM'!G44*1000</f>
        <v>5429004.3360693473</v>
      </c>
      <c r="H46" s="37">
        <f t="shared" si="0"/>
        <v>5438061.5505937021</v>
      </c>
      <c r="I46" s="108">
        <f t="shared" ref="I46:I51" si="20">X46/1000</f>
        <v>109833.20258635563</v>
      </c>
      <c r="J46" s="108">
        <f t="shared" ref="J46:J51" si="21">W46/1000</f>
        <v>29443.389429999999</v>
      </c>
      <c r="K46" s="84">
        <v>28888718.528638612</v>
      </c>
      <c r="L46" s="33">
        <f t="shared" ref="L46:L51" si="22">SUM(I46:K46)</f>
        <v>29027995.120654967</v>
      </c>
      <c r="M46" s="33">
        <f t="shared" si="1"/>
        <v>50263134.347657479</v>
      </c>
      <c r="N46" s="33">
        <f>NEL!B39/1000</f>
        <v>196181.1235265471</v>
      </c>
      <c r="O46" s="33">
        <f t="shared" si="17"/>
        <v>114.50165096718291</v>
      </c>
      <c r="P46" s="33">
        <f t="shared" ref="P46:P51" si="23">N46-O46</f>
        <v>196066.62187557993</v>
      </c>
      <c r="Q46" s="124">
        <f t="shared" ref="Q46:Q51" si="24">(M46/P46)/10</f>
        <v>25.635742517945499</v>
      </c>
      <c r="R46" s="29">
        <f t="shared" si="4"/>
        <v>1.6549168968039019</v>
      </c>
      <c r="S46" s="55">
        <f t="shared" si="18"/>
        <v>14.831099108365679</v>
      </c>
      <c r="T46" s="34">
        <f t="shared" si="5"/>
        <v>0.95742249304564608</v>
      </c>
      <c r="U46" s="14"/>
      <c r="V46" s="56">
        <f t="shared" si="6"/>
        <v>2059</v>
      </c>
      <c r="W46" s="16">
        <v>29443389.43</v>
      </c>
      <c r="X46" s="96">
        <f t="shared" si="15"/>
        <v>109833202.58635563</v>
      </c>
      <c r="Y46" s="110">
        <f t="shared" si="12"/>
        <v>139276592.01635563</v>
      </c>
      <c r="Z46" s="14"/>
      <c r="AC46" s="117"/>
      <c r="AD46" s="117"/>
    </row>
    <row r="47" spans="1:30">
      <c r="A47" s="28">
        <f t="shared" si="7"/>
        <v>2060</v>
      </c>
      <c r="B47" s="95">
        <f t="shared" si="19"/>
        <v>5.9693672351041019E-2</v>
      </c>
      <c r="C47" s="33">
        <f>'Fixed Costs - RIM'!L45*1000</f>
        <v>16102642.808198016</v>
      </c>
      <c r="D47" s="104">
        <v>1345.9441792074244</v>
      </c>
      <c r="E47" s="104">
        <v>8696.0764841131713</v>
      </c>
      <c r="F47" s="104">
        <v>-960.42468885613721</v>
      </c>
      <c r="G47" s="33">
        <f>'Fixed Costs - RIM'!G45*1000</f>
        <v>5504744.9480226021</v>
      </c>
      <c r="H47" s="37">
        <f t="shared" si="0"/>
        <v>5513826.543997067</v>
      </c>
      <c r="I47" s="108">
        <f t="shared" si="20"/>
        <v>109833.20258635563</v>
      </c>
      <c r="J47" s="108">
        <f t="shared" si="21"/>
        <v>29443.389429999999</v>
      </c>
      <c r="K47" s="84">
        <v>29458922.548359588</v>
      </c>
      <c r="L47" s="33">
        <f t="shared" si="22"/>
        <v>29598199.140375942</v>
      </c>
      <c r="M47" s="33">
        <f t="shared" si="1"/>
        <v>51214668.492571026</v>
      </c>
      <c r="N47" s="33">
        <f>NEL!B40/1000</f>
        <v>198089.69435871768</v>
      </c>
      <c r="O47" s="33">
        <f t="shared" si="17"/>
        <v>114.50165096718291</v>
      </c>
      <c r="P47" s="33">
        <f t="shared" si="23"/>
        <v>197975.19270775051</v>
      </c>
      <c r="Q47" s="124">
        <f t="shared" si="24"/>
        <v>25.869235327970479</v>
      </c>
      <c r="R47" s="29">
        <f t="shared" si="4"/>
        <v>1.5442296576398449</v>
      </c>
      <c r="S47" s="55">
        <f t="shared" si="18"/>
        <v>14.831099108365679</v>
      </c>
      <c r="T47" s="34">
        <f t="shared" si="5"/>
        <v>0.8853227707805974</v>
      </c>
      <c r="U47" s="14"/>
      <c r="V47" s="56">
        <f t="shared" si="6"/>
        <v>2060</v>
      </c>
      <c r="W47" s="16">
        <v>29443389.43</v>
      </c>
      <c r="X47" s="96">
        <f t="shared" si="15"/>
        <v>109833202.58635563</v>
      </c>
      <c r="Y47" s="110">
        <f t="shared" si="12"/>
        <v>139276592.01635563</v>
      </c>
      <c r="Z47" s="14"/>
      <c r="AC47" s="11"/>
      <c r="AD47" s="11"/>
    </row>
    <row r="48" spans="1:30">
      <c r="A48" s="28">
        <f t="shared" si="7"/>
        <v>2061</v>
      </c>
      <c r="B48" s="95">
        <f t="shared" si="19"/>
        <v>5.5198376670447816E-2</v>
      </c>
      <c r="C48" s="33">
        <f>'Fixed Costs - RIM'!L46*1000</f>
        <v>16382860.326237787</v>
      </c>
      <c r="D48" s="104">
        <v>1366.8550247661544</v>
      </c>
      <c r="E48" s="104">
        <v>8696.0764841131713</v>
      </c>
      <c r="F48" s="104">
        <v>-943.67758701875618</v>
      </c>
      <c r="G48" s="33">
        <f>'Fixed Costs - RIM'!G46*1000</f>
        <v>5490647.6662597666</v>
      </c>
      <c r="H48" s="37">
        <f t="shared" si="0"/>
        <v>5499766.9201816274</v>
      </c>
      <c r="I48" s="108">
        <f t="shared" si="20"/>
        <v>109833.20258635563</v>
      </c>
      <c r="J48" s="108">
        <f t="shared" si="21"/>
        <v>29443.389429999999</v>
      </c>
      <c r="K48" s="84">
        <v>30038118.290113412</v>
      </c>
      <c r="L48" s="33">
        <f t="shared" si="22"/>
        <v>30177394.882129766</v>
      </c>
      <c r="M48" s="33">
        <f t="shared" si="1"/>
        <v>52060022.128549181</v>
      </c>
      <c r="N48" s="33">
        <f>NEL!B41/1000</f>
        <v>200017.59466191049</v>
      </c>
      <c r="O48" s="33">
        <f t="shared" si="17"/>
        <v>114.50165096718291</v>
      </c>
      <c r="P48" s="33">
        <f t="shared" si="23"/>
        <v>199903.09301094332</v>
      </c>
      <c r="Q48" s="124">
        <f t="shared" si="24"/>
        <v>26.042629628396622</v>
      </c>
      <c r="R48" s="29">
        <f t="shared" si="4"/>
        <v>1.4375108797172012</v>
      </c>
      <c r="S48" s="55">
        <f t="shared" si="18"/>
        <v>14.831099108365679</v>
      </c>
      <c r="T48" s="34">
        <f t="shared" si="5"/>
        <v>0.81865259502031151</v>
      </c>
      <c r="U48" s="14"/>
      <c r="V48" s="56">
        <f t="shared" si="6"/>
        <v>2061</v>
      </c>
      <c r="W48" s="16">
        <v>29443389.43</v>
      </c>
      <c r="X48" s="96">
        <f t="shared" si="15"/>
        <v>109833202.58635563</v>
      </c>
      <c r="Y48" s="110">
        <f t="shared" si="12"/>
        <v>139276592.01635563</v>
      </c>
      <c r="Z48" s="14"/>
      <c r="AC48" s="11"/>
      <c r="AD48" s="11"/>
    </row>
    <row r="49" spans="1:30">
      <c r="A49" s="28">
        <f t="shared" si="7"/>
        <v>2062</v>
      </c>
      <c r="B49" s="95">
        <f t="shared" si="19"/>
        <v>5.1041604026888156E-2</v>
      </c>
      <c r="C49" s="33">
        <f>'Fixed Costs - RIM'!L47*1000</f>
        <v>16733724.318725515</v>
      </c>
      <c r="D49" s="104">
        <v>1396.312211818301</v>
      </c>
      <c r="E49" s="104">
        <v>8696.0764841131713</v>
      </c>
      <c r="F49" s="104">
        <v>-927.57160537587447</v>
      </c>
      <c r="G49" s="33">
        <f>'Fixed Costs - RIM'!G47*1000</f>
        <v>5261894.9608154343</v>
      </c>
      <c r="H49" s="37">
        <f t="shared" si="0"/>
        <v>5271059.7779059904</v>
      </c>
      <c r="I49" s="108">
        <f t="shared" si="20"/>
        <v>109833.20258635563</v>
      </c>
      <c r="J49" s="108">
        <f t="shared" si="21"/>
        <v>29443.389429999999</v>
      </c>
      <c r="K49" s="84">
        <v>30626444.67081736</v>
      </c>
      <c r="L49" s="33">
        <f t="shared" si="22"/>
        <v>30765721.262833714</v>
      </c>
      <c r="M49" s="33">
        <f t="shared" si="1"/>
        <v>52770505.359465219</v>
      </c>
      <c r="N49" s="33">
        <f>NEL!B42/1000</f>
        <v>201965.02202162123</v>
      </c>
      <c r="O49" s="33">
        <f t="shared" si="17"/>
        <v>114.50165096718291</v>
      </c>
      <c r="P49" s="33">
        <f t="shared" si="23"/>
        <v>201850.52037065406</v>
      </c>
      <c r="Q49" s="124">
        <f t="shared" si="24"/>
        <v>26.143358591577471</v>
      </c>
      <c r="R49" s="29">
        <f t="shared" si="4"/>
        <v>1.3343989571642416</v>
      </c>
      <c r="S49" s="55">
        <f t="shared" si="18"/>
        <v>14.831099108365679</v>
      </c>
      <c r="T49" s="34">
        <f t="shared" si="5"/>
        <v>0.75700308797273497</v>
      </c>
      <c r="U49" s="14"/>
      <c r="V49" s="56">
        <f t="shared" si="6"/>
        <v>2062</v>
      </c>
      <c r="W49" s="16">
        <v>29443389.43</v>
      </c>
      <c r="X49" s="96">
        <f t="shared" si="15"/>
        <v>109833202.58635563</v>
      </c>
      <c r="Y49" s="110">
        <f t="shared" si="12"/>
        <v>139276592.01635563</v>
      </c>
      <c r="Z49" s="14"/>
      <c r="AC49" s="11"/>
      <c r="AD49" s="11"/>
    </row>
    <row r="50" spans="1:30">
      <c r="A50" s="28">
        <f t="shared" si="7"/>
        <v>2063</v>
      </c>
      <c r="B50" s="95">
        <f t="shared" si="19"/>
        <v>4.7197861581904914E-2</v>
      </c>
      <c r="C50" s="33">
        <f>'Fixed Costs - RIM'!L48*1000</f>
        <v>17540730.124383286</v>
      </c>
      <c r="D50" s="104">
        <v>1414.0681762403501</v>
      </c>
      <c r="E50" s="104">
        <v>8696.0764841131713</v>
      </c>
      <c r="F50" s="104">
        <v>-912.23556516271958</v>
      </c>
      <c r="G50" s="33">
        <f>'Fixed Costs - RIM'!G48*1000</f>
        <v>5521259.1842041006</v>
      </c>
      <c r="H50" s="37">
        <f t="shared" si="0"/>
        <v>5530457.0932992911</v>
      </c>
      <c r="I50" s="108">
        <f t="shared" si="20"/>
        <v>109833.20258635563</v>
      </c>
      <c r="J50" s="108">
        <f t="shared" si="21"/>
        <v>29443.389429999999</v>
      </c>
      <c r="K50" s="84">
        <v>31224042.819900218</v>
      </c>
      <c r="L50" s="33">
        <f t="shared" si="22"/>
        <v>31363319.411916573</v>
      </c>
      <c r="M50" s="33">
        <f t="shared" si="1"/>
        <v>54434506.629599154</v>
      </c>
      <c r="N50" s="33">
        <f>NEL!B43/1000</f>
        <v>203932.17604724571</v>
      </c>
      <c r="O50" s="33">
        <f t="shared" si="17"/>
        <v>114.50165096718291</v>
      </c>
      <c r="P50" s="33">
        <f t="shared" si="23"/>
        <v>203817.67439627854</v>
      </c>
      <c r="Q50" s="124">
        <f t="shared" si="24"/>
        <v>26.707451545032967</v>
      </c>
      <c r="R50" s="29">
        <f t="shared" si="4"/>
        <v>1.2605346012278984</v>
      </c>
      <c r="S50" s="55">
        <f t="shared" si="18"/>
        <v>14.831099108365679</v>
      </c>
      <c r="T50" s="34">
        <f t="shared" si="5"/>
        <v>0.69999616282415666</v>
      </c>
      <c r="U50" s="14"/>
      <c r="V50" s="56">
        <f t="shared" si="6"/>
        <v>2063</v>
      </c>
      <c r="W50" s="16">
        <v>29443389.43</v>
      </c>
      <c r="X50" s="96">
        <f t="shared" si="15"/>
        <v>109833202.58635563</v>
      </c>
      <c r="Y50" s="110">
        <f t="shared" si="12"/>
        <v>139276592.01635563</v>
      </c>
      <c r="Z50" s="14"/>
      <c r="AC50" s="11"/>
      <c r="AD50" s="11"/>
    </row>
    <row r="51" spans="1:30">
      <c r="A51" s="28">
        <f t="shared" si="7"/>
        <v>2064</v>
      </c>
      <c r="B51" s="95">
        <f t="shared" si="19"/>
        <v>4.3643576262437998E-2</v>
      </c>
      <c r="C51" s="33">
        <f>'Fixed Costs - RIM'!L49*1000</f>
        <v>18051284.268344205</v>
      </c>
      <c r="D51" s="104">
        <v>1430.2358072059019</v>
      </c>
      <c r="E51" s="104">
        <v>8696.0764841131713</v>
      </c>
      <c r="F51" s="104">
        <v>-897.69704433666811</v>
      </c>
      <c r="G51" s="33">
        <f>'Fixed Costs - RIM'!G49*1000</f>
        <v>5649237.0361328088</v>
      </c>
      <c r="H51" s="37">
        <f t="shared" si="0"/>
        <v>5658465.6513797911</v>
      </c>
      <c r="I51" s="108">
        <f t="shared" si="20"/>
        <v>109833.20258635563</v>
      </c>
      <c r="J51" s="108">
        <f t="shared" si="21"/>
        <v>29443.389429999999</v>
      </c>
      <c r="K51" s="84">
        <v>31224042.819900218</v>
      </c>
      <c r="L51" s="33">
        <f t="shared" si="22"/>
        <v>31363319.411916573</v>
      </c>
      <c r="M51" s="33">
        <f t="shared" si="1"/>
        <v>55073069.331640571</v>
      </c>
      <c r="N51" s="33">
        <f>NEL!B44/1000</f>
        <v>205919.25839282293</v>
      </c>
      <c r="O51" s="33">
        <f t="shared" si="17"/>
        <v>114.50165096718291</v>
      </c>
      <c r="P51" s="33">
        <f t="shared" si="23"/>
        <v>205804.75674185576</v>
      </c>
      <c r="Q51" s="124">
        <f t="shared" si="24"/>
        <v>26.759862212864014</v>
      </c>
      <c r="R51" s="29">
        <f t="shared" si="4"/>
        <v>1.1678960872594635</v>
      </c>
      <c r="S51" s="55">
        <f t="shared" si="18"/>
        <v>14.831099108365679</v>
      </c>
      <c r="T51" s="34">
        <f t="shared" si="5"/>
        <v>0.64728220499173372</v>
      </c>
      <c r="U51" s="14"/>
      <c r="V51" s="56">
        <f t="shared" si="6"/>
        <v>2064</v>
      </c>
      <c r="W51" s="16">
        <v>29443389.43</v>
      </c>
      <c r="X51" s="96">
        <f t="shared" si="15"/>
        <v>109833202.58635563</v>
      </c>
      <c r="Y51" s="110">
        <f t="shared" si="12"/>
        <v>139276592.01635563</v>
      </c>
      <c r="Z51" s="14"/>
      <c r="AC51" s="11"/>
      <c r="AD51" s="11"/>
    </row>
    <row r="52" spans="1:30">
      <c r="A52" s="28">
        <f t="shared" si="7"/>
        <v>2065</v>
      </c>
      <c r="B52" s="95">
        <f t="shared" si="19"/>
        <v>4.0356950190843052E-2</v>
      </c>
      <c r="C52" s="33">
        <f>'Fixed Costs - RIM'!L50*1000</f>
        <v>18407588.621338602</v>
      </c>
      <c r="D52" s="104">
        <v>3793.8829659378025</v>
      </c>
      <c r="E52" s="104">
        <v>8696.0764841131713</v>
      </c>
      <c r="F52" s="104">
        <v>-883.98464564827043</v>
      </c>
      <c r="G52" s="33">
        <f>'Fixed Costs - RIM'!G50*1000</f>
        <v>5625268.7497558556</v>
      </c>
      <c r="H52" s="37">
        <f t="shared" si="0"/>
        <v>5636874.724560258</v>
      </c>
      <c r="I52" s="108">
        <f t="shared" ref="I52:I57" si="25">X52/1000</f>
        <v>109833.20258635563</v>
      </c>
      <c r="J52" s="108">
        <f t="shared" ref="J52:J57" si="26">W52/1000</f>
        <v>29443.389429999999</v>
      </c>
      <c r="K52" s="84">
        <v>31224042.819900218</v>
      </c>
      <c r="L52" s="33">
        <f t="shared" ref="L52:L57" si="27">SUM(I52:K52)</f>
        <v>31363319.411916573</v>
      </c>
      <c r="M52" s="33">
        <f t="shared" si="1"/>
        <v>55407782.757815436</v>
      </c>
      <c r="N52" s="33">
        <f>NEL!B45/1000</f>
        <v>207926.47277798827</v>
      </c>
      <c r="O52" s="33">
        <f t="shared" si="17"/>
        <v>114.50165096718291</v>
      </c>
      <c r="P52" s="33">
        <f t="shared" ref="P52:P57" si="28">N52-O52</f>
        <v>207811.9711270211</v>
      </c>
      <c r="Q52" s="124">
        <f t="shared" ref="Q52:Q57" si="29">(M52/P52)/10</f>
        <v>26.662459557706846</v>
      </c>
      <c r="R52" s="29">
        <f t="shared" si="4"/>
        <v>1.0760155523357424</v>
      </c>
      <c r="S52" s="55">
        <f t="shared" si="18"/>
        <v>14.831099108365679</v>
      </c>
      <c r="T52" s="34">
        <f t="shared" si="5"/>
        <v>0.59853792799177052</v>
      </c>
      <c r="U52" s="14"/>
      <c r="V52" s="56">
        <f t="shared" si="6"/>
        <v>2065</v>
      </c>
      <c r="W52" s="16">
        <v>29443389.43</v>
      </c>
      <c r="X52" s="96">
        <f t="shared" si="15"/>
        <v>109833202.58635563</v>
      </c>
      <c r="Y52" s="110">
        <f t="shared" ref="Y52:Y57" si="30">W52+X52</f>
        <v>139276592.01635563</v>
      </c>
      <c r="Z52" s="14"/>
      <c r="AC52" s="11"/>
      <c r="AD52" s="11"/>
    </row>
    <row r="53" spans="1:30">
      <c r="A53" s="28">
        <f t="shared" si="7"/>
        <v>2066</v>
      </c>
      <c r="B53" s="95">
        <f t="shared" si="19"/>
        <v>3.7317827001906792E-2</v>
      </c>
      <c r="C53" s="33">
        <f>'Fixed Costs - RIM'!L51*1000</f>
        <v>18777127.650434457</v>
      </c>
      <c r="D53" s="104">
        <v>4685.8821215513226</v>
      </c>
      <c r="E53" s="104">
        <v>8696.0764841131713</v>
      </c>
      <c r="F53" s="104">
        <v>-871.12803575096837</v>
      </c>
      <c r="G53" s="33">
        <f>'Fixed Costs - RIM'!G51*1000</f>
        <v>5727027.2438964881</v>
      </c>
      <c r="H53" s="37">
        <f t="shared" si="0"/>
        <v>5739538.0744664017</v>
      </c>
      <c r="I53" s="108">
        <f t="shared" si="25"/>
        <v>109833.20258635563</v>
      </c>
      <c r="J53" s="108">
        <f t="shared" si="26"/>
        <v>29443.389429999999</v>
      </c>
      <c r="K53" s="84">
        <v>31224042.819900218</v>
      </c>
      <c r="L53" s="33">
        <f t="shared" si="27"/>
        <v>31363319.411916573</v>
      </c>
      <c r="M53" s="33">
        <f t="shared" si="1"/>
        <v>55879985.136817425</v>
      </c>
      <c r="N53" s="33">
        <f>NEL!B46/1000</f>
        <v>209954.02500914101</v>
      </c>
      <c r="O53" s="33">
        <f t="shared" si="17"/>
        <v>114.50165096718291</v>
      </c>
      <c r="P53" s="33">
        <f t="shared" si="28"/>
        <v>209839.52335817384</v>
      </c>
      <c r="Q53" s="124">
        <f t="shared" si="29"/>
        <v>26.629866596406725</v>
      </c>
      <c r="R53" s="29">
        <f t="shared" si="4"/>
        <v>0.99376875472856263</v>
      </c>
      <c r="S53" s="55">
        <f t="shared" si="18"/>
        <v>14.831099108365679</v>
      </c>
      <c r="T53" s="34">
        <f t="shared" si="5"/>
        <v>0.55346439077412446</v>
      </c>
      <c r="U53" s="14"/>
      <c r="V53" s="56">
        <f t="shared" si="6"/>
        <v>2066</v>
      </c>
      <c r="W53" s="16">
        <v>29443389.43</v>
      </c>
      <c r="X53" s="96">
        <f t="shared" si="15"/>
        <v>109833202.58635563</v>
      </c>
      <c r="Y53" s="110">
        <f t="shared" si="30"/>
        <v>139276592.01635563</v>
      </c>
      <c r="Z53" s="14"/>
      <c r="AC53" s="11"/>
      <c r="AD53" s="11"/>
    </row>
    <row r="54" spans="1:30">
      <c r="A54" s="28">
        <f t="shared" si="7"/>
        <v>2067</v>
      </c>
      <c r="B54" s="95">
        <f t="shared" si="19"/>
        <v>3.4507568227002142E-2</v>
      </c>
      <c r="C54" s="33">
        <f>'Fixed Costs - RIM'!L52*1000</f>
        <v>19137348.402571324</v>
      </c>
      <c r="D54" s="104">
        <v>5548.4303987810927</v>
      </c>
      <c r="E54" s="104">
        <v>8696.0764841131713</v>
      </c>
      <c r="F54" s="104">
        <v>-859.15798586537198</v>
      </c>
      <c r="G54" s="33">
        <f>'Fixed Costs - RIM'!G52*1000</f>
        <v>5813257.9130859366</v>
      </c>
      <c r="H54" s="37">
        <f t="shared" si="0"/>
        <v>5826643.2619829653</v>
      </c>
      <c r="I54" s="108">
        <f t="shared" si="25"/>
        <v>109833.20258635563</v>
      </c>
      <c r="J54" s="108">
        <f t="shared" si="26"/>
        <v>29443.389429999999</v>
      </c>
      <c r="K54" s="84">
        <v>31224042.819900218</v>
      </c>
      <c r="L54" s="33">
        <f t="shared" si="27"/>
        <v>31363319.411916573</v>
      </c>
      <c r="M54" s="33">
        <f t="shared" si="1"/>
        <v>56327311.076470867</v>
      </c>
      <c r="N54" s="33">
        <f>NEL!B47/1000</f>
        <v>212002.12300082471</v>
      </c>
      <c r="O54" s="33">
        <f t="shared" si="17"/>
        <v>114.50165096718291</v>
      </c>
      <c r="P54" s="33">
        <f t="shared" si="28"/>
        <v>211887.62134985754</v>
      </c>
      <c r="Q54" s="124">
        <f t="shared" si="29"/>
        <v>26.583577991781887</v>
      </c>
      <c r="R54" s="29">
        <f t="shared" si="4"/>
        <v>0.91733463126924608</v>
      </c>
      <c r="S54" s="55">
        <f t="shared" si="18"/>
        <v>14.831099108365679</v>
      </c>
      <c r="T54" s="34">
        <f t="shared" si="5"/>
        <v>0.5117851643633593</v>
      </c>
      <c r="U54" s="14"/>
      <c r="V54" s="56">
        <f t="shared" si="6"/>
        <v>2067</v>
      </c>
      <c r="W54" s="16">
        <v>29443389.43</v>
      </c>
      <c r="X54" s="96">
        <f t="shared" si="15"/>
        <v>109833202.58635563</v>
      </c>
      <c r="Y54" s="110">
        <f t="shared" si="30"/>
        <v>139276592.01635563</v>
      </c>
      <c r="Z54" s="14"/>
      <c r="AC54" s="11"/>
      <c r="AD54" s="11"/>
    </row>
    <row r="55" spans="1:30">
      <c r="A55" s="28">
        <f t="shared" si="7"/>
        <v>2068</v>
      </c>
      <c r="B55" s="95">
        <f t="shared" si="19"/>
        <v>3.1908938987266433E-2</v>
      </c>
      <c r="C55" s="33">
        <f>'Fixed Costs - RIM'!L53*1000</f>
        <v>19461212.397695132</v>
      </c>
      <c r="D55" s="104">
        <v>6388.6081085630658</v>
      </c>
      <c r="E55" s="104">
        <v>8696.0764841131713</v>
      </c>
      <c r="F55" s="104">
        <v>-848.106414005332</v>
      </c>
      <c r="G55" s="33">
        <f>'Fixed Costs - RIM'!G53*1000</f>
        <v>5992452.2520751962</v>
      </c>
      <c r="H55" s="37">
        <f t="shared" si="0"/>
        <v>6006688.8302538674</v>
      </c>
      <c r="I55" s="108">
        <f t="shared" si="25"/>
        <v>109833.20258635563</v>
      </c>
      <c r="J55" s="108">
        <f t="shared" si="26"/>
        <v>29443.389429999999</v>
      </c>
      <c r="K55" s="84">
        <v>31224042.819900218</v>
      </c>
      <c r="L55" s="33">
        <f t="shared" si="27"/>
        <v>31363319.411916573</v>
      </c>
      <c r="M55" s="33">
        <f t="shared" si="1"/>
        <v>56831220.639865577</v>
      </c>
      <c r="N55" s="33">
        <f>NEL!B48/1000</f>
        <v>214070.9767973432</v>
      </c>
      <c r="O55" s="33">
        <f t="shared" si="17"/>
        <v>114.50165096718291</v>
      </c>
      <c r="P55" s="33">
        <f t="shared" si="28"/>
        <v>213956.47514637603</v>
      </c>
      <c r="Q55" s="124">
        <f t="shared" si="29"/>
        <v>26.562047538400087</v>
      </c>
      <c r="R55" s="29">
        <f t="shared" si="4"/>
        <v>0.84756675427967887</v>
      </c>
      <c r="S55" s="55">
        <f t="shared" si="18"/>
        <v>14.831099108365679</v>
      </c>
      <c r="T55" s="34">
        <f t="shared" si="5"/>
        <v>0.47324463656294208</v>
      </c>
      <c r="U55" s="14"/>
      <c r="V55" s="56">
        <f t="shared" si="6"/>
        <v>2068</v>
      </c>
      <c r="W55" s="16">
        <v>29443389.43</v>
      </c>
      <c r="X55" s="96">
        <f t="shared" si="15"/>
        <v>109833202.58635563</v>
      </c>
      <c r="Y55" s="110">
        <f t="shared" si="30"/>
        <v>139276592.01635563</v>
      </c>
      <c r="Z55" s="14"/>
      <c r="AC55" s="11"/>
      <c r="AD55" s="11"/>
    </row>
    <row r="56" spans="1:30">
      <c r="A56" s="28">
        <f t="shared" si="7"/>
        <v>2069</v>
      </c>
      <c r="B56" s="95">
        <f t="shared" si="19"/>
        <v>2.950600229477679E-2</v>
      </c>
      <c r="C56" s="33">
        <f>'Fixed Costs - RIM'!L54*1000</f>
        <v>19839088.25724804</v>
      </c>
      <c r="D56" s="104">
        <v>7264.6197154074198</v>
      </c>
      <c r="E56" s="104">
        <v>8696.0764841131713</v>
      </c>
      <c r="F56" s="104">
        <v>-838.00642884717672</v>
      </c>
      <c r="G56" s="33">
        <f>'Fixed Costs - RIM'!G54*1000</f>
        <v>5816723.3608398465</v>
      </c>
      <c r="H56" s="37">
        <f t="shared" si="0"/>
        <v>5831846.0506105199</v>
      </c>
      <c r="I56" s="108">
        <f t="shared" si="25"/>
        <v>109833.20258635563</v>
      </c>
      <c r="J56" s="108">
        <f t="shared" si="26"/>
        <v>29443.389429999999</v>
      </c>
      <c r="K56" s="84">
        <v>31224042.819900218</v>
      </c>
      <c r="L56" s="33">
        <f t="shared" si="27"/>
        <v>31363319.411916573</v>
      </c>
      <c r="M56" s="33">
        <f t="shared" si="1"/>
        <v>57034253.719775133</v>
      </c>
      <c r="N56" s="33">
        <f>NEL!B49/1000</f>
        <v>216160.79859457305</v>
      </c>
      <c r="O56" s="33">
        <f t="shared" si="17"/>
        <v>114.50165096718291</v>
      </c>
      <c r="P56" s="33">
        <f t="shared" si="28"/>
        <v>216046.29694360588</v>
      </c>
      <c r="Q56" s="124">
        <f t="shared" si="29"/>
        <v>26.399088772469291</v>
      </c>
      <c r="R56" s="29">
        <f t="shared" si="4"/>
        <v>0.77893157390049506</v>
      </c>
      <c r="S56" s="55">
        <f t="shared" si="18"/>
        <v>14.831099108365679</v>
      </c>
      <c r="T56" s="34">
        <f t="shared" si="5"/>
        <v>0.43760644432549972</v>
      </c>
      <c r="U56" s="14"/>
      <c r="V56" s="56">
        <f t="shared" si="6"/>
        <v>2069</v>
      </c>
      <c r="W56" s="16">
        <v>29443389.43</v>
      </c>
      <c r="X56" s="96">
        <f t="shared" si="15"/>
        <v>109833202.58635563</v>
      </c>
      <c r="Y56" s="110">
        <f t="shared" si="30"/>
        <v>139276592.01635563</v>
      </c>
      <c r="Z56" s="14"/>
      <c r="AC56" s="11"/>
      <c r="AD56" s="11"/>
    </row>
    <row r="57" spans="1:30" ht="15.75" thickBot="1">
      <c r="A57" s="28">
        <f t="shared" si="7"/>
        <v>2070</v>
      </c>
      <c r="B57" s="95">
        <f t="shared" si="19"/>
        <v>2.7284021313488241E-2</v>
      </c>
      <c r="C57" s="33">
        <f>'Fixed Costs - RIM'!L55*1000</f>
        <v>20246974.244940799</v>
      </c>
      <c r="D57" s="104">
        <v>7623.9674534903288</v>
      </c>
      <c r="E57" s="104">
        <v>8696.0764841131713</v>
      </c>
      <c r="F57" s="104">
        <v>-799.31290862065828</v>
      </c>
      <c r="G57" s="33">
        <f>'Fixed Costs - RIM'!G55*1000</f>
        <v>6129291.30749512</v>
      </c>
      <c r="H57" s="37">
        <f t="shared" si="0"/>
        <v>6144812.0385241024</v>
      </c>
      <c r="I57" s="108">
        <f t="shared" si="25"/>
        <v>109833.20258635563</v>
      </c>
      <c r="J57" s="108">
        <f t="shared" si="26"/>
        <v>29443.389429999999</v>
      </c>
      <c r="K57" s="84">
        <v>31224042.819900218</v>
      </c>
      <c r="L57" s="33">
        <f t="shared" si="27"/>
        <v>31363319.411916573</v>
      </c>
      <c r="M57" s="33">
        <f t="shared" si="1"/>
        <v>57755105.695381477</v>
      </c>
      <c r="N57" s="33">
        <f>NEL!B50/1000</f>
        <v>218271.80276202236</v>
      </c>
      <c r="O57" s="33">
        <f t="shared" si="17"/>
        <v>114.50165096718291</v>
      </c>
      <c r="P57" s="33">
        <f t="shared" si="28"/>
        <v>218157.30111105519</v>
      </c>
      <c r="Q57" s="124">
        <f t="shared" si="29"/>
        <v>26.474064998622556</v>
      </c>
      <c r="R57" s="29">
        <f t="shared" si="4"/>
        <v>0.72231895367709087</v>
      </c>
      <c r="S57" s="55">
        <f t="shared" si="18"/>
        <v>14.831099108365679</v>
      </c>
      <c r="T57" s="34">
        <f t="shared" si="5"/>
        <v>0.40465202417510565</v>
      </c>
      <c r="U57" s="14"/>
      <c r="V57" s="56">
        <f t="shared" si="6"/>
        <v>2070</v>
      </c>
      <c r="W57" s="16">
        <v>29443389.43</v>
      </c>
      <c r="X57" s="96">
        <f t="shared" si="15"/>
        <v>109833202.58635563</v>
      </c>
      <c r="Y57" s="177">
        <f t="shared" si="30"/>
        <v>139276592.01635563</v>
      </c>
      <c r="Z57" s="14"/>
      <c r="AC57" s="11"/>
      <c r="AD57" s="11"/>
    </row>
    <row r="58" spans="1:30" ht="15.75" thickBot="1">
      <c r="A58" s="25"/>
      <c r="B58" s="8"/>
      <c r="C58" s="16"/>
      <c r="D58" s="16"/>
      <c r="E58" s="16"/>
      <c r="F58" s="16"/>
      <c r="G58" s="16"/>
      <c r="H58" s="8"/>
      <c r="I58" s="8"/>
      <c r="J58" s="8"/>
      <c r="K58" s="8"/>
      <c r="L58" s="8"/>
      <c r="R58" s="111">
        <f>SUM(R11:R57)</f>
        <v>191.97549514246913</v>
      </c>
      <c r="T58" s="111">
        <f>SUM(T11:T57)</f>
        <v>191.97550000000001</v>
      </c>
      <c r="U58" s="20"/>
      <c r="V58" s="20"/>
      <c r="W58" s="118">
        <f>NPV($B$10,W12:W57)+W11</f>
        <v>381118713.19979566</v>
      </c>
      <c r="X58" s="119">
        <f>NPV($B$10,X12:X57)+X11</f>
        <v>1421693957.3428833</v>
      </c>
      <c r="Y58" s="119">
        <f>NPV($B$10,Y12:Y57)+Y11</f>
        <v>1802812670.5426798</v>
      </c>
      <c r="Z58" s="20"/>
    </row>
    <row r="59" spans="1:30" ht="15.75" thickBo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30" ht="15.75" thickBot="1">
      <c r="A60" s="98" t="s">
        <v>64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N60" s="10"/>
      <c r="O60" s="10"/>
      <c r="P60" s="10"/>
      <c r="Q60" s="10"/>
      <c r="R60" s="58">
        <f>S11</f>
        <v>14.831099108365679</v>
      </c>
    </row>
    <row r="61" spans="1:30">
      <c r="R61" s="7"/>
    </row>
    <row r="62" spans="1:30">
      <c r="A62" s="21"/>
      <c r="B62" s="12"/>
      <c r="C62" s="12"/>
      <c r="D62" s="12"/>
      <c r="E62" s="12"/>
      <c r="F62" s="12"/>
      <c r="G62" s="12"/>
      <c r="H62" s="18"/>
      <c r="I62" s="18"/>
      <c r="J62" s="18"/>
      <c r="K62" s="18"/>
      <c r="L62" s="18"/>
      <c r="M62" s="13"/>
    </row>
    <row r="65" spans="2:2">
      <c r="B65" s="17"/>
    </row>
  </sheetData>
  <mergeCells count="1">
    <mergeCell ref="A3:T3"/>
  </mergeCells>
  <phoneticPr fontId="13" type="noConversion"/>
  <printOptions horizontalCentered="1"/>
  <pageMargins left="0.25" right="0.25" top="0.75" bottom="0.25" header="0.5" footer="0.5"/>
  <pageSetup scale="33" orientation="landscape" r:id="rId1"/>
  <headerFooter alignWithMargins="0"/>
  <ignoredErrors>
    <ignoredError sqref="E10:F10 C10:D10 G10:M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Q55"/>
  <sheetViews>
    <sheetView showGridLines="0" zoomScale="75" workbookViewId="0">
      <selection sqref="A1:A2"/>
    </sheetView>
  </sheetViews>
  <sheetFormatPr defaultRowHeight="12.75"/>
  <cols>
    <col min="1" max="1" width="3.85546875" style="60" customWidth="1"/>
    <col min="2" max="2" width="8.140625" style="61" bestFit="1" customWidth="1"/>
    <col min="3" max="3" width="9" style="60" customWidth="1"/>
    <col min="4" max="4" width="12.28515625" style="60" bestFit="1" customWidth="1"/>
    <col min="5" max="5" width="14.28515625" style="60" bestFit="1" customWidth="1"/>
    <col min="6" max="6" width="17.140625" style="60" bestFit="1" customWidth="1"/>
    <col min="7" max="11" width="12.28515625" style="60" customWidth="1"/>
    <col min="12" max="12" width="15.7109375" style="60" customWidth="1"/>
    <col min="13" max="13" width="12.28515625" style="60" customWidth="1"/>
    <col min="14" max="14" width="15" style="60" customWidth="1"/>
    <col min="15" max="17" width="12.28515625" style="60" customWidth="1"/>
    <col min="18" max="16384" width="9.140625" style="60"/>
  </cols>
  <sheetData>
    <row r="1" spans="1:17">
      <c r="A1" s="185" t="s">
        <v>82</v>
      </c>
      <c r="B1" s="60"/>
    </row>
    <row r="2" spans="1:17" ht="13.5" thickBot="1">
      <c r="A2" s="185" t="s">
        <v>81</v>
      </c>
      <c r="K2" s="113"/>
    </row>
    <row r="3" spans="1:17" ht="33" customHeight="1" thickBot="1">
      <c r="B3" s="62"/>
      <c r="C3" s="63" t="s">
        <v>47</v>
      </c>
      <c r="D3" s="63"/>
      <c r="E3" s="63"/>
      <c r="F3" s="63"/>
      <c r="G3" s="64" t="s">
        <v>79</v>
      </c>
      <c r="H3" s="64"/>
      <c r="I3" s="65"/>
      <c r="J3" s="65"/>
      <c r="K3" s="114"/>
      <c r="L3" s="114"/>
      <c r="M3" s="66" t="s">
        <v>48</v>
      </c>
      <c r="N3" s="67">
        <v>45377</v>
      </c>
      <c r="O3" s="68"/>
      <c r="P3" s="68"/>
      <c r="Q3" s="69"/>
    </row>
    <row r="4" spans="1:17" ht="13.5" thickBot="1">
      <c r="C4" s="61"/>
      <c r="D4" s="179" t="s">
        <v>67</v>
      </c>
      <c r="E4" s="180"/>
      <c r="F4" s="181"/>
      <c r="H4" s="182" t="s">
        <v>68</v>
      </c>
      <c r="I4" s="183"/>
      <c r="J4" s="183"/>
      <c r="K4" s="184"/>
      <c r="L4" s="61"/>
      <c r="M4" s="61"/>
    </row>
    <row r="5" spans="1:17">
      <c r="B5" s="70"/>
      <c r="C5" s="71" t="s">
        <v>0</v>
      </c>
      <c r="D5" s="139" t="s">
        <v>4</v>
      </c>
      <c r="E5" s="139" t="s">
        <v>65</v>
      </c>
      <c r="F5" s="139" t="s">
        <v>18</v>
      </c>
      <c r="G5" s="145" t="s">
        <v>1</v>
      </c>
      <c r="H5" s="141"/>
      <c r="I5" s="139"/>
      <c r="J5" s="139"/>
      <c r="K5" s="142"/>
      <c r="L5" s="86" t="s">
        <v>1</v>
      </c>
      <c r="M5" s="88" t="s">
        <v>1</v>
      </c>
      <c r="N5" s="87" t="s">
        <v>2</v>
      </c>
      <c r="O5" s="87" t="s">
        <v>2</v>
      </c>
      <c r="P5" s="61"/>
    </row>
    <row r="6" spans="1:17" ht="32.25" customHeight="1">
      <c r="B6" s="72"/>
      <c r="C6" s="73" t="s">
        <v>3</v>
      </c>
      <c r="D6" s="125" t="s">
        <v>8</v>
      </c>
      <c r="E6" s="125" t="s">
        <v>66</v>
      </c>
      <c r="F6" s="140" t="s">
        <v>52</v>
      </c>
      <c r="G6" s="146" t="s">
        <v>16</v>
      </c>
      <c r="H6" s="143" t="s">
        <v>5</v>
      </c>
      <c r="I6" s="144" t="s">
        <v>15</v>
      </c>
      <c r="J6" s="140" t="s">
        <v>69</v>
      </c>
      <c r="K6" s="140" t="s">
        <v>6</v>
      </c>
      <c r="L6" s="89" t="s">
        <v>70</v>
      </c>
      <c r="M6" s="91" t="s">
        <v>0</v>
      </c>
      <c r="N6" s="90" t="s">
        <v>1</v>
      </c>
      <c r="O6" s="90" t="s">
        <v>7</v>
      </c>
      <c r="P6" s="61"/>
    </row>
    <row r="7" spans="1:17">
      <c r="B7" s="74"/>
      <c r="C7" s="73" t="s">
        <v>49</v>
      </c>
      <c r="D7" s="140" t="s">
        <v>10</v>
      </c>
      <c r="E7" s="140" t="s">
        <v>10</v>
      </c>
      <c r="F7" s="140" t="s">
        <v>10</v>
      </c>
      <c r="G7" s="146" t="s">
        <v>10</v>
      </c>
      <c r="H7" s="143" t="s">
        <v>9</v>
      </c>
      <c r="I7" s="140" t="s">
        <v>10</v>
      </c>
      <c r="J7" s="140" t="s">
        <v>10</v>
      </c>
      <c r="K7" s="140" t="s">
        <v>10</v>
      </c>
      <c r="L7" s="89" t="s">
        <v>10</v>
      </c>
      <c r="M7" s="91" t="s">
        <v>10</v>
      </c>
      <c r="N7" s="90" t="s">
        <v>11</v>
      </c>
      <c r="O7" s="90" t="s">
        <v>12</v>
      </c>
      <c r="P7" s="61"/>
    </row>
    <row r="8" spans="1:17" ht="13.5" thickBot="1">
      <c r="B8" s="72" t="s">
        <v>13</v>
      </c>
      <c r="C8" s="151">
        <v>8.1438910919999996E-2</v>
      </c>
      <c r="D8" s="140" t="s">
        <v>14</v>
      </c>
      <c r="E8" s="140" t="s">
        <v>14</v>
      </c>
      <c r="F8" s="140" t="s">
        <v>14</v>
      </c>
      <c r="G8" s="146" t="s">
        <v>14</v>
      </c>
      <c r="H8" s="143" t="s">
        <v>14</v>
      </c>
      <c r="I8" s="140" t="s">
        <v>14</v>
      </c>
      <c r="J8" s="140" t="s">
        <v>14</v>
      </c>
      <c r="K8" s="152" t="s">
        <v>14</v>
      </c>
      <c r="L8" s="153" t="s">
        <v>14</v>
      </c>
      <c r="M8" s="154" t="s">
        <v>14</v>
      </c>
      <c r="N8" s="155" t="s">
        <v>14</v>
      </c>
      <c r="O8" s="156" t="s">
        <v>14</v>
      </c>
      <c r="P8" s="61"/>
    </row>
    <row r="9" spans="1:17">
      <c r="A9" s="60">
        <v>1</v>
      </c>
      <c r="B9" s="157">
        <v>2024</v>
      </c>
      <c r="C9" s="158">
        <v>1</v>
      </c>
      <c r="D9" s="159">
        <v>160.16651562499999</v>
      </c>
      <c r="E9" s="159">
        <v>3.4924339599609402</v>
      </c>
      <c r="F9" s="159">
        <v>9.0336533355712891</v>
      </c>
      <c r="G9" s="160">
        <f>SUM(D9:F9)</f>
        <v>172.69260292053224</v>
      </c>
      <c r="H9" s="161">
        <v>2539.71935112238</v>
      </c>
      <c r="I9" s="162">
        <v>117.185031356812</v>
      </c>
      <c r="J9" s="162">
        <v>41.797955922111903</v>
      </c>
      <c r="K9" s="163">
        <v>0.54355808829283303</v>
      </c>
      <c r="L9" s="164">
        <f>SUM(H9:K9)</f>
        <v>2699.2458964895968</v>
      </c>
      <c r="M9" s="165">
        <f>L9+G9</f>
        <v>2871.9384994101292</v>
      </c>
      <c r="N9" s="166">
        <f>M9*C9</f>
        <v>2871.9384994101292</v>
      </c>
      <c r="O9" s="167">
        <f>N9</f>
        <v>2871.9384994101292</v>
      </c>
      <c r="P9" s="168">
        <v>2024</v>
      </c>
    </row>
    <row r="10" spans="1:17">
      <c r="A10" s="60">
        <v>2</v>
      </c>
      <c r="B10" s="121">
        <v>2025</v>
      </c>
      <c r="C10" s="75">
        <v>0.92822505603856131</v>
      </c>
      <c r="D10" s="129">
        <v>337.48591498947098</v>
      </c>
      <c r="E10" s="129">
        <v>12.8770021286011</v>
      </c>
      <c r="F10" s="129">
        <v>14.6555814666748</v>
      </c>
      <c r="G10" s="126">
        <f t="shared" ref="G10:G55" si="0">SUM(D10:F10)</f>
        <v>365.01849858474685</v>
      </c>
      <c r="H10" s="132">
        <v>2824.7081263847299</v>
      </c>
      <c r="I10" s="133">
        <v>127.40102690172201</v>
      </c>
      <c r="J10" s="134">
        <v>-105.05275350232399</v>
      </c>
      <c r="K10" s="135">
        <v>0.55628727889480101</v>
      </c>
      <c r="L10" s="77">
        <f>SUM(H10:K10)</f>
        <v>2847.6126870630228</v>
      </c>
      <c r="M10" s="78">
        <f t="shared" ref="M10:M55" si="1">L10+G10</f>
        <v>3212.6311856477696</v>
      </c>
      <c r="N10" s="79">
        <f t="shared" ref="N10:N55" si="2">M10*C10</f>
        <v>2982.0447623291307</v>
      </c>
      <c r="O10" s="76">
        <f>O9+N10</f>
        <v>5853.9832617392603</v>
      </c>
      <c r="P10" s="169">
        <v>2025</v>
      </c>
    </row>
    <row r="11" spans="1:17">
      <c r="A11" s="60">
        <v>3</v>
      </c>
      <c r="B11" s="121">
        <v>2026</v>
      </c>
      <c r="C11" s="75">
        <v>0.86160175465779032</v>
      </c>
      <c r="D11" s="129">
        <v>885.25376757812501</v>
      </c>
      <c r="E11" s="129">
        <v>34.996137634277297</v>
      </c>
      <c r="F11" s="129">
        <v>81.827287292480506</v>
      </c>
      <c r="G11" s="126">
        <f t="shared" si="0"/>
        <v>1002.0771925048828</v>
      </c>
      <c r="H11" s="132">
        <v>3174.1139952697799</v>
      </c>
      <c r="I11" s="133">
        <v>146.408729040146</v>
      </c>
      <c r="J11" s="134">
        <v>-359.06840611378902</v>
      </c>
      <c r="K11" s="135">
        <v>0.52571759621705905</v>
      </c>
      <c r="L11" s="77">
        <f t="shared" ref="L11:L55" si="3">SUM(H11:K11)</f>
        <v>2961.9800357923541</v>
      </c>
      <c r="M11" s="78">
        <f t="shared" si="1"/>
        <v>3964.0572282972371</v>
      </c>
      <c r="N11" s="79">
        <f t="shared" si="2"/>
        <v>3415.4386634647963</v>
      </c>
      <c r="O11" s="76">
        <f t="shared" ref="O11:O55" si="4">O10+N11</f>
        <v>9269.4219252040566</v>
      </c>
      <c r="P11" s="169">
        <v>2026</v>
      </c>
    </row>
    <row r="12" spans="1:17">
      <c r="A12" s="60">
        <v>4</v>
      </c>
      <c r="B12" s="121">
        <v>2027</v>
      </c>
      <c r="C12" s="75">
        <v>0.79976033700015015</v>
      </c>
      <c r="D12" s="129">
        <v>1323.47532910156</v>
      </c>
      <c r="E12" s="129">
        <v>48.625243347168002</v>
      </c>
      <c r="F12" s="129">
        <v>146.326439186096</v>
      </c>
      <c r="G12" s="126">
        <f t="shared" si="0"/>
        <v>1518.4270116348239</v>
      </c>
      <c r="H12" s="132">
        <v>2996.4943937263502</v>
      </c>
      <c r="I12" s="133">
        <v>154.73639553832999</v>
      </c>
      <c r="J12" s="134">
        <v>-616.76160807639405</v>
      </c>
      <c r="K12" s="135">
        <v>0.50834112746361604</v>
      </c>
      <c r="L12" s="77">
        <f t="shared" si="3"/>
        <v>2534.9775223157494</v>
      </c>
      <c r="M12" s="78">
        <f t="shared" si="1"/>
        <v>4053.4045339505733</v>
      </c>
      <c r="N12" s="79">
        <f t="shared" si="2"/>
        <v>3241.7521760702471</v>
      </c>
      <c r="O12" s="76">
        <f t="shared" si="4"/>
        <v>12511.174101274304</v>
      </c>
      <c r="P12" s="169">
        <v>2027</v>
      </c>
    </row>
    <row r="13" spans="1:17">
      <c r="A13" s="60">
        <v>5</v>
      </c>
      <c r="B13" s="121">
        <v>2028</v>
      </c>
      <c r="C13" s="75">
        <v>0.74235758362938309</v>
      </c>
      <c r="D13" s="129">
        <v>1729.49853808594</v>
      </c>
      <c r="E13" s="129">
        <v>62.418831848144499</v>
      </c>
      <c r="F13" s="129">
        <v>208.30612593841599</v>
      </c>
      <c r="G13" s="126">
        <f t="shared" si="0"/>
        <v>2000.2234958725005</v>
      </c>
      <c r="H13" s="132">
        <v>3044.3718062591602</v>
      </c>
      <c r="I13" s="133">
        <v>166.575243387222</v>
      </c>
      <c r="J13" s="134">
        <v>-858.07005798730302</v>
      </c>
      <c r="K13" s="135">
        <v>0.47423102548625301</v>
      </c>
      <c r="L13" s="77">
        <f t="shared" si="3"/>
        <v>2353.3512226845655</v>
      </c>
      <c r="M13" s="78">
        <f t="shared" si="1"/>
        <v>4353.5747185570663</v>
      </c>
      <c r="N13" s="79">
        <f t="shared" si="2"/>
        <v>3231.9092082179955</v>
      </c>
      <c r="O13" s="76">
        <f t="shared" si="4"/>
        <v>15743.0833094923</v>
      </c>
      <c r="P13" s="169">
        <v>2028</v>
      </c>
    </row>
    <row r="14" spans="1:17">
      <c r="A14" s="60">
        <v>6</v>
      </c>
      <c r="B14" s="121">
        <v>2029</v>
      </c>
      <c r="C14" s="75">
        <v>0.68907490966503504</v>
      </c>
      <c r="D14" s="129">
        <v>2107.7627246093698</v>
      </c>
      <c r="E14" s="129">
        <v>94.506751770019505</v>
      </c>
      <c r="F14" s="129">
        <v>267.83252113342297</v>
      </c>
      <c r="G14" s="126">
        <f t="shared" si="0"/>
        <v>2470.1019975128124</v>
      </c>
      <c r="H14" s="132">
        <v>3027.0659022528598</v>
      </c>
      <c r="I14" s="133">
        <v>195.70041484832799</v>
      </c>
      <c r="J14" s="134">
        <v>-1136.42581141555</v>
      </c>
      <c r="K14" s="135">
        <v>0.42601407038946698</v>
      </c>
      <c r="L14" s="77">
        <f t="shared" si="3"/>
        <v>2086.7665197560273</v>
      </c>
      <c r="M14" s="78">
        <f t="shared" si="1"/>
        <v>4556.8685172688402</v>
      </c>
      <c r="N14" s="79">
        <f t="shared" si="2"/>
        <v>3140.023761892468</v>
      </c>
      <c r="O14" s="76">
        <f t="shared" si="4"/>
        <v>18883.107071384769</v>
      </c>
      <c r="P14" s="169">
        <v>2029</v>
      </c>
    </row>
    <row r="15" spans="1:17">
      <c r="A15" s="60">
        <v>7</v>
      </c>
      <c r="B15" s="121">
        <v>2030</v>
      </c>
      <c r="C15" s="75">
        <v>0.63961659663859372</v>
      </c>
      <c r="D15" s="129">
        <v>2465.6974228515601</v>
      </c>
      <c r="E15" s="129">
        <v>92.799867980957004</v>
      </c>
      <c r="F15" s="129">
        <v>325.09667314147902</v>
      </c>
      <c r="G15" s="126">
        <f t="shared" si="0"/>
        <v>2883.5939639739963</v>
      </c>
      <c r="H15" s="132">
        <v>2798.95118899727</v>
      </c>
      <c r="I15" s="133">
        <v>202.77615306854199</v>
      </c>
      <c r="J15" s="134">
        <v>-1432.50705879921</v>
      </c>
      <c r="K15" s="135">
        <v>0.40695024427445597</v>
      </c>
      <c r="L15" s="77">
        <f t="shared" si="3"/>
        <v>1569.6272335108765</v>
      </c>
      <c r="M15" s="78">
        <f t="shared" si="1"/>
        <v>4453.2211974848724</v>
      </c>
      <c r="N15" s="79">
        <f t="shared" si="2"/>
        <v>2848.3541864141171</v>
      </c>
      <c r="O15" s="76">
        <f t="shared" si="4"/>
        <v>21731.461257798888</v>
      </c>
      <c r="P15" s="169">
        <v>2030</v>
      </c>
    </row>
    <row r="16" spans="1:17">
      <c r="A16" s="60">
        <v>8</v>
      </c>
      <c r="B16" s="121">
        <v>2031</v>
      </c>
      <c r="C16" s="75">
        <v>0.59370815125805254</v>
      </c>
      <c r="D16" s="129">
        <v>2805.11061572266</v>
      </c>
      <c r="E16" s="129">
        <v>114.09696295166</v>
      </c>
      <c r="F16" s="129">
        <v>380.14100508499098</v>
      </c>
      <c r="G16" s="126">
        <f t="shared" si="0"/>
        <v>3299.3485837593107</v>
      </c>
      <c r="H16" s="132">
        <v>2696.3770746002201</v>
      </c>
      <c r="I16" s="133">
        <v>230.62641438484201</v>
      </c>
      <c r="J16" s="134">
        <v>-1741.3806009049999</v>
      </c>
      <c r="K16" s="135">
        <v>0.40260857364535302</v>
      </c>
      <c r="L16" s="77">
        <f t="shared" si="3"/>
        <v>1186.0254966537077</v>
      </c>
      <c r="M16" s="78">
        <f t="shared" si="1"/>
        <v>4485.3740804130184</v>
      </c>
      <c r="N16" s="79">
        <f t="shared" si="2"/>
        <v>2663.0031529828007</v>
      </c>
      <c r="O16" s="76">
        <f t="shared" si="4"/>
        <v>24394.464410781689</v>
      </c>
      <c r="P16" s="169">
        <v>2031</v>
      </c>
    </row>
    <row r="17" spans="1:16">
      <c r="A17" s="60">
        <v>9</v>
      </c>
      <c r="B17" s="121">
        <v>2032</v>
      </c>
      <c r="C17" s="75">
        <v>0.55109478197205641</v>
      </c>
      <c r="D17" s="129">
        <v>3129.90890283203</v>
      </c>
      <c r="E17" s="129">
        <v>147.68180822753899</v>
      </c>
      <c r="F17" s="129">
        <v>433.055687019348</v>
      </c>
      <c r="G17" s="126">
        <f t="shared" si="0"/>
        <v>3710.6463980789172</v>
      </c>
      <c r="H17" s="132">
        <v>2658.4604433498398</v>
      </c>
      <c r="I17" s="133">
        <v>264.25547377777099</v>
      </c>
      <c r="J17" s="134">
        <v>-1990.31953631753</v>
      </c>
      <c r="K17" s="135">
        <v>0.39979360241117001</v>
      </c>
      <c r="L17" s="77">
        <f t="shared" si="3"/>
        <v>932.79617441249184</v>
      </c>
      <c r="M17" s="78">
        <f t="shared" si="1"/>
        <v>4643.442572491409</v>
      </c>
      <c r="N17" s="79">
        <f t="shared" si="2"/>
        <v>2558.9769720869176</v>
      </c>
      <c r="O17" s="76">
        <f t="shared" si="4"/>
        <v>26953.441382868608</v>
      </c>
      <c r="P17" s="169">
        <v>2032</v>
      </c>
    </row>
    <row r="18" spans="1:16">
      <c r="A18" s="60">
        <v>10</v>
      </c>
      <c r="B18" s="121">
        <v>2033</v>
      </c>
      <c r="C18" s="75">
        <v>0.51153998487857077</v>
      </c>
      <c r="D18" s="129">
        <v>3474.2736914062498</v>
      </c>
      <c r="E18" s="129">
        <v>155.03852514648401</v>
      </c>
      <c r="F18" s="129">
        <v>484.59642715072602</v>
      </c>
      <c r="G18" s="126">
        <f t="shared" si="0"/>
        <v>4113.9086437034603</v>
      </c>
      <c r="H18" s="132">
        <v>2696.6418078022002</v>
      </c>
      <c r="I18" s="133">
        <v>291.66300218010002</v>
      </c>
      <c r="J18" s="134">
        <v>-2176.6023161538801</v>
      </c>
      <c r="K18" s="135">
        <v>0.39221664443798399</v>
      </c>
      <c r="L18" s="77">
        <f t="shared" si="3"/>
        <v>812.09471047285831</v>
      </c>
      <c r="M18" s="78">
        <f t="shared" si="1"/>
        <v>4926.0033541763187</v>
      </c>
      <c r="N18" s="79">
        <f t="shared" si="2"/>
        <v>2519.8476813071429</v>
      </c>
      <c r="O18" s="76">
        <f t="shared" si="4"/>
        <v>29473.289064175751</v>
      </c>
      <c r="P18" s="169">
        <v>2033</v>
      </c>
    </row>
    <row r="19" spans="1:16">
      <c r="A19" s="60">
        <v>11</v>
      </c>
      <c r="B19" s="121">
        <v>2034</v>
      </c>
      <c r="C19" s="75">
        <v>0.47482423112987615</v>
      </c>
      <c r="D19" s="129">
        <v>3734.66388476562</v>
      </c>
      <c r="E19" s="129">
        <v>163.71271820068401</v>
      </c>
      <c r="F19" s="129">
        <v>499.64668752670298</v>
      </c>
      <c r="G19" s="126">
        <f t="shared" si="0"/>
        <v>4398.0232904930072</v>
      </c>
      <c r="H19" s="132">
        <v>2808.6201171285602</v>
      </c>
      <c r="I19" s="133">
        <v>225.691472272873</v>
      </c>
      <c r="J19" s="134">
        <v>-2047.60058297312</v>
      </c>
      <c r="K19" s="135">
        <v>0.36433486552053601</v>
      </c>
      <c r="L19" s="77">
        <f t="shared" si="3"/>
        <v>987.07534129383362</v>
      </c>
      <c r="M19" s="78">
        <f t="shared" si="1"/>
        <v>5385.098631786841</v>
      </c>
      <c r="N19" s="79">
        <f t="shared" si="2"/>
        <v>2556.9753173967347</v>
      </c>
      <c r="O19" s="76">
        <f t="shared" si="4"/>
        <v>32030.264381572488</v>
      </c>
      <c r="P19" s="169">
        <v>2034</v>
      </c>
    </row>
    <row r="20" spans="1:16">
      <c r="A20" s="60">
        <v>12</v>
      </c>
      <c r="B20" s="121">
        <v>2035</v>
      </c>
      <c r="C20" s="75">
        <v>0.44074374854899606</v>
      </c>
      <c r="D20" s="129">
        <v>3582.6652416992201</v>
      </c>
      <c r="E20" s="129">
        <v>192.04897302246101</v>
      </c>
      <c r="F20" s="129">
        <v>481.72773859786997</v>
      </c>
      <c r="G20" s="126">
        <f t="shared" si="0"/>
        <v>4256.4419533195505</v>
      </c>
      <c r="H20" s="132">
        <v>3043.1163626861899</v>
      </c>
      <c r="I20" s="133">
        <v>240.684706644058</v>
      </c>
      <c r="J20" s="134">
        <v>-1910.0746900803399</v>
      </c>
      <c r="K20" s="135">
        <v>0.37553217259423199</v>
      </c>
      <c r="L20" s="77">
        <f t="shared" si="3"/>
        <v>1374.1019114225019</v>
      </c>
      <c r="M20" s="78">
        <f t="shared" si="1"/>
        <v>5630.5438647420524</v>
      </c>
      <c r="N20" s="79">
        <f t="shared" si="2"/>
        <v>2481.6270093159637</v>
      </c>
      <c r="O20" s="76">
        <f t="shared" si="4"/>
        <v>34511.89139088845</v>
      </c>
      <c r="P20" s="169">
        <v>2035</v>
      </c>
    </row>
    <row r="21" spans="1:16">
      <c r="A21" s="60">
        <v>13</v>
      </c>
      <c r="B21" s="121">
        <v>2036</v>
      </c>
      <c r="C21" s="75">
        <v>0.40910939069553742</v>
      </c>
      <c r="D21" s="129">
        <v>3551.7356166992199</v>
      </c>
      <c r="E21" s="129">
        <v>180.418128631592</v>
      </c>
      <c r="F21" s="129">
        <v>474.11307654190102</v>
      </c>
      <c r="G21" s="126">
        <f t="shared" si="0"/>
        <v>4206.2668218727131</v>
      </c>
      <c r="H21" s="132">
        <v>3255.2699496078499</v>
      </c>
      <c r="I21" s="133">
        <v>241.84849354744</v>
      </c>
      <c r="J21" s="134">
        <v>-1747.92662417716</v>
      </c>
      <c r="K21" s="135">
        <v>95.3026217498183</v>
      </c>
      <c r="L21" s="77">
        <f t="shared" si="3"/>
        <v>1844.4944407279481</v>
      </c>
      <c r="M21" s="78">
        <f t="shared" si="1"/>
        <v>6050.7612626006612</v>
      </c>
      <c r="N21" s="79">
        <f t="shared" si="2"/>
        <v>2475.4232533867171</v>
      </c>
      <c r="O21" s="76">
        <f t="shared" si="4"/>
        <v>36987.314644275168</v>
      </c>
      <c r="P21" s="169">
        <v>2036</v>
      </c>
    </row>
    <row r="22" spans="1:16">
      <c r="A22" s="60">
        <v>14</v>
      </c>
      <c r="B22" s="121">
        <v>2037</v>
      </c>
      <c r="C22" s="75">
        <v>0.37974558710426687</v>
      </c>
      <c r="D22" s="129">
        <v>3537.2492202148401</v>
      </c>
      <c r="E22" s="129">
        <v>200.44840625000001</v>
      </c>
      <c r="F22" s="129">
        <v>466.94021092224102</v>
      </c>
      <c r="G22" s="126">
        <f t="shared" si="0"/>
        <v>4204.6378373870812</v>
      </c>
      <c r="H22" s="132">
        <v>3455.7918754677698</v>
      </c>
      <c r="I22" s="133">
        <v>244.04292007064799</v>
      </c>
      <c r="J22" s="134">
        <v>-1485.4805057624601</v>
      </c>
      <c r="K22" s="135">
        <v>198.131130248874</v>
      </c>
      <c r="L22" s="77">
        <f t="shared" si="3"/>
        <v>2412.4854200248319</v>
      </c>
      <c r="M22" s="78">
        <f t="shared" si="1"/>
        <v>6617.1232574119131</v>
      </c>
      <c r="N22" s="79">
        <f t="shared" si="2"/>
        <v>2512.8233563271856</v>
      </c>
      <c r="O22" s="76">
        <f t="shared" si="4"/>
        <v>39500.138000602354</v>
      </c>
      <c r="P22" s="169">
        <v>2037</v>
      </c>
    </row>
    <row r="23" spans="1:16">
      <c r="A23" s="60">
        <v>15</v>
      </c>
      <c r="B23" s="122">
        <v>2038</v>
      </c>
      <c r="C23" s="80">
        <v>0.35248936887025445</v>
      </c>
      <c r="D23" s="129">
        <v>3790.7739873046899</v>
      </c>
      <c r="E23" s="129">
        <v>243.79221191406299</v>
      </c>
      <c r="F23" s="129">
        <v>460.02581119537399</v>
      </c>
      <c r="G23" s="126">
        <f t="shared" si="0"/>
        <v>4494.5920104141269</v>
      </c>
      <c r="H23" s="132">
        <v>3682.60433746529</v>
      </c>
      <c r="I23" s="133">
        <v>252.72748321151701</v>
      </c>
      <c r="J23" s="134">
        <v>-1215.40743825603</v>
      </c>
      <c r="K23" s="135">
        <v>311.55650982022303</v>
      </c>
      <c r="L23" s="77">
        <f t="shared" si="3"/>
        <v>3031.4808922410002</v>
      </c>
      <c r="M23" s="78">
        <f t="shared" si="1"/>
        <v>7526.0729026551271</v>
      </c>
      <c r="N23" s="79">
        <f t="shared" si="2"/>
        <v>2652.8606875284295</v>
      </c>
      <c r="O23" s="76">
        <f t="shared" si="4"/>
        <v>42152.998688130785</v>
      </c>
      <c r="P23" s="169">
        <v>2038</v>
      </c>
    </row>
    <row r="24" spans="1:16">
      <c r="A24" s="60">
        <v>16</v>
      </c>
      <c r="B24" s="121">
        <v>2039</v>
      </c>
      <c r="C24" s="75">
        <v>0.32718946417258904</v>
      </c>
      <c r="D24" s="129">
        <v>3787.9318232421901</v>
      </c>
      <c r="E24" s="129">
        <v>242.21540917968699</v>
      </c>
      <c r="F24" s="129">
        <v>453.28115980529799</v>
      </c>
      <c r="G24" s="126">
        <f t="shared" si="0"/>
        <v>4483.4283922271752</v>
      </c>
      <c r="H24" s="132">
        <v>3882.7496695661498</v>
      </c>
      <c r="I24" s="133">
        <v>254.45386103439299</v>
      </c>
      <c r="J24" s="134">
        <v>-935.36583536201704</v>
      </c>
      <c r="K24" s="135">
        <v>434.014564489365</v>
      </c>
      <c r="L24" s="77">
        <f t="shared" si="3"/>
        <v>3635.8522597278907</v>
      </c>
      <c r="M24" s="78">
        <f t="shared" si="1"/>
        <v>8119.2806519550659</v>
      </c>
      <c r="N24" s="79">
        <f t="shared" si="2"/>
        <v>2656.5430859800472</v>
      </c>
      <c r="O24" s="76">
        <f t="shared" si="4"/>
        <v>44809.541774110832</v>
      </c>
      <c r="P24" s="169">
        <v>2039</v>
      </c>
    </row>
    <row r="25" spans="1:16">
      <c r="A25" s="60">
        <v>17</v>
      </c>
      <c r="B25" s="121">
        <v>2040</v>
      </c>
      <c r="C25" s="75">
        <v>0.3037054587168283</v>
      </c>
      <c r="D25" s="129">
        <v>3790.0374672851599</v>
      </c>
      <c r="E25" s="129">
        <v>268.01663293457</v>
      </c>
      <c r="F25" s="129">
        <v>446.70971997070302</v>
      </c>
      <c r="G25" s="126">
        <f t="shared" si="0"/>
        <v>4504.7638201904329</v>
      </c>
      <c r="H25" s="132">
        <v>4194.6407499151201</v>
      </c>
      <c r="I25" s="133">
        <v>265.70925191497798</v>
      </c>
      <c r="J25" s="134">
        <v>-647.67072420197701</v>
      </c>
      <c r="K25" s="135">
        <v>559.13733210253702</v>
      </c>
      <c r="L25" s="77">
        <f t="shared" si="3"/>
        <v>4371.8166097306585</v>
      </c>
      <c r="M25" s="78">
        <f t="shared" si="1"/>
        <v>8876.5804299210904</v>
      </c>
      <c r="N25" s="79">
        <f t="shared" si="2"/>
        <v>2695.8659313060057</v>
      </c>
      <c r="O25" s="76">
        <f t="shared" si="4"/>
        <v>47505.407705416837</v>
      </c>
      <c r="P25" s="169">
        <v>2040</v>
      </c>
    </row>
    <row r="26" spans="1:16">
      <c r="A26" s="60">
        <v>18</v>
      </c>
      <c r="B26" s="121">
        <v>2041</v>
      </c>
      <c r="C26" s="75">
        <v>0.2819070164366449</v>
      </c>
      <c r="D26" s="129">
        <v>3792.6323398437498</v>
      </c>
      <c r="E26" s="129">
        <v>298.51796954345701</v>
      </c>
      <c r="F26" s="129">
        <v>440.40017715454098</v>
      </c>
      <c r="G26" s="126">
        <f t="shared" si="0"/>
        <v>4531.5504865417479</v>
      </c>
      <c r="H26" s="132">
        <v>4384.7627588443802</v>
      </c>
      <c r="I26" s="133">
        <v>273.99316860199002</v>
      </c>
      <c r="J26" s="134">
        <v>-345.40282995825999</v>
      </c>
      <c r="K26" s="135">
        <v>641.61964440917995</v>
      </c>
      <c r="L26" s="77">
        <f t="shared" si="3"/>
        <v>4954.9727418972907</v>
      </c>
      <c r="M26" s="78">
        <f t="shared" si="1"/>
        <v>9486.5232284390386</v>
      </c>
      <c r="N26" s="79">
        <f t="shared" si="2"/>
        <v>2674.3174596861777</v>
      </c>
      <c r="O26" s="76">
        <f t="shared" si="4"/>
        <v>50179.725165103016</v>
      </c>
      <c r="P26" s="169">
        <v>2041</v>
      </c>
    </row>
    <row r="27" spans="1:16">
      <c r="A27" s="60">
        <v>19</v>
      </c>
      <c r="B27" s="121">
        <v>2042</v>
      </c>
      <c r="C27" s="75">
        <v>0.26167315612956832</v>
      </c>
      <c r="D27" s="129">
        <v>3797.1223974609402</v>
      </c>
      <c r="E27" s="129">
        <v>305.831671020508</v>
      </c>
      <c r="F27" s="129">
        <v>434.70265349197399</v>
      </c>
      <c r="G27" s="126">
        <f t="shared" si="0"/>
        <v>4537.6567219734225</v>
      </c>
      <c r="H27" s="132">
        <v>4601.3744859886201</v>
      </c>
      <c r="I27" s="133">
        <v>278.62808345031698</v>
      </c>
      <c r="J27" s="134">
        <v>-27.6231035112143</v>
      </c>
      <c r="K27" s="135">
        <v>755.45477780675901</v>
      </c>
      <c r="L27" s="77">
        <f t="shared" si="3"/>
        <v>5607.8342437344818</v>
      </c>
      <c r="M27" s="78">
        <f t="shared" si="1"/>
        <v>10145.490965707904</v>
      </c>
      <c r="N27" s="79">
        <f t="shared" si="2"/>
        <v>2654.8026414808091</v>
      </c>
      <c r="O27" s="76">
        <f t="shared" si="4"/>
        <v>52834.527806583828</v>
      </c>
      <c r="P27" s="169">
        <v>2042</v>
      </c>
    </row>
    <row r="28" spans="1:16">
      <c r="A28" s="60">
        <v>20</v>
      </c>
      <c r="B28" s="122">
        <v>2043</v>
      </c>
      <c r="C28" s="80">
        <v>0.24289158001215574</v>
      </c>
      <c r="D28" s="129">
        <v>3679.21815258789</v>
      </c>
      <c r="E28" s="129">
        <v>323.83288427734402</v>
      </c>
      <c r="F28" s="129">
        <v>417.24009081649803</v>
      </c>
      <c r="G28" s="126">
        <f t="shared" si="0"/>
        <v>4420.2911276817322</v>
      </c>
      <c r="H28" s="132">
        <v>4838.1328651132599</v>
      </c>
      <c r="I28" s="133">
        <v>291.608140499115</v>
      </c>
      <c r="J28" s="134">
        <v>302.30234314274799</v>
      </c>
      <c r="K28" s="135">
        <v>880.02401341032999</v>
      </c>
      <c r="L28" s="77">
        <f t="shared" si="3"/>
        <v>6312.0673621654523</v>
      </c>
      <c r="M28" s="78">
        <f t="shared" si="1"/>
        <v>10732.358489847185</v>
      </c>
      <c r="N28" s="79">
        <f t="shared" si="2"/>
        <v>2606.7995108558566</v>
      </c>
      <c r="O28" s="76">
        <f t="shared" si="4"/>
        <v>55441.327317439682</v>
      </c>
      <c r="P28" s="169">
        <v>2043</v>
      </c>
    </row>
    <row r="29" spans="1:16">
      <c r="A29" s="60">
        <v>21</v>
      </c>
      <c r="B29" s="121">
        <v>2044</v>
      </c>
      <c r="C29" s="75">
        <v>0.22545805046807796</v>
      </c>
      <c r="D29" s="129">
        <v>3688.26533447266</v>
      </c>
      <c r="E29" s="129">
        <v>372.780427062988</v>
      </c>
      <c r="F29" s="129">
        <v>413.32589786529502</v>
      </c>
      <c r="G29" s="126">
        <f t="shared" si="0"/>
        <v>4474.3716594009429</v>
      </c>
      <c r="H29" s="132">
        <v>5283.3678522605896</v>
      </c>
      <c r="I29" s="133">
        <v>307.02914133453402</v>
      </c>
      <c r="J29" s="134">
        <v>316.19778501033801</v>
      </c>
      <c r="K29" s="135">
        <v>1035.2155460715301</v>
      </c>
      <c r="L29" s="77">
        <f t="shared" si="3"/>
        <v>6941.8103246769915</v>
      </c>
      <c r="M29" s="78">
        <f t="shared" si="1"/>
        <v>11416.181984077935</v>
      </c>
      <c r="N29" s="79">
        <f t="shared" si="2"/>
        <v>2573.8701339190056</v>
      </c>
      <c r="O29" s="76">
        <f t="shared" si="4"/>
        <v>58015.19745135869</v>
      </c>
      <c r="P29" s="169">
        <v>2044</v>
      </c>
    </row>
    <row r="30" spans="1:16">
      <c r="A30" s="60">
        <v>22</v>
      </c>
      <c r="B30" s="121">
        <v>2045</v>
      </c>
      <c r="C30" s="75">
        <v>0.20927581153007643</v>
      </c>
      <c r="D30" s="129">
        <v>3697.5500634765599</v>
      </c>
      <c r="E30" s="129">
        <v>358.60520111084003</v>
      </c>
      <c r="F30" s="129">
        <v>410.276588844299</v>
      </c>
      <c r="G30" s="126">
        <f t="shared" si="0"/>
        <v>4466.431853431699</v>
      </c>
      <c r="H30" s="132">
        <v>5710.0355368118298</v>
      </c>
      <c r="I30" s="133">
        <v>319.45178003311202</v>
      </c>
      <c r="J30" s="134">
        <v>332.10496267485598</v>
      </c>
      <c r="K30" s="135">
        <v>1219.68836605549</v>
      </c>
      <c r="L30" s="77">
        <f t="shared" si="3"/>
        <v>7581.2806455752889</v>
      </c>
      <c r="M30" s="78">
        <f t="shared" si="1"/>
        <v>12047.712499006988</v>
      </c>
      <c r="N30" s="79">
        <f t="shared" si="2"/>
        <v>2521.2948103107324</v>
      </c>
      <c r="O30" s="76">
        <f t="shared" si="4"/>
        <v>60536.492261669424</v>
      </c>
      <c r="P30" s="169">
        <v>2045</v>
      </c>
    </row>
    <row r="31" spans="1:16">
      <c r="A31" s="60">
        <v>23</v>
      </c>
      <c r="B31" s="121">
        <v>2046</v>
      </c>
      <c r="C31" s="75">
        <v>0.1942550518850206</v>
      </c>
      <c r="D31" s="129">
        <v>3558.9348110351598</v>
      </c>
      <c r="E31" s="129">
        <v>413.19332562255897</v>
      </c>
      <c r="F31" s="129">
        <v>394.31053712081899</v>
      </c>
      <c r="G31" s="126">
        <f t="shared" si="0"/>
        <v>4366.438673778538</v>
      </c>
      <c r="H31" s="132">
        <v>5944.0478192310302</v>
      </c>
      <c r="I31" s="133">
        <v>324.414969034195</v>
      </c>
      <c r="J31" s="134">
        <v>344.68798144280902</v>
      </c>
      <c r="K31" s="135">
        <v>1378.68041508389</v>
      </c>
      <c r="L31" s="77">
        <f t="shared" si="3"/>
        <v>7991.831184791924</v>
      </c>
      <c r="M31" s="78">
        <f t="shared" si="1"/>
        <v>12358.269858570462</v>
      </c>
      <c r="N31" s="79">
        <f t="shared" si="2"/>
        <v>2400.6563525856914</v>
      </c>
      <c r="O31" s="76">
        <f t="shared" si="4"/>
        <v>62937.148614255115</v>
      </c>
      <c r="P31" s="169">
        <v>2046</v>
      </c>
    </row>
    <row r="32" spans="1:16">
      <c r="A32" s="60">
        <v>24</v>
      </c>
      <c r="B32" s="121">
        <v>2047</v>
      </c>
      <c r="C32" s="75">
        <v>0.18031240642174687</v>
      </c>
      <c r="D32" s="129">
        <v>3567.3242752685501</v>
      </c>
      <c r="E32" s="129">
        <v>405.93686749267601</v>
      </c>
      <c r="F32" s="129">
        <v>392.862724983215</v>
      </c>
      <c r="G32" s="126">
        <f t="shared" si="0"/>
        <v>4366.1238677444408</v>
      </c>
      <c r="H32" s="132">
        <v>6355.0711781273403</v>
      </c>
      <c r="I32" s="133">
        <v>336.07535575103799</v>
      </c>
      <c r="J32" s="134">
        <v>362.363787028432</v>
      </c>
      <c r="K32" s="135">
        <v>1577.0296048697601</v>
      </c>
      <c r="L32" s="77">
        <f t="shared" si="3"/>
        <v>8630.5399257765712</v>
      </c>
      <c r="M32" s="78">
        <f t="shared" si="1"/>
        <v>12996.663793521013</v>
      </c>
      <c r="N32" s="79">
        <f t="shared" si="2"/>
        <v>2343.4597240641633</v>
      </c>
      <c r="O32" s="76">
        <f t="shared" si="4"/>
        <v>65280.608338319274</v>
      </c>
      <c r="P32" s="169">
        <v>2047</v>
      </c>
    </row>
    <row r="33" spans="1:16">
      <c r="A33" s="60">
        <v>25</v>
      </c>
      <c r="B33" s="121">
        <v>2048</v>
      </c>
      <c r="C33" s="75">
        <v>0.16737049355527384</v>
      </c>
      <c r="D33" s="129">
        <v>3579.0742698364302</v>
      </c>
      <c r="E33" s="129">
        <v>449.28468542480499</v>
      </c>
      <c r="F33" s="129">
        <v>392.30485917425199</v>
      </c>
      <c r="G33" s="126">
        <f t="shared" si="0"/>
        <v>4420.6638144354874</v>
      </c>
      <c r="H33" s="132">
        <v>6812.94583438873</v>
      </c>
      <c r="I33" s="133">
        <v>359.56746956634498</v>
      </c>
      <c r="J33" s="134">
        <v>376.35363732302199</v>
      </c>
      <c r="K33" s="135">
        <v>1795.18777010536</v>
      </c>
      <c r="L33" s="77">
        <f t="shared" si="3"/>
        <v>9344.0547113834564</v>
      </c>
      <c r="M33" s="78">
        <f t="shared" si="1"/>
        <v>13764.718525818944</v>
      </c>
      <c r="N33" s="79">
        <f t="shared" si="2"/>
        <v>2303.807733315738</v>
      </c>
      <c r="O33" s="76">
        <f t="shared" si="4"/>
        <v>67584.416071635016</v>
      </c>
      <c r="P33" s="169">
        <v>2048</v>
      </c>
    </row>
    <row r="34" spans="1:16">
      <c r="A34" s="60">
        <v>26</v>
      </c>
      <c r="B34" s="121">
        <v>2049</v>
      </c>
      <c r="C34" s="75">
        <v>0.15535748575954572</v>
      </c>
      <c r="D34" s="129">
        <v>3592.82087670898</v>
      </c>
      <c r="E34" s="129">
        <v>492.18699822998002</v>
      </c>
      <c r="F34" s="129">
        <v>392.38141966056799</v>
      </c>
      <c r="G34" s="126">
        <f t="shared" si="0"/>
        <v>4477.3892945995276</v>
      </c>
      <c r="H34" s="132">
        <v>7307.9817788925202</v>
      </c>
      <c r="I34" s="133">
        <v>387.80172468948399</v>
      </c>
      <c r="J34" s="134">
        <v>390.67782766449398</v>
      </c>
      <c r="K34" s="135">
        <v>2035.0841798419999</v>
      </c>
      <c r="L34" s="77">
        <f t="shared" si="3"/>
        <v>10121.545511088498</v>
      </c>
      <c r="M34" s="78">
        <f t="shared" si="1"/>
        <v>14598.934805688026</v>
      </c>
      <c r="N34" s="79">
        <f t="shared" si="2"/>
        <v>2268.053806179214</v>
      </c>
      <c r="O34" s="76">
        <f t="shared" si="4"/>
        <v>69852.469877814234</v>
      </c>
      <c r="P34" s="169">
        <v>2049</v>
      </c>
    </row>
    <row r="35" spans="1:16">
      <c r="A35" s="60">
        <v>27</v>
      </c>
      <c r="B35" s="121">
        <v>2050</v>
      </c>
      <c r="C35" s="75">
        <v>0.14420671092516432</v>
      </c>
      <c r="D35" s="129">
        <v>3458.4714260864298</v>
      </c>
      <c r="E35" s="129">
        <v>527.71187780761704</v>
      </c>
      <c r="F35" s="129">
        <v>377.48311636114101</v>
      </c>
      <c r="G35" s="126">
        <f t="shared" si="0"/>
        <v>4363.6664202551874</v>
      </c>
      <c r="H35" s="132">
        <v>8056.0560118846897</v>
      </c>
      <c r="I35" s="133">
        <v>409.91338928604102</v>
      </c>
      <c r="J35" s="134">
        <v>410.69769117093102</v>
      </c>
      <c r="K35" s="135">
        <v>2324.6510543136601</v>
      </c>
      <c r="L35" s="77">
        <f t="shared" si="3"/>
        <v>11201.318146655321</v>
      </c>
      <c r="M35" s="78">
        <f t="shared" si="1"/>
        <v>15564.984566910509</v>
      </c>
      <c r="N35" s="79">
        <f t="shared" si="2"/>
        <v>2244.5752299951077</v>
      </c>
      <c r="O35" s="76">
        <f t="shared" si="4"/>
        <v>72097.045107809347</v>
      </c>
      <c r="P35" s="169">
        <v>2050</v>
      </c>
    </row>
    <row r="36" spans="1:16">
      <c r="A36" s="60">
        <v>28</v>
      </c>
      <c r="B36" s="121">
        <v>2051</v>
      </c>
      <c r="C36" s="75">
        <v>0.13385628232964727</v>
      </c>
      <c r="D36" s="129">
        <v>3481.4374035034198</v>
      </c>
      <c r="E36" s="129">
        <v>518.82801934814404</v>
      </c>
      <c r="F36" s="129">
        <v>378.486863466263</v>
      </c>
      <c r="G36" s="126">
        <f t="shared" si="0"/>
        <v>4378.7522863178274</v>
      </c>
      <c r="H36" s="132">
        <v>8215.9842424201997</v>
      </c>
      <c r="I36" s="133">
        <v>402.90515002441401</v>
      </c>
      <c r="J36" s="134">
        <v>427.88000221013999</v>
      </c>
      <c r="K36" s="135">
        <v>2424.6844021863899</v>
      </c>
      <c r="L36" s="77">
        <f t="shared" si="3"/>
        <v>11471.453796841142</v>
      </c>
      <c r="M36" s="78">
        <f t="shared" si="1"/>
        <v>15850.20608315897</v>
      </c>
      <c r="N36" s="79">
        <f t="shared" si="2"/>
        <v>2121.6496604504196</v>
      </c>
      <c r="O36" s="76">
        <f t="shared" si="4"/>
        <v>74218.694768259767</v>
      </c>
      <c r="P36" s="169">
        <v>2051</v>
      </c>
    </row>
    <row r="37" spans="1:16">
      <c r="A37" s="60">
        <v>29</v>
      </c>
      <c r="B37" s="121">
        <v>2052</v>
      </c>
      <c r="C37" s="75">
        <v>0.12424875516655032</v>
      </c>
      <c r="D37" s="129">
        <v>3669.6496514892601</v>
      </c>
      <c r="E37" s="129">
        <v>597.83624835205103</v>
      </c>
      <c r="F37" s="129">
        <v>396.13043195152301</v>
      </c>
      <c r="G37" s="126">
        <f t="shared" si="0"/>
        <v>4663.616331792834</v>
      </c>
      <c r="H37" s="132">
        <v>8537.4589133834797</v>
      </c>
      <c r="I37" s="133">
        <v>410.20247924041701</v>
      </c>
      <c r="J37" s="134">
        <v>455.57033422446199</v>
      </c>
      <c r="K37" s="135">
        <v>2589.0321602344502</v>
      </c>
      <c r="L37" s="77">
        <f t="shared" si="3"/>
        <v>11992.263887082809</v>
      </c>
      <c r="M37" s="78">
        <f t="shared" si="1"/>
        <v>16655.880218875642</v>
      </c>
      <c r="N37" s="79">
        <f t="shared" si="2"/>
        <v>2069.4723833984681</v>
      </c>
      <c r="O37" s="76">
        <f t="shared" si="4"/>
        <v>76288.167151658243</v>
      </c>
      <c r="P37" s="169">
        <v>2052</v>
      </c>
    </row>
    <row r="38" spans="1:16">
      <c r="A38" s="60">
        <v>30</v>
      </c>
      <c r="B38" s="121">
        <v>2053</v>
      </c>
      <c r="C38" s="75">
        <v>0.11533080772719265</v>
      </c>
      <c r="D38" s="129">
        <v>3855.6484912109399</v>
      </c>
      <c r="E38" s="129">
        <v>650.77046215820303</v>
      </c>
      <c r="F38" s="129">
        <v>413.941312797546</v>
      </c>
      <c r="G38" s="127">
        <f t="shared" si="0"/>
        <v>4920.3602661666891</v>
      </c>
      <c r="H38" s="132">
        <v>9228.7600873870906</v>
      </c>
      <c r="I38" s="133">
        <v>413.72439073944099</v>
      </c>
      <c r="J38" s="134">
        <v>513.07294871914405</v>
      </c>
      <c r="K38" s="135">
        <v>2924.16947299194</v>
      </c>
      <c r="L38" s="77">
        <f t="shared" si="3"/>
        <v>13079.726899837615</v>
      </c>
      <c r="M38" s="78">
        <f t="shared" si="1"/>
        <v>18000.087166004305</v>
      </c>
      <c r="N38" s="79">
        <f t="shared" si="2"/>
        <v>2075.9645920151506</v>
      </c>
      <c r="O38" s="76">
        <f t="shared" si="4"/>
        <v>78364.131743673395</v>
      </c>
      <c r="P38" s="169">
        <v>2053</v>
      </c>
    </row>
    <row r="39" spans="1:16">
      <c r="A39" s="60">
        <v>31</v>
      </c>
      <c r="B39" s="122">
        <v>2054</v>
      </c>
      <c r="C39" s="75">
        <v>0.10705294546554593</v>
      </c>
      <c r="D39" s="130">
        <v>3864.3921246032701</v>
      </c>
      <c r="E39" s="129">
        <v>691.551279052734</v>
      </c>
      <c r="F39" s="130">
        <v>414.35103311061903</v>
      </c>
      <c r="G39" s="126">
        <f t="shared" si="0"/>
        <v>4970.2944367666232</v>
      </c>
      <c r="H39" s="132">
        <v>9527.1701112937899</v>
      </c>
      <c r="I39" s="133">
        <v>418.23198339080801</v>
      </c>
      <c r="J39" s="134">
        <v>544.27827108061297</v>
      </c>
      <c r="K39" s="135">
        <v>3111.6259812450398</v>
      </c>
      <c r="L39" s="77">
        <f t="shared" si="3"/>
        <v>13601.30634701025</v>
      </c>
      <c r="M39" s="78">
        <f t="shared" si="1"/>
        <v>18571.600783776874</v>
      </c>
      <c r="N39" s="79">
        <f t="shared" si="2"/>
        <v>1988.1445659135557</v>
      </c>
      <c r="O39" s="76">
        <f t="shared" si="4"/>
        <v>80352.276309586945</v>
      </c>
      <c r="P39" s="169">
        <v>2054</v>
      </c>
    </row>
    <row r="40" spans="1:16">
      <c r="A40" s="60">
        <v>32</v>
      </c>
      <c r="B40" s="121">
        <v>2055</v>
      </c>
      <c r="C40" s="75">
        <v>9.9369226303849423E-2</v>
      </c>
      <c r="D40" s="129">
        <v>3728.0516206054699</v>
      </c>
      <c r="E40" s="129">
        <v>709.94963110351603</v>
      </c>
      <c r="F40" s="129">
        <v>397.79876863098099</v>
      </c>
      <c r="G40" s="126">
        <f t="shared" si="0"/>
        <v>4835.800020339967</v>
      </c>
      <c r="H40" s="132">
        <v>9637.1176705398593</v>
      </c>
      <c r="I40" s="133">
        <v>432.40704856109602</v>
      </c>
      <c r="J40" s="134">
        <v>565.223334477663</v>
      </c>
      <c r="K40" s="135">
        <v>3216.1195741510401</v>
      </c>
      <c r="L40" s="77">
        <f t="shared" si="3"/>
        <v>13850.867627729658</v>
      </c>
      <c r="M40" s="78">
        <f t="shared" si="1"/>
        <v>18686.667648069626</v>
      </c>
      <c r="N40" s="79">
        <f t="shared" si="2"/>
        <v>1856.8797063858524</v>
      </c>
      <c r="O40" s="76">
        <f t="shared" si="4"/>
        <v>82209.156015972796</v>
      </c>
      <c r="P40" s="169">
        <v>2055</v>
      </c>
    </row>
    <row r="41" spans="1:16">
      <c r="A41" s="60">
        <v>33</v>
      </c>
      <c r="B41" s="121">
        <v>2056</v>
      </c>
      <c r="C41" s="75">
        <v>9.2237005654399115E-2</v>
      </c>
      <c r="D41" s="129">
        <v>4139.7880815429698</v>
      </c>
      <c r="E41" s="129">
        <v>784.89978509521495</v>
      </c>
      <c r="F41" s="129">
        <v>436.72257711410498</v>
      </c>
      <c r="G41" s="126">
        <f t="shared" si="0"/>
        <v>5361.4104437522892</v>
      </c>
      <c r="H41" s="132">
        <v>10215.9867332713</v>
      </c>
      <c r="I41" s="133">
        <v>438.82059283447302</v>
      </c>
      <c r="J41" s="134">
        <v>613.73405195570001</v>
      </c>
      <c r="K41" s="135">
        <v>3533.3699535024698</v>
      </c>
      <c r="L41" s="77">
        <f t="shared" si="3"/>
        <v>14801.911331563942</v>
      </c>
      <c r="M41" s="78">
        <f t="shared" si="1"/>
        <v>20163.321775316232</v>
      </c>
      <c r="N41" s="79">
        <f t="shared" si="2"/>
        <v>1859.8044246013121</v>
      </c>
      <c r="O41" s="76">
        <f t="shared" si="4"/>
        <v>84068.960440574112</v>
      </c>
      <c r="P41" s="169">
        <v>2056</v>
      </c>
    </row>
    <row r="42" spans="1:16">
      <c r="A42" s="60">
        <v>34</v>
      </c>
      <c r="B42" s="121">
        <v>2057</v>
      </c>
      <c r="C42" s="75">
        <v>8.5616699742383714E-2</v>
      </c>
      <c r="D42" s="129">
        <v>4001.2973994140598</v>
      </c>
      <c r="E42" s="129">
        <v>828.84544006347699</v>
      </c>
      <c r="F42" s="129">
        <v>419.785121768951</v>
      </c>
      <c r="G42" s="126">
        <f t="shared" si="0"/>
        <v>5249.9279612464879</v>
      </c>
      <c r="H42" s="132">
        <v>10430.13179356</v>
      </c>
      <c r="I42" s="133">
        <v>420.39417354583702</v>
      </c>
      <c r="J42" s="134">
        <v>644.55501048624501</v>
      </c>
      <c r="K42" s="135">
        <v>3708.24921118164</v>
      </c>
      <c r="L42" s="77">
        <f t="shared" si="3"/>
        <v>15203.330188773722</v>
      </c>
      <c r="M42" s="78">
        <f t="shared" si="1"/>
        <v>20453.25815002021</v>
      </c>
      <c r="N42" s="79">
        <f t="shared" si="2"/>
        <v>1751.1404617837429</v>
      </c>
      <c r="O42" s="76">
        <f t="shared" si="4"/>
        <v>85820.100902357852</v>
      </c>
      <c r="P42" s="169">
        <v>2057</v>
      </c>
    </row>
    <row r="43" spans="1:16">
      <c r="A43" s="60">
        <v>35</v>
      </c>
      <c r="B43" s="121">
        <v>2058</v>
      </c>
      <c r="C43" s="75">
        <v>7.9471565916210796E-2</v>
      </c>
      <c r="D43" s="129">
        <v>4053.2689313964802</v>
      </c>
      <c r="E43" s="129">
        <v>885.39079144287098</v>
      </c>
      <c r="F43" s="129">
        <v>422.19719688606301</v>
      </c>
      <c r="G43" s="126">
        <f t="shared" si="0"/>
        <v>5360.8569197254146</v>
      </c>
      <c r="H43" s="132">
        <v>10507.5847503967</v>
      </c>
      <c r="I43" s="133">
        <v>421.00886177444499</v>
      </c>
      <c r="J43" s="134">
        <v>669.79668733036499</v>
      </c>
      <c r="K43" s="135">
        <v>3827.0783594989798</v>
      </c>
      <c r="L43" s="77">
        <f t="shared" si="3"/>
        <v>15425.468659000489</v>
      </c>
      <c r="M43" s="78">
        <f t="shared" si="1"/>
        <v>20786.325578725904</v>
      </c>
      <c r="N43" s="79">
        <f t="shared" si="2"/>
        <v>1651.9218433855342</v>
      </c>
      <c r="O43" s="76">
        <f t="shared" si="4"/>
        <v>87472.022745743379</v>
      </c>
      <c r="P43" s="169">
        <v>2058</v>
      </c>
    </row>
    <row r="44" spans="1:16">
      <c r="A44" s="60">
        <v>36</v>
      </c>
      <c r="B44" s="121">
        <v>2059</v>
      </c>
      <c r="C44" s="75">
        <v>7.3767498726046987E-2</v>
      </c>
      <c r="D44" s="129">
        <v>4078.0442297363302</v>
      </c>
      <c r="E44" s="129">
        <v>927.52998748779305</v>
      </c>
      <c r="F44" s="129">
        <v>423.430118845224</v>
      </c>
      <c r="G44" s="126">
        <f t="shared" si="0"/>
        <v>5429.0043360693471</v>
      </c>
      <c r="H44" s="132">
        <v>10677.952694809001</v>
      </c>
      <c r="I44" s="133">
        <v>430.53027091979999</v>
      </c>
      <c r="J44" s="134">
        <v>697.45598250865896</v>
      </c>
      <c r="K44" s="135">
        <v>3991.1387281713501</v>
      </c>
      <c r="L44" s="77">
        <f t="shared" si="3"/>
        <v>15797.077676408811</v>
      </c>
      <c r="M44" s="78">
        <f t="shared" si="1"/>
        <v>21226.08201247816</v>
      </c>
      <c r="N44" s="79">
        <f t="shared" si="2"/>
        <v>1565.7949778144516</v>
      </c>
      <c r="O44" s="76">
        <f t="shared" si="4"/>
        <v>89037.817723557833</v>
      </c>
      <c r="P44" s="169">
        <v>2059</v>
      </c>
    </row>
    <row r="45" spans="1:16">
      <c r="A45" s="60">
        <v>37</v>
      </c>
      <c r="B45" s="121">
        <v>2060</v>
      </c>
      <c r="C45" s="75">
        <v>6.8472840638809471E-2</v>
      </c>
      <c r="D45" s="129">
        <v>4092.5950948486302</v>
      </c>
      <c r="E45" s="129">
        <v>986.41993420410199</v>
      </c>
      <c r="F45" s="129">
        <v>425.72991896987003</v>
      </c>
      <c r="G45" s="126">
        <f t="shared" si="0"/>
        <v>5504.7449480226023</v>
      </c>
      <c r="H45" s="132">
        <v>10800.1547003782</v>
      </c>
      <c r="I45" s="133">
        <v>443.102888721466</v>
      </c>
      <c r="J45" s="134">
        <v>723.13387057972</v>
      </c>
      <c r="K45" s="135">
        <v>4136.25134851863</v>
      </c>
      <c r="L45" s="77">
        <f t="shared" si="3"/>
        <v>16102.642808198016</v>
      </c>
      <c r="M45" s="78">
        <f t="shared" si="1"/>
        <v>21607.387756220618</v>
      </c>
      <c r="N45" s="79">
        <f t="shared" si="2"/>
        <v>1479.5192184526572</v>
      </c>
      <c r="O45" s="76">
        <f t="shared" si="4"/>
        <v>90517.336942010486</v>
      </c>
      <c r="P45" s="169">
        <v>2060</v>
      </c>
    </row>
    <row r="46" spans="1:16">
      <c r="A46" s="60">
        <v>38</v>
      </c>
      <c r="B46" s="121">
        <v>2061</v>
      </c>
      <c r="C46" s="75">
        <v>6.3558206339078396E-2</v>
      </c>
      <c r="D46" s="129">
        <v>4059.1353085937499</v>
      </c>
      <c r="E46" s="129">
        <v>1013.93419885254</v>
      </c>
      <c r="F46" s="129">
        <v>417.57815881347699</v>
      </c>
      <c r="G46" s="126">
        <f t="shared" si="0"/>
        <v>5490.647666259767</v>
      </c>
      <c r="H46" s="132">
        <v>10909.1140817746</v>
      </c>
      <c r="I46" s="133">
        <v>447.41509215545699</v>
      </c>
      <c r="J46" s="134">
        <v>747.82576957499998</v>
      </c>
      <c r="K46" s="135">
        <v>4278.5053827327301</v>
      </c>
      <c r="L46" s="77">
        <f t="shared" si="3"/>
        <v>16382.860326237787</v>
      </c>
      <c r="M46" s="78">
        <f t="shared" si="1"/>
        <v>21873.507992497554</v>
      </c>
      <c r="N46" s="79">
        <f t="shared" si="2"/>
        <v>1390.24093434664</v>
      </c>
      <c r="O46" s="76">
        <f t="shared" si="4"/>
        <v>91907.577876357129</v>
      </c>
      <c r="P46" s="169">
        <v>2061</v>
      </c>
    </row>
    <row r="47" spans="1:16">
      <c r="A47" s="60">
        <v>39</v>
      </c>
      <c r="B47" s="121">
        <v>2062</v>
      </c>
      <c r="C47" s="75">
        <v>5.8996319640801487E-2</v>
      </c>
      <c r="D47" s="129">
        <v>3808.6523593749998</v>
      </c>
      <c r="E47" s="129">
        <v>1065.5126427002001</v>
      </c>
      <c r="F47" s="129">
        <v>387.729958740234</v>
      </c>
      <c r="G47" s="126">
        <f t="shared" si="0"/>
        <v>5261.8949608154344</v>
      </c>
      <c r="H47" s="132">
        <v>11071.0819356709</v>
      </c>
      <c r="I47" s="133">
        <v>429.99306802749601</v>
      </c>
      <c r="J47" s="134">
        <v>781.78256202209002</v>
      </c>
      <c r="K47" s="135">
        <v>4450.8667530050298</v>
      </c>
      <c r="L47" s="77">
        <f t="shared" si="3"/>
        <v>16733.724318725515</v>
      </c>
      <c r="M47" s="78">
        <f t="shared" si="1"/>
        <v>21995.619279540952</v>
      </c>
      <c r="N47" s="79">
        <f t="shared" si="2"/>
        <v>1297.6605857131738</v>
      </c>
      <c r="O47" s="76">
        <f t="shared" si="4"/>
        <v>93205.238462070309</v>
      </c>
      <c r="P47" s="169">
        <v>2062</v>
      </c>
    </row>
    <row r="48" spans="1:16">
      <c r="A48" s="60">
        <v>40</v>
      </c>
      <c r="B48" s="121">
        <v>2063</v>
      </c>
      <c r="C48" s="75">
        <v>5.4761862104651837E-2</v>
      </c>
      <c r="D48" s="129">
        <v>4012.6691328124998</v>
      </c>
      <c r="E48" s="129">
        <v>1104.4469182128901</v>
      </c>
      <c r="F48" s="129">
        <v>404.14313317871103</v>
      </c>
      <c r="G48" s="126">
        <f t="shared" si="0"/>
        <v>5521.2591842041011</v>
      </c>
      <c r="H48" s="132">
        <v>11494.8494468803</v>
      </c>
      <c r="I48" s="133">
        <v>435.00459211730998</v>
      </c>
      <c r="J48" s="134">
        <v>840.76560943448499</v>
      </c>
      <c r="K48" s="135">
        <v>4770.11047595119</v>
      </c>
      <c r="L48" s="77">
        <f t="shared" si="3"/>
        <v>17540.730124383284</v>
      </c>
      <c r="M48" s="78">
        <f t="shared" si="1"/>
        <v>23061.989308587385</v>
      </c>
      <c r="N48" s="79">
        <f t="shared" si="2"/>
        <v>1262.9174783758174</v>
      </c>
      <c r="O48" s="76">
        <f t="shared" si="4"/>
        <v>94468.15594044613</v>
      </c>
      <c r="P48" s="169">
        <v>2063</v>
      </c>
    </row>
    <row r="49" spans="1:16">
      <c r="A49" s="60">
        <v>41</v>
      </c>
      <c r="B49" s="121">
        <v>2064</v>
      </c>
      <c r="C49" s="75">
        <v>5.0831332520866419E-2</v>
      </c>
      <c r="D49" s="129">
        <v>4002.7375937500001</v>
      </c>
      <c r="E49" s="129">
        <v>1247.5308103027301</v>
      </c>
      <c r="F49" s="129">
        <v>398.96863208007801</v>
      </c>
      <c r="G49" s="126">
        <f t="shared" si="0"/>
        <v>5649.2370361328085</v>
      </c>
      <c r="H49" s="132">
        <v>11714.3613649979</v>
      </c>
      <c r="I49" s="133">
        <v>449.945922679901</v>
      </c>
      <c r="J49" s="134">
        <v>879.35907859635404</v>
      </c>
      <c r="K49" s="135">
        <v>5007.6179020700501</v>
      </c>
      <c r="L49" s="77">
        <f t="shared" si="3"/>
        <v>18051.284268344203</v>
      </c>
      <c r="M49" s="78">
        <f t="shared" si="1"/>
        <v>23700.521304477013</v>
      </c>
      <c r="N49" s="79">
        <f t="shared" si="2"/>
        <v>1204.7290793457498</v>
      </c>
      <c r="O49" s="76">
        <f t="shared" si="4"/>
        <v>95672.88501979188</v>
      </c>
      <c r="P49" s="169">
        <v>2064</v>
      </c>
    </row>
    <row r="50" spans="1:16">
      <c r="A50" s="60">
        <v>42</v>
      </c>
      <c r="B50" s="121">
        <v>2065</v>
      </c>
      <c r="C50" s="75">
        <v>4.7182916477695978E-2</v>
      </c>
      <c r="D50" s="129">
        <v>4001.1230898437502</v>
      </c>
      <c r="E50" s="129">
        <v>1229.37369311523</v>
      </c>
      <c r="F50" s="129">
        <v>394.77196679687501</v>
      </c>
      <c r="G50" s="126">
        <f t="shared" si="0"/>
        <v>5625.2687497558554</v>
      </c>
      <c r="H50" s="132">
        <v>11850.094704319001</v>
      </c>
      <c r="I50" s="133">
        <v>451.26052570343001</v>
      </c>
      <c r="J50" s="134">
        <v>912.33824049258203</v>
      </c>
      <c r="K50" s="135">
        <v>5193.8951508235896</v>
      </c>
      <c r="L50" s="77">
        <f t="shared" si="3"/>
        <v>18407.588621338604</v>
      </c>
      <c r="M50" s="78">
        <f t="shared" si="1"/>
        <v>24032.857371094458</v>
      </c>
      <c r="N50" s="79">
        <f t="shared" si="2"/>
        <v>1133.9403020607299</v>
      </c>
      <c r="O50" s="76">
        <f t="shared" si="4"/>
        <v>96806.825321852608</v>
      </c>
      <c r="P50" s="169">
        <v>2065</v>
      </c>
    </row>
    <row r="51" spans="1:16">
      <c r="A51" s="60">
        <v>43</v>
      </c>
      <c r="B51" s="121">
        <v>2066</v>
      </c>
      <c r="C51" s="75">
        <v>4.3796365291572104E-2</v>
      </c>
      <c r="D51" s="129">
        <v>4010.2708124999999</v>
      </c>
      <c r="E51" s="129">
        <v>1324.96872473145</v>
      </c>
      <c r="F51" s="129">
        <v>391.78770666503902</v>
      </c>
      <c r="G51" s="126">
        <f t="shared" si="0"/>
        <v>5727.0272438964885</v>
      </c>
      <c r="H51" s="132">
        <v>11977.741736576099</v>
      </c>
      <c r="I51" s="133">
        <v>464.62989093780499</v>
      </c>
      <c r="J51" s="134">
        <v>951.91175032991202</v>
      </c>
      <c r="K51" s="135">
        <v>5382.8442725906398</v>
      </c>
      <c r="L51" s="77">
        <f t="shared" si="3"/>
        <v>18777.127650434457</v>
      </c>
      <c r="M51" s="78">
        <f t="shared" si="1"/>
        <v>24504.154894330946</v>
      </c>
      <c r="N51" s="79">
        <f t="shared" si="2"/>
        <v>1073.1929189133825</v>
      </c>
      <c r="O51" s="76">
        <f t="shared" si="4"/>
        <v>97880.018240765989</v>
      </c>
      <c r="P51" s="169">
        <v>2066</v>
      </c>
    </row>
    <row r="52" spans="1:16">
      <c r="A52" s="60">
        <v>44</v>
      </c>
      <c r="B52" s="121">
        <v>2067</v>
      </c>
      <c r="C52" s="75">
        <v>4.0652883627054819E-2</v>
      </c>
      <c r="D52" s="129">
        <v>4029.9137304687501</v>
      </c>
      <c r="E52" s="129">
        <v>1393.2383868408201</v>
      </c>
      <c r="F52" s="129">
        <v>390.10579577636702</v>
      </c>
      <c r="G52" s="126">
        <f t="shared" si="0"/>
        <v>5813.2579130859367</v>
      </c>
      <c r="H52" s="132">
        <v>12108.824418602</v>
      </c>
      <c r="I52" s="133">
        <v>461.534004932404</v>
      </c>
      <c r="J52" s="134">
        <v>987.88691935980296</v>
      </c>
      <c r="K52" s="135">
        <v>5579.1030596771197</v>
      </c>
      <c r="L52" s="77">
        <f t="shared" si="3"/>
        <v>19137.348402571326</v>
      </c>
      <c r="M52" s="78">
        <f t="shared" si="1"/>
        <v>24950.606315657264</v>
      </c>
      <c r="N52" s="79">
        <f t="shared" si="2"/>
        <v>1014.3140949748737</v>
      </c>
      <c r="O52" s="76">
        <f t="shared" si="4"/>
        <v>98894.332335740866</v>
      </c>
      <c r="P52" s="169">
        <v>2067</v>
      </c>
    </row>
    <row r="53" spans="1:16">
      <c r="A53" s="60">
        <v>45</v>
      </c>
      <c r="B53" s="121">
        <v>2068</v>
      </c>
      <c r="C53" s="75">
        <v>3.7735025182852072E-2</v>
      </c>
      <c r="D53" s="129">
        <v>4060.3403164062502</v>
      </c>
      <c r="E53" s="129">
        <v>1542.2434840087899</v>
      </c>
      <c r="F53" s="129">
        <v>389.86845166015598</v>
      </c>
      <c r="G53" s="126">
        <f t="shared" si="0"/>
        <v>5992.4522520751962</v>
      </c>
      <c r="H53" s="132">
        <v>12218.3603001709</v>
      </c>
      <c r="I53" s="133">
        <v>449.10484561920202</v>
      </c>
      <c r="J53" s="134">
        <v>1021.77624110562</v>
      </c>
      <c r="K53" s="135">
        <v>5771.9710107994097</v>
      </c>
      <c r="L53" s="77">
        <f t="shared" si="3"/>
        <v>19461.21239769513</v>
      </c>
      <c r="M53" s="78">
        <f t="shared" si="1"/>
        <v>25453.664649770326</v>
      </c>
      <c r="N53" s="79">
        <f t="shared" si="2"/>
        <v>960.49467655495482</v>
      </c>
      <c r="O53" s="76">
        <f t="shared" si="4"/>
        <v>99854.82701229582</v>
      </c>
      <c r="P53" s="169">
        <v>2068</v>
      </c>
    </row>
    <row r="54" spans="1:16">
      <c r="A54" s="60">
        <v>46</v>
      </c>
      <c r="B54" s="121">
        <v>2069</v>
      </c>
      <c r="C54" s="75">
        <v>3.5026595864969388E-2</v>
      </c>
      <c r="D54" s="129">
        <v>3914.36540625</v>
      </c>
      <c r="E54" s="129">
        <v>1526.63481884766</v>
      </c>
      <c r="F54" s="129">
        <v>375.72313574218703</v>
      </c>
      <c r="G54" s="126">
        <f t="shared" si="0"/>
        <v>5816.7233608398465</v>
      </c>
      <c r="H54" s="132">
        <v>12347.0790906887</v>
      </c>
      <c r="I54" s="133">
        <v>447.584037063599</v>
      </c>
      <c r="J54" s="134">
        <v>1063.1430144063199</v>
      </c>
      <c r="K54" s="135">
        <v>5981.2821150894197</v>
      </c>
      <c r="L54" s="77">
        <f t="shared" si="3"/>
        <v>19839.08825724804</v>
      </c>
      <c r="M54" s="78">
        <f t="shared" si="1"/>
        <v>25655.811618087886</v>
      </c>
      <c r="N54" s="79">
        <f t="shared" si="2"/>
        <v>898.63574513455069</v>
      </c>
      <c r="O54" s="76">
        <f t="shared" si="4"/>
        <v>100753.46275743037</v>
      </c>
      <c r="P54" s="169">
        <v>2069</v>
      </c>
    </row>
    <row r="55" spans="1:16" ht="13.5" thickBot="1">
      <c r="A55" s="60">
        <v>47</v>
      </c>
      <c r="B55" s="123">
        <v>2070</v>
      </c>
      <c r="C55" s="170">
        <v>3.251256390960125E-2</v>
      </c>
      <c r="D55" s="131">
        <v>4072.0887656250002</v>
      </c>
      <c r="E55" s="131">
        <v>1666.2906864013701</v>
      </c>
      <c r="F55" s="131">
        <v>390.91185546874999</v>
      </c>
      <c r="G55" s="128">
        <f t="shared" si="0"/>
        <v>6129.2913074951202</v>
      </c>
      <c r="H55" s="136">
        <v>12483.759500497799</v>
      </c>
      <c r="I55" s="137">
        <v>460.58717132186899</v>
      </c>
      <c r="J55" s="137">
        <v>1103.21644859654</v>
      </c>
      <c r="K55" s="138">
        <v>6199.4111245245904</v>
      </c>
      <c r="L55" s="171">
        <f t="shared" si="3"/>
        <v>20246.9742449408</v>
      </c>
      <c r="M55" s="172">
        <f t="shared" si="1"/>
        <v>26376.265552435922</v>
      </c>
      <c r="N55" s="173">
        <f t="shared" si="2"/>
        <v>857.56001947018683</v>
      </c>
      <c r="O55" s="174">
        <f t="shared" si="4"/>
        <v>101611.02277690056</v>
      </c>
      <c r="P55" s="175">
        <v>2070</v>
      </c>
    </row>
  </sheetData>
  <mergeCells count="2">
    <mergeCell ref="D4:F4"/>
    <mergeCell ref="H4:K4"/>
  </mergeCells>
  <phoneticPr fontId="3" type="noConversion"/>
  <pageMargins left="0.38" right="0.18" top="1" bottom="1" header="0.5" footer="0.5"/>
  <pageSetup scale="38" orientation="landscape" r:id="rId1"/>
  <headerFooter alignWithMargins="0"/>
  <ignoredErrors>
    <ignoredError sqref="G9:G5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0"/>
  <sheetViews>
    <sheetView workbookViewId="0"/>
  </sheetViews>
  <sheetFormatPr defaultRowHeight="12.75"/>
  <cols>
    <col min="1" max="1" width="11.85546875" style="2" bestFit="1" customWidth="1"/>
    <col min="2" max="2" width="13.7109375" style="2" customWidth="1"/>
    <col min="3" max="16384" width="9.140625" style="2"/>
  </cols>
  <sheetData>
    <row r="1" spans="1:2">
      <c r="A1" s="185" t="s">
        <v>83</v>
      </c>
    </row>
    <row r="2" spans="1:2">
      <c r="A2" s="185" t="s">
        <v>81</v>
      </c>
      <c r="B2" s="85" t="s">
        <v>53</v>
      </c>
    </row>
    <row r="3" spans="1:2">
      <c r="A3" s="85" t="s">
        <v>13</v>
      </c>
      <c r="B3" s="149" t="s">
        <v>54</v>
      </c>
    </row>
    <row r="4" spans="1:2">
      <c r="A4" s="85">
        <v>2024</v>
      </c>
      <c r="B4" s="99">
        <v>140469039.77881324</v>
      </c>
    </row>
    <row r="5" spans="1:2">
      <c r="A5" s="85">
        <f>A4+1</f>
        <v>2025</v>
      </c>
      <c r="B5" s="99">
        <v>141760595.45007616</v>
      </c>
    </row>
    <row r="6" spans="1:2">
      <c r="A6" s="85">
        <f t="shared" ref="A6:A50" si="0">A5+1</f>
        <v>2026</v>
      </c>
      <c r="B6" s="99">
        <v>142991001.88578919</v>
      </c>
    </row>
    <row r="7" spans="1:2">
      <c r="A7" s="85">
        <f t="shared" si="0"/>
        <v>2027</v>
      </c>
      <c r="B7" s="99">
        <v>144052949.12134701</v>
      </c>
    </row>
    <row r="8" spans="1:2">
      <c r="A8" s="85">
        <f t="shared" si="0"/>
        <v>2028</v>
      </c>
      <c r="B8" s="99">
        <v>145101074.94866121</v>
      </c>
    </row>
    <row r="9" spans="1:2">
      <c r="A9" s="85">
        <f t="shared" si="0"/>
        <v>2029</v>
      </c>
      <c r="B9" s="99">
        <v>146550779.6674794</v>
      </c>
    </row>
    <row r="10" spans="1:2">
      <c r="A10" s="85">
        <f t="shared" si="0"/>
        <v>2030</v>
      </c>
      <c r="B10" s="99">
        <v>148289967.0067271</v>
      </c>
    </row>
    <row r="11" spans="1:2">
      <c r="A11" s="85">
        <f t="shared" si="0"/>
        <v>2031</v>
      </c>
      <c r="B11" s="99">
        <v>149577661.03711218</v>
      </c>
    </row>
    <row r="12" spans="1:2">
      <c r="A12" s="85">
        <f t="shared" si="0"/>
        <v>2032</v>
      </c>
      <c r="B12" s="99">
        <v>151677427.00159541</v>
      </c>
    </row>
    <row r="13" spans="1:2">
      <c r="A13" s="85">
        <f t="shared" si="0"/>
        <v>2033</v>
      </c>
      <c r="B13" s="99">
        <v>153686054.84132862</v>
      </c>
    </row>
    <row r="14" spans="1:2">
      <c r="A14" s="85">
        <f t="shared" si="0"/>
        <v>2034</v>
      </c>
      <c r="B14" s="99">
        <v>155677526.0633994</v>
      </c>
    </row>
    <row r="15" spans="1:2">
      <c r="A15" s="85">
        <f t="shared" si="0"/>
        <v>2035</v>
      </c>
      <c r="B15" s="99">
        <v>157715250.18778408</v>
      </c>
    </row>
    <row r="16" spans="1:2">
      <c r="A16" s="85">
        <f t="shared" si="0"/>
        <v>2036</v>
      </c>
      <c r="B16" s="99">
        <v>159678552.76802424</v>
      </c>
    </row>
    <row r="17" spans="1:2">
      <c r="A17" s="85">
        <f t="shared" si="0"/>
        <v>2037</v>
      </c>
      <c r="B17" s="99">
        <v>161501513.23125178</v>
      </c>
    </row>
    <row r="18" spans="1:2">
      <c r="A18" s="85">
        <f t="shared" si="0"/>
        <v>2038</v>
      </c>
      <c r="B18" s="99">
        <v>163154117.48815659</v>
      </c>
    </row>
    <row r="19" spans="1:2">
      <c r="A19" s="85">
        <f t="shared" si="0"/>
        <v>2039</v>
      </c>
      <c r="B19" s="99">
        <v>164626973.09057534</v>
      </c>
    </row>
    <row r="20" spans="1:2">
      <c r="A20" s="85">
        <f t="shared" si="0"/>
        <v>2040</v>
      </c>
      <c r="B20" s="99">
        <v>165934759.0103645</v>
      </c>
    </row>
    <row r="21" spans="1:2">
      <c r="A21" s="85">
        <f t="shared" si="0"/>
        <v>2041</v>
      </c>
      <c r="B21" s="99">
        <v>164918528.22270811</v>
      </c>
    </row>
    <row r="22" spans="1:2">
      <c r="A22" s="85">
        <f t="shared" si="0"/>
        <v>2042</v>
      </c>
      <c r="B22" s="99">
        <v>166510767.19574466</v>
      </c>
    </row>
    <row r="23" spans="1:2">
      <c r="A23" s="85">
        <f t="shared" si="0"/>
        <v>2043</v>
      </c>
      <c r="B23" s="99">
        <v>168119102.7607415</v>
      </c>
    </row>
    <row r="24" spans="1:2">
      <c r="A24" s="85">
        <f t="shared" si="0"/>
        <v>2044</v>
      </c>
      <c r="B24" s="99">
        <v>169743699.38976341</v>
      </c>
    </row>
    <row r="25" spans="1:2">
      <c r="A25" s="85">
        <f t="shared" si="0"/>
        <v>2045</v>
      </c>
      <c r="B25" s="99">
        <v>171384723.23944247</v>
      </c>
    </row>
    <row r="26" spans="1:2">
      <c r="A26" s="85">
        <f t="shared" si="0"/>
        <v>2046</v>
      </c>
      <c r="B26" s="99">
        <v>173042342.16823125</v>
      </c>
    </row>
    <row r="27" spans="1:2">
      <c r="A27" s="85">
        <f t="shared" si="0"/>
        <v>2047</v>
      </c>
      <c r="B27" s="99">
        <v>174716725.75385049</v>
      </c>
    </row>
    <row r="28" spans="1:2">
      <c r="A28" s="85">
        <f t="shared" si="0"/>
        <v>2048</v>
      </c>
      <c r="B28" s="99">
        <v>176408045.31090355</v>
      </c>
    </row>
    <row r="29" spans="1:2">
      <c r="A29" s="85">
        <f t="shared" si="0"/>
        <v>2049</v>
      </c>
      <c r="B29" s="99">
        <v>178116473.90867817</v>
      </c>
    </row>
    <row r="30" spans="1:2">
      <c r="A30" s="85">
        <f t="shared" si="0"/>
        <v>2050</v>
      </c>
      <c r="B30" s="99">
        <v>179842186.38912725</v>
      </c>
    </row>
    <row r="31" spans="1:2">
      <c r="A31" s="85">
        <f t="shared" si="0"/>
        <v>2051</v>
      </c>
      <c r="B31" s="99">
        <v>181585359.38502946</v>
      </c>
    </row>
    <row r="32" spans="1:2">
      <c r="A32" s="85">
        <f t="shared" si="0"/>
        <v>2052</v>
      </c>
      <c r="B32" s="99">
        <v>183346171.33835286</v>
      </c>
    </row>
    <row r="33" spans="1:2">
      <c r="A33" s="85">
        <f t="shared" si="0"/>
        <v>2053</v>
      </c>
      <c r="B33" s="99">
        <v>185124802.51877928</v>
      </c>
    </row>
    <row r="34" spans="1:2">
      <c r="A34" s="85">
        <f t="shared" si="0"/>
        <v>2054</v>
      </c>
      <c r="B34" s="99">
        <v>186921435.04245102</v>
      </c>
    </row>
    <row r="35" spans="1:2">
      <c r="A35" s="85">
        <f t="shared" si="0"/>
        <v>2055</v>
      </c>
      <c r="B35" s="99">
        <v>188736252.89088118</v>
      </c>
    </row>
    <row r="36" spans="1:2">
      <c r="A36" s="85">
        <f t="shared" si="0"/>
        <v>2056</v>
      </c>
      <c r="B36" s="99">
        <v>190569441.93007272</v>
      </c>
    </row>
    <row r="37" spans="1:2">
      <c r="A37" s="85">
        <f t="shared" si="0"/>
        <v>2057</v>
      </c>
      <c r="B37" s="99">
        <v>192421189.92983162</v>
      </c>
    </row>
    <row r="38" spans="1:2">
      <c r="A38" s="85">
        <f t="shared" si="0"/>
        <v>2058</v>
      </c>
      <c r="B38" s="99">
        <v>194291686.58327684</v>
      </c>
    </row>
    <row r="39" spans="1:2">
      <c r="A39" s="85">
        <f t="shared" si="0"/>
        <v>2059</v>
      </c>
      <c r="B39" s="99">
        <v>196181123.5265471</v>
      </c>
    </row>
    <row r="40" spans="1:2">
      <c r="A40" s="85">
        <f t="shared" si="0"/>
        <v>2060</v>
      </c>
      <c r="B40" s="99">
        <v>198089694.35871768</v>
      </c>
    </row>
    <row r="41" spans="1:2">
      <c r="A41" s="85">
        <f t="shared" si="0"/>
        <v>2061</v>
      </c>
      <c r="B41" s="99">
        <v>200017594.6619105</v>
      </c>
    </row>
    <row r="42" spans="1:2">
      <c r="A42" s="85">
        <f t="shared" si="0"/>
        <v>2062</v>
      </c>
      <c r="B42" s="99">
        <v>201965022.02162123</v>
      </c>
    </row>
    <row r="43" spans="1:2">
      <c r="A43" s="85">
        <f t="shared" si="0"/>
        <v>2063</v>
      </c>
      <c r="B43" s="99">
        <v>203932176.04724571</v>
      </c>
    </row>
    <row r="44" spans="1:2">
      <c r="A44" s="85">
        <f t="shared" si="0"/>
        <v>2064</v>
      </c>
      <c r="B44" s="99">
        <v>205919258.39282292</v>
      </c>
    </row>
    <row r="45" spans="1:2">
      <c r="A45" s="85">
        <f t="shared" si="0"/>
        <v>2065</v>
      </c>
      <c r="B45" s="99">
        <v>207926472.77798826</v>
      </c>
    </row>
    <row r="46" spans="1:2">
      <c r="A46" s="85">
        <f t="shared" si="0"/>
        <v>2066</v>
      </c>
      <c r="B46" s="99">
        <v>209954025.009141</v>
      </c>
    </row>
    <row r="47" spans="1:2">
      <c r="A47" s="85">
        <f t="shared" si="0"/>
        <v>2067</v>
      </c>
      <c r="B47" s="99">
        <v>212002123.00082472</v>
      </c>
    </row>
    <row r="48" spans="1:2">
      <c r="A48" s="85">
        <f t="shared" si="0"/>
        <v>2068</v>
      </c>
      <c r="B48" s="99">
        <v>214070976.79734319</v>
      </c>
    </row>
    <row r="49" spans="1:2">
      <c r="A49" s="85">
        <f t="shared" si="0"/>
        <v>2069</v>
      </c>
      <c r="B49" s="99">
        <v>216160798.59457305</v>
      </c>
    </row>
    <row r="50" spans="1:2">
      <c r="A50" s="85">
        <f t="shared" si="0"/>
        <v>2070</v>
      </c>
      <c r="B50" s="99">
        <v>218271802.76202235</v>
      </c>
    </row>
  </sheetData>
  <phoneticPr fontId="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"/>
  <sheetViews>
    <sheetView workbookViewId="0">
      <selection activeCell="H13" sqref="H13:H14"/>
    </sheetView>
  </sheetViews>
  <sheetFormatPr defaultRowHeight="12.75"/>
  <cols>
    <col min="1" max="1" width="5.7109375" customWidth="1"/>
  </cols>
  <sheetData>
    <row r="1" spans="1:2">
      <c r="A1" s="185" t="s">
        <v>84</v>
      </c>
    </row>
    <row r="2" spans="1:2">
      <c r="A2" s="185" t="s">
        <v>81</v>
      </c>
    </row>
    <row r="4" spans="1:2">
      <c r="B4" s="147" t="s">
        <v>71</v>
      </c>
    </row>
    <row r="5" spans="1:2">
      <c r="B5" s="147" t="s">
        <v>76</v>
      </c>
    </row>
    <row r="6" spans="1:2">
      <c r="B6" s="147" t="s">
        <v>72</v>
      </c>
    </row>
    <row r="7" spans="1:2">
      <c r="B7" s="147" t="s">
        <v>73</v>
      </c>
    </row>
    <row r="8" spans="1:2">
      <c r="B8" s="147" t="s">
        <v>74</v>
      </c>
    </row>
    <row r="10" spans="1:2">
      <c r="A10" s="148" t="s">
        <v>75</v>
      </c>
    </row>
  </sheetData>
  <phoneticPr fontId="3" type="noConversion"/>
  <pageMargins left="0.75" right="0.75" top="1" bottom="1" header="0.5" footer="0.5"/>
  <pageSetup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Level Rate -- RIM</vt:lpstr>
      <vt:lpstr>Fixed Costs - RIM</vt:lpstr>
      <vt:lpstr>NEL</vt:lpstr>
      <vt:lpstr>How_to_use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2024-05-08T22:46:59Z</dcterms:created>
  <dcterms:modified xsi:type="dcterms:W3CDTF">2024-05-08T22:47:03Z</dcterms:modified>
</cp:coreProperties>
</file>