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D40E450E-DC22-4F4A-9A9B-AA381EF3AC07}" xr6:coauthVersionLast="47" xr6:coauthVersionMax="47" xr10:uidLastSave="{00000000-0000-0000-0000-000000000000}"/>
  <bookViews>
    <workbookView xWindow="345" yWindow="210" windowWidth="27105" windowHeight="13980" tabRatio="746" activeTab="3" xr2:uid="{00000000-000D-0000-FFFF-FFFF00000000}"/>
  </bookViews>
  <sheets>
    <sheet name="Level Rate -- Supply Only" sheetId="61" r:id="rId1"/>
    <sheet name="Fixed Costs - Supply Only" sheetId="72" r:id="rId2"/>
    <sheet name="NEL" sheetId="77" r:id="rId3"/>
    <sheet name="How_to_use" sheetId="67" r:id="rId4"/>
  </sheets>
  <definedNames>
    <definedName name="_Fill" hidden="1">#REF!</definedName>
    <definedName name="solver_typ" localSheetId="0" hidden="1">2</definedName>
    <definedName name="solver_ver" localSheetId="0" hidden="1">17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72" l="1"/>
  <c r="L13" i="72"/>
  <c r="L14" i="72"/>
  <c r="L15" i="72"/>
  <c r="L16" i="72"/>
  <c r="L17" i="72"/>
  <c r="L18" i="72"/>
  <c r="L19" i="72"/>
  <c r="L20" i="72"/>
  <c r="L21" i="72"/>
  <c r="L22" i="72"/>
  <c r="L23" i="72"/>
  <c r="L24" i="72"/>
  <c r="L25" i="72"/>
  <c r="L26" i="72"/>
  <c r="L27" i="72"/>
  <c r="L28" i="72"/>
  <c r="L29" i="72"/>
  <c r="L30" i="72"/>
  <c r="L31" i="72"/>
  <c r="L32" i="72"/>
  <c r="L33" i="72"/>
  <c r="L34" i="72"/>
  <c r="L35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50" i="72"/>
  <c r="L51" i="72"/>
  <c r="L52" i="72"/>
  <c r="L53" i="72"/>
  <c r="L54" i="72"/>
  <c r="L55" i="72"/>
  <c r="L56" i="72"/>
  <c r="L11" i="72"/>
  <c r="X24" i="61"/>
  <c r="X25" i="61" s="1"/>
  <c r="X26" i="61" s="1"/>
  <c r="X27" i="61" s="1"/>
  <c r="X28" i="61" s="1"/>
  <c r="X29" i="61" s="1"/>
  <c r="X30" i="61" s="1"/>
  <c r="X31" i="61" s="1"/>
  <c r="X32" i="61" s="1"/>
  <c r="X33" i="61" s="1"/>
  <c r="X34" i="61" s="1"/>
  <c r="X35" i="61" s="1"/>
  <c r="X36" i="61" s="1"/>
  <c r="X37" i="61" s="1"/>
  <c r="X38" i="61" s="1"/>
  <c r="X39" i="61" s="1"/>
  <c r="X40" i="61" s="1"/>
  <c r="X41" i="61" s="1"/>
  <c r="X42" i="61" s="1"/>
  <c r="X43" i="61" s="1"/>
  <c r="X44" i="61" s="1"/>
  <c r="X45" i="61" s="1"/>
  <c r="X46" i="61" s="1"/>
  <c r="X47" i="61" s="1"/>
  <c r="X48" i="61" s="1"/>
  <c r="X49" i="61" s="1"/>
  <c r="X50" i="61" s="1"/>
  <c r="X51" i="61" s="1"/>
  <c r="X52" i="61" s="1"/>
  <c r="X53" i="61" s="1"/>
  <c r="X54" i="61" s="1"/>
  <c r="X55" i="61" s="1"/>
  <c r="X56" i="61" s="1"/>
  <c r="X57" i="61" s="1"/>
  <c r="X58" i="61" s="1"/>
  <c r="X59" i="61" s="1"/>
  <c r="O14" i="61" l="1"/>
  <c r="O15" i="61" s="1"/>
  <c r="O16" i="61" s="1"/>
  <c r="O17" i="61" s="1"/>
  <c r="O18" i="61" s="1"/>
  <c r="O19" i="61" s="1"/>
  <c r="O20" i="61" s="1"/>
  <c r="O21" i="61" s="1"/>
  <c r="O22" i="61" s="1"/>
  <c r="O23" i="61" s="1"/>
  <c r="O24" i="61" s="1"/>
  <c r="O25" i="61" s="1"/>
  <c r="O26" i="61" s="1"/>
  <c r="O27" i="61" s="1"/>
  <c r="O28" i="61" s="1"/>
  <c r="O29" i="61" s="1"/>
  <c r="O30" i="61" s="1"/>
  <c r="O31" i="61" s="1"/>
  <c r="O32" i="61" s="1"/>
  <c r="O33" i="61" s="1"/>
  <c r="O34" i="61" s="1"/>
  <c r="O35" i="61" s="1"/>
  <c r="O36" i="61" s="1"/>
  <c r="O37" i="61" s="1"/>
  <c r="O38" i="61" s="1"/>
  <c r="O39" i="61" s="1"/>
  <c r="O40" i="61" s="1"/>
  <c r="O41" i="61" s="1"/>
  <c r="O42" i="61" s="1"/>
  <c r="O43" i="61" s="1"/>
  <c r="O44" i="61" s="1"/>
  <c r="O45" i="61" s="1"/>
  <c r="O46" i="61" s="1"/>
  <c r="O47" i="61" s="1"/>
  <c r="O48" i="61" s="1"/>
  <c r="O49" i="61" s="1"/>
  <c r="O50" i="61" s="1"/>
  <c r="O51" i="61" s="1"/>
  <c r="O52" i="61" s="1"/>
  <c r="O53" i="61" s="1"/>
  <c r="O54" i="61" s="1"/>
  <c r="O55" i="61" s="1"/>
  <c r="O56" i="61" s="1"/>
  <c r="O57" i="61" s="1"/>
  <c r="O58" i="61" s="1"/>
  <c r="O59" i="61" s="1"/>
  <c r="L10" i="72" l="1"/>
  <c r="G56" i="72" l="1"/>
  <c r="M56" i="72" s="1"/>
  <c r="N56" i="72" s="1"/>
  <c r="G55" i="72"/>
  <c r="M55" i="72" s="1"/>
  <c r="N55" i="72" s="1"/>
  <c r="G54" i="72"/>
  <c r="M54" i="72" s="1"/>
  <c r="N54" i="72" s="1"/>
  <c r="G53" i="72"/>
  <c r="M53" i="72" s="1"/>
  <c r="N53" i="72" s="1"/>
  <c r="G52" i="72"/>
  <c r="M52" i="72" s="1"/>
  <c r="N52" i="72" s="1"/>
  <c r="G51" i="72"/>
  <c r="M51" i="72" s="1"/>
  <c r="N51" i="72" s="1"/>
  <c r="G50" i="72"/>
  <c r="M50" i="72" s="1"/>
  <c r="N50" i="72" s="1"/>
  <c r="G49" i="72"/>
  <c r="M49" i="72" s="1"/>
  <c r="N49" i="72" s="1"/>
  <c r="G48" i="72"/>
  <c r="M48" i="72" s="1"/>
  <c r="N48" i="72" s="1"/>
  <c r="G47" i="72"/>
  <c r="M47" i="72" s="1"/>
  <c r="N47" i="72" s="1"/>
  <c r="G46" i="72"/>
  <c r="M46" i="72" s="1"/>
  <c r="N46" i="72" s="1"/>
  <c r="G45" i="72"/>
  <c r="M45" i="72" s="1"/>
  <c r="N45" i="72" s="1"/>
  <c r="G44" i="72"/>
  <c r="M44" i="72" s="1"/>
  <c r="N44" i="72" s="1"/>
  <c r="G43" i="72"/>
  <c r="M43" i="72" s="1"/>
  <c r="N43" i="72" s="1"/>
  <c r="G42" i="72"/>
  <c r="M42" i="72" s="1"/>
  <c r="N42" i="72" s="1"/>
  <c r="G41" i="72"/>
  <c r="M41" i="72" s="1"/>
  <c r="N41" i="72" s="1"/>
  <c r="G40" i="72"/>
  <c r="M40" i="72" s="1"/>
  <c r="N40" i="72" s="1"/>
  <c r="G39" i="72"/>
  <c r="M39" i="72" s="1"/>
  <c r="N39" i="72" s="1"/>
  <c r="G38" i="72"/>
  <c r="M38" i="72" s="1"/>
  <c r="N38" i="72" s="1"/>
  <c r="G37" i="72"/>
  <c r="M37" i="72" s="1"/>
  <c r="N37" i="72" s="1"/>
  <c r="G36" i="72"/>
  <c r="M36" i="72" s="1"/>
  <c r="N36" i="72" s="1"/>
  <c r="G35" i="72"/>
  <c r="M35" i="72" s="1"/>
  <c r="N35" i="72" s="1"/>
  <c r="G34" i="72"/>
  <c r="M34" i="72" s="1"/>
  <c r="N34" i="72" s="1"/>
  <c r="G33" i="72"/>
  <c r="M33" i="72" s="1"/>
  <c r="N33" i="72" s="1"/>
  <c r="G32" i="72"/>
  <c r="M32" i="72" s="1"/>
  <c r="N32" i="72" s="1"/>
  <c r="G31" i="72"/>
  <c r="M31" i="72" s="1"/>
  <c r="N31" i="72" s="1"/>
  <c r="G30" i="72"/>
  <c r="M30" i="72" s="1"/>
  <c r="N30" i="72" s="1"/>
  <c r="G29" i="72"/>
  <c r="M29" i="72" s="1"/>
  <c r="N29" i="72" s="1"/>
  <c r="G28" i="72"/>
  <c r="M28" i="72" s="1"/>
  <c r="N28" i="72" s="1"/>
  <c r="G27" i="72"/>
  <c r="M27" i="72" s="1"/>
  <c r="N27" i="72" s="1"/>
  <c r="G26" i="72"/>
  <c r="M26" i="72" s="1"/>
  <c r="N26" i="72" s="1"/>
  <c r="G25" i="72"/>
  <c r="M25" i="72" s="1"/>
  <c r="N25" i="72" s="1"/>
  <c r="G24" i="72"/>
  <c r="M24" i="72" s="1"/>
  <c r="N24" i="72" s="1"/>
  <c r="G23" i="72"/>
  <c r="M23" i="72" s="1"/>
  <c r="N23" i="72" s="1"/>
  <c r="G22" i="72"/>
  <c r="M22" i="72" s="1"/>
  <c r="N22" i="72" s="1"/>
  <c r="G21" i="72"/>
  <c r="M21" i="72" s="1"/>
  <c r="N21" i="72" s="1"/>
  <c r="G20" i="72"/>
  <c r="M20" i="72" s="1"/>
  <c r="N20" i="72" s="1"/>
  <c r="G19" i="72"/>
  <c r="M19" i="72" s="1"/>
  <c r="N19" i="72" s="1"/>
  <c r="G18" i="72"/>
  <c r="M18" i="72" s="1"/>
  <c r="N18" i="72" s="1"/>
  <c r="G17" i="72"/>
  <c r="M17" i="72" s="1"/>
  <c r="N17" i="72" s="1"/>
  <c r="G16" i="72"/>
  <c r="M16" i="72" s="1"/>
  <c r="N16" i="72" s="1"/>
  <c r="G15" i="72"/>
  <c r="M15" i="72" s="1"/>
  <c r="N15" i="72" s="1"/>
  <c r="G14" i="72"/>
  <c r="M14" i="72" s="1"/>
  <c r="N14" i="72" s="1"/>
  <c r="G13" i="72"/>
  <c r="M13" i="72" s="1"/>
  <c r="N13" i="72" s="1"/>
  <c r="G12" i="72"/>
  <c r="M12" i="72" s="1"/>
  <c r="N12" i="72" s="1"/>
  <c r="G11" i="72"/>
  <c r="M11" i="72" s="1"/>
  <c r="N11" i="72" s="1"/>
  <c r="G10" i="72"/>
  <c r="M10" i="72" s="1"/>
  <c r="N10" i="72" s="1"/>
  <c r="O10" i="72" s="1"/>
  <c r="O11" i="72" s="1"/>
  <c r="O12" i="72" s="1"/>
  <c r="O13" i="72" s="1"/>
  <c r="O14" i="72" s="1"/>
  <c r="O15" i="72" s="1"/>
  <c r="O16" i="72" s="1"/>
  <c r="O17" i="72" s="1"/>
  <c r="O18" i="72" s="1"/>
  <c r="O19" i="72" s="1"/>
  <c r="O20" i="72" s="1"/>
  <c r="O21" i="72" s="1"/>
  <c r="O22" i="72" s="1"/>
  <c r="O23" i="72" s="1"/>
  <c r="O24" i="72" s="1"/>
  <c r="O25" i="72" s="1"/>
  <c r="O26" i="72" l="1"/>
  <c r="O27" i="72" s="1"/>
  <c r="O28" i="72" s="1"/>
  <c r="O29" i="72" s="1"/>
  <c r="O30" i="72" s="1"/>
  <c r="O31" i="72" s="1"/>
  <c r="O32" i="72" s="1"/>
  <c r="O33" i="72" s="1"/>
  <c r="O34" i="72" s="1"/>
  <c r="O35" i="72" s="1"/>
  <c r="O36" i="72" s="1"/>
  <c r="O37" i="72" s="1"/>
  <c r="O38" i="72" s="1"/>
  <c r="O39" i="72" s="1"/>
  <c r="O40" i="72" s="1"/>
  <c r="O41" i="72" s="1"/>
  <c r="O42" i="72" s="1"/>
  <c r="O43" i="72" s="1"/>
  <c r="O44" i="72" s="1"/>
  <c r="O45" i="72" s="1"/>
  <c r="O46" i="72" s="1"/>
  <c r="O47" i="72" s="1"/>
  <c r="O48" i="72"/>
  <c r="O49" i="72" s="1"/>
  <c r="O50" i="72" s="1"/>
  <c r="O51" i="72" s="1"/>
  <c r="O52" i="72" s="1"/>
  <c r="O53" i="72" s="1"/>
  <c r="O54" i="72" s="1"/>
  <c r="O55" i="72" s="1"/>
  <c r="O56" i="72" s="1"/>
  <c r="Y54" i="61"/>
  <c r="Y55" i="61"/>
  <c r="N59" i="61" l="1"/>
  <c r="P59" i="61" s="1"/>
  <c r="V13" i="61"/>
  <c r="I59" i="61"/>
  <c r="G59" i="61"/>
  <c r="C59" i="61"/>
  <c r="N58" i="61"/>
  <c r="P58" i="61" s="1"/>
  <c r="I58" i="61"/>
  <c r="G58" i="61"/>
  <c r="C58" i="61"/>
  <c r="N57" i="61"/>
  <c r="P57" i="61" s="1"/>
  <c r="I57" i="61"/>
  <c r="G57" i="61"/>
  <c r="C57" i="61"/>
  <c r="N56" i="61"/>
  <c r="P56" i="61" s="1"/>
  <c r="J56" i="61"/>
  <c r="I56" i="61"/>
  <c r="L56" i="61" s="1"/>
  <c r="G56" i="61"/>
  <c r="C56" i="61"/>
  <c r="N55" i="61"/>
  <c r="P55" i="61" s="1"/>
  <c r="J55" i="61"/>
  <c r="I55" i="61"/>
  <c r="L55" i="61" s="1"/>
  <c r="G55" i="61"/>
  <c r="C55" i="61"/>
  <c r="N54" i="61"/>
  <c r="P54" i="61" s="1"/>
  <c r="J54" i="61"/>
  <c r="I54" i="61"/>
  <c r="G54" i="61"/>
  <c r="C54" i="61"/>
  <c r="H56" i="61" l="1"/>
  <c r="M56" i="61" s="1"/>
  <c r="Q56" i="61" s="1"/>
  <c r="H58" i="61"/>
  <c r="H55" i="61"/>
  <c r="M55" i="61" s="1"/>
  <c r="Q55" i="61" s="1"/>
  <c r="L54" i="61"/>
  <c r="Y56" i="61"/>
  <c r="H54" i="61"/>
  <c r="M54" i="61" s="1"/>
  <c r="Q54" i="61" s="1"/>
  <c r="H57" i="61"/>
  <c r="H59" i="61"/>
  <c r="C53" i="61"/>
  <c r="Y47" i="61"/>
  <c r="N53" i="61"/>
  <c r="P53" i="61" s="1"/>
  <c r="G53" i="61"/>
  <c r="N52" i="61"/>
  <c r="P52" i="61" s="1"/>
  <c r="G52" i="61"/>
  <c r="C52" i="61"/>
  <c r="N51" i="61"/>
  <c r="P51" i="61" s="1"/>
  <c r="G51" i="61"/>
  <c r="C51" i="61"/>
  <c r="N50" i="61"/>
  <c r="P50" i="61" s="1"/>
  <c r="G50" i="61"/>
  <c r="C50" i="61"/>
  <c r="N49" i="61"/>
  <c r="P49" i="61" s="1"/>
  <c r="G49" i="61"/>
  <c r="C49" i="61"/>
  <c r="N48" i="61"/>
  <c r="P48" i="61" s="1"/>
  <c r="G48" i="61"/>
  <c r="C48" i="61"/>
  <c r="A7" i="77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J47" i="61"/>
  <c r="J46" i="61"/>
  <c r="J45" i="61"/>
  <c r="J44" i="61"/>
  <c r="J43" i="61"/>
  <c r="J42" i="61"/>
  <c r="J41" i="61"/>
  <c r="J40" i="61"/>
  <c r="J39" i="61"/>
  <c r="J38" i="61"/>
  <c r="J37" i="61"/>
  <c r="J36" i="61"/>
  <c r="J35" i="61"/>
  <c r="J34" i="61"/>
  <c r="J33" i="61"/>
  <c r="J32" i="61"/>
  <c r="J31" i="61"/>
  <c r="J30" i="61"/>
  <c r="J29" i="61"/>
  <c r="J28" i="61"/>
  <c r="J27" i="61"/>
  <c r="J26" i="61"/>
  <c r="J25" i="61"/>
  <c r="J24" i="61"/>
  <c r="J23" i="61"/>
  <c r="L23" i="61" s="1"/>
  <c r="J22" i="61"/>
  <c r="R62" i="61"/>
  <c r="I22" i="61"/>
  <c r="C22" i="61"/>
  <c r="G22" i="61"/>
  <c r="N22" i="61"/>
  <c r="P22" i="61" s="1"/>
  <c r="B12" i="61"/>
  <c r="I23" i="61"/>
  <c r="C23" i="61"/>
  <c r="G23" i="61"/>
  <c r="N23" i="61"/>
  <c r="P23" i="61" s="1"/>
  <c r="I24" i="61"/>
  <c r="C24" i="61"/>
  <c r="G24" i="61"/>
  <c r="N24" i="61"/>
  <c r="P24" i="61" s="1"/>
  <c r="I25" i="61"/>
  <c r="C25" i="61"/>
  <c r="G25" i="61"/>
  <c r="N25" i="61"/>
  <c r="P25" i="61" s="1"/>
  <c r="I26" i="61"/>
  <c r="C26" i="61"/>
  <c r="G26" i="61"/>
  <c r="N26" i="61"/>
  <c r="P26" i="61" s="1"/>
  <c r="I27" i="61"/>
  <c r="L27" i="61" s="1"/>
  <c r="C27" i="61"/>
  <c r="G27" i="61"/>
  <c r="N27" i="61"/>
  <c r="P27" i="61" s="1"/>
  <c r="I28" i="61"/>
  <c r="C28" i="61"/>
  <c r="G28" i="61"/>
  <c r="N28" i="61"/>
  <c r="P28" i="61" s="1"/>
  <c r="I29" i="61"/>
  <c r="C29" i="61"/>
  <c r="G29" i="61"/>
  <c r="N29" i="61"/>
  <c r="P29" i="61" s="1"/>
  <c r="I30" i="61"/>
  <c r="C30" i="61"/>
  <c r="G30" i="61"/>
  <c r="N30" i="61"/>
  <c r="P30" i="61" s="1"/>
  <c r="I31" i="61"/>
  <c r="C31" i="61"/>
  <c r="G31" i="61"/>
  <c r="N31" i="61"/>
  <c r="P31" i="61" s="1"/>
  <c r="I32" i="61"/>
  <c r="C32" i="61"/>
  <c r="G32" i="61"/>
  <c r="N32" i="61"/>
  <c r="P32" i="61" s="1"/>
  <c r="I33" i="61"/>
  <c r="C33" i="61"/>
  <c r="G33" i="61"/>
  <c r="N33" i="61"/>
  <c r="P33" i="61" s="1"/>
  <c r="I34" i="61"/>
  <c r="L34" i="61" s="1"/>
  <c r="C34" i="61"/>
  <c r="G34" i="61"/>
  <c r="N34" i="61"/>
  <c r="P34" i="61" s="1"/>
  <c r="I35" i="61"/>
  <c r="C35" i="61"/>
  <c r="G35" i="61"/>
  <c r="N35" i="61"/>
  <c r="P35" i="61" s="1"/>
  <c r="I36" i="61"/>
  <c r="C36" i="61"/>
  <c r="G36" i="61"/>
  <c r="N36" i="61"/>
  <c r="P36" i="61" s="1"/>
  <c r="I37" i="61"/>
  <c r="C37" i="61"/>
  <c r="G37" i="61"/>
  <c r="N37" i="61"/>
  <c r="P37" i="61" s="1"/>
  <c r="I38" i="61"/>
  <c r="C38" i="61"/>
  <c r="G38" i="61"/>
  <c r="N38" i="61"/>
  <c r="P38" i="61" s="1"/>
  <c r="I39" i="61"/>
  <c r="C39" i="61"/>
  <c r="G39" i="61"/>
  <c r="N39" i="61"/>
  <c r="P39" i="61" s="1"/>
  <c r="I40" i="61"/>
  <c r="C40" i="61"/>
  <c r="G40" i="61"/>
  <c r="N40" i="61"/>
  <c r="P40" i="61" s="1"/>
  <c r="I41" i="61"/>
  <c r="C41" i="61"/>
  <c r="G41" i="61"/>
  <c r="N41" i="61"/>
  <c r="P41" i="61" s="1"/>
  <c r="I42" i="61"/>
  <c r="C42" i="61"/>
  <c r="G42" i="61"/>
  <c r="N42" i="61"/>
  <c r="P42" i="61" s="1"/>
  <c r="I43" i="61"/>
  <c r="C43" i="61"/>
  <c r="G43" i="61"/>
  <c r="N43" i="61"/>
  <c r="P43" i="61" s="1"/>
  <c r="I44" i="61"/>
  <c r="C44" i="61"/>
  <c r="G44" i="61"/>
  <c r="N44" i="61"/>
  <c r="P44" i="61" s="1"/>
  <c r="I45" i="61"/>
  <c r="C45" i="61"/>
  <c r="G45" i="61"/>
  <c r="N45" i="61"/>
  <c r="P45" i="61" s="1"/>
  <c r="I46" i="61"/>
  <c r="C46" i="61"/>
  <c r="G46" i="61"/>
  <c r="N46" i="61"/>
  <c r="P46" i="61" s="1"/>
  <c r="I47" i="61"/>
  <c r="C47" i="61"/>
  <c r="G47" i="61"/>
  <c r="N47" i="61"/>
  <c r="P47" i="61" s="1"/>
  <c r="J13" i="61"/>
  <c r="I13" i="61"/>
  <c r="C13" i="61"/>
  <c r="G13" i="61"/>
  <c r="N13" i="61"/>
  <c r="P13" i="61" s="1"/>
  <c r="J14" i="61"/>
  <c r="I14" i="61"/>
  <c r="C14" i="61"/>
  <c r="G14" i="61"/>
  <c r="N14" i="61"/>
  <c r="P14" i="61" s="1"/>
  <c r="J15" i="61"/>
  <c r="I15" i="61"/>
  <c r="C15" i="61"/>
  <c r="G15" i="61"/>
  <c r="N15" i="61"/>
  <c r="P15" i="61" s="1"/>
  <c r="J16" i="61"/>
  <c r="I16" i="61"/>
  <c r="C16" i="61"/>
  <c r="G16" i="61"/>
  <c r="N16" i="61"/>
  <c r="P16" i="61" s="1"/>
  <c r="J17" i="61"/>
  <c r="I17" i="61"/>
  <c r="C17" i="61"/>
  <c r="G17" i="61"/>
  <c r="N17" i="61"/>
  <c r="P17" i="61" s="1"/>
  <c r="J18" i="61"/>
  <c r="I18" i="61"/>
  <c r="L18" i="61" s="1"/>
  <c r="C18" i="61"/>
  <c r="G18" i="61"/>
  <c r="N18" i="61"/>
  <c r="P18" i="61" s="1"/>
  <c r="J19" i="61"/>
  <c r="I19" i="61"/>
  <c r="C19" i="61"/>
  <c r="G19" i="61"/>
  <c r="N19" i="61"/>
  <c r="P19" i="61" s="1"/>
  <c r="J20" i="61"/>
  <c r="I20" i="61"/>
  <c r="C20" i="61"/>
  <c r="G20" i="61"/>
  <c r="N20" i="61"/>
  <c r="P20" i="61" s="1"/>
  <c r="J21" i="61"/>
  <c r="I21" i="61"/>
  <c r="C21" i="61"/>
  <c r="G21" i="61"/>
  <c r="N21" i="61"/>
  <c r="P21" i="61" s="1"/>
  <c r="Y22" i="61"/>
  <c r="Y23" i="61"/>
  <c r="Y24" i="61"/>
  <c r="Y25" i="61"/>
  <c r="Y26" i="61"/>
  <c r="Y27" i="61"/>
  <c r="Y28" i="61"/>
  <c r="Y29" i="61"/>
  <c r="Y30" i="61"/>
  <c r="Y31" i="61"/>
  <c r="Y32" i="61"/>
  <c r="Y33" i="61"/>
  <c r="Y34" i="61"/>
  <c r="Y35" i="61"/>
  <c r="Y36" i="61"/>
  <c r="Y37" i="61"/>
  <c r="Y38" i="61"/>
  <c r="Y39" i="61"/>
  <c r="Y40" i="61"/>
  <c r="Y41" i="61"/>
  <c r="Y42" i="61"/>
  <c r="Y43" i="61"/>
  <c r="Y44" i="61"/>
  <c r="Y45" i="61"/>
  <c r="Y46" i="61"/>
  <c r="T13" i="61"/>
  <c r="S14" i="61"/>
  <c r="S15" i="61" s="1"/>
  <c r="S16" i="61" s="1"/>
  <c r="A14" i="61"/>
  <c r="Y14" i="61"/>
  <c r="Y15" i="61"/>
  <c r="Y16" i="61"/>
  <c r="Y17" i="61"/>
  <c r="Y18" i="61"/>
  <c r="Y19" i="61"/>
  <c r="Y20" i="61"/>
  <c r="Y21" i="61"/>
  <c r="Y13" i="61"/>
  <c r="L25" i="61" l="1"/>
  <c r="L35" i="61"/>
  <c r="L41" i="61"/>
  <c r="Y57" i="61"/>
  <c r="J57" i="61"/>
  <c r="L57" i="61" s="1"/>
  <c r="M57" i="61" s="1"/>
  <c r="Q57" i="61" s="1"/>
  <c r="A15" i="61"/>
  <c r="V14" i="61"/>
  <c r="L33" i="61"/>
  <c r="L15" i="61"/>
  <c r="B14" i="61"/>
  <c r="T14" i="61" s="1"/>
  <c r="L39" i="61"/>
  <c r="L31" i="61"/>
  <c r="L14" i="61"/>
  <c r="L17" i="61"/>
  <c r="L38" i="61"/>
  <c r="L21" i="61"/>
  <c r="L40" i="61"/>
  <c r="L19" i="61"/>
  <c r="L16" i="61"/>
  <c r="L26" i="61"/>
  <c r="L32" i="61"/>
  <c r="H48" i="61"/>
  <c r="B15" i="61"/>
  <c r="B16" i="61" s="1"/>
  <c r="B17" i="61" s="1"/>
  <c r="B18" i="61" s="1"/>
  <c r="B19" i="61" s="1"/>
  <c r="B20" i="61" s="1"/>
  <c r="B21" i="61" s="1"/>
  <c r="B22" i="61" s="1"/>
  <c r="B23" i="61" s="1"/>
  <c r="B24" i="61" s="1"/>
  <c r="B25" i="61" s="1"/>
  <c r="B26" i="61" s="1"/>
  <c r="B27" i="61" s="1"/>
  <c r="B28" i="61" s="1"/>
  <c r="B29" i="61" s="1"/>
  <c r="B30" i="61" s="1"/>
  <c r="B31" i="61" s="1"/>
  <c r="B32" i="61" s="1"/>
  <c r="B33" i="61" s="1"/>
  <c r="B34" i="61" s="1"/>
  <c r="B35" i="61" s="1"/>
  <c r="B36" i="61" s="1"/>
  <c r="B37" i="61" s="1"/>
  <c r="B38" i="61" s="1"/>
  <c r="B39" i="61" s="1"/>
  <c r="H51" i="61"/>
  <c r="H20" i="61"/>
  <c r="H41" i="61"/>
  <c r="H28" i="61"/>
  <c r="H49" i="61"/>
  <c r="H50" i="61"/>
  <c r="H29" i="61"/>
  <c r="H37" i="61"/>
  <c r="H26" i="61"/>
  <c r="H46" i="61"/>
  <c r="H39" i="61"/>
  <c r="H36" i="61"/>
  <c r="H32" i="61"/>
  <c r="H15" i="61"/>
  <c r="H30" i="61"/>
  <c r="H27" i="61"/>
  <c r="M27" i="61" s="1"/>
  <c r="Q27" i="61" s="1"/>
  <c r="H22" i="61"/>
  <c r="H17" i="61"/>
  <c r="H38" i="61"/>
  <c r="H52" i="61"/>
  <c r="H23" i="61"/>
  <c r="M23" i="61" s="1"/>
  <c r="Q23" i="61" s="1"/>
  <c r="H16" i="61"/>
  <c r="H45" i="61"/>
  <c r="H42" i="61"/>
  <c r="H40" i="61"/>
  <c r="H31" i="61"/>
  <c r="H47" i="61"/>
  <c r="H25" i="61"/>
  <c r="M25" i="61" s="1"/>
  <c r="Q25" i="61" s="1"/>
  <c r="S17" i="61"/>
  <c r="L20" i="61"/>
  <c r="H19" i="61"/>
  <c r="L36" i="61"/>
  <c r="L29" i="61"/>
  <c r="J48" i="61"/>
  <c r="Y48" i="61"/>
  <c r="H14" i="61"/>
  <c r="H35" i="61"/>
  <c r="M35" i="61" s="1"/>
  <c r="Q35" i="61" s="1"/>
  <c r="H21" i="61"/>
  <c r="L42" i="61"/>
  <c r="H18" i="61"/>
  <c r="M18" i="61" s="1"/>
  <c r="Q18" i="61" s="1"/>
  <c r="H43" i="61"/>
  <c r="H34" i="61"/>
  <c r="M34" i="61" s="1"/>
  <c r="Q34" i="61" s="1"/>
  <c r="L24" i="61"/>
  <c r="L28" i="61"/>
  <c r="L37" i="61"/>
  <c r="L22" i="61"/>
  <c r="H53" i="61"/>
  <c r="H24" i="61"/>
  <c r="L30" i="61"/>
  <c r="L13" i="61"/>
  <c r="H13" i="61"/>
  <c r="H44" i="61"/>
  <c r="H33" i="61"/>
  <c r="I48" i="61"/>
  <c r="M15" i="61" l="1"/>
  <c r="Q15" i="61" s="1"/>
  <c r="M31" i="61"/>
  <c r="Q31" i="61" s="1"/>
  <c r="M33" i="61"/>
  <c r="Q33" i="61" s="1"/>
  <c r="R33" i="61" s="1"/>
  <c r="M41" i="61"/>
  <c r="Q41" i="61" s="1"/>
  <c r="Y58" i="61"/>
  <c r="J58" i="61"/>
  <c r="L58" i="61" s="1"/>
  <c r="M58" i="61" s="1"/>
  <c r="Q58" i="61" s="1"/>
  <c r="M38" i="61"/>
  <c r="Q38" i="61" s="1"/>
  <c r="R38" i="61" s="1"/>
  <c r="M17" i="61"/>
  <c r="Q17" i="61" s="1"/>
  <c r="R17" i="61" s="1"/>
  <c r="M40" i="61"/>
  <c r="Q40" i="61" s="1"/>
  <c r="M32" i="61"/>
  <c r="Q32" i="61" s="1"/>
  <c r="R32" i="61" s="1"/>
  <c r="M14" i="61"/>
  <c r="Q14" i="61" s="1"/>
  <c r="R14" i="61" s="1"/>
  <c r="M39" i="61"/>
  <c r="Q39" i="61" s="1"/>
  <c r="R39" i="61" s="1"/>
  <c r="A16" i="61"/>
  <c r="V15" i="61"/>
  <c r="M13" i="61"/>
  <c r="Q13" i="61" s="1"/>
  <c r="R13" i="61" s="1"/>
  <c r="M16" i="61"/>
  <c r="Q16" i="61" s="1"/>
  <c r="R16" i="61" s="1"/>
  <c r="M19" i="61"/>
  <c r="Q19" i="61" s="1"/>
  <c r="R19" i="61" s="1"/>
  <c r="M21" i="61"/>
  <c r="Q21" i="61" s="1"/>
  <c r="R21" i="61" s="1"/>
  <c r="T16" i="61"/>
  <c r="M26" i="61"/>
  <c r="Q26" i="61" s="1"/>
  <c r="R26" i="61" s="1"/>
  <c r="M29" i="61"/>
  <c r="Q29" i="61" s="1"/>
  <c r="R29" i="61" s="1"/>
  <c r="M30" i="61"/>
  <c r="Q30" i="61" s="1"/>
  <c r="R30" i="61" s="1"/>
  <c r="M37" i="61"/>
  <c r="Q37" i="61" s="1"/>
  <c r="R37" i="61" s="1"/>
  <c r="R31" i="61"/>
  <c r="R15" i="61"/>
  <c r="R34" i="61"/>
  <c r="R23" i="61"/>
  <c r="T15" i="61"/>
  <c r="R25" i="61"/>
  <c r="R27" i="61"/>
  <c r="R18" i="61"/>
  <c r="M28" i="61"/>
  <c r="Q28" i="61" s="1"/>
  <c r="R28" i="61" s="1"/>
  <c r="M42" i="61"/>
  <c r="Q42" i="61" s="1"/>
  <c r="M36" i="61"/>
  <c r="Q36" i="61" s="1"/>
  <c r="R36" i="61" s="1"/>
  <c r="M20" i="61"/>
  <c r="Q20" i="61" s="1"/>
  <c r="R20" i="61" s="1"/>
  <c r="M22" i="61"/>
  <c r="Q22" i="61" s="1"/>
  <c r="R22" i="61" s="1"/>
  <c r="R35" i="61"/>
  <c r="J49" i="61"/>
  <c r="Y49" i="61"/>
  <c r="T17" i="61"/>
  <c r="S18" i="61"/>
  <c r="L43" i="61"/>
  <c r="M43" i="61" s="1"/>
  <c r="Q43" i="61" s="1"/>
  <c r="I49" i="61"/>
  <c r="M24" i="61"/>
  <c r="Q24" i="61" s="1"/>
  <c r="R24" i="61" s="1"/>
  <c r="B40" i="61"/>
  <c r="Y59" i="61" l="1"/>
  <c r="J59" i="61"/>
  <c r="L59" i="61" s="1"/>
  <c r="M59" i="61" s="1"/>
  <c r="Q59" i="61" s="1"/>
  <c r="A17" i="61"/>
  <c r="V16" i="61"/>
  <c r="L44" i="61"/>
  <c r="M44" i="61" s="1"/>
  <c r="Q44" i="61" s="1"/>
  <c r="I50" i="61"/>
  <c r="B41" i="61"/>
  <c r="R40" i="61"/>
  <c r="S19" i="61"/>
  <c r="T18" i="61"/>
  <c r="J50" i="61"/>
  <c r="Y50" i="61"/>
  <c r="A18" i="61" l="1"/>
  <c r="V17" i="61"/>
  <c r="I51" i="61"/>
  <c r="Y51" i="61"/>
  <c r="J51" i="61"/>
  <c r="L45" i="61"/>
  <c r="M45" i="61" s="1"/>
  <c r="Q45" i="61" s="1"/>
  <c r="S20" i="61"/>
  <c r="T19" i="61"/>
  <c r="B42" i="61"/>
  <c r="R41" i="61"/>
  <c r="A19" i="61" l="1"/>
  <c r="V18" i="61"/>
  <c r="B43" i="61"/>
  <c r="R42" i="61"/>
  <c r="T20" i="61"/>
  <c r="S21" i="61"/>
  <c r="L46" i="61"/>
  <c r="M46" i="61" s="1"/>
  <c r="Q46" i="61" s="1"/>
  <c r="Y52" i="61"/>
  <c r="W60" i="61"/>
  <c r="J52" i="61"/>
  <c r="X60" i="61"/>
  <c r="I52" i="61"/>
  <c r="A20" i="61" l="1"/>
  <c r="V19" i="61"/>
  <c r="L47" i="61"/>
  <c r="M47" i="61" s="1"/>
  <c r="Q47" i="61" s="1"/>
  <c r="Y53" i="61"/>
  <c r="Y60" i="61" s="1"/>
  <c r="J53" i="61"/>
  <c r="T21" i="61"/>
  <c r="S22" i="61"/>
  <c r="B44" i="61"/>
  <c r="R43" i="61"/>
  <c r="I53" i="61"/>
  <c r="A21" i="61" l="1"/>
  <c r="V20" i="61"/>
  <c r="S23" i="61"/>
  <c r="T22" i="61"/>
  <c r="B45" i="61"/>
  <c r="R44" i="61"/>
  <c r="L48" i="61"/>
  <c r="M48" i="61" s="1"/>
  <c r="Q48" i="61" s="1"/>
  <c r="A22" i="61" l="1"/>
  <c r="V21" i="61"/>
  <c r="L49" i="61"/>
  <c r="M49" i="61" s="1"/>
  <c r="Q49" i="61" s="1"/>
  <c r="S24" i="61"/>
  <c r="T23" i="61"/>
  <c r="B46" i="61"/>
  <c r="R45" i="61"/>
  <c r="A23" i="61" l="1"/>
  <c r="V22" i="61"/>
  <c r="S25" i="61"/>
  <c r="T24" i="61"/>
  <c r="B47" i="61"/>
  <c r="R46" i="61"/>
  <c r="L50" i="61"/>
  <c r="M50" i="61" s="1"/>
  <c r="Q50" i="61" s="1"/>
  <c r="A24" i="61" l="1"/>
  <c r="V23" i="61"/>
  <c r="L51" i="61"/>
  <c r="M51" i="61" s="1"/>
  <c r="Q51" i="61" s="1"/>
  <c r="B48" i="61"/>
  <c r="R47" i="61"/>
  <c r="T25" i="61"/>
  <c r="S26" i="61"/>
  <c r="A25" i="61" l="1"/>
  <c r="V24" i="61"/>
  <c r="B49" i="61"/>
  <c r="R48" i="61"/>
  <c r="L52" i="61"/>
  <c r="M52" i="61" s="1"/>
  <c r="Q52" i="61" s="1"/>
  <c r="T26" i="61"/>
  <c r="S27" i="61"/>
  <c r="A26" i="61" l="1"/>
  <c r="V25" i="61"/>
  <c r="L53" i="61"/>
  <c r="M53" i="61" s="1"/>
  <c r="Q53" i="61" s="1"/>
  <c r="S28" i="61"/>
  <c r="T27" i="61"/>
  <c r="B50" i="61"/>
  <c r="R49" i="61"/>
  <c r="A27" i="61" l="1"/>
  <c r="V26" i="61"/>
  <c r="T28" i="61"/>
  <c r="S29" i="61"/>
  <c r="B51" i="61"/>
  <c r="R50" i="61"/>
  <c r="A28" i="61" l="1"/>
  <c r="V27" i="61"/>
  <c r="B52" i="61"/>
  <c r="R51" i="61"/>
  <c r="T29" i="61"/>
  <c r="S30" i="61"/>
  <c r="A29" i="61" l="1"/>
  <c r="V28" i="61"/>
  <c r="S31" i="61"/>
  <c r="T30" i="61"/>
  <c r="B53" i="61"/>
  <c r="R52" i="61"/>
  <c r="R53" i="61" l="1"/>
  <c r="B54" i="61"/>
  <c r="A30" i="61"/>
  <c r="V29" i="61"/>
  <c r="S32" i="61"/>
  <c r="T31" i="61"/>
  <c r="B55" i="61" l="1"/>
  <c r="R54" i="61"/>
  <c r="A31" i="61"/>
  <c r="V30" i="61"/>
  <c r="T32" i="61"/>
  <c r="S33" i="61"/>
  <c r="A32" i="61" l="1"/>
  <c r="V31" i="61"/>
  <c r="B56" i="61"/>
  <c r="R55" i="61"/>
  <c r="T33" i="61"/>
  <c r="S34" i="61"/>
  <c r="B57" i="61" l="1"/>
  <c r="R56" i="61"/>
  <c r="A33" i="61"/>
  <c r="V32" i="61"/>
  <c r="S35" i="61"/>
  <c r="T34" i="61"/>
  <c r="A34" i="61" l="1"/>
  <c r="V33" i="61"/>
  <c r="B58" i="61"/>
  <c r="R57" i="61"/>
  <c r="S36" i="61"/>
  <c r="T35" i="61"/>
  <c r="B59" i="61" l="1"/>
  <c r="R59" i="61" s="1"/>
  <c r="R58" i="61"/>
  <c r="A35" i="61"/>
  <c r="V34" i="61"/>
  <c r="T36" i="61"/>
  <c r="S37" i="61"/>
  <c r="R60" i="61" l="1"/>
  <c r="A36" i="61"/>
  <c r="V35" i="61"/>
  <c r="T37" i="61"/>
  <c r="S38" i="61"/>
  <c r="A37" i="61" l="1"/>
  <c r="V36" i="61"/>
  <c r="T38" i="61"/>
  <c r="S39" i="61"/>
  <c r="A38" i="61" l="1"/>
  <c r="V37" i="61"/>
  <c r="S40" i="61"/>
  <c r="T39" i="61"/>
  <c r="A39" i="61" l="1"/>
  <c r="V38" i="61"/>
  <c r="S41" i="61"/>
  <c r="T40" i="61"/>
  <c r="A40" i="61" l="1"/>
  <c r="V39" i="61"/>
  <c r="T41" i="61"/>
  <c r="S42" i="61"/>
  <c r="A41" i="61" l="1"/>
  <c r="V40" i="61"/>
  <c r="T42" i="61"/>
  <c r="S43" i="61"/>
  <c r="A42" i="61" l="1"/>
  <c r="V41" i="61"/>
  <c r="S44" i="61"/>
  <c r="T43" i="61"/>
  <c r="A43" i="61" l="1"/>
  <c r="V42" i="61"/>
  <c r="T44" i="61"/>
  <c r="S45" i="61"/>
  <c r="A44" i="61" l="1"/>
  <c r="V43" i="61"/>
  <c r="T45" i="61"/>
  <c r="S46" i="61"/>
  <c r="A45" i="61" l="1"/>
  <c r="V44" i="61"/>
  <c r="S47" i="61"/>
  <c r="T46" i="61"/>
  <c r="A46" i="61" l="1"/>
  <c r="V45" i="61"/>
  <c r="S48" i="61"/>
  <c r="T47" i="61"/>
  <c r="A47" i="61" l="1"/>
  <c r="V46" i="61"/>
  <c r="T48" i="61"/>
  <c r="S49" i="61"/>
  <c r="A48" i="61" l="1"/>
  <c r="V47" i="61"/>
  <c r="T49" i="61"/>
  <c r="S50" i="61"/>
  <c r="A49" i="61" l="1"/>
  <c r="V48" i="61"/>
  <c r="S51" i="61"/>
  <c r="T50" i="61"/>
  <c r="A50" i="61" l="1"/>
  <c r="V49" i="61"/>
  <c r="S52" i="61"/>
  <c r="T51" i="61"/>
  <c r="A51" i="61" l="1"/>
  <c r="V50" i="61"/>
  <c r="T52" i="61"/>
  <c r="S53" i="61"/>
  <c r="T53" i="61" l="1"/>
  <c r="S54" i="61"/>
  <c r="A52" i="61"/>
  <c r="V51" i="61"/>
  <c r="A53" i="61" l="1"/>
  <c r="V52" i="61"/>
  <c r="S55" i="61"/>
  <c r="T54" i="61"/>
  <c r="T55" i="61" l="1"/>
  <c r="S56" i="61"/>
  <c r="A54" i="61"/>
  <c r="V53" i="61"/>
  <c r="V54" i="61" l="1"/>
  <c r="A55" i="61"/>
  <c r="T56" i="61"/>
  <c r="S57" i="61"/>
  <c r="S58" i="61" l="1"/>
  <c r="T57" i="61"/>
  <c r="A56" i="61"/>
  <c r="V55" i="61"/>
  <c r="A57" i="61" l="1"/>
  <c r="V56" i="61"/>
  <c r="T58" i="61"/>
  <c r="S59" i="61"/>
  <c r="T59" i="61" s="1"/>
  <c r="T60" i="61" l="1"/>
  <c r="A58" i="61"/>
  <c r="V57" i="61"/>
  <c r="A59" i="61" l="1"/>
  <c r="V59" i="61" s="1"/>
  <c r="V58" i="61"/>
</calcChain>
</file>

<file path=xl/sharedStrings.xml><?xml version="1.0" encoding="utf-8"?>
<sst xmlns="http://schemas.openxmlformats.org/spreadsheetml/2006/main" count="157" uniqueCount="85">
  <si>
    <t>Annual</t>
  </si>
  <si>
    <t>Total</t>
  </si>
  <si>
    <t>NPV</t>
  </si>
  <si>
    <t>Discount</t>
  </si>
  <si>
    <t>Generation</t>
  </si>
  <si>
    <t xml:space="preserve">System </t>
  </si>
  <si>
    <t>Emission</t>
  </si>
  <si>
    <t>Cumulative</t>
  </si>
  <si>
    <t>Capital</t>
  </si>
  <si>
    <t>Net Fuel</t>
  </si>
  <si>
    <t>Costs</t>
  </si>
  <si>
    <t>Annual Cost</t>
  </si>
  <si>
    <t>Total Costs</t>
  </si>
  <si>
    <t>Year</t>
  </si>
  <si>
    <t>(Millions)</t>
  </si>
  <si>
    <t>Startup</t>
  </si>
  <si>
    <t>Fixed</t>
  </si>
  <si>
    <t>($000)</t>
  </si>
  <si>
    <t xml:space="preserve">Transmission </t>
  </si>
  <si>
    <t>Nominal</t>
  </si>
  <si>
    <t>Revenue</t>
  </si>
  <si>
    <t>Levelized System</t>
  </si>
  <si>
    <t>Factor</t>
  </si>
  <si>
    <t>Requirements</t>
  </si>
  <si>
    <t>Rate</t>
  </si>
  <si>
    <t>Average Rate</t>
  </si>
  <si>
    <t>(GWH)</t>
  </si>
  <si>
    <t>(cents/kWh)</t>
  </si>
  <si>
    <t>Variable Costs</t>
  </si>
  <si>
    <t>Fixed Costs</t>
  </si>
  <si>
    <t>NEL Forecast</t>
  </si>
  <si>
    <t>DSM Energy</t>
  </si>
  <si>
    <t>NEL Adjusted</t>
  </si>
  <si>
    <t>for DSM</t>
  </si>
  <si>
    <t>Other Costs</t>
  </si>
  <si>
    <t>HOW TO CALCULATE THE LEVEL RATE</t>
  </si>
  <si>
    <t>DSM</t>
  </si>
  <si>
    <t>"Other" Program Costs -</t>
  </si>
  <si>
    <t>No New DSM</t>
  </si>
  <si>
    <t>Costs Associated for</t>
  </si>
  <si>
    <t>existing Load</t>
  </si>
  <si>
    <t>Management Customer</t>
  </si>
  <si>
    <t>Other</t>
  </si>
  <si>
    <t>Admin Costs</t>
  </si>
  <si>
    <t>Incentive Costs</t>
  </si>
  <si>
    <t>Existing</t>
  </si>
  <si>
    <t>Load Control</t>
  </si>
  <si>
    <t>Total Annual</t>
  </si>
  <si>
    <t>Case name:</t>
  </si>
  <si>
    <t>Date:</t>
  </si>
  <si>
    <t xml:space="preserve">Factor </t>
  </si>
  <si>
    <t>T+D Costs</t>
  </si>
  <si>
    <t>Calculation of System Average Levelized Rate -- Portfolio: Supply Only</t>
  </si>
  <si>
    <t>(Avoided)</t>
  </si>
  <si>
    <t>Supply Only</t>
  </si>
  <si>
    <t>Interconnection</t>
  </si>
  <si>
    <t>NEL</t>
  </si>
  <si>
    <t>MWh</t>
  </si>
  <si>
    <t>(7) =</t>
  </si>
  <si>
    <t>(3)+(4)+(5)+(6)</t>
  </si>
  <si>
    <t>(8)+(9)+(10)</t>
  </si>
  <si>
    <t xml:space="preserve">(11) = </t>
  </si>
  <si>
    <t>(12) = (2)+(7)+(11)</t>
  </si>
  <si>
    <t>(15) = (13) - (14)</t>
  </si>
  <si>
    <t xml:space="preserve"> (16) = (12)/(15)</t>
  </si>
  <si>
    <t xml:space="preserve"> (17) = (16) *(1)</t>
  </si>
  <si>
    <t>(19) = (18) * (1)</t>
  </si>
  <si>
    <t>Levelized System Average Rate (2024-2070, 2024 cents/kWh)=</t>
  </si>
  <si>
    <t>Fixed O&amp;M &amp;</t>
  </si>
  <si>
    <t>Capital Replacement</t>
  </si>
  <si>
    <t>System Fixed Costs</t>
  </si>
  <si>
    <t>System Variable Costs</t>
  </si>
  <si>
    <t>VOM + PTC</t>
  </si>
  <si>
    <t>Variable</t>
  </si>
  <si>
    <t xml:space="preserve"> -- Click on cell T58, which is at the bottom of the "NPV Levelized System Average Rate column".</t>
  </si>
  <si>
    <t xml:space="preserve"> -- In the "To Value" box, enter the number that appears in cell R58</t>
  </si>
  <si>
    <t xml:space="preserve"> -- In the "By Changing Cell" box, enter S11</t>
  </si>
  <si>
    <t xml:space="preserve"> -- Click OK, and see that the cells S and R in row 58 have the same value.</t>
  </si>
  <si>
    <t>rev. 3-14-2024</t>
  </si>
  <si>
    <t xml:space="preserve"> -- Click [Data] , [What-if Analysis], [Goal Seek...]</t>
  </si>
  <si>
    <t>20240012-EG</t>
  </si>
  <si>
    <t>FPL 000050</t>
  </si>
  <si>
    <t>FPL 000051</t>
  </si>
  <si>
    <t>FPL 000052</t>
  </si>
  <si>
    <t>FPL 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</si>
</sst>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"/>
    <numFmt numFmtId="166" formatCode="0_);\(0\)"/>
    <numFmt numFmtId="167" formatCode="General_)"/>
    <numFmt numFmtId="168" formatCode="0.00000"/>
    <numFmt numFmtId="169" formatCode="0.0000"/>
    <numFmt numFmtId="170" formatCode="#,##0.000"/>
    <numFmt numFmtId="171" formatCode="m/d/yyyy;;\-"/>
    <numFmt numFmtId="172" formatCode="_ * #,##0_ ;_ * \-#,##0_ ;_ * &quot;-&quot;_ ;_ @_ "/>
    <numFmt numFmtId="173" formatCode="_ * #,##0.00_ ;_ * \-#,##0.00_ ;_ * &quot;-&quot;??_ ;_ @_ "/>
    <numFmt numFmtId="174" formatCode="0.00%;\(0.00%\)"/>
    <numFmt numFmtId="175" formatCode="_(* #,##0_);_(* \(#,##0\);_(* &quot;-&quot;_)"/>
    <numFmt numFmtId="176" formatCode="0.000%;\(0.000%\);0%"/>
    <numFmt numFmtId="177" formatCode="&quot;$&quot;#.;\(&quot;$&quot;#,\)"/>
    <numFmt numFmtId="178" formatCode="_([$€-2]* #,##0.00_);_([$€-2]* \(#,##0.00\);_([$€-2]* &quot;-&quot;??_)"/>
    <numFmt numFmtId="179" formatCode="&quot;$&quot;#,\);\(&quot;$&quot;#,\)"/>
    <numFmt numFmtId="180" formatCode="#,##0.00000"/>
    <numFmt numFmtId="181" formatCode="#,##0.000000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Souvienne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sz val="10"/>
      <name val="MS Serif"/>
      <family val="1"/>
    </font>
    <font>
      <sz val="8"/>
      <name val="Arial"/>
      <family val="2"/>
    </font>
    <font>
      <sz val="10"/>
      <color indexed="16"/>
      <name val="MS Serif"/>
      <family val="1"/>
    </font>
    <font>
      <sz val="8"/>
      <name val="Arial MT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2"/>
      <name val="Arial MT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9"/>
      <name val="Arial"/>
      <family val="2"/>
    </font>
    <font>
      <sz val="8"/>
      <name val="Helv"/>
    </font>
    <font>
      <sz val="8"/>
      <color indexed="56"/>
      <name val="Garamond"/>
      <family val="1"/>
    </font>
    <font>
      <b/>
      <sz val="8"/>
      <color indexed="8"/>
      <name val="Helv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8.25"/>
      <name val="Microsoft Sans Serif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indexed="0"/>
      <name val="Calibri"/>
      <family val="2"/>
    </font>
    <font>
      <sz val="11"/>
      <color rgb="FF2D2F32"/>
      <name val="Calibri"/>
      <family val="2"/>
    </font>
    <font>
      <sz val="9.75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FA"/>
      </patternFill>
    </fill>
    <fill>
      <patternFill patternType="solid">
        <fgColor rgb="FFFFF6E9"/>
      </patternFill>
    </fill>
    <fill>
      <patternFill patternType="solid">
        <fgColor rgb="FFB0C4DE"/>
      </patternFill>
    </fill>
    <fill>
      <patternFill patternType="solid">
        <fgColor rgb="FFF5F5F5"/>
      </patternFill>
    </fill>
    <fill>
      <patternFill patternType="solid">
        <fgColor rgb="FFF0F8FF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53">
    <xf numFmtId="0" fontId="0" fillId="0" borderId="0"/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5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0" fontId="24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5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7" borderId="0" applyNumberFormat="0" applyBorder="0" applyAlignment="0" applyProtection="0"/>
    <xf numFmtId="0" fontId="25" fillId="4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15" borderId="0" applyNumberFormat="0" applyBorder="0" applyAlignment="0" applyProtection="0"/>
    <xf numFmtId="39" fontId="26" fillId="0" borderId="0" applyNumberFormat="0" applyFill="0" applyBorder="0" applyAlignment="0">
      <protection locked="0"/>
    </xf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177" fontId="23" fillId="0" borderId="0" applyFill="0" applyBorder="0" applyAlignment="0"/>
    <xf numFmtId="0" fontId="28" fillId="24" borderId="1" applyNumberFormat="0" applyAlignment="0" applyProtection="0"/>
    <xf numFmtId="0" fontId="29" fillId="25" borderId="1" applyNumberFormat="0" applyAlignment="0" applyProtection="0"/>
    <xf numFmtId="0" fontId="30" fillId="26" borderId="2" applyNumberFormat="0" applyAlignment="0" applyProtection="0"/>
    <xf numFmtId="0" fontId="30" fillId="26" borderId="2" applyNumberFormat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 applyNumberFormat="0" applyAlignment="0">
      <alignment horizontal="left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34" fillId="0" borderId="0" applyNumberFormat="0" applyAlignment="0">
      <alignment horizontal="left"/>
    </xf>
    <xf numFmtId="178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38" fontId="33" fillId="27" borderId="0" applyNumberFormat="0" applyBorder="0" applyAlignment="0" applyProtection="0"/>
    <xf numFmtId="0" fontId="20" fillId="0" borderId="3" applyNumberFormat="0" applyAlignment="0" applyProtection="0">
      <alignment horizontal="left" vertical="center"/>
    </xf>
    <xf numFmtId="0" fontId="20" fillId="0" borderId="4">
      <alignment horizontal="left" vertical="center"/>
    </xf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1" borderId="1" applyNumberFormat="0" applyAlignment="0" applyProtection="0"/>
    <xf numFmtId="10" fontId="33" fillId="28" borderId="11" applyNumberFormat="0" applyBorder="0" applyAlignment="0" applyProtection="0"/>
    <xf numFmtId="0" fontId="44" fillId="8" borderId="1" applyNumberFormat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172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7" fillId="11" borderId="0" applyNumberFormat="0" applyBorder="0" applyAlignment="0" applyProtection="0"/>
    <xf numFmtId="0" fontId="48" fillId="11" borderId="0" applyNumberFormat="0" applyBorder="0" applyAlignment="0" applyProtection="0"/>
    <xf numFmtId="179" fontId="23" fillId="0" borderId="0"/>
    <xf numFmtId="165" fontId="23" fillId="0" borderId="0">
      <alignment horizontal="left" wrapText="1"/>
    </xf>
    <xf numFmtId="0" fontId="8" fillId="0" borderId="0"/>
    <xf numFmtId="0" fontId="23" fillId="0" borderId="0"/>
    <xf numFmtId="0" fontId="23" fillId="0" borderId="0"/>
    <xf numFmtId="165" fontId="49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8" fillId="0" borderId="0"/>
    <xf numFmtId="0" fontId="33" fillId="0" borderId="0"/>
    <xf numFmtId="0" fontId="8" fillId="0" borderId="0"/>
    <xf numFmtId="167" fontId="49" fillId="0" borderId="0"/>
    <xf numFmtId="0" fontId="31" fillId="0" borderId="0"/>
    <xf numFmtId="0" fontId="6" fillId="0" borderId="0"/>
    <xf numFmtId="165" fontId="50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0" fontId="13" fillId="0" borderId="0"/>
    <xf numFmtId="0" fontId="23" fillId="6" borderId="14" applyNumberFormat="0" applyFont="0" applyAlignment="0" applyProtection="0"/>
    <xf numFmtId="0" fontId="49" fillId="6" borderId="14" applyNumberFormat="0" applyFont="0" applyAlignment="0" applyProtection="0"/>
    <xf numFmtId="0" fontId="51" fillId="24" borderId="15" applyNumberFormat="0" applyAlignment="0" applyProtection="0"/>
    <xf numFmtId="0" fontId="51" fillId="25" borderId="15" applyNumberFormat="0" applyAlignment="0" applyProtection="0"/>
    <xf numFmtId="40" fontId="52" fillId="29" borderId="0">
      <alignment horizontal="right"/>
    </xf>
    <xf numFmtId="0" fontId="53" fillId="29" borderId="0">
      <alignment horizontal="right"/>
    </xf>
    <xf numFmtId="0" fontId="54" fillId="29" borderId="16"/>
    <xf numFmtId="0" fontId="54" fillId="0" borderId="0" applyBorder="0">
      <alignment horizontal="centerContinuous"/>
    </xf>
    <xf numFmtId="0" fontId="55" fillId="0" borderId="0" applyBorder="0">
      <alignment horizontal="centerContinuous"/>
    </xf>
    <xf numFmtId="9" fontId="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56" fillId="30" borderId="11" applyNumberFormat="0" applyProtection="0">
      <alignment horizontal="center" vertical="center" wrapText="1"/>
    </xf>
    <xf numFmtId="14" fontId="57" fillId="0" borderId="0" applyNumberFormat="0" applyFill="0" applyBorder="0" applyAlignment="0" applyProtection="0">
      <alignment horizontal="left"/>
    </xf>
    <xf numFmtId="165" fontId="23" fillId="0" borderId="0">
      <alignment horizontal="left" wrapText="1"/>
    </xf>
    <xf numFmtId="165" fontId="23" fillId="0" borderId="0">
      <alignment horizontal="left" wrapText="1"/>
    </xf>
    <xf numFmtId="2" fontId="58" fillId="0" borderId="0" applyProtection="0"/>
    <xf numFmtId="165" fontId="23" fillId="0" borderId="0">
      <alignment horizontal="left" wrapText="1"/>
    </xf>
    <xf numFmtId="40" fontId="59" fillId="0" borderId="0" applyBorder="0">
      <alignment horizontal="right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2" fillId="0" borderId="18" applyNumberFormat="0" applyFill="0" applyAlignment="0" applyProtection="0"/>
    <xf numFmtId="3" fontId="2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0" fontId="2" fillId="0" borderId="0"/>
    <xf numFmtId="165" fontId="3" fillId="0" borderId="0">
      <alignment horizontal="left" wrapText="1"/>
    </xf>
    <xf numFmtId="0" fontId="63" fillId="0" borderId="0"/>
    <xf numFmtId="0" fontId="2" fillId="0" borderId="0"/>
    <xf numFmtId="9" fontId="3" fillId="0" borderId="0" applyFont="0" applyFill="0" applyBorder="0" applyAlignment="0" applyProtection="0"/>
    <xf numFmtId="0" fontId="64" fillId="0" borderId="0">
      <alignment vertical="top"/>
      <protection locked="0"/>
    </xf>
    <xf numFmtId="0" fontId="2" fillId="0" borderId="0"/>
    <xf numFmtId="0" fontId="3" fillId="0" borderId="0"/>
    <xf numFmtId="165" fontId="3" fillId="0" borderId="0">
      <alignment horizontal="left" wrapText="1"/>
    </xf>
    <xf numFmtId="0" fontId="65" fillId="0" borderId="0">
      <alignment vertical="center"/>
    </xf>
    <xf numFmtId="0" fontId="66" fillId="37" borderId="0">
      <alignment vertical="center"/>
    </xf>
    <xf numFmtId="0" fontId="67" fillId="38" borderId="0">
      <alignment vertical="center"/>
    </xf>
    <xf numFmtId="0" fontId="65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7" fillId="39" borderId="0">
      <alignment vertical="center"/>
    </xf>
    <xf numFmtId="0" fontId="69" fillId="40" borderId="50">
      <alignment vertical="center" wrapText="1"/>
    </xf>
    <xf numFmtId="0" fontId="69" fillId="41" borderId="0">
      <alignment vertical="center"/>
    </xf>
    <xf numFmtId="165" fontId="3" fillId="0" borderId="0">
      <alignment horizontal="left"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2">
    <xf numFmtId="0" fontId="0" fillId="0" borderId="0" xfId="0"/>
    <xf numFmtId="0" fontId="16" fillId="0" borderId="0" xfId="196" applyFont="1" applyAlignment="1">
      <alignment horizontal="center"/>
    </xf>
    <xf numFmtId="0" fontId="5" fillId="0" borderId="0" xfId="0" applyFont="1"/>
    <xf numFmtId="0" fontId="15" fillId="0" borderId="0" xfId="196" applyFont="1" applyAlignment="1">
      <alignment horizontal="center"/>
    </xf>
    <xf numFmtId="0" fontId="15" fillId="0" borderId="0" xfId="196" applyFont="1"/>
    <xf numFmtId="166" fontId="15" fillId="0" borderId="0" xfId="196" applyNumberFormat="1" applyFont="1" applyAlignment="1">
      <alignment horizontal="center"/>
    </xf>
    <xf numFmtId="0" fontId="17" fillId="0" borderId="0" xfId="196" applyFont="1" applyAlignment="1">
      <alignment horizontal="center"/>
    </xf>
    <xf numFmtId="168" fontId="15" fillId="0" borderId="0" xfId="196" applyNumberFormat="1" applyFont="1" applyAlignment="1">
      <alignment horizontal="center"/>
    </xf>
    <xf numFmtId="0" fontId="15" fillId="0" borderId="0" xfId="196" applyFont="1" applyBorder="1"/>
    <xf numFmtId="0" fontId="15" fillId="0" borderId="3" xfId="196" applyFont="1" applyBorder="1"/>
    <xf numFmtId="0" fontId="15" fillId="0" borderId="3" xfId="196" applyFont="1" applyBorder="1" applyAlignment="1">
      <alignment horizontal="center"/>
    </xf>
    <xf numFmtId="3" fontId="15" fillId="0" borderId="0" xfId="196" applyNumberFormat="1" applyFont="1"/>
    <xf numFmtId="0" fontId="18" fillId="0" borderId="0" xfId="0" applyFont="1" applyFill="1" applyBorder="1"/>
    <xf numFmtId="0" fontId="18" fillId="0" borderId="0" xfId="196" applyFont="1" applyAlignment="1">
      <alignment horizontal="center"/>
    </xf>
    <xf numFmtId="169" fontId="15" fillId="0" borderId="0" xfId="196" applyNumberFormat="1" applyFont="1" applyAlignment="1">
      <alignment horizontal="center"/>
    </xf>
    <xf numFmtId="0" fontId="15" fillId="0" borderId="0" xfId="196" applyFont="1" applyAlignment="1"/>
    <xf numFmtId="0" fontId="15" fillId="0" borderId="0" xfId="196" applyFont="1" applyAlignment="1">
      <alignment vertical="center"/>
    </xf>
    <xf numFmtId="3" fontId="15" fillId="0" borderId="0" xfId="196" applyNumberFormat="1" applyFont="1" applyAlignment="1">
      <alignment horizontal="center"/>
    </xf>
    <xf numFmtId="0" fontId="15" fillId="0" borderId="0" xfId="196" quotePrefix="1" applyFont="1"/>
    <xf numFmtId="0" fontId="18" fillId="0" borderId="0" xfId="0" applyFont="1" applyFill="1" applyBorder="1" applyAlignment="1">
      <alignment horizontal="center"/>
    </xf>
    <xf numFmtId="0" fontId="12" fillId="0" borderId="0" xfId="196" applyFont="1" applyAlignment="1">
      <alignment horizontal="center"/>
    </xf>
    <xf numFmtId="168" fontId="15" fillId="0" borderId="0" xfId="196" applyNumberFormat="1" applyFont="1" applyBorder="1" applyAlignment="1">
      <alignment horizontal="center"/>
    </xf>
    <xf numFmtId="0" fontId="18" fillId="0" borderId="0" xfId="0" applyFont="1" applyFill="1" applyBorder="1" applyAlignment="1" applyProtection="1">
      <alignment horizontal="left"/>
    </xf>
    <xf numFmtId="0" fontId="15" fillId="0" borderId="19" xfId="196" applyFont="1" applyBorder="1" applyAlignment="1">
      <alignment horizontal="center"/>
    </xf>
    <xf numFmtId="166" fontId="15" fillId="0" borderId="20" xfId="196" applyNumberFormat="1" applyFont="1" applyBorder="1" applyAlignment="1">
      <alignment horizontal="center"/>
    </xf>
    <xf numFmtId="0" fontId="15" fillId="0" borderId="21" xfId="196" applyFont="1" applyBorder="1" applyAlignment="1">
      <alignment horizontal="center"/>
    </xf>
    <xf numFmtId="0" fontId="15" fillId="0" borderId="0" xfId="196" applyFont="1" applyBorder="1" applyAlignment="1">
      <alignment horizontal="center"/>
    </xf>
    <xf numFmtId="166" fontId="15" fillId="0" borderId="22" xfId="196" applyNumberFormat="1" applyFont="1" applyBorder="1" applyAlignment="1">
      <alignment horizontal="center"/>
    </xf>
    <xf numFmtId="0" fontId="15" fillId="0" borderId="23" xfId="196" applyFont="1" applyBorder="1" applyAlignment="1">
      <alignment horizontal="center"/>
    </xf>
    <xf numFmtId="0" fontId="15" fillId="0" borderId="11" xfId="196" applyFont="1" applyBorder="1" applyAlignment="1">
      <alignment horizontal="center"/>
    </xf>
    <xf numFmtId="168" fontId="15" fillId="0" borderId="11" xfId="196" applyNumberFormat="1" applyFont="1" applyBorder="1" applyAlignment="1">
      <alignment horizontal="center"/>
    </xf>
    <xf numFmtId="0" fontId="15" fillId="0" borderId="24" xfId="196" applyFont="1" applyBorder="1" applyAlignment="1">
      <alignment horizontal="center"/>
    </xf>
    <xf numFmtId="0" fontId="15" fillId="0" borderId="25" xfId="196" applyFont="1" applyBorder="1" applyAlignment="1">
      <alignment horizontal="center"/>
    </xf>
    <xf numFmtId="0" fontId="15" fillId="0" borderId="26" xfId="196" applyFont="1" applyBorder="1" applyAlignment="1">
      <alignment horizontal="center"/>
    </xf>
    <xf numFmtId="3" fontId="15" fillId="0" borderId="11" xfId="196" applyNumberFormat="1" applyFont="1" applyFill="1" applyBorder="1" applyAlignment="1">
      <alignment horizontal="center"/>
    </xf>
    <xf numFmtId="169" fontId="15" fillId="0" borderId="11" xfId="196" applyNumberFormat="1" applyFont="1" applyBorder="1" applyAlignment="1">
      <alignment horizontal="center"/>
    </xf>
    <xf numFmtId="49" fontId="15" fillId="0" borderId="26" xfId="196" applyNumberFormat="1" applyFont="1" applyBorder="1" applyAlignment="1">
      <alignment horizontal="center"/>
    </xf>
    <xf numFmtId="49" fontId="15" fillId="0" borderId="25" xfId="196" applyNumberFormat="1" applyFont="1" applyBorder="1" applyAlignment="1">
      <alignment horizontal="center"/>
    </xf>
    <xf numFmtId="38" fontId="15" fillId="0" borderId="11" xfId="196" applyNumberFormat="1" applyFont="1" applyFill="1" applyBorder="1" applyAlignment="1">
      <alignment horizontal="center"/>
    </xf>
    <xf numFmtId="0" fontId="15" fillId="0" borderId="0" xfId="196" applyFont="1" applyFill="1" applyBorder="1" applyAlignment="1"/>
    <xf numFmtId="0" fontId="15" fillId="0" borderId="0" xfId="196" applyFont="1" applyFill="1" applyBorder="1"/>
    <xf numFmtId="2" fontId="15" fillId="0" borderId="0" xfId="196" applyNumberFormat="1" applyFont="1" applyFill="1" applyBorder="1" applyAlignment="1">
      <alignment horizontal="center"/>
    </xf>
    <xf numFmtId="0" fontId="15" fillId="0" borderId="0" xfId="196" applyFont="1" applyFill="1" applyBorder="1" applyAlignment="1">
      <alignment horizontal="center"/>
    </xf>
    <xf numFmtId="3" fontId="15" fillId="0" borderId="0" xfId="196" applyNumberFormat="1" applyFont="1" applyFill="1" applyBorder="1" applyAlignment="1">
      <alignment horizontal="center"/>
    </xf>
    <xf numFmtId="0" fontId="15" fillId="0" borderId="0" xfId="196" applyFont="1" applyFill="1" applyBorder="1" applyAlignment="1">
      <alignment vertical="center"/>
    </xf>
    <xf numFmtId="0" fontId="15" fillId="0" borderId="0" xfId="196" applyFont="1" applyFill="1" applyBorder="1" applyAlignment="1">
      <alignment horizontal="center" vertical="center"/>
    </xf>
    <xf numFmtId="3" fontId="15" fillId="0" borderId="0" xfId="196" applyNumberFormat="1" applyFont="1" applyFill="1" applyBorder="1"/>
    <xf numFmtId="2" fontId="15" fillId="0" borderId="0" xfId="196" applyNumberFormat="1" applyFont="1" applyFill="1" applyBorder="1" applyAlignment="1">
      <alignment horizontal="center" vertical="center"/>
    </xf>
    <xf numFmtId="164" fontId="15" fillId="0" borderId="0" xfId="196" applyNumberFormat="1" applyFont="1" applyFill="1" applyBorder="1" applyAlignment="1">
      <alignment horizontal="center"/>
    </xf>
    <xf numFmtId="164" fontId="15" fillId="0" borderId="0" xfId="196" applyNumberFormat="1" applyFont="1" applyFill="1" applyBorder="1" applyAlignment="1">
      <alignment horizontal="center" vertical="center"/>
    </xf>
    <xf numFmtId="166" fontId="15" fillId="0" borderId="22" xfId="196" applyNumberFormat="1" applyFont="1" applyFill="1" applyBorder="1" applyAlignment="1">
      <alignment horizontal="center"/>
    </xf>
    <xf numFmtId="166" fontId="15" fillId="0" borderId="20" xfId="196" applyNumberFormat="1" applyFont="1" applyFill="1" applyBorder="1" applyAlignment="1">
      <alignment horizontal="center"/>
    </xf>
    <xf numFmtId="0" fontId="15" fillId="0" borderId="23" xfId="196" applyFont="1" applyFill="1" applyBorder="1" applyAlignment="1">
      <alignment horizontal="center"/>
    </xf>
    <xf numFmtId="0" fontId="15" fillId="0" borderId="0" xfId="196" applyFont="1" applyFill="1" applyAlignment="1">
      <alignment horizontal="center"/>
    </xf>
    <xf numFmtId="0" fontId="15" fillId="0" borderId="25" xfId="196" applyFont="1" applyFill="1" applyBorder="1" applyAlignment="1">
      <alignment horizontal="center"/>
    </xf>
    <xf numFmtId="0" fontId="15" fillId="0" borderId="26" xfId="196" applyFont="1" applyFill="1" applyBorder="1" applyAlignment="1">
      <alignment horizontal="center"/>
    </xf>
    <xf numFmtId="169" fontId="15" fillId="0" borderId="11" xfId="196" applyNumberFormat="1" applyFont="1" applyFill="1" applyBorder="1" applyAlignment="1">
      <alignment horizontal="center"/>
    </xf>
    <xf numFmtId="1" fontId="15" fillId="0" borderId="0" xfId="196" applyNumberFormat="1" applyFont="1" applyAlignment="1">
      <alignment horizontal="center"/>
    </xf>
    <xf numFmtId="164" fontId="15" fillId="0" borderId="11" xfId="196" applyNumberFormat="1" applyFont="1" applyFill="1" applyBorder="1" applyAlignment="1">
      <alignment horizontal="center"/>
    </xf>
    <xf numFmtId="169" fontId="19" fillId="0" borderId="28" xfId="196" applyNumberFormat="1" applyFont="1" applyBorder="1" applyAlignment="1">
      <alignment horizontal="center"/>
    </xf>
    <xf numFmtId="0" fontId="16" fillId="0" borderId="0" xfId="196" applyFont="1" applyFill="1" applyAlignment="1">
      <alignment horizontal="center"/>
    </xf>
    <xf numFmtId="0" fontId="5" fillId="0" borderId="0" xfId="195" applyNumberFormat="1" applyFont="1" applyFill="1" applyAlignment="1"/>
    <xf numFmtId="0" fontId="7" fillId="0" borderId="0" xfId="195" applyNumberFormat="1" applyFont="1" applyFill="1" applyAlignment="1"/>
    <xf numFmtId="0" fontId="9" fillId="0" borderId="0" xfId="195" applyNumberFormat="1" applyFont="1" applyFill="1" applyAlignment="1"/>
    <xf numFmtId="0" fontId="16" fillId="32" borderId="29" xfId="195" applyNumberFormat="1" applyFont="1" applyFill="1" applyBorder="1" applyAlignment="1">
      <alignment horizontal="left" vertical="center"/>
    </xf>
    <xf numFmtId="0" fontId="16" fillId="32" borderId="3" xfId="195" applyNumberFormat="1" applyFont="1" applyFill="1" applyBorder="1" applyAlignment="1">
      <alignment vertical="center"/>
    </xf>
    <xf numFmtId="0" fontId="6" fillId="32" borderId="3" xfId="195" applyNumberFormat="1" applyFont="1" applyFill="1" applyBorder="1" applyAlignment="1">
      <alignment vertical="center" wrapText="1"/>
    </xf>
    <xf numFmtId="14" fontId="20" fillId="32" borderId="28" xfId="195" applyNumberFormat="1" applyFont="1" applyFill="1" applyBorder="1" applyAlignment="1">
      <alignment horizontal="center" vertical="center"/>
    </xf>
    <xf numFmtId="0" fontId="6" fillId="0" borderId="0" xfId="195" applyNumberFormat="1" applyFont="1" applyFill="1" applyBorder="1" applyAlignment="1">
      <alignment wrapText="1"/>
    </xf>
    <xf numFmtId="0" fontId="3" fillId="0" borderId="0" xfId="195" applyNumberFormat="1" applyFill="1" applyBorder="1" applyAlignment="1">
      <alignment horizontal="center"/>
    </xf>
    <xf numFmtId="0" fontId="7" fillId="0" borderId="19" xfId="195" applyNumberFormat="1" applyFont="1" applyFill="1" applyBorder="1" applyAlignment="1">
      <alignment horizontal="center"/>
    </xf>
    <xf numFmtId="0" fontId="11" fillId="0" borderId="22" xfId="195" applyNumberFormat="1" applyFont="1" applyFill="1" applyBorder="1" applyAlignment="1">
      <alignment horizontal="center"/>
    </xf>
    <xf numFmtId="0" fontId="7" fillId="0" borderId="21" xfId="195" applyNumberFormat="1" applyFont="1" applyFill="1" applyBorder="1" applyAlignment="1">
      <alignment horizontal="center"/>
    </xf>
    <xf numFmtId="0" fontId="11" fillId="0" borderId="23" xfId="195" applyNumberFormat="1" applyFont="1" applyFill="1" applyBorder="1" applyAlignment="1">
      <alignment horizontal="center"/>
    </xf>
    <xf numFmtId="0" fontId="7" fillId="0" borderId="21" xfId="195" applyNumberFormat="1" applyFont="1" applyFill="1" applyBorder="1" applyAlignment="1"/>
    <xf numFmtId="164" fontId="5" fillId="0" borderId="11" xfId="195" applyNumberFormat="1" applyFont="1" applyFill="1" applyBorder="1" applyAlignment="1">
      <alignment horizontal="center"/>
    </xf>
    <xf numFmtId="3" fontId="5" fillId="0" borderId="11" xfId="195" applyNumberFormat="1" applyFont="1" applyFill="1" applyBorder="1" applyAlignment="1">
      <alignment horizontal="center"/>
    </xf>
    <xf numFmtId="3" fontId="5" fillId="33" borderId="31" xfId="195" applyNumberFormat="1" applyFont="1" applyFill="1" applyBorder="1" applyAlignment="1">
      <alignment horizontal="center"/>
    </xf>
    <xf numFmtId="3" fontId="7" fillId="0" borderId="32" xfId="195" applyNumberFormat="1" applyFont="1" applyFill="1" applyBorder="1" applyAlignment="1">
      <alignment horizontal="center"/>
    </xf>
    <xf numFmtId="164" fontId="5" fillId="0" borderId="27" xfId="195" applyNumberFormat="1" applyFont="1" applyFill="1" applyBorder="1" applyAlignment="1">
      <alignment horizontal="center"/>
    </xf>
    <xf numFmtId="166" fontId="15" fillId="29" borderId="22" xfId="196" applyNumberFormat="1" applyFont="1" applyFill="1" applyBorder="1" applyAlignment="1">
      <alignment horizontal="center"/>
    </xf>
    <xf numFmtId="0" fontId="15" fillId="29" borderId="23" xfId="196" applyFont="1" applyFill="1" applyBorder="1" applyAlignment="1">
      <alignment horizontal="center"/>
    </xf>
    <xf numFmtId="49" fontId="15" fillId="29" borderId="25" xfId="196" applyNumberFormat="1" applyFont="1" applyFill="1" applyBorder="1" applyAlignment="1">
      <alignment horizontal="center"/>
    </xf>
    <xf numFmtId="38" fontId="15" fillId="29" borderId="11" xfId="196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33" borderId="33" xfId="0" applyNumberFormat="1" applyFont="1" applyFill="1" applyBorder="1" applyAlignment="1">
      <alignment horizontal="center"/>
    </xf>
    <xf numFmtId="0" fontId="11" fillId="0" borderId="34" xfId="0" applyNumberFormat="1" applyFont="1" applyFill="1" applyBorder="1" applyAlignment="1">
      <alignment horizontal="center"/>
    </xf>
    <xf numFmtId="0" fontId="11" fillId="33" borderId="35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center"/>
    </xf>
    <xf numFmtId="3" fontId="18" fillId="0" borderId="11" xfId="196" applyNumberFormat="1" applyFont="1" applyFill="1" applyBorder="1" applyAlignment="1">
      <alignment horizontal="center"/>
    </xf>
    <xf numFmtId="0" fontId="18" fillId="0" borderId="23" xfId="196" applyFont="1" applyFill="1" applyBorder="1" applyAlignment="1">
      <alignment horizontal="center"/>
    </xf>
    <xf numFmtId="10" fontId="18" fillId="33" borderId="25" xfId="206" applyNumberFormat="1" applyFont="1" applyFill="1" applyBorder="1" applyAlignment="1">
      <alignment horizontal="center"/>
    </xf>
    <xf numFmtId="164" fontId="18" fillId="0" borderId="11" xfId="196" applyNumberFormat="1" applyFont="1" applyFill="1" applyBorder="1" applyAlignment="1">
      <alignment horizontal="center"/>
    </xf>
    <xf numFmtId="3" fontId="15" fillId="0" borderId="0" xfId="196" applyNumberFormat="1" applyFont="1" applyFill="1" applyAlignment="1">
      <alignment horizontal="center"/>
    </xf>
    <xf numFmtId="0" fontId="15" fillId="0" borderId="23" xfId="196" applyFont="1" applyBorder="1"/>
    <xf numFmtId="0" fontId="19" fillId="0" borderId="29" xfId="196" applyFont="1" applyBorder="1"/>
    <xf numFmtId="3" fontId="5" fillId="0" borderId="0" xfId="194" applyNumberFormat="1" applyFont="1" applyBorder="1" applyAlignment="1">
      <alignment horizontal="center" wrapText="1"/>
    </xf>
    <xf numFmtId="166" fontId="15" fillId="27" borderId="22" xfId="196" applyNumberFormat="1" applyFont="1" applyFill="1" applyBorder="1" applyAlignment="1">
      <alignment horizontal="center"/>
    </xf>
    <xf numFmtId="0" fontId="15" fillId="27" borderId="23" xfId="196" applyFont="1" applyFill="1" applyBorder="1"/>
    <xf numFmtId="0" fontId="15" fillId="27" borderId="23" xfId="196" applyFont="1" applyFill="1" applyBorder="1" applyAlignment="1">
      <alignment horizontal="center"/>
    </xf>
    <xf numFmtId="49" fontId="15" fillId="27" borderId="25" xfId="196" applyNumberFormat="1" applyFont="1" applyFill="1" applyBorder="1" applyAlignment="1">
      <alignment horizontal="center"/>
    </xf>
    <xf numFmtId="3" fontId="15" fillId="27" borderId="11" xfId="196" applyNumberFormat="1" applyFont="1" applyFill="1" applyBorder="1" applyAlignment="1">
      <alignment horizontal="center"/>
    </xf>
    <xf numFmtId="168" fontId="19" fillId="27" borderId="36" xfId="196" applyNumberFormat="1" applyFont="1" applyFill="1" applyBorder="1" applyAlignment="1">
      <alignment horizontal="center"/>
    </xf>
    <xf numFmtId="169" fontId="19" fillId="31" borderId="11" xfId="196" applyNumberFormat="1" applyFont="1" applyFill="1" applyBorder="1" applyAlignment="1">
      <alignment horizontal="center"/>
    </xf>
    <xf numFmtId="0" fontId="5" fillId="0" borderId="0" xfId="195" applyNumberFormat="1" applyFont="1" applyFill="1" applyBorder="1" applyAlignment="1"/>
    <xf numFmtId="0" fontId="5" fillId="0" borderId="3" xfId="195" applyNumberFormat="1" applyFont="1" applyFill="1" applyBorder="1" applyAlignment="1"/>
    <xf numFmtId="0" fontId="22" fillId="0" borderId="0" xfId="196" applyFont="1" applyBorder="1" applyAlignment="1"/>
    <xf numFmtId="180" fontId="15" fillId="0" borderId="0" xfId="196" applyNumberFormat="1" applyFont="1"/>
    <xf numFmtId="180" fontId="19" fillId="0" borderId="0" xfId="196" applyNumberFormat="1" applyFont="1"/>
    <xf numFmtId="181" fontId="15" fillId="0" borderId="0" xfId="196" applyNumberFormat="1" applyFont="1" applyAlignment="1">
      <alignment horizontal="center"/>
    </xf>
    <xf numFmtId="180" fontId="15" fillId="0" borderId="0" xfId="196" applyNumberFormat="1" applyFont="1" applyAlignment="1">
      <alignment horizontal="center"/>
    </xf>
    <xf numFmtId="0" fontId="24" fillId="0" borderId="0" xfId="0" applyNumberFormat="1" applyFont="1" applyFill="1" applyBorder="1" applyAlignment="1" applyProtection="1"/>
    <xf numFmtId="0" fontId="7" fillId="0" borderId="31" xfId="228" applyNumberFormat="1" applyFont="1" applyBorder="1" applyAlignment="1">
      <alignment horizontal="center"/>
    </xf>
    <xf numFmtId="0" fontId="7" fillId="0" borderId="30" xfId="228" applyNumberFormat="1" applyFont="1" applyBorder="1" applyAlignment="1">
      <alignment horizontal="center"/>
    </xf>
    <xf numFmtId="0" fontId="7" fillId="0" borderId="46" xfId="228" applyNumberFormat="1" applyFont="1" applyBorder="1" applyAlignment="1">
      <alignment horizontal="center"/>
    </xf>
    <xf numFmtId="164" fontId="15" fillId="0" borderId="11" xfId="196" applyNumberFormat="1" applyFont="1" applyBorder="1" applyAlignment="1">
      <alignment horizontal="center"/>
    </xf>
    <xf numFmtId="0" fontId="10" fillId="0" borderId="23" xfId="228" applyNumberFormat="1" applyFont="1" applyBorder="1" applyAlignment="1">
      <alignment horizontal="center" vertical="center" wrapText="1"/>
    </xf>
    <xf numFmtId="3" fontId="7" fillId="35" borderId="30" xfId="228" applyNumberFormat="1" applyFont="1" applyFill="1" applyBorder="1" applyAlignment="1">
      <alignment horizontal="center"/>
    </xf>
    <xf numFmtId="3" fontId="7" fillId="35" borderId="31" xfId="228" applyNumberFormat="1" applyFont="1" applyFill="1" applyBorder="1" applyAlignment="1">
      <alignment horizontal="center"/>
    </xf>
    <xf numFmtId="3" fontId="7" fillId="35" borderId="46" xfId="228" applyNumberFormat="1" applyFont="1" applyFill="1" applyBorder="1" applyAlignment="1">
      <alignment horizontal="center"/>
    </xf>
    <xf numFmtId="3" fontId="5" fillId="34" borderId="11" xfId="228" applyNumberFormat="1" applyFont="1" applyFill="1" applyBorder="1" applyAlignment="1">
      <alignment horizontal="center"/>
    </xf>
    <xf numFmtId="3" fontId="5" fillId="34" borderId="27" xfId="228" applyNumberFormat="1" applyFont="1" applyFill="1" applyBorder="1" applyAlignment="1">
      <alignment horizontal="center"/>
    </xf>
    <xf numFmtId="3" fontId="5" fillId="34" borderId="47" xfId="228" applyNumberFormat="1" applyFont="1" applyFill="1" applyBorder="1" applyAlignment="1">
      <alignment horizontal="center"/>
    </xf>
    <xf numFmtId="38" fontId="5" fillId="0" borderId="44" xfId="228" applyNumberFormat="1" applyFont="1" applyBorder="1" applyAlignment="1">
      <alignment horizontal="center"/>
    </xf>
    <xf numFmtId="38" fontId="5" fillId="0" borderId="27" xfId="228" applyNumberFormat="1" applyFont="1" applyBorder="1" applyAlignment="1">
      <alignment horizontal="center"/>
    </xf>
    <xf numFmtId="38" fontId="5" fillId="0" borderId="11" xfId="228" applyNumberFormat="1" applyFont="1" applyBorder="1" applyAlignment="1">
      <alignment horizontal="center"/>
    </xf>
    <xf numFmtId="38" fontId="5" fillId="0" borderId="45" xfId="228" applyNumberFormat="1" applyFont="1" applyBorder="1" applyAlignment="1">
      <alignment horizontal="center"/>
    </xf>
    <xf numFmtId="38" fontId="5" fillId="0" borderId="48" xfId="228" applyNumberFormat="1" applyFont="1" applyBorder="1" applyAlignment="1">
      <alignment horizontal="center"/>
    </xf>
    <xf numFmtId="38" fontId="5" fillId="0" borderId="47" xfId="228" applyNumberFormat="1" applyFont="1" applyBorder="1" applyAlignment="1">
      <alignment horizontal="center"/>
    </xf>
    <xf numFmtId="38" fontId="5" fillId="0" borderId="49" xfId="228" applyNumberFormat="1" applyFont="1" applyBorder="1" applyAlignment="1">
      <alignment horizontal="center"/>
    </xf>
    <xf numFmtId="0" fontId="10" fillId="0" borderId="40" xfId="228" applyNumberFormat="1" applyFont="1" applyBorder="1" applyAlignment="1">
      <alignment horizontal="center" vertical="center"/>
    </xf>
    <xf numFmtId="0" fontId="10" fillId="0" borderId="23" xfId="228" applyNumberFormat="1" applyFont="1" applyBorder="1" applyAlignment="1">
      <alignment horizontal="center" vertical="center"/>
    </xf>
    <xf numFmtId="0" fontId="10" fillId="0" borderId="41" xfId="228" applyNumberFormat="1" applyFont="1" applyBorder="1" applyAlignment="1">
      <alignment horizontal="center" vertical="center"/>
    </xf>
    <xf numFmtId="0" fontId="10" fillId="0" borderId="42" xfId="228" applyNumberFormat="1" applyFont="1" applyBorder="1" applyAlignment="1">
      <alignment horizontal="center" vertical="center"/>
    </xf>
    <xf numFmtId="0" fontId="10" fillId="0" borderId="43" xfId="228" applyNumberFormat="1" applyFont="1" applyBorder="1" applyAlignment="1">
      <alignment horizontal="center" vertical="center"/>
    </xf>
    <xf numFmtId="0" fontId="10" fillId="0" borderId="23" xfId="228" quotePrefix="1" applyNumberFormat="1" applyFont="1" applyBorder="1" applyAlignment="1">
      <alignment horizontal="center" vertical="center"/>
    </xf>
    <xf numFmtId="0" fontId="10" fillId="35" borderId="33" xfId="228" applyNumberFormat="1" applyFont="1" applyFill="1" applyBorder="1" applyAlignment="1">
      <alignment horizontal="center" vertical="center"/>
    </xf>
    <xf numFmtId="0" fontId="10" fillId="35" borderId="35" xfId="228" applyNumberFormat="1" applyFont="1" applyFill="1" applyBorder="1" applyAlignment="1">
      <alignment horizontal="center" vertical="center"/>
    </xf>
    <xf numFmtId="0" fontId="3" fillId="0" borderId="0" xfId="0" quotePrefix="1" applyFont="1"/>
    <xf numFmtId="0" fontId="3" fillId="0" borderId="0" xfId="0" applyFont="1"/>
    <xf numFmtId="0" fontId="21" fillId="0" borderId="0" xfId="0" applyFont="1" applyAlignment="1">
      <alignment horizontal="center"/>
    </xf>
    <xf numFmtId="10" fontId="10" fillId="0" borderId="23" xfId="206" applyNumberFormat="1" applyFont="1" applyFill="1" applyBorder="1" applyAlignment="1">
      <alignment horizontal="center"/>
    </xf>
    <xf numFmtId="0" fontId="10" fillId="0" borderId="51" xfId="228" applyNumberFormat="1" applyFont="1" applyBorder="1" applyAlignment="1">
      <alignment horizontal="center" vertical="center"/>
    </xf>
    <xf numFmtId="0" fontId="10" fillId="33" borderId="35" xfId="0" applyNumberFormat="1" applyFont="1" applyFill="1" applyBorder="1" applyAlignment="1">
      <alignment horizontal="center"/>
    </xf>
    <xf numFmtId="0" fontId="10" fillId="0" borderId="16" xfId="0" applyNumberFormat="1" applyFont="1" applyFill="1" applyBorder="1" applyAlignment="1">
      <alignment horizontal="center"/>
    </xf>
    <xf numFmtId="0" fontId="10" fillId="0" borderId="23" xfId="0" applyNumberFormat="1" applyFont="1" applyFill="1" applyBorder="1" applyAlignment="1">
      <alignment horizontal="center"/>
    </xf>
    <xf numFmtId="0" fontId="7" fillId="0" borderId="52" xfId="228" applyNumberFormat="1" applyFont="1" applyBorder="1" applyAlignment="1">
      <alignment horizontal="center"/>
    </xf>
    <xf numFmtId="164" fontId="5" fillId="0" borderId="53" xfId="195" applyNumberFormat="1" applyFont="1" applyFill="1" applyBorder="1" applyAlignment="1">
      <alignment horizontal="center"/>
    </xf>
    <xf numFmtId="3" fontId="5" fillId="34" borderId="53" xfId="228" applyNumberFormat="1" applyFont="1" applyFill="1" applyBorder="1" applyAlignment="1">
      <alignment horizontal="center"/>
    </xf>
    <xf numFmtId="3" fontId="7" fillId="35" borderId="52" xfId="228" applyNumberFormat="1" applyFont="1" applyFill="1" applyBorder="1" applyAlignment="1">
      <alignment horizontal="center"/>
    </xf>
    <xf numFmtId="38" fontId="5" fillId="0" borderId="54" xfId="228" applyNumberFormat="1" applyFont="1" applyBorder="1" applyAlignment="1">
      <alignment horizontal="center"/>
    </xf>
    <xf numFmtId="38" fontId="5" fillId="0" borderId="53" xfId="228" applyNumberFormat="1" applyFont="1" applyBorder="1" applyAlignment="1">
      <alignment horizontal="center"/>
    </xf>
    <xf numFmtId="38" fontId="5" fillId="0" borderId="55" xfId="228" applyNumberFormat="1" applyFont="1" applyBorder="1" applyAlignment="1">
      <alignment horizontal="center"/>
    </xf>
    <xf numFmtId="3" fontId="5" fillId="33" borderId="52" xfId="195" applyNumberFormat="1" applyFont="1" applyFill="1" applyBorder="1" applyAlignment="1">
      <alignment horizontal="center"/>
    </xf>
    <xf numFmtId="3" fontId="7" fillId="0" borderId="56" xfId="195" applyNumberFormat="1" applyFont="1" applyFill="1" applyBorder="1" applyAlignment="1">
      <alignment horizontal="center"/>
    </xf>
    <xf numFmtId="3" fontId="5" fillId="0" borderId="53" xfId="195" applyNumberFormat="1" applyFont="1" applyFill="1" applyBorder="1" applyAlignment="1">
      <alignment horizontal="center"/>
    </xf>
    <xf numFmtId="0" fontId="7" fillId="0" borderId="55" xfId="195" applyNumberFormat="1" applyFont="1" applyFill="1" applyBorder="1" applyAlignment="1">
      <alignment horizontal="center"/>
    </xf>
    <xf numFmtId="0" fontId="7" fillId="0" borderId="45" xfId="195" applyNumberFormat="1" applyFont="1" applyFill="1" applyBorder="1" applyAlignment="1">
      <alignment horizontal="center"/>
    </xf>
    <xf numFmtId="164" fontId="5" fillId="0" borderId="47" xfId="195" applyNumberFormat="1" applyFont="1" applyFill="1" applyBorder="1" applyAlignment="1">
      <alignment horizontal="center"/>
    </xf>
    <xf numFmtId="3" fontId="5" fillId="33" borderId="46" xfId="195" applyNumberFormat="1" applyFont="1" applyFill="1" applyBorder="1" applyAlignment="1">
      <alignment horizontal="center"/>
    </xf>
    <xf numFmtId="3" fontId="7" fillId="0" borderId="58" xfId="195" applyNumberFormat="1" applyFont="1" applyFill="1" applyBorder="1" applyAlignment="1">
      <alignment horizontal="center"/>
    </xf>
    <xf numFmtId="3" fontId="5" fillId="0" borderId="47" xfId="195" applyNumberFormat="1" applyFont="1" applyFill="1" applyBorder="1" applyAlignment="1">
      <alignment horizontal="center"/>
    </xf>
    <xf numFmtId="0" fontId="7" fillId="0" borderId="49" xfId="195" applyNumberFormat="1" applyFont="1" applyFill="1" applyBorder="1" applyAlignment="1">
      <alignment horizontal="center"/>
    </xf>
    <xf numFmtId="0" fontId="12" fillId="0" borderId="0" xfId="196" applyFont="1" applyAlignment="1"/>
    <xf numFmtId="0" fontId="16" fillId="0" borderId="0" xfId="196" applyFont="1" applyAlignment="1">
      <alignment horizontal="center"/>
    </xf>
    <xf numFmtId="0" fontId="7" fillId="35" borderId="29" xfId="228" applyNumberFormat="1" applyFont="1" applyFill="1" applyBorder="1" applyAlignment="1">
      <alignment horizontal="center"/>
    </xf>
    <xf numFmtId="0" fontId="7" fillId="35" borderId="3" xfId="228" applyNumberFormat="1" applyFont="1" applyFill="1" applyBorder="1" applyAlignment="1">
      <alignment horizontal="center"/>
    </xf>
    <xf numFmtId="0" fontId="7" fillId="35" borderId="28" xfId="228" applyNumberFormat="1" applyFont="1" applyFill="1" applyBorder="1" applyAlignment="1">
      <alignment horizontal="center"/>
    </xf>
    <xf numFmtId="0" fontId="7" fillId="36" borderId="37" xfId="228" applyNumberFormat="1" applyFont="1" applyFill="1" applyBorder="1" applyAlignment="1">
      <alignment horizontal="center"/>
    </xf>
    <xf numFmtId="0" fontId="7" fillId="36" borderId="38" xfId="228" applyNumberFormat="1" applyFont="1" applyFill="1" applyBorder="1" applyAlignment="1">
      <alignment horizontal="center"/>
    </xf>
    <xf numFmtId="0" fontId="7" fillId="36" borderId="39" xfId="228" applyNumberFormat="1" applyFont="1" applyFill="1" applyBorder="1" applyAlignment="1">
      <alignment horizontal="center"/>
    </xf>
    <xf numFmtId="0" fontId="15" fillId="34" borderId="0" xfId="196" applyFont="1" applyFill="1"/>
    <xf numFmtId="0" fontId="12" fillId="34" borderId="0" xfId="196" applyFont="1" applyFill="1" applyAlignment="1"/>
    <xf numFmtId="0" fontId="16" fillId="34" borderId="0" xfId="196" applyFont="1" applyFill="1" applyAlignment="1">
      <alignment horizontal="center"/>
    </xf>
    <xf numFmtId="166" fontId="15" fillId="34" borderId="0" xfId="196" applyNumberFormat="1" applyFont="1" applyFill="1" applyAlignment="1">
      <alignment horizontal="center"/>
    </xf>
    <xf numFmtId="166" fontId="15" fillId="34" borderId="22" xfId="196" applyNumberFormat="1" applyFont="1" applyFill="1" applyBorder="1" applyAlignment="1">
      <alignment horizontal="center"/>
    </xf>
    <xf numFmtId="0" fontId="15" fillId="34" borderId="23" xfId="196" applyFont="1" applyFill="1" applyBorder="1" applyAlignment="1">
      <alignment horizontal="center"/>
    </xf>
    <xf numFmtId="49" fontId="15" fillId="34" borderId="25" xfId="196" applyNumberFormat="1" applyFont="1" applyFill="1" applyBorder="1" applyAlignment="1">
      <alignment horizontal="center"/>
    </xf>
    <xf numFmtId="38" fontId="15" fillId="34" borderId="11" xfId="196" applyNumberFormat="1" applyFont="1" applyFill="1" applyBorder="1" applyAlignment="1">
      <alignment horizontal="center"/>
    </xf>
    <xf numFmtId="0" fontId="15" fillId="34" borderId="0" xfId="196" applyFont="1" applyFill="1" applyBorder="1"/>
    <xf numFmtId="0" fontId="15" fillId="34" borderId="3" xfId="196" applyFont="1" applyFill="1" applyBorder="1"/>
    <xf numFmtId="0" fontId="18" fillId="34" borderId="0" xfId="0" applyFont="1" applyFill="1" applyBorder="1" applyAlignment="1">
      <alignment horizontal="center"/>
    </xf>
    <xf numFmtId="0" fontId="5" fillId="34" borderId="0" xfId="195" applyNumberFormat="1" applyFont="1" applyFill="1" applyAlignment="1"/>
    <xf numFmtId="0" fontId="15" fillId="34" borderId="0" xfId="196" applyFont="1" applyFill="1" applyAlignment="1">
      <alignment horizontal="center"/>
    </xf>
    <xf numFmtId="0" fontId="12" fillId="34" borderId="0" xfId="196" applyFont="1" applyFill="1" applyAlignment="1">
      <alignment horizontal="center"/>
    </xf>
    <xf numFmtId="0" fontId="22" fillId="34" borderId="0" xfId="196" applyFont="1" applyFill="1" applyBorder="1" applyAlignment="1"/>
    <xf numFmtId="0" fontId="17" fillId="34" borderId="33" xfId="196" applyFont="1" applyFill="1" applyBorder="1" applyAlignment="1">
      <alignment horizontal="center"/>
    </xf>
    <xf numFmtId="3" fontId="15" fillId="34" borderId="35" xfId="196" applyNumberFormat="1" applyFont="1" applyFill="1" applyBorder="1" applyAlignment="1">
      <alignment horizontal="center"/>
    </xf>
    <xf numFmtId="3" fontId="15" fillId="34" borderId="57" xfId="196" applyNumberFormat="1" applyFont="1" applyFill="1" applyBorder="1" applyAlignment="1">
      <alignment horizontal="center"/>
    </xf>
    <xf numFmtId="180" fontId="15" fillId="34" borderId="0" xfId="196" applyNumberFormat="1" applyFont="1" applyFill="1" applyAlignment="1">
      <alignment horizontal="center"/>
    </xf>
    <xf numFmtId="0" fontId="20" fillId="34" borderId="3" xfId="195" applyNumberFormat="1" applyFont="1" applyFill="1" applyBorder="1" applyAlignment="1">
      <alignment horizontal="left" vertical="center"/>
    </xf>
    <xf numFmtId="0" fontId="7" fillId="34" borderId="0" xfId="195" applyNumberFormat="1" applyFont="1" applyFill="1" applyAlignment="1"/>
    <xf numFmtId="0" fontId="11" fillId="34" borderId="33" xfId="0" applyNumberFormat="1" applyFont="1" applyFill="1" applyBorder="1" applyAlignment="1">
      <alignment horizontal="center"/>
    </xf>
    <xf numFmtId="0" fontId="11" fillId="34" borderId="35" xfId="0" applyNumberFormat="1" applyFont="1" applyFill="1" applyBorder="1" applyAlignment="1">
      <alignment horizontal="center"/>
    </xf>
    <xf numFmtId="0" fontId="10" fillId="34" borderId="35" xfId="0" applyNumberFormat="1" applyFont="1" applyFill="1" applyBorder="1" applyAlignment="1">
      <alignment horizontal="center"/>
    </xf>
    <xf numFmtId="3" fontId="7" fillId="34" borderId="52" xfId="195" applyNumberFormat="1" applyFont="1" applyFill="1" applyBorder="1" applyAlignment="1">
      <alignment horizontal="center"/>
    </xf>
    <xf numFmtId="3" fontId="7" fillId="34" borderId="30" xfId="195" applyNumberFormat="1" applyFont="1" applyFill="1" applyBorder="1" applyAlignment="1">
      <alignment horizontal="center"/>
    </xf>
    <xf numFmtId="3" fontId="7" fillId="34" borderId="57" xfId="195" applyNumberFormat="1" applyFont="1" applyFill="1" applyBorder="1" applyAlignment="1">
      <alignment horizontal="center"/>
    </xf>
    <xf numFmtId="1" fontId="7" fillId="0" borderId="0" xfId="247" applyNumberFormat="1" applyFont="1"/>
    <xf numFmtId="1" fontId="7" fillId="0" borderId="0" xfId="250" applyNumberFormat="1" applyFont="1"/>
    <xf numFmtId="1" fontId="7" fillId="0" borderId="0" xfId="252" applyNumberFormat="1" applyFont="1"/>
    <xf numFmtId="1" fontId="7" fillId="0" borderId="0" xfId="251" applyNumberFormat="1" applyFont="1"/>
  </cellXfs>
  <cellStyles count="253">
    <cellStyle name="_CC Oil" xfId="1" xr:uid="{00000000-0005-0000-0000-000000000000}"/>
    <cellStyle name="_CC Oil 2" xfId="2" xr:uid="{00000000-0005-0000-0000-000001000000}"/>
    <cellStyle name="_CC Oil_130204 2013 - 2061 LONG-TERM FORECAST FPL METHODOLOGY Clean Copy" xfId="3" xr:uid="{00000000-0005-0000-0000-000002000000}"/>
    <cellStyle name="_CC Oil_MTHLY_MWH_to EOC_AS AVAILABLE" xfId="4" xr:uid="{00000000-0005-0000-0000-000003000000}"/>
    <cellStyle name="_DSO Oil" xfId="5" xr:uid="{00000000-0005-0000-0000-000004000000}"/>
    <cellStyle name="_DSO Oil 2" xfId="6" xr:uid="{00000000-0005-0000-0000-000005000000}"/>
    <cellStyle name="_DSO Oil_130204 2013 - 2061 LONG-TERM FORECAST FPL METHODOLOGY Clean Copy" xfId="7" xr:uid="{00000000-0005-0000-0000-000006000000}"/>
    <cellStyle name="_DSO Oil_MTHLY_MWH_to EOC_AS AVAILABLE" xfId="8" xr:uid="{00000000-0005-0000-0000-000007000000}"/>
    <cellStyle name="_FLCC Oil" xfId="9" xr:uid="{00000000-0005-0000-0000-000008000000}"/>
    <cellStyle name="_FLCC Oil 2" xfId="10" xr:uid="{00000000-0005-0000-0000-000009000000}"/>
    <cellStyle name="_FLCC Oil_130204 2013 - 2061 LONG-TERM FORECAST FPL METHODOLOGY Clean Copy" xfId="11" xr:uid="{00000000-0005-0000-0000-00000A000000}"/>
    <cellStyle name="_FLCC Oil_MTHLY_MWH_to EOC_AS AVAILABLE" xfId="12" xr:uid="{00000000-0005-0000-0000-00000B000000}"/>
    <cellStyle name="_FLPEGT Oil" xfId="13" xr:uid="{00000000-0005-0000-0000-00000C000000}"/>
    <cellStyle name="_FLPEGT Oil 2" xfId="14" xr:uid="{00000000-0005-0000-0000-00000D000000}"/>
    <cellStyle name="_FLPEGT Oil_130204 2013 - 2061 LONG-TERM FORECAST FPL METHODOLOGY Clean Copy" xfId="15" xr:uid="{00000000-0005-0000-0000-00000E000000}"/>
    <cellStyle name="_FLPEGT Oil_MTHLY_MWH_to EOC_AS AVAILABLE" xfId="16" xr:uid="{00000000-0005-0000-0000-00000F000000}"/>
    <cellStyle name="_FMCT Oil" xfId="17" xr:uid="{00000000-0005-0000-0000-000010000000}"/>
    <cellStyle name="_FMCT Oil 2" xfId="18" xr:uid="{00000000-0005-0000-0000-000011000000}"/>
    <cellStyle name="_FMCT Oil_130204 2013 - 2061 LONG-TERM FORECAST FPL METHODOLOGY Clean Copy" xfId="19" xr:uid="{00000000-0005-0000-0000-000012000000}"/>
    <cellStyle name="_FMCT Oil_MTHLY_MWH_to EOC_AS AVAILABLE" xfId="20" xr:uid="{00000000-0005-0000-0000-000013000000}"/>
    <cellStyle name="_GTDW_DataTemplate" xfId="21" xr:uid="{00000000-0005-0000-0000-000014000000}"/>
    <cellStyle name="_GTDW_DataTemplate 2" xfId="22" xr:uid="{00000000-0005-0000-0000-000015000000}"/>
    <cellStyle name="_GTDW_DataTemplate_130204 2013 - 2061 LONG-TERM FORECAST FPL METHODOLOGY Clean Copy" xfId="23" xr:uid="{00000000-0005-0000-0000-000016000000}"/>
    <cellStyle name="_GTDW_DataTemplate_MTHLY_MWH_to EOC_AS AVAILABLE" xfId="24" xr:uid="{00000000-0005-0000-0000-000017000000}"/>
    <cellStyle name="_Gulfstream Gas" xfId="25" xr:uid="{00000000-0005-0000-0000-000018000000}"/>
    <cellStyle name="_Gulfstream Gas 2" xfId="26" xr:uid="{00000000-0005-0000-0000-000019000000}"/>
    <cellStyle name="_Gulfstream Gas_130204 2013 - 2061 LONG-TERM FORECAST FPL METHODOLOGY Clean Copy" xfId="27" xr:uid="{00000000-0005-0000-0000-00001A000000}"/>
    <cellStyle name="_Gulfstream Gas_MTHLY_MWH_to EOC_AS AVAILABLE" xfId="28" xr:uid="{00000000-0005-0000-0000-00001B000000}"/>
    <cellStyle name="_MR .7 Oil" xfId="29" xr:uid="{00000000-0005-0000-0000-00001C000000}"/>
    <cellStyle name="_MR .7 Oil 2" xfId="30" xr:uid="{00000000-0005-0000-0000-00001D000000}"/>
    <cellStyle name="_MR .7 Oil_130204 2013 - 2061 LONG-TERM FORECAST FPL METHODOLOGY Clean Copy" xfId="31" xr:uid="{00000000-0005-0000-0000-00001E000000}"/>
    <cellStyle name="_MR .7 Oil_MTHLY_MWH_to EOC_AS AVAILABLE" xfId="32" xr:uid="{00000000-0005-0000-0000-00001F000000}"/>
    <cellStyle name="_MR 1 Oil" xfId="33" xr:uid="{00000000-0005-0000-0000-000020000000}"/>
    <cellStyle name="_MR 1 Oil 2" xfId="34" xr:uid="{00000000-0005-0000-0000-000021000000}"/>
    <cellStyle name="_MR 1 Oil_130204 2013 - 2061 LONG-TERM FORECAST FPL METHODOLOGY Clean Copy" xfId="35" xr:uid="{00000000-0005-0000-0000-000022000000}"/>
    <cellStyle name="_MR 1 Oil_MTHLY_MWH_to EOC_AS AVAILABLE" xfId="36" xr:uid="{00000000-0005-0000-0000-000023000000}"/>
    <cellStyle name="_MRCT Oil" xfId="37" xr:uid="{00000000-0005-0000-0000-000024000000}"/>
    <cellStyle name="_MRCT Oil 2" xfId="38" xr:uid="{00000000-0005-0000-0000-000025000000}"/>
    <cellStyle name="_MRCT Oil_130204 2013 - 2061 LONG-TERM FORECAST FPL METHODOLOGY Clean Copy" xfId="39" xr:uid="{00000000-0005-0000-0000-000026000000}"/>
    <cellStyle name="_MRCT Oil_MTHLY_MWH_to EOC_AS AVAILABLE" xfId="40" xr:uid="{00000000-0005-0000-0000-000027000000}"/>
    <cellStyle name="_MT Gulfstream Gas" xfId="41" xr:uid="{00000000-0005-0000-0000-000028000000}"/>
    <cellStyle name="_MT Gulfstream Gas 2" xfId="42" xr:uid="{00000000-0005-0000-0000-000029000000}"/>
    <cellStyle name="_MT Gulfstream Gas_130204 2013 - 2061 LONG-TERM FORECAST FPL METHODOLOGY Clean Copy" xfId="43" xr:uid="{00000000-0005-0000-0000-00002A000000}"/>
    <cellStyle name="_MT Gulfstream Gas_MTHLY_MWH_to EOC_AS AVAILABLE" xfId="44" xr:uid="{00000000-0005-0000-0000-00002B000000}"/>
    <cellStyle name="_MT Oil" xfId="45" xr:uid="{00000000-0005-0000-0000-00002C000000}"/>
    <cellStyle name="_MT Oil 2" xfId="46" xr:uid="{00000000-0005-0000-0000-00002D000000}"/>
    <cellStyle name="_MT Oil_130204 2013 - 2061 LONG-TERM FORECAST FPL METHODOLOGY Clean Copy" xfId="47" xr:uid="{00000000-0005-0000-0000-00002E000000}"/>
    <cellStyle name="_MT Oil_MTHLY_MWH_to EOC_AS AVAILABLE" xfId="48" xr:uid="{00000000-0005-0000-0000-00002F000000}"/>
    <cellStyle name="_OLCT Oil" xfId="49" xr:uid="{00000000-0005-0000-0000-000030000000}"/>
    <cellStyle name="_OLCT Oil 2" xfId="50" xr:uid="{00000000-0005-0000-0000-000031000000}"/>
    <cellStyle name="_OLCT Oil_130204 2013 - 2061 LONG-TERM FORECAST FPL METHODOLOGY Clean Copy" xfId="51" xr:uid="{00000000-0005-0000-0000-000032000000}"/>
    <cellStyle name="_OLCT Oil_MTHLY_MWH_to EOC_AS AVAILABLE" xfId="52" xr:uid="{00000000-0005-0000-0000-000033000000}"/>
    <cellStyle name="_PE Oil" xfId="53" xr:uid="{00000000-0005-0000-0000-000034000000}"/>
    <cellStyle name="_PE Oil 2" xfId="54" xr:uid="{00000000-0005-0000-0000-000035000000}"/>
    <cellStyle name="_PE Oil_130204 2013 - 2061 LONG-TERM FORECAST FPL METHODOLOGY Clean Copy" xfId="55" xr:uid="{00000000-0005-0000-0000-000036000000}"/>
    <cellStyle name="_PE Oil_MTHLY_MWH_to EOC_AS AVAILABLE" xfId="56" xr:uid="{00000000-0005-0000-0000-000037000000}"/>
    <cellStyle name="_PN Oil" xfId="57" xr:uid="{00000000-0005-0000-0000-000038000000}"/>
    <cellStyle name="_PN Oil 2" xfId="58" xr:uid="{00000000-0005-0000-0000-000039000000}"/>
    <cellStyle name="_PN Oil_130204 2013 - 2061 LONG-TERM FORECAST FPL METHODOLOGY Clean Copy" xfId="59" xr:uid="{00000000-0005-0000-0000-00003A000000}"/>
    <cellStyle name="_PN Oil_MTHLY_MWH_to EOC_AS AVAILABLE" xfId="60" xr:uid="{00000000-0005-0000-0000-00003B000000}"/>
    <cellStyle name="_RV Oil" xfId="61" xr:uid="{00000000-0005-0000-0000-00003C000000}"/>
    <cellStyle name="_RV Oil 2" xfId="62" xr:uid="{00000000-0005-0000-0000-00003D000000}"/>
    <cellStyle name="_RV Oil_130204 2013 - 2061 LONG-TERM FORECAST FPL METHODOLOGY Clean Copy" xfId="63" xr:uid="{00000000-0005-0000-0000-00003E000000}"/>
    <cellStyle name="_RV Oil_MTHLY_MWH_to EOC_AS AVAILABLE" xfId="64" xr:uid="{00000000-0005-0000-0000-00003F000000}"/>
    <cellStyle name="_SHCT Oil" xfId="65" xr:uid="{00000000-0005-0000-0000-000040000000}"/>
    <cellStyle name="_SHCT Oil 2" xfId="66" xr:uid="{00000000-0005-0000-0000-000041000000}"/>
    <cellStyle name="_SHCT Oil_130204 2013 - 2061 LONG-TERM FORECAST FPL METHODOLOGY Clean Copy" xfId="67" xr:uid="{00000000-0005-0000-0000-000042000000}"/>
    <cellStyle name="_SHCT Oil_MTHLY_MWH_to EOC_AS AVAILABLE" xfId="68" xr:uid="{00000000-0005-0000-0000-000043000000}"/>
    <cellStyle name="_SN Oil" xfId="69" xr:uid="{00000000-0005-0000-0000-000044000000}"/>
    <cellStyle name="_SN Oil 2" xfId="70" xr:uid="{00000000-0005-0000-0000-000045000000}"/>
    <cellStyle name="_SN Oil_130204 2013 - 2061 LONG-TERM FORECAST FPL METHODOLOGY Clean Copy" xfId="71" xr:uid="{00000000-0005-0000-0000-000046000000}"/>
    <cellStyle name="_SN Oil_MTHLY_MWH_to EOC_AS AVAILABLE" xfId="72" xr:uid="{00000000-0005-0000-0000-000047000000}"/>
    <cellStyle name="_TP Oil" xfId="73" xr:uid="{00000000-0005-0000-0000-000048000000}"/>
    <cellStyle name="_TP Oil 2" xfId="74" xr:uid="{00000000-0005-0000-0000-000049000000}"/>
    <cellStyle name="_TP Oil_130204 2013 - 2061 LONG-TERM FORECAST FPL METHODOLOGY Clean Copy" xfId="75" xr:uid="{00000000-0005-0000-0000-00004A000000}"/>
    <cellStyle name="_TP Oil_MTHLY_MWH_to EOC_AS AVAILABLE" xfId="76" xr:uid="{00000000-0005-0000-0000-00004B000000}"/>
    <cellStyle name="_x0010_“+ˆÉ•?pý¤" xfId="77" xr:uid="{00000000-0005-0000-0000-00004C000000}"/>
    <cellStyle name="20% - Accent1" xfId="78" builtinId="30" customBuiltin="1"/>
    <cellStyle name="20% - Accent1 2" xfId="79" xr:uid="{00000000-0005-0000-0000-00004E000000}"/>
    <cellStyle name="20% - Accent2" xfId="80" builtinId="34" customBuiltin="1"/>
    <cellStyle name="20% - Accent2 2" xfId="81" xr:uid="{00000000-0005-0000-0000-000050000000}"/>
    <cellStyle name="20% - Accent3" xfId="82" builtinId="38" customBuiltin="1"/>
    <cellStyle name="20% - Accent3 2" xfId="83" xr:uid="{00000000-0005-0000-0000-000052000000}"/>
    <cellStyle name="20% - Accent4" xfId="84" builtinId="42" customBuiltin="1"/>
    <cellStyle name="20% - Accent4 2" xfId="85" xr:uid="{00000000-0005-0000-0000-000054000000}"/>
    <cellStyle name="20% - Accent5" xfId="86" builtinId="46" customBuiltin="1"/>
    <cellStyle name="20% - Accent5 2" xfId="87" xr:uid="{00000000-0005-0000-0000-000056000000}"/>
    <cellStyle name="20% - Accent6" xfId="88" builtinId="50" customBuiltin="1"/>
    <cellStyle name="20% - Accent6 2" xfId="89" xr:uid="{00000000-0005-0000-0000-000058000000}"/>
    <cellStyle name="40% - Accent1" xfId="90" builtinId="31" customBuiltin="1"/>
    <cellStyle name="40% - Accent1 2" xfId="91" xr:uid="{00000000-0005-0000-0000-00005A000000}"/>
    <cellStyle name="40% - Accent2" xfId="92" builtinId="35" customBuiltin="1"/>
    <cellStyle name="40% - Accent2 2" xfId="93" xr:uid="{00000000-0005-0000-0000-00005C000000}"/>
    <cellStyle name="40% - Accent3" xfId="94" builtinId="39" customBuiltin="1"/>
    <cellStyle name="40% - Accent3 2" xfId="95" xr:uid="{00000000-0005-0000-0000-00005E000000}"/>
    <cellStyle name="40% - Accent4" xfId="96" builtinId="43" customBuiltin="1"/>
    <cellStyle name="40% - Accent4 2" xfId="97" xr:uid="{00000000-0005-0000-0000-000060000000}"/>
    <cellStyle name="40% - Accent5" xfId="98" builtinId="47" customBuiltin="1"/>
    <cellStyle name="40% - Accent5 2" xfId="99" xr:uid="{00000000-0005-0000-0000-000062000000}"/>
    <cellStyle name="40% - Accent6" xfId="100" builtinId="51" customBuiltin="1"/>
    <cellStyle name="40% - Accent6 2" xfId="101" xr:uid="{00000000-0005-0000-0000-000064000000}"/>
    <cellStyle name="60% - Accent1" xfId="102" builtinId="32" customBuiltin="1"/>
    <cellStyle name="60% - Accent1 2" xfId="103" xr:uid="{00000000-0005-0000-0000-000066000000}"/>
    <cellStyle name="60% - Accent2" xfId="104" builtinId="36" customBuiltin="1"/>
    <cellStyle name="60% - Accent2 2" xfId="105" xr:uid="{00000000-0005-0000-0000-000068000000}"/>
    <cellStyle name="60% - Accent3" xfId="106" builtinId="40" customBuiltin="1"/>
    <cellStyle name="60% - Accent3 2" xfId="107" xr:uid="{00000000-0005-0000-0000-00006A000000}"/>
    <cellStyle name="60% - Accent4" xfId="108" builtinId="44" customBuiltin="1"/>
    <cellStyle name="60% - Accent4 2" xfId="109" xr:uid="{00000000-0005-0000-0000-00006C000000}"/>
    <cellStyle name="60% - Accent5" xfId="110" builtinId="48" customBuiltin="1"/>
    <cellStyle name="60% - Accent5 2" xfId="111" xr:uid="{00000000-0005-0000-0000-00006E000000}"/>
    <cellStyle name="60% - Accent6" xfId="112" builtinId="52" customBuiltin="1"/>
    <cellStyle name="60% - Accent6 2" xfId="113" xr:uid="{00000000-0005-0000-0000-000070000000}"/>
    <cellStyle name="Accent1" xfId="114" builtinId="29" customBuiltin="1"/>
    <cellStyle name="Accent1 2" xfId="115" xr:uid="{00000000-0005-0000-0000-000072000000}"/>
    <cellStyle name="Accent2" xfId="116" builtinId="33" customBuiltin="1"/>
    <cellStyle name="Accent2 2" xfId="117" xr:uid="{00000000-0005-0000-0000-000074000000}"/>
    <cellStyle name="Accent3" xfId="118" builtinId="37" customBuiltin="1"/>
    <cellStyle name="Accent3 2" xfId="119" xr:uid="{00000000-0005-0000-0000-000076000000}"/>
    <cellStyle name="Accent4" xfId="120" builtinId="41" customBuiltin="1"/>
    <cellStyle name="Accent4 2" xfId="121" xr:uid="{00000000-0005-0000-0000-000078000000}"/>
    <cellStyle name="Accent5" xfId="122" builtinId="45" customBuiltin="1"/>
    <cellStyle name="Accent5 2" xfId="123" xr:uid="{00000000-0005-0000-0000-00007A000000}"/>
    <cellStyle name="Accent6" xfId="124" builtinId="49" customBuiltin="1"/>
    <cellStyle name="Accent6 2" xfId="125" xr:uid="{00000000-0005-0000-0000-00007C000000}"/>
    <cellStyle name="ActiveColumnHeaderStyle" xfId="241" xr:uid="{1C5F3DF6-91C9-45EA-B32C-A12D4B4AFA22}"/>
    <cellStyle name="ActiveRowHeaderStyle" xfId="240" xr:uid="{50580490-343F-430D-A173-89840E2EACCB}"/>
    <cellStyle name="Adjustable" xfId="126" xr:uid="{00000000-0005-0000-0000-00007D000000}"/>
    <cellStyle name="alt" xfId="244" xr:uid="{03032D03-10B5-4CD6-B376-6CFF23536050}"/>
    <cellStyle name="Bad" xfId="127" builtinId="27" customBuiltin="1"/>
    <cellStyle name="Bad 2" xfId="128" xr:uid="{00000000-0005-0000-0000-00007F000000}"/>
    <cellStyle name="Calc Currency (0)" xfId="129" xr:uid="{00000000-0005-0000-0000-000080000000}"/>
    <cellStyle name="Calculation" xfId="130" builtinId="22" customBuiltin="1"/>
    <cellStyle name="Calculation 2" xfId="131" xr:uid="{00000000-0005-0000-0000-000082000000}"/>
    <cellStyle name="Check Cell" xfId="132" builtinId="23" customBuiltin="1"/>
    <cellStyle name="Check Cell 2" xfId="133" xr:uid="{00000000-0005-0000-0000-000084000000}"/>
    <cellStyle name="Comma 2" xfId="134" xr:uid="{00000000-0005-0000-0000-000086000000}"/>
    <cellStyle name="Comma 2 2" xfId="135" xr:uid="{00000000-0005-0000-0000-000087000000}"/>
    <cellStyle name="Comma 3" xfId="136" xr:uid="{00000000-0005-0000-0000-000088000000}"/>
    <cellStyle name="Comma 3 2" xfId="137" xr:uid="{00000000-0005-0000-0000-000089000000}"/>
    <cellStyle name="Comma 4" xfId="138" xr:uid="{00000000-0005-0000-0000-00008A000000}"/>
    <cellStyle name="Copied" xfId="139" xr:uid="{00000000-0005-0000-0000-00008B000000}"/>
    <cellStyle name="Currency 2" xfId="140" xr:uid="{00000000-0005-0000-0000-00008C000000}"/>
    <cellStyle name="Currency 2 2" xfId="141" xr:uid="{00000000-0005-0000-0000-00008D000000}"/>
    <cellStyle name="Currency 3" xfId="142" xr:uid="{00000000-0005-0000-0000-00008E000000}"/>
    <cellStyle name="Currency 3 2" xfId="143" xr:uid="{00000000-0005-0000-0000-00008F000000}"/>
    <cellStyle name="Date" xfId="144" xr:uid="{00000000-0005-0000-0000-000090000000}"/>
    <cellStyle name="DefaultHeaderStyle" xfId="243" xr:uid="{5C7353F6-0555-4443-A981-8E3D16E922F9}"/>
    <cellStyle name="Dollars" xfId="145" xr:uid="{00000000-0005-0000-0000-000091000000}"/>
    <cellStyle name="Duration" xfId="146" xr:uid="{00000000-0005-0000-0000-000092000000}"/>
    <cellStyle name="Entered" xfId="147" xr:uid="{00000000-0005-0000-0000-000093000000}"/>
    <cellStyle name="Euro" xfId="148" xr:uid="{00000000-0005-0000-0000-000094000000}"/>
    <cellStyle name="Explanatory Text" xfId="149" builtinId="53" customBuiltin="1"/>
    <cellStyle name="Explanatory Text 2" xfId="150" xr:uid="{00000000-0005-0000-0000-000096000000}"/>
    <cellStyle name="FrozenColumnHeader" xfId="242" xr:uid="{DC8DD4FD-6709-4A4A-9A84-8492E9E4CEBF}"/>
    <cellStyle name="Good" xfId="151" builtinId="26" customBuiltin="1"/>
    <cellStyle name="Good 2" xfId="152" xr:uid="{00000000-0005-0000-0000-000098000000}"/>
    <cellStyle name="Grey" xfId="153" xr:uid="{00000000-0005-0000-0000-000099000000}"/>
    <cellStyle name="Header1" xfId="154" xr:uid="{00000000-0005-0000-0000-00009A000000}"/>
    <cellStyle name="Header2" xfId="155" xr:uid="{00000000-0005-0000-0000-00009B000000}"/>
    <cellStyle name="Heading 1" xfId="156" builtinId="16" customBuiltin="1"/>
    <cellStyle name="Heading 1 2" xfId="157" xr:uid="{00000000-0005-0000-0000-00009D000000}"/>
    <cellStyle name="Heading 2" xfId="158" builtinId="17" customBuiltin="1"/>
    <cellStyle name="Heading 2 2" xfId="159" xr:uid="{00000000-0005-0000-0000-00009F000000}"/>
    <cellStyle name="Heading 3" xfId="160" builtinId="18" customBuiltin="1"/>
    <cellStyle name="Heading 3 2" xfId="161" xr:uid="{00000000-0005-0000-0000-0000A1000000}"/>
    <cellStyle name="Heading 4" xfId="162" builtinId="19" customBuiltin="1"/>
    <cellStyle name="Heading 4 2" xfId="163" xr:uid="{00000000-0005-0000-0000-0000A3000000}"/>
    <cellStyle name="InactiveRowHeaderStyle" xfId="239" xr:uid="{A9DA7EE9-2757-44C6-8240-546F133AA518}"/>
    <cellStyle name="Input" xfId="164" builtinId="20" customBuiltin="1"/>
    <cellStyle name="Input [yellow]" xfId="165" xr:uid="{00000000-0005-0000-0000-0000A5000000}"/>
    <cellStyle name="Input 2" xfId="166" xr:uid="{00000000-0005-0000-0000-0000A6000000}"/>
    <cellStyle name="Linked Cell" xfId="167" builtinId="24" customBuiltin="1"/>
    <cellStyle name="Linked Cell 2" xfId="168" xr:uid="{00000000-0005-0000-0000-0000A8000000}"/>
    <cellStyle name="Millares [0]_2AV_M_M " xfId="169" xr:uid="{00000000-0005-0000-0000-0000A9000000}"/>
    <cellStyle name="Millares_2AV_M_M " xfId="170" xr:uid="{00000000-0005-0000-0000-0000AA000000}"/>
    <cellStyle name="Moneda [0]_2AV_M_M " xfId="171" xr:uid="{00000000-0005-0000-0000-0000AB000000}"/>
    <cellStyle name="Moneda_2AV_M_M " xfId="172" xr:uid="{00000000-0005-0000-0000-0000AC000000}"/>
    <cellStyle name="Neutral" xfId="173" builtinId="28" customBuiltin="1"/>
    <cellStyle name="Neutral 2" xfId="174" xr:uid="{00000000-0005-0000-0000-0000AE000000}"/>
    <cellStyle name="NonStandardColumnStyle" xfId="238" xr:uid="{3E105239-6C3A-4820-8C5F-4FFF98741B59}"/>
    <cellStyle name="Normal" xfId="0" builtinId="0"/>
    <cellStyle name="Normal - Style1" xfId="175" xr:uid="{00000000-0005-0000-0000-0000B0000000}"/>
    <cellStyle name="Normal 10" xfId="176" xr:uid="{00000000-0005-0000-0000-0000B1000000}"/>
    <cellStyle name="Normal 11" xfId="227" xr:uid="{3792DF75-3336-4065-B29A-1A92D72D0996}"/>
    <cellStyle name="Normal 12" xfId="246" xr:uid="{AB3995DA-09ED-485B-ADC4-5D9A72DA20C5}"/>
    <cellStyle name="Normal 13" xfId="177" xr:uid="{00000000-0005-0000-0000-0000B2000000}"/>
    <cellStyle name="Normal 14" xfId="247" xr:uid="{98996772-E20C-4038-9B5E-C6E048AC1BE7}"/>
    <cellStyle name="Normal 15" xfId="250" xr:uid="{9BA0F2F6-6F31-40AB-B64B-0B48A98141B9}"/>
    <cellStyle name="Normal 16" xfId="252" xr:uid="{B1FDD4D0-D4A2-4CDE-B01D-C87F6A5948E9}"/>
    <cellStyle name="Normal 17" xfId="251" xr:uid="{416E41D8-49CA-44C2-AD13-53AA83E0E393}"/>
    <cellStyle name="Normal 2" xfId="178" xr:uid="{00000000-0005-0000-0000-0000B3000000}"/>
    <cellStyle name="Normal 2 2" xfId="179" xr:uid="{00000000-0005-0000-0000-0000B4000000}"/>
    <cellStyle name="Normal 2 2 2" xfId="228" xr:uid="{9487D0A4-C3F6-4A47-9036-A420C32BD52C}"/>
    <cellStyle name="Normal 2 2 2 2" xfId="229" xr:uid="{1BA8FC94-77AA-40F8-A8F5-C05E98BA36F7}"/>
    <cellStyle name="Normal 2 2 3" xfId="234" xr:uid="{561BBD82-B6B5-4A69-8014-D23C0D5693E0}"/>
    <cellStyle name="Normal 2 2 4" xfId="232" xr:uid="{492AC89A-9607-4345-915C-D191F3362CB4}"/>
    <cellStyle name="Normal 2 2 5" xfId="245" xr:uid="{71E7C63B-79DF-4ADD-A65D-E88D1900249D}"/>
    <cellStyle name="Normal 2 3" xfId="180" xr:uid="{00000000-0005-0000-0000-0000B5000000}"/>
    <cellStyle name="Normal 2 4" xfId="236" xr:uid="{F06EDA38-C0D5-47E0-AF8A-F9E56F82A1AA}"/>
    <cellStyle name="Normal 2_2009-Oct 2021 RR Current" xfId="181" xr:uid="{00000000-0005-0000-0000-0000B6000000}"/>
    <cellStyle name="Normal 3" xfId="182" xr:uid="{00000000-0005-0000-0000-0000B7000000}"/>
    <cellStyle name="Normal 3 2" xfId="183" xr:uid="{00000000-0005-0000-0000-0000B8000000}"/>
    <cellStyle name="Normal 4" xfId="184" xr:uid="{00000000-0005-0000-0000-0000B9000000}"/>
    <cellStyle name="Normal 4 2" xfId="185" xr:uid="{00000000-0005-0000-0000-0000BA000000}"/>
    <cellStyle name="Normal 4 2 2" xfId="233" xr:uid="{BBD1213B-C2CF-4CA4-A5A1-93F456F3AB17}"/>
    <cellStyle name="Normal 4 2 2 2" xfId="249" xr:uid="{80DAEBF8-D539-4EBB-8594-E4277338FBD0}"/>
    <cellStyle name="Normal 4 3 2" xfId="235" xr:uid="{DBE3F030-FA2B-48BE-BF0B-C763EFF38509}"/>
    <cellStyle name="Normal 5" xfId="186" xr:uid="{00000000-0005-0000-0000-0000BB000000}"/>
    <cellStyle name="Normal 5 2" xfId="187" xr:uid="{00000000-0005-0000-0000-0000BC000000}"/>
    <cellStyle name="Normal 5 2 2 2" xfId="230" xr:uid="{95BECE48-3354-44FD-ADB1-172921C58F9A}"/>
    <cellStyle name="Normal 5 2 2 2 2" xfId="248" xr:uid="{F1F6C292-E619-4F08-8705-038AB7DCA4E5}"/>
    <cellStyle name="Normal 6" xfId="188" xr:uid="{00000000-0005-0000-0000-0000BD000000}"/>
    <cellStyle name="Normal 6 2" xfId="189" xr:uid="{00000000-0005-0000-0000-0000BE000000}"/>
    <cellStyle name="Normal 7" xfId="190" xr:uid="{00000000-0005-0000-0000-0000BF000000}"/>
    <cellStyle name="Normal 7 2" xfId="191" xr:uid="{00000000-0005-0000-0000-0000C0000000}"/>
    <cellStyle name="Normal 8" xfId="192" xr:uid="{00000000-0005-0000-0000-0000C1000000}"/>
    <cellStyle name="Normal 9" xfId="193" xr:uid="{00000000-0005-0000-0000-0000C2000000}"/>
    <cellStyle name="Normal_2008-2040 FPL Hourly Fcst (Jan2009 Update) JAN1309" xfId="194" xr:uid="{00000000-0005-0000-0000-0000C3000000}"/>
    <cellStyle name="Normal_FC - Supply Only A" xfId="195" xr:uid="{00000000-0005-0000-0000-0000C5000000}"/>
    <cellStyle name="Normal_system average levelized rate" xfId="196" xr:uid="{00000000-0005-0000-0000-0000C6000000}"/>
    <cellStyle name="Note" xfId="197" builtinId="10" customBuiltin="1"/>
    <cellStyle name="Note 2" xfId="198" xr:uid="{00000000-0005-0000-0000-0000C8000000}"/>
    <cellStyle name="Output" xfId="199" builtinId="21" customBuiltin="1"/>
    <cellStyle name="Output 2" xfId="200" xr:uid="{00000000-0005-0000-0000-0000CA000000}"/>
    <cellStyle name="Output Amounts" xfId="201" xr:uid="{00000000-0005-0000-0000-0000CB000000}"/>
    <cellStyle name="Output Column Headings" xfId="202" xr:uid="{00000000-0005-0000-0000-0000CC000000}"/>
    <cellStyle name="Output Line Items" xfId="203" xr:uid="{00000000-0005-0000-0000-0000CD000000}"/>
    <cellStyle name="Output Report Heading" xfId="204" xr:uid="{00000000-0005-0000-0000-0000CE000000}"/>
    <cellStyle name="Output Report Title" xfId="205" xr:uid="{00000000-0005-0000-0000-0000CF000000}"/>
    <cellStyle name="Percent" xfId="206" builtinId="5"/>
    <cellStyle name="Percent [2]" xfId="207" xr:uid="{00000000-0005-0000-0000-0000D1000000}"/>
    <cellStyle name="Percent 2" xfId="208" xr:uid="{00000000-0005-0000-0000-0000D2000000}"/>
    <cellStyle name="Percent 2 2" xfId="209" xr:uid="{00000000-0005-0000-0000-0000D3000000}"/>
    <cellStyle name="Percent 2 3" xfId="231" xr:uid="{2AFF157F-BA35-411C-85C5-3EC5EE6AD9C0}"/>
    <cellStyle name="Percent 3" xfId="210" xr:uid="{00000000-0005-0000-0000-0000D4000000}"/>
    <cellStyle name="Price" xfId="211" xr:uid="{00000000-0005-0000-0000-0000D5000000}"/>
    <cellStyle name="ReportHeader" xfId="212" xr:uid="{00000000-0005-0000-0000-0000D6000000}"/>
    <cellStyle name="ResolvedCell" xfId="237" xr:uid="{97D5F71E-FBEB-491A-A8BF-C95754BA9DC1}"/>
    <cellStyle name="RevList" xfId="213" xr:uid="{00000000-0005-0000-0000-0000D7000000}"/>
    <cellStyle name="Style 1" xfId="214" xr:uid="{00000000-0005-0000-0000-0000D8000000}"/>
    <cellStyle name="Style 1 2" xfId="215" xr:uid="{00000000-0005-0000-0000-0000D9000000}"/>
    <cellStyle name="Style 1 3" xfId="216" xr:uid="{00000000-0005-0000-0000-0000DA000000}"/>
    <cellStyle name="Style 1_MTHLY_MWH_to EOC_AS AVAILABLE" xfId="217" xr:uid="{00000000-0005-0000-0000-0000DB000000}"/>
    <cellStyle name="Subtotal" xfId="218" xr:uid="{00000000-0005-0000-0000-0000DC000000}"/>
    <cellStyle name="Title" xfId="219" builtinId="15" customBuiltin="1"/>
    <cellStyle name="Title 2" xfId="220" xr:uid="{00000000-0005-0000-0000-0000DE000000}"/>
    <cellStyle name="Total" xfId="221" builtinId="25" customBuiltin="1"/>
    <cellStyle name="Total 2" xfId="222" xr:uid="{00000000-0005-0000-0000-0000E0000000}"/>
    <cellStyle name="Unit" xfId="223" xr:uid="{00000000-0005-0000-0000-0000E1000000}"/>
    <cellStyle name="Warning Text" xfId="224" builtinId="11" customBuiltin="1"/>
    <cellStyle name="Warning Text 2" xfId="225" xr:uid="{00000000-0005-0000-0000-0000E3000000}"/>
    <cellStyle name="Yield" xfId="226" xr:uid="{00000000-0005-0000-0000-0000E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"/>
  <sheetViews>
    <sheetView zoomScale="85" workbookViewId="0">
      <selection activeCell="D3" sqref="D3"/>
    </sheetView>
  </sheetViews>
  <sheetFormatPr defaultColWidth="10.28515625" defaultRowHeight="15"/>
  <cols>
    <col min="1" max="1" width="10.28515625" style="3" customWidth="1"/>
    <col min="2" max="2" width="10.28515625" style="4" customWidth="1"/>
    <col min="3" max="3" width="13.5703125" style="4" bestFit="1" customWidth="1"/>
    <col min="4" max="4" width="12" style="4" bestFit="1" customWidth="1"/>
    <col min="5" max="5" width="14.140625" style="4" bestFit="1" customWidth="1"/>
    <col min="6" max="6" width="10.42578125" style="4" bestFit="1" customWidth="1"/>
    <col min="7" max="7" width="10.85546875" style="4" bestFit="1" customWidth="1"/>
    <col min="8" max="8" width="18" style="4" bestFit="1" customWidth="1"/>
    <col min="9" max="9" width="12.140625" style="171" bestFit="1" customWidth="1"/>
    <col min="10" max="10" width="9.42578125" style="171" customWidth="1"/>
    <col min="11" max="11" width="13.5703125" style="4" bestFit="1" customWidth="1"/>
    <col min="12" max="12" width="13.28515625" style="4" bestFit="1" customWidth="1"/>
    <col min="13" max="13" width="17.5703125" style="3" bestFit="1" customWidth="1"/>
    <col min="14" max="14" width="13.140625" style="3" bestFit="1" customWidth="1"/>
    <col min="15" max="15" width="12.28515625" style="3" bestFit="1" customWidth="1"/>
    <col min="16" max="16" width="15.7109375" style="3" bestFit="1" customWidth="1"/>
    <col min="17" max="18" width="15" style="3" bestFit="1" customWidth="1"/>
    <col min="19" max="20" width="16" style="3" bestFit="1" customWidth="1"/>
    <col min="21" max="21" width="16.85546875" style="3" customWidth="1"/>
    <col min="22" max="22" width="5.28515625" style="3" bestFit="1" customWidth="1"/>
    <col min="23" max="23" width="22.140625" style="3" bestFit="1" customWidth="1"/>
    <col min="24" max="24" width="21" style="3" bestFit="1" customWidth="1"/>
    <col min="25" max="25" width="18.5703125" style="183" bestFit="1" customWidth="1"/>
    <col min="26" max="26" width="16.85546875" style="3" customWidth="1"/>
    <col min="27" max="27" width="3.7109375" style="3" customWidth="1"/>
    <col min="28" max="28" width="5.85546875" style="3" bestFit="1" customWidth="1"/>
    <col min="29" max="29" width="14.5703125" style="4" customWidth="1"/>
    <col min="30" max="31" width="14" style="4" bestFit="1" customWidth="1"/>
    <col min="32" max="32" width="13.42578125" style="4" bestFit="1" customWidth="1"/>
    <col min="33" max="16384" width="10.28515625" style="4"/>
  </cols>
  <sheetData>
    <row r="1" spans="1:35">
      <c r="A1" s="198" t="s">
        <v>81</v>
      </c>
    </row>
    <row r="2" spans="1:35">
      <c r="A2" s="198" t="s">
        <v>80</v>
      </c>
    </row>
    <row r="3" spans="1:35" ht="15.75">
      <c r="A3" s="163"/>
      <c r="B3" s="163"/>
      <c r="C3" s="163"/>
      <c r="D3" s="163"/>
      <c r="E3" s="163"/>
      <c r="F3" s="163"/>
      <c r="G3" s="163"/>
      <c r="H3" s="163"/>
      <c r="I3" s="172"/>
      <c r="J3" s="172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20"/>
      <c r="V3" s="20"/>
      <c r="W3" s="20"/>
      <c r="X3" s="20"/>
      <c r="Y3" s="184"/>
      <c r="Z3" s="20"/>
    </row>
    <row r="4" spans="1:35">
      <c r="A4" s="15"/>
    </row>
    <row r="5" spans="1:35" ht="18.75">
      <c r="A5" s="164" t="s">
        <v>52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"/>
      <c r="V5" s="1"/>
      <c r="W5" s="1"/>
      <c r="X5" s="1"/>
      <c r="Y5" s="173"/>
      <c r="Z5" s="1"/>
    </row>
    <row r="6" spans="1:35" ht="18.75">
      <c r="A6" s="1"/>
      <c r="B6" s="1"/>
      <c r="C6" s="1"/>
      <c r="D6" s="1"/>
      <c r="E6" s="1"/>
      <c r="F6" s="1"/>
      <c r="G6" s="1"/>
      <c r="H6" s="60"/>
      <c r="I6" s="173"/>
      <c r="J6" s="17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73"/>
      <c r="Z6" s="1"/>
    </row>
    <row r="7" spans="1:35">
      <c r="B7" s="5"/>
      <c r="C7" s="5"/>
      <c r="D7" s="5"/>
      <c r="E7" s="5"/>
      <c r="F7" s="5"/>
      <c r="G7" s="5"/>
      <c r="H7" s="5"/>
      <c r="I7" s="174"/>
      <c r="J7" s="17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174"/>
      <c r="Z7" s="5"/>
    </row>
    <row r="8" spans="1:35">
      <c r="A8" s="23"/>
      <c r="B8" s="27">
        <v>-1</v>
      </c>
      <c r="C8" s="27">
        <v>-2</v>
      </c>
      <c r="D8" s="97">
        <v>-3</v>
      </c>
      <c r="E8" s="97">
        <v>-4</v>
      </c>
      <c r="F8" s="97">
        <v>-5</v>
      </c>
      <c r="G8" s="24">
        <v>-6</v>
      </c>
      <c r="H8" s="27" t="s">
        <v>58</v>
      </c>
      <c r="I8" s="175">
        <v>-8</v>
      </c>
      <c r="J8" s="175">
        <v>-9</v>
      </c>
      <c r="K8" s="80">
        <v>-10</v>
      </c>
      <c r="L8" s="27" t="s">
        <v>61</v>
      </c>
      <c r="M8" s="24" t="s">
        <v>62</v>
      </c>
      <c r="N8" s="50">
        <v>-13</v>
      </c>
      <c r="O8" s="51">
        <v>-14</v>
      </c>
      <c r="P8" s="27" t="s">
        <v>63</v>
      </c>
      <c r="Q8" s="24" t="s">
        <v>64</v>
      </c>
      <c r="R8" s="27" t="s">
        <v>65</v>
      </c>
      <c r="S8" s="24">
        <v>-18</v>
      </c>
      <c r="T8" s="27" t="s">
        <v>66</v>
      </c>
      <c r="U8" s="5"/>
      <c r="V8" s="5"/>
      <c r="W8" s="5">
        <v>1000000</v>
      </c>
      <c r="X8" s="5"/>
      <c r="Y8" s="174"/>
      <c r="Z8" s="5"/>
      <c r="AB8" s="42"/>
      <c r="AC8" s="39"/>
      <c r="AD8" s="39"/>
      <c r="AE8" s="39"/>
      <c r="AF8" s="40"/>
      <c r="AG8" s="40"/>
    </row>
    <row r="9" spans="1:35">
      <c r="A9" s="25"/>
      <c r="B9" s="90" t="s">
        <v>0</v>
      </c>
      <c r="C9" s="94"/>
      <c r="D9" s="98"/>
      <c r="E9" s="98"/>
      <c r="F9" s="99" t="s">
        <v>36</v>
      </c>
      <c r="H9" s="28" t="s">
        <v>59</v>
      </c>
      <c r="I9" s="176" t="s">
        <v>45</v>
      </c>
      <c r="J9" s="176" t="s">
        <v>42</v>
      </c>
      <c r="K9" s="81" t="s">
        <v>42</v>
      </c>
      <c r="L9" s="28" t="s">
        <v>60</v>
      </c>
      <c r="M9" s="26" t="s">
        <v>0</v>
      </c>
      <c r="N9" s="52"/>
      <c r="O9" s="53"/>
      <c r="P9" s="28" t="s">
        <v>0</v>
      </c>
      <c r="Q9" s="26" t="s">
        <v>19</v>
      </c>
      <c r="R9" s="28" t="s">
        <v>2</v>
      </c>
      <c r="S9" s="26" t="s">
        <v>19</v>
      </c>
      <c r="T9" s="28" t="s">
        <v>2</v>
      </c>
      <c r="W9" s="106"/>
      <c r="X9" s="106"/>
      <c r="Y9" s="185"/>
      <c r="AB9" s="42"/>
      <c r="AC9" s="39"/>
      <c r="AD9" s="39"/>
      <c r="AE9" s="39"/>
      <c r="AF9" s="40"/>
      <c r="AG9" s="40"/>
    </row>
    <row r="10" spans="1:35">
      <c r="A10" s="25"/>
      <c r="B10" s="90" t="s">
        <v>3</v>
      </c>
      <c r="C10" s="28" t="s">
        <v>0</v>
      </c>
      <c r="D10" s="99" t="s">
        <v>36</v>
      </c>
      <c r="E10" s="99" t="s">
        <v>36</v>
      </c>
      <c r="F10" s="99" t="s">
        <v>53</v>
      </c>
      <c r="G10" s="26" t="s">
        <v>4</v>
      </c>
      <c r="H10" s="28" t="s">
        <v>47</v>
      </c>
      <c r="I10" s="176" t="s">
        <v>46</v>
      </c>
      <c r="J10" s="176" t="s">
        <v>36</v>
      </c>
      <c r="K10" s="81" t="s">
        <v>8</v>
      </c>
      <c r="L10" s="28" t="s">
        <v>0</v>
      </c>
      <c r="M10" s="26" t="s">
        <v>20</v>
      </c>
      <c r="N10" s="52" t="s">
        <v>0</v>
      </c>
      <c r="O10" s="42" t="s">
        <v>0</v>
      </c>
      <c r="P10" s="28" t="s">
        <v>32</v>
      </c>
      <c r="Q10" s="26" t="s">
        <v>0</v>
      </c>
      <c r="R10" s="28" t="s">
        <v>0</v>
      </c>
      <c r="S10" s="26" t="s">
        <v>21</v>
      </c>
      <c r="T10" s="28" t="s">
        <v>21</v>
      </c>
      <c r="W10" s="53"/>
      <c r="X10" s="3" t="s">
        <v>39</v>
      </c>
      <c r="AB10" s="42"/>
      <c r="AC10" s="42"/>
      <c r="AD10" s="39"/>
      <c r="AE10" s="40"/>
      <c r="AF10" s="42"/>
      <c r="AG10" s="40"/>
      <c r="AH10" s="16"/>
      <c r="AI10" s="16"/>
    </row>
    <row r="11" spans="1:35" ht="15.75" thickBot="1">
      <c r="A11" s="25"/>
      <c r="B11" s="90" t="s">
        <v>22</v>
      </c>
      <c r="C11" s="28" t="s">
        <v>28</v>
      </c>
      <c r="D11" s="99" t="s">
        <v>43</v>
      </c>
      <c r="E11" s="99" t="s">
        <v>44</v>
      </c>
      <c r="F11" s="99" t="s">
        <v>51</v>
      </c>
      <c r="G11" s="26" t="s">
        <v>29</v>
      </c>
      <c r="H11" s="28" t="s">
        <v>29</v>
      </c>
      <c r="I11" s="176" t="s">
        <v>10</v>
      </c>
      <c r="J11" s="176" t="s">
        <v>10</v>
      </c>
      <c r="K11" s="81" t="s">
        <v>10</v>
      </c>
      <c r="L11" s="28" t="s">
        <v>34</v>
      </c>
      <c r="M11" s="26" t="s">
        <v>23</v>
      </c>
      <c r="N11" s="52" t="s">
        <v>30</v>
      </c>
      <c r="O11" s="42" t="s">
        <v>31</v>
      </c>
      <c r="P11" s="28" t="s">
        <v>33</v>
      </c>
      <c r="Q11" s="26" t="s">
        <v>24</v>
      </c>
      <c r="R11" s="28" t="s">
        <v>24</v>
      </c>
      <c r="S11" s="26" t="s">
        <v>25</v>
      </c>
      <c r="T11" s="28" t="s">
        <v>25</v>
      </c>
      <c r="W11" s="3" t="s">
        <v>37</v>
      </c>
      <c r="X11" s="3" t="s">
        <v>40</v>
      </c>
      <c r="AB11" s="42"/>
      <c r="AC11" s="40"/>
      <c r="AD11" s="40"/>
      <c r="AE11" s="40"/>
      <c r="AF11" s="42"/>
      <c r="AG11" s="40"/>
      <c r="AH11" s="16"/>
      <c r="AI11" s="16"/>
    </row>
    <row r="12" spans="1:35" ht="15.75" thickBot="1">
      <c r="A12" s="31" t="s">
        <v>13</v>
      </c>
      <c r="B12" s="91">
        <f>'Fixed Costs - Supply Only'!$C$9</f>
        <v>8.1438910919999996E-2</v>
      </c>
      <c r="C12" s="37" t="s">
        <v>17</v>
      </c>
      <c r="D12" s="100" t="s">
        <v>17</v>
      </c>
      <c r="E12" s="100" t="s">
        <v>17</v>
      </c>
      <c r="F12" s="100" t="s">
        <v>17</v>
      </c>
      <c r="G12" s="36" t="s">
        <v>17</v>
      </c>
      <c r="H12" s="37" t="s">
        <v>17</v>
      </c>
      <c r="I12" s="177" t="s">
        <v>17</v>
      </c>
      <c r="J12" s="177" t="s">
        <v>17</v>
      </c>
      <c r="K12" s="82" t="s">
        <v>17</v>
      </c>
      <c r="L12" s="37" t="s">
        <v>17</v>
      </c>
      <c r="M12" s="36" t="s">
        <v>17</v>
      </c>
      <c r="N12" s="54" t="s">
        <v>26</v>
      </c>
      <c r="O12" s="55" t="s">
        <v>26</v>
      </c>
      <c r="P12" s="32" t="s">
        <v>26</v>
      </c>
      <c r="Q12" s="33" t="s">
        <v>27</v>
      </c>
      <c r="R12" s="32" t="s">
        <v>27</v>
      </c>
      <c r="S12" s="33" t="s">
        <v>27</v>
      </c>
      <c r="T12" s="32" t="s">
        <v>27</v>
      </c>
      <c r="U12" s="6"/>
      <c r="V12" s="6" t="s">
        <v>13</v>
      </c>
      <c r="W12" s="6" t="s">
        <v>38</v>
      </c>
      <c r="X12" s="6" t="s">
        <v>41</v>
      </c>
      <c r="Y12" s="186" t="s">
        <v>1</v>
      </c>
      <c r="Z12" s="6"/>
      <c r="AB12" s="42"/>
      <c r="AC12" s="42"/>
      <c r="AD12" s="42"/>
      <c r="AE12" s="40"/>
      <c r="AF12" s="42"/>
      <c r="AG12" s="40"/>
      <c r="AH12" s="16"/>
      <c r="AI12" s="16"/>
    </row>
    <row r="13" spans="1:35" ht="15.75" thickTop="1">
      <c r="A13" s="29">
        <v>2024</v>
      </c>
      <c r="B13" s="92">
        <v>1</v>
      </c>
      <c r="C13" s="34">
        <f>'Fixed Costs - Supply Only'!L10*1000</f>
        <v>2699850.0000000005</v>
      </c>
      <c r="D13" s="101">
        <v>0</v>
      </c>
      <c r="E13" s="101">
        <v>0</v>
      </c>
      <c r="F13" s="101">
        <v>0</v>
      </c>
      <c r="G13" s="34">
        <f>'Fixed Costs - Supply Only'!G10*1000</f>
        <v>172690</v>
      </c>
      <c r="H13" s="38">
        <f t="shared" ref="H13:H59" si="0">SUM(D13:G13)</f>
        <v>172690</v>
      </c>
      <c r="I13" s="178">
        <f>X13/1000</f>
        <v>109833.20258635563</v>
      </c>
      <c r="J13" s="178">
        <f>W13/1000</f>
        <v>29443.389429999999</v>
      </c>
      <c r="K13" s="83">
        <v>10859878.200178469</v>
      </c>
      <c r="L13" s="34">
        <f>SUM(I13:K13)</f>
        <v>10999154.792194825</v>
      </c>
      <c r="M13" s="34">
        <f t="shared" ref="M13:M59" si="1">C13+H13+L13</f>
        <v>13871694.792194825</v>
      </c>
      <c r="N13" s="34">
        <f>NEL!B6/1000</f>
        <v>140469.03977881325</v>
      </c>
      <c r="O13" s="89">
        <v>113.16277017307091</v>
      </c>
      <c r="P13" s="34">
        <f t="shared" ref="P13:P42" si="2">N13-O13</f>
        <v>140355.87700864018</v>
      </c>
      <c r="Q13" s="58">
        <f t="shared" ref="Q13:Q42" si="3">(M13/P13)/10</f>
        <v>9.883230462334609</v>
      </c>
      <c r="R13" s="30">
        <f t="shared" ref="R13:R59" si="4">Q13*B13</f>
        <v>9.883230462334609</v>
      </c>
      <c r="S13" s="103">
        <v>14.836592723215446</v>
      </c>
      <c r="T13" s="35">
        <f t="shared" ref="T13:T59" si="5">S13*B13</f>
        <v>14.836592723215446</v>
      </c>
      <c r="U13" s="111"/>
      <c r="V13" s="57">
        <f t="shared" ref="V13:V59" si="6">A13</f>
        <v>2024</v>
      </c>
      <c r="W13" s="17">
        <v>29443389.43</v>
      </c>
      <c r="X13" s="93">
        <v>109833202.58635563</v>
      </c>
      <c r="Y13" s="187">
        <f>W13+X13</f>
        <v>139276592.01635563</v>
      </c>
      <c r="Z13" s="14"/>
      <c r="AB13" s="42"/>
      <c r="AC13" s="42"/>
      <c r="AD13" s="41"/>
      <c r="AE13" s="40"/>
      <c r="AF13" s="43"/>
      <c r="AG13" s="40"/>
      <c r="AH13" s="16"/>
      <c r="AI13" s="16"/>
    </row>
    <row r="14" spans="1:35">
      <c r="A14" s="29">
        <f t="shared" ref="A14:A59" si="7">A13+1</f>
        <v>2025</v>
      </c>
      <c r="B14" s="92">
        <f t="shared" ref="B14:B42" si="8">B13/(1+$B$12)</f>
        <v>0.92469393314993775</v>
      </c>
      <c r="C14" s="34">
        <f>'Fixed Costs - Supply Only'!L11*1000</f>
        <v>2848020</v>
      </c>
      <c r="D14" s="101">
        <v>0</v>
      </c>
      <c r="E14" s="101">
        <v>0</v>
      </c>
      <c r="F14" s="101">
        <v>0</v>
      </c>
      <c r="G14" s="34">
        <f>'Fixed Costs - Supply Only'!G11*1000</f>
        <v>365030.00000000006</v>
      </c>
      <c r="H14" s="38">
        <f t="shared" si="0"/>
        <v>365030.00000000006</v>
      </c>
      <c r="I14" s="178">
        <f t="shared" ref="I14:I47" si="9">X14/1000</f>
        <v>109833.20258635563</v>
      </c>
      <c r="J14" s="178">
        <f>W14/1000</f>
        <v>29443.389429999999</v>
      </c>
      <c r="K14" s="83">
        <v>11202336.756806841</v>
      </c>
      <c r="L14" s="34">
        <f t="shared" ref="L14:L42" si="10">SUM(I14:K14)</f>
        <v>11341613.348823197</v>
      </c>
      <c r="M14" s="34">
        <f t="shared" si="1"/>
        <v>14554663.348823197</v>
      </c>
      <c r="N14" s="34">
        <f>NEL!B7/1000</f>
        <v>141760.59545007616</v>
      </c>
      <c r="O14" s="89">
        <f>O13</f>
        <v>113.16277017307091</v>
      </c>
      <c r="P14" s="34">
        <f t="shared" si="2"/>
        <v>141647.43267990308</v>
      </c>
      <c r="Q14" s="58">
        <f t="shared" si="3"/>
        <v>10.275275078027031</v>
      </c>
      <c r="R14" s="30">
        <f t="shared" si="4"/>
        <v>9.5014845260983485</v>
      </c>
      <c r="S14" s="56">
        <f t="shared" ref="S14:S39" si="11">S13</f>
        <v>14.836592723215446</v>
      </c>
      <c r="T14" s="35">
        <f t="shared" si="5"/>
        <v>13.719307279773837</v>
      </c>
      <c r="U14" s="111"/>
      <c r="V14" s="57">
        <f t="shared" si="6"/>
        <v>2025</v>
      </c>
      <c r="W14" s="17">
        <v>29443389.43</v>
      </c>
      <c r="X14" s="93">
        <v>109833202.58635563</v>
      </c>
      <c r="Y14" s="187">
        <f t="shared" ref="Y14:Y53" si="12">W14+X14</f>
        <v>139276592.01635563</v>
      </c>
      <c r="Z14" s="14"/>
      <c r="AB14" s="42"/>
      <c r="AC14" s="43"/>
      <c r="AD14" s="43"/>
      <c r="AE14" s="40"/>
      <c r="AF14" s="42"/>
      <c r="AG14" s="40"/>
      <c r="AH14" s="16"/>
      <c r="AI14" s="16"/>
    </row>
    <row r="15" spans="1:35">
      <c r="A15" s="29">
        <f t="shared" si="7"/>
        <v>2026</v>
      </c>
      <c r="B15" s="92">
        <f t="shared" si="8"/>
        <v>0.85505887000430159</v>
      </c>
      <c r="C15" s="34">
        <f>'Fixed Costs - Supply Only'!L12*1000</f>
        <v>2961460</v>
      </c>
      <c r="D15" s="101">
        <v>0</v>
      </c>
      <c r="E15" s="101">
        <v>0</v>
      </c>
      <c r="F15" s="101">
        <v>0</v>
      </c>
      <c r="G15" s="34">
        <f>'Fixed Costs - Supply Only'!G12*1000</f>
        <v>1002080</v>
      </c>
      <c r="H15" s="38">
        <f t="shared" si="0"/>
        <v>1002080</v>
      </c>
      <c r="I15" s="178">
        <f t="shared" si="9"/>
        <v>108069.33106244942</v>
      </c>
      <c r="J15" s="178">
        <f t="shared" ref="J15:J21" si="13">W15/1000</f>
        <v>29443.389429999999</v>
      </c>
      <c r="K15" s="83">
        <v>12157659.839351771</v>
      </c>
      <c r="L15" s="34">
        <f t="shared" si="10"/>
        <v>12295172.55984422</v>
      </c>
      <c r="M15" s="34">
        <f t="shared" si="1"/>
        <v>16258712.55984422</v>
      </c>
      <c r="N15" s="34">
        <f>NEL!B8/1000</f>
        <v>142991.00188578918</v>
      </c>
      <c r="O15" s="34">
        <f t="shared" ref="O15:O59" si="14">O14</f>
        <v>113.16277017307091</v>
      </c>
      <c r="P15" s="34">
        <f t="shared" si="2"/>
        <v>142877.83911561611</v>
      </c>
      <c r="Q15" s="58">
        <f t="shared" si="3"/>
        <v>11.379450207591495</v>
      </c>
      <c r="R15" s="30">
        <f t="shared" si="4"/>
        <v>9.7300998357733981</v>
      </c>
      <c r="S15" s="56">
        <f t="shared" si="11"/>
        <v>14.836592723215446</v>
      </c>
      <c r="T15" s="35">
        <f t="shared" si="5"/>
        <v>12.686160208626642</v>
      </c>
      <c r="U15" s="111"/>
      <c r="V15" s="57">
        <f t="shared" si="6"/>
        <v>2026</v>
      </c>
      <c r="W15" s="17">
        <v>29443389.43</v>
      </c>
      <c r="X15" s="93">
        <v>108069331.06244943</v>
      </c>
      <c r="Y15" s="187">
        <f t="shared" si="12"/>
        <v>137512720.49244943</v>
      </c>
      <c r="Z15" s="14"/>
      <c r="AB15" s="42"/>
      <c r="AC15" s="44"/>
      <c r="AD15" s="45"/>
      <c r="AE15" s="45"/>
      <c r="AF15" s="42"/>
      <c r="AG15" s="42"/>
      <c r="AH15" s="16"/>
      <c r="AI15" s="16"/>
    </row>
    <row r="16" spans="1:35">
      <c r="A16" s="29">
        <f t="shared" si="7"/>
        <v>2027</v>
      </c>
      <c r="B16" s="92">
        <f t="shared" si="8"/>
        <v>0.79066774957901897</v>
      </c>
      <c r="C16" s="34">
        <f>'Fixed Costs - Supply Only'!L13*1000</f>
        <v>2540160.0000000005</v>
      </c>
      <c r="D16" s="101">
        <v>0</v>
      </c>
      <c r="E16" s="101">
        <v>0</v>
      </c>
      <c r="F16" s="101">
        <v>0</v>
      </c>
      <c r="G16" s="34">
        <f>'Fixed Costs - Supply Only'!G13*1000</f>
        <v>1518440</v>
      </c>
      <c r="H16" s="38">
        <f t="shared" si="0"/>
        <v>1518440</v>
      </c>
      <c r="I16" s="178">
        <f t="shared" si="9"/>
        <v>105441.0569985039</v>
      </c>
      <c r="J16" s="178">
        <f t="shared" si="13"/>
        <v>29443.389429999999</v>
      </c>
      <c r="K16" s="83">
        <v>12794985.855433038</v>
      </c>
      <c r="L16" s="34">
        <f t="shared" si="10"/>
        <v>12929870.301861541</v>
      </c>
      <c r="M16" s="34">
        <f t="shared" si="1"/>
        <v>16988470.301861543</v>
      </c>
      <c r="N16" s="34">
        <f>NEL!B9/1000</f>
        <v>144052.94912134702</v>
      </c>
      <c r="O16" s="34">
        <f t="shared" si="14"/>
        <v>113.16277017307091</v>
      </c>
      <c r="P16" s="34">
        <f t="shared" si="2"/>
        <v>143939.78635117394</v>
      </c>
      <c r="Q16" s="58">
        <f t="shared" si="3"/>
        <v>11.802484033437631</v>
      </c>
      <c r="R16" s="30">
        <f t="shared" si="4"/>
        <v>9.3318434901604341</v>
      </c>
      <c r="S16" s="56">
        <f t="shared" si="11"/>
        <v>14.836592723215446</v>
      </c>
      <c r="T16" s="35">
        <f t="shared" si="5"/>
        <v>11.730815379885206</v>
      </c>
      <c r="U16" s="111"/>
      <c r="V16" s="57">
        <f t="shared" si="6"/>
        <v>2027</v>
      </c>
      <c r="W16" s="17">
        <v>29443389.43</v>
      </c>
      <c r="X16" s="93">
        <v>105441056.99850391</v>
      </c>
      <c r="Y16" s="187">
        <f t="shared" si="12"/>
        <v>134884446.4285039</v>
      </c>
      <c r="Z16" s="14"/>
      <c r="AB16" s="42"/>
      <c r="AC16" s="40"/>
      <c r="AD16" s="46"/>
      <c r="AE16" s="47"/>
      <c r="AF16" s="43"/>
      <c r="AG16" s="48"/>
      <c r="AH16" s="16"/>
      <c r="AI16" s="16"/>
    </row>
    <row r="17" spans="1:35">
      <c r="A17" s="29">
        <f t="shared" si="7"/>
        <v>2028</v>
      </c>
      <c r="B17" s="92">
        <f t="shared" si="8"/>
        <v>0.73112567117303318</v>
      </c>
      <c r="C17" s="34">
        <f>'Fixed Costs - Supply Only'!L14*1000</f>
        <v>2362319.9999999995</v>
      </c>
      <c r="D17" s="101">
        <v>0</v>
      </c>
      <c r="E17" s="101">
        <v>0</v>
      </c>
      <c r="F17" s="101">
        <v>0</v>
      </c>
      <c r="G17" s="34">
        <f>'Fixed Costs - Supply Only'!G14*1000</f>
        <v>2000230</v>
      </c>
      <c r="H17" s="38">
        <f t="shared" si="0"/>
        <v>2000230</v>
      </c>
      <c r="I17" s="178">
        <f t="shared" si="9"/>
        <v>103039.06773616</v>
      </c>
      <c r="J17" s="178">
        <f t="shared" si="13"/>
        <v>29443.389429999999</v>
      </c>
      <c r="K17" s="83">
        <v>13073195.357879939</v>
      </c>
      <c r="L17" s="34">
        <f t="shared" si="10"/>
        <v>13205677.815046098</v>
      </c>
      <c r="M17" s="34">
        <f t="shared" si="1"/>
        <v>17568227.815046098</v>
      </c>
      <c r="N17" s="34">
        <f>NEL!B10/1000</f>
        <v>145101.0749486612</v>
      </c>
      <c r="O17" s="34">
        <f t="shared" si="14"/>
        <v>113.16277017307091</v>
      </c>
      <c r="P17" s="34">
        <f t="shared" si="2"/>
        <v>144987.91217848813</v>
      </c>
      <c r="Q17" s="58">
        <f t="shared" si="3"/>
        <v>12.117029310290805</v>
      </c>
      <c r="R17" s="30">
        <f t="shared" si="4"/>
        <v>8.8590711871096808</v>
      </c>
      <c r="S17" s="56">
        <f t="shared" si="11"/>
        <v>14.836592723215446</v>
      </c>
      <c r="T17" s="35">
        <f t="shared" si="5"/>
        <v>10.847413812681832</v>
      </c>
      <c r="U17" s="111"/>
      <c r="V17" s="57">
        <f t="shared" si="6"/>
        <v>2028</v>
      </c>
      <c r="W17" s="17">
        <v>29443389.43</v>
      </c>
      <c r="X17" s="93">
        <v>103039067.73616</v>
      </c>
      <c r="Y17" s="187">
        <f t="shared" si="12"/>
        <v>132482457.16615999</v>
      </c>
      <c r="Z17" s="14"/>
      <c r="AB17" s="42"/>
      <c r="AC17" s="40"/>
      <c r="AD17" s="40"/>
      <c r="AE17" s="40"/>
      <c r="AF17" s="43"/>
      <c r="AG17" s="49"/>
      <c r="AH17" s="16"/>
      <c r="AI17" s="16"/>
    </row>
    <row r="18" spans="1:35">
      <c r="A18" s="29">
        <f t="shared" si="7"/>
        <v>2029</v>
      </c>
      <c r="B18" s="92">
        <f t="shared" si="8"/>
        <v>0.67606747250388011</v>
      </c>
      <c r="C18" s="34">
        <f>'Fixed Costs - Supply Only'!L15*1000</f>
        <v>2090560</v>
      </c>
      <c r="D18" s="101">
        <v>0</v>
      </c>
      <c r="E18" s="101">
        <v>0</v>
      </c>
      <c r="F18" s="101">
        <v>0</v>
      </c>
      <c r="G18" s="34">
        <f>'Fixed Costs - Supply Only'!G15*1000</f>
        <v>2470100.0000000005</v>
      </c>
      <c r="H18" s="38">
        <f t="shared" si="0"/>
        <v>2470100.0000000005</v>
      </c>
      <c r="I18" s="178">
        <f t="shared" si="9"/>
        <v>101615.29457392643</v>
      </c>
      <c r="J18" s="178">
        <f t="shared" si="13"/>
        <v>29443.389429999999</v>
      </c>
      <c r="K18" s="83">
        <v>13452685.131728483</v>
      </c>
      <c r="L18" s="34">
        <f t="shared" si="10"/>
        <v>13583743.81573241</v>
      </c>
      <c r="M18" s="34">
        <f t="shared" si="1"/>
        <v>18144403.815732412</v>
      </c>
      <c r="N18" s="34">
        <f>NEL!B11/1000</f>
        <v>146550.77966747939</v>
      </c>
      <c r="O18" s="34">
        <f t="shared" si="14"/>
        <v>113.16277017307091</v>
      </c>
      <c r="P18" s="34">
        <f t="shared" si="2"/>
        <v>146437.61689730632</v>
      </c>
      <c r="Q18" s="58">
        <f t="shared" si="3"/>
        <v>12.390534754780056</v>
      </c>
      <c r="R18" s="30">
        <f t="shared" si="4"/>
        <v>8.3768375146356355</v>
      </c>
      <c r="S18" s="56">
        <f t="shared" si="11"/>
        <v>14.836592723215446</v>
      </c>
      <c r="T18" s="35">
        <f t="shared" si="5"/>
        <v>10.030537742953726</v>
      </c>
      <c r="U18" s="111"/>
      <c r="V18" s="57">
        <f t="shared" si="6"/>
        <v>2029</v>
      </c>
      <c r="W18" s="17">
        <v>29443389.43</v>
      </c>
      <c r="X18" s="93">
        <v>101615294.57392642</v>
      </c>
      <c r="Y18" s="187">
        <f t="shared" si="12"/>
        <v>131058684.00392643</v>
      </c>
      <c r="Z18" s="14"/>
      <c r="AB18" s="42"/>
      <c r="AC18" s="44"/>
      <c r="AD18" s="46"/>
      <c r="AE18" s="40"/>
      <c r="AF18" s="43"/>
      <c r="AG18" s="42"/>
    </row>
    <row r="19" spans="1:35">
      <c r="A19" s="29">
        <f t="shared" si="7"/>
        <v>2030</v>
      </c>
      <c r="B19" s="92">
        <f t="shared" si="8"/>
        <v>0.62515549022435035</v>
      </c>
      <c r="C19" s="34">
        <f>'Fixed Costs - Supply Only'!L16*1000</f>
        <v>1575409.9999999998</v>
      </c>
      <c r="D19" s="101">
        <v>0</v>
      </c>
      <c r="E19" s="101">
        <v>0</v>
      </c>
      <c r="F19" s="101">
        <v>0</v>
      </c>
      <c r="G19" s="34">
        <f>'Fixed Costs - Supply Only'!G16*1000</f>
        <v>2883600</v>
      </c>
      <c r="H19" s="38">
        <f t="shared" si="0"/>
        <v>2883600</v>
      </c>
      <c r="I19" s="178">
        <f t="shared" si="9"/>
        <v>101036.92966930001</v>
      </c>
      <c r="J19" s="178">
        <f t="shared" si="13"/>
        <v>29443.389429999999</v>
      </c>
      <c r="K19" s="83">
        <v>13835256.619957393</v>
      </c>
      <c r="L19" s="34">
        <f t="shared" si="10"/>
        <v>13965736.939056693</v>
      </c>
      <c r="M19" s="34">
        <f t="shared" si="1"/>
        <v>18424746.939056695</v>
      </c>
      <c r="N19" s="34">
        <f>NEL!B12/1000</f>
        <v>148289.96700672709</v>
      </c>
      <c r="O19" s="34">
        <f t="shared" si="14"/>
        <v>113.16277017307091</v>
      </c>
      <c r="P19" s="34">
        <f t="shared" si="2"/>
        <v>148176.80423655402</v>
      </c>
      <c r="Q19" s="58">
        <f t="shared" si="3"/>
        <v>12.434299034849518</v>
      </c>
      <c r="R19" s="30">
        <f t="shared" si="4"/>
        <v>7.7733703087275172</v>
      </c>
      <c r="S19" s="56">
        <f t="shared" si="11"/>
        <v>14.836592723215446</v>
      </c>
      <c r="T19" s="35">
        <f t="shared" si="5"/>
        <v>9.2751773971407818</v>
      </c>
      <c r="U19" s="111"/>
      <c r="V19" s="57">
        <f t="shared" si="6"/>
        <v>2030</v>
      </c>
      <c r="W19" s="17">
        <v>29443389.43</v>
      </c>
      <c r="X19" s="93">
        <v>101036929.6693</v>
      </c>
      <c r="Y19" s="187">
        <f t="shared" si="12"/>
        <v>130480319.0993</v>
      </c>
      <c r="Z19" s="14"/>
      <c r="AB19" s="42"/>
      <c r="AC19" s="44"/>
      <c r="AD19" s="45"/>
      <c r="AE19" s="45"/>
      <c r="AF19" s="42"/>
      <c r="AG19" s="42"/>
    </row>
    <row r="20" spans="1:35">
      <c r="A20" s="29">
        <f t="shared" si="7"/>
        <v>2031</v>
      </c>
      <c r="B20" s="92">
        <f t="shared" si="8"/>
        <v>0.57807748908583201</v>
      </c>
      <c r="C20" s="34">
        <f>'Fixed Costs - Supply Only'!L17*1000</f>
        <v>1185080</v>
      </c>
      <c r="D20" s="101">
        <v>0</v>
      </c>
      <c r="E20" s="101">
        <v>0</v>
      </c>
      <c r="F20" s="101">
        <v>0</v>
      </c>
      <c r="G20" s="34">
        <f>'Fixed Costs - Supply Only'!G17*1000</f>
        <v>3299350</v>
      </c>
      <c r="H20" s="38">
        <f t="shared" si="0"/>
        <v>3299350</v>
      </c>
      <c r="I20" s="178">
        <f t="shared" si="9"/>
        <v>100732.67918416049</v>
      </c>
      <c r="J20" s="178">
        <f t="shared" si="13"/>
        <v>29443.389429999999</v>
      </c>
      <c r="K20" s="83">
        <v>14250744.92000314</v>
      </c>
      <c r="L20" s="34">
        <f t="shared" si="10"/>
        <v>14380920.988617301</v>
      </c>
      <c r="M20" s="34">
        <f t="shared" si="1"/>
        <v>18865350.988617301</v>
      </c>
      <c r="N20" s="34">
        <f>NEL!B13/1000</f>
        <v>149577.66103711218</v>
      </c>
      <c r="O20" s="34">
        <f t="shared" si="14"/>
        <v>113.16277017307091</v>
      </c>
      <c r="P20" s="34">
        <f t="shared" si="2"/>
        <v>149464.4982669391</v>
      </c>
      <c r="Q20" s="58">
        <f t="shared" si="3"/>
        <v>12.621961206415955</v>
      </c>
      <c r="R20" s="30">
        <f t="shared" si="4"/>
        <v>7.2964716415437145</v>
      </c>
      <c r="S20" s="56">
        <f t="shared" si="11"/>
        <v>14.836592723215446</v>
      </c>
      <c r="T20" s="35">
        <f t="shared" si="5"/>
        <v>8.5767002680255118</v>
      </c>
      <c r="U20" s="111"/>
      <c r="V20" s="57">
        <f t="shared" si="6"/>
        <v>2031</v>
      </c>
      <c r="W20" s="17">
        <v>29443389.43</v>
      </c>
      <c r="X20" s="93">
        <v>100732679.18416049</v>
      </c>
      <c r="Y20" s="187">
        <f t="shared" si="12"/>
        <v>130176068.61416048</v>
      </c>
      <c r="Z20" s="14"/>
      <c r="AB20" s="42"/>
      <c r="AC20" s="47"/>
      <c r="AD20" s="46"/>
      <c r="AE20" s="40"/>
      <c r="AF20" s="43"/>
      <c r="AG20" s="48"/>
    </row>
    <row r="21" spans="1:35">
      <c r="A21" s="29">
        <f t="shared" si="7"/>
        <v>2032</v>
      </c>
      <c r="B21" s="92">
        <f t="shared" si="8"/>
        <v>0.53454474704821819</v>
      </c>
      <c r="C21" s="34">
        <f>'Fixed Costs - Supply Only'!L18*1000</f>
        <v>936640.00000000023</v>
      </c>
      <c r="D21" s="101">
        <v>0</v>
      </c>
      <c r="E21" s="101">
        <v>0</v>
      </c>
      <c r="F21" s="101">
        <v>0</v>
      </c>
      <c r="G21" s="34">
        <f>'Fixed Costs - Supply Only'!G18*1000</f>
        <v>3710649.9999999995</v>
      </c>
      <c r="H21" s="38">
        <f t="shared" si="0"/>
        <v>3710649.9999999995</v>
      </c>
      <c r="I21" s="178">
        <f t="shared" si="9"/>
        <v>100426.75725183728</v>
      </c>
      <c r="J21" s="178">
        <f t="shared" si="13"/>
        <v>29443.389429999999</v>
      </c>
      <c r="K21" s="83">
        <v>14703480.850589929</v>
      </c>
      <c r="L21" s="34">
        <f t="shared" si="10"/>
        <v>14833350.997271767</v>
      </c>
      <c r="M21" s="34">
        <f t="shared" si="1"/>
        <v>19480640.997271769</v>
      </c>
      <c r="N21" s="34">
        <f>NEL!B14/1000</f>
        <v>151677.42700159541</v>
      </c>
      <c r="O21" s="34">
        <f t="shared" si="14"/>
        <v>113.16277017307091</v>
      </c>
      <c r="P21" s="34">
        <f t="shared" si="2"/>
        <v>151564.26423142233</v>
      </c>
      <c r="Q21" s="58">
        <f t="shared" si="3"/>
        <v>12.853056817883484</v>
      </c>
      <c r="R21" s="30">
        <f t="shared" si="4"/>
        <v>6.8705340055119031</v>
      </c>
      <c r="S21" s="56">
        <f t="shared" si="11"/>
        <v>14.836592723215446</v>
      </c>
      <c r="T21" s="35">
        <f t="shared" si="5"/>
        <v>7.9308227042886354</v>
      </c>
      <c r="U21" s="111"/>
      <c r="V21" s="57">
        <f t="shared" si="6"/>
        <v>2032</v>
      </c>
      <c r="W21" s="17">
        <v>29443389.43</v>
      </c>
      <c r="X21" s="93">
        <v>100426757.25183728</v>
      </c>
      <c r="Y21" s="187">
        <f t="shared" si="12"/>
        <v>129870146.68183729</v>
      </c>
      <c r="Z21" s="14"/>
      <c r="AB21" s="42"/>
      <c r="AC21" s="40"/>
      <c r="AD21" s="40"/>
      <c r="AE21" s="40"/>
      <c r="AF21" s="43"/>
      <c r="AG21" s="49"/>
    </row>
    <row r="22" spans="1:35">
      <c r="A22" s="29">
        <f t="shared" si="7"/>
        <v>2033</v>
      </c>
      <c r="B22" s="92">
        <f t="shared" si="8"/>
        <v>0.4942902845926555</v>
      </c>
      <c r="C22" s="34">
        <f>'Fixed Costs - Supply Only'!L19*1000</f>
        <v>731059.99999999988</v>
      </c>
      <c r="D22" s="101">
        <v>0</v>
      </c>
      <c r="E22" s="101">
        <v>0</v>
      </c>
      <c r="F22" s="101">
        <v>0</v>
      </c>
      <c r="G22" s="34">
        <f>'Fixed Costs - Supply Only'!G19*1000</f>
        <v>4287900</v>
      </c>
      <c r="H22" s="38">
        <f t="shared" si="0"/>
        <v>4287900</v>
      </c>
      <c r="I22" s="178">
        <f t="shared" si="9"/>
        <v>100119.06755659597</v>
      </c>
      <c r="J22" s="178">
        <f t="shared" ref="J22:J42" si="15">W22/1000</f>
        <v>29443.389429999999</v>
      </c>
      <c r="K22" s="83">
        <v>15205712.264756653</v>
      </c>
      <c r="L22" s="34">
        <f t="shared" si="10"/>
        <v>15335274.72174325</v>
      </c>
      <c r="M22" s="34">
        <f t="shared" si="1"/>
        <v>20354234.721743248</v>
      </c>
      <c r="N22" s="34">
        <f>NEL!B15/1000</f>
        <v>153686.05484132862</v>
      </c>
      <c r="O22" s="34">
        <f t="shared" si="14"/>
        <v>113.16277017307091</v>
      </c>
      <c r="P22" s="34">
        <f t="shared" si="2"/>
        <v>153572.89207115554</v>
      </c>
      <c r="Q22" s="58">
        <f t="shared" si="3"/>
        <v>13.253793978375063</v>
      </c>
      <c r="R22" s="30">
        <f t="shared" si="4"/>
        <v>6.5512215975034334</v>
      </c>
      <c r="S22" s="56">
        <f t="shared" si="11"/>
        <v>14.836592723215446</v>
      </c>
      <c r="T22" s="35">
        <f t="shared" si="5"/>
        <v>7.3335836395434848</v>
      </c>
      <c r="U22" s="111"/>
      <c r="V22" s="57">
        <f t="shared" si="6"/>
        <v>2033</v>
      </c>
      <c r="W22" s="17">
        <v>29443389.43</v>
      </c>
      <c r="X22" s="93">
        <v>100119067.55659597</v>
      </c>
      <c r="Y22" s="187">
        <f t="shared" si="12"/>
        <v>129562456.98659596</v>
      </c>
      <c r="Z22" s="14"/>
      <c r="AB22" s="42"/>
      <c r="AC22" s="40"/>
      <c r="AD22" s="40"/>
      <c r="AE22" s="40"/>
      <c r="AF22" s="40"/>
      <c r="AG22" s="40"/>
    </row>
    <row r="23" spans="1:35">
      <c r="A23" s="29">
        <f t="shared" si="7"/>
        <v>2034</v>
      </c>
      <c r="B23" s="92">
        <f t="shared" si="8"/>
        <v>0.45706722737778471</v>
      </c>
      <c r="C23" s="34">
        <f>'Fixed Costs - Supply Only'!L20*1000</f>
        <v>954850</v>
      </c>
      <c r="D23" s="101">
        <v>0</v>
      </c>
      <c r="E23" s="101">
        <v>0</v>
      </c>
      <c r="F23" s="101">
        <v>0</v>
      </c>
      <c r="G23" s="34">
        <f>'Fixed Costs - Supply Only'!G20*1000</f>
        <v>4507900</v>
      </c>
      <c r="H23" s="38">
        <f t="shared" si="0"/>
        <v>4507900</v>
      </c>
      <c r="I23" s="178">
        <f t="shared" si="9"/>
        <v>99809.336921768365</v>
      </c>
      <c r="J23" s="178">
        <f t="shared" si="15"/>
        <v>29443.389429999999</v>
      </c>
      <c r="K23" s="83">
        <v>15755980.331482695</v>
      </c>
      <c r="L23" s="34">
        <f t="shared" si="10"/>
        <v>15885233.057834463</v>
      </c>
      <c r="M23" s="34">
        <f t="shared" si="1"/>
        <v>21347983.057834461</v>
      </c>
      <c r="N23" s="34">
        <f>NEL!B16/1000</f>
        <v>155677.52606339942</v>
      </c>
      <c r="O23" s="34">
        <f t="shared" si="14"/>
        <v>113.16277017307091</v>
      </c>
      <c r="P23" s="34">
        <f t="shared" si="2"/>
        <v>155564.36329322634</v>
      </c>
      <c r="Q23" s="58">
        <f t="shared" si="3"/>
        <v>13.722926386164179</v>
      </c>
      <c r="R23" s="30">
        <f t="shared" si="4"/>
        <v>6.2722999148335044</v>
      </c>
      <c r="S23" s="56">
        <f t="shared" si="11"/>
        <v>14.836592723215446</v>
      </c>
      <c r="T23" s="35">
        <f t="shared" si="5"/>
        <v>6.7813202997335003</v>
      </c>
      <c r="U23" s="111"/>
      <c r="V23" s="57">
        <f t="shared" si="6"/>
        <v>2034</v>
      </c>
      <c r="W23" s="17">
        <v>29443389.43</v>
      </c>
      <c r="X23" s="93">
        <v>99809336.921768367</v>
      </c>
      <c r="Y23" s="187">
        <f t="shared" si="12"/>
        <v>129252726.35176837</v>
      </c>
      <c r="Z23" s="14"/>
    </row>
    <row r="24" spans="1:35">
      <c r="A24" s="29">
        <f t="shared" si="7"/>
        <v>2035</v>
      </c>
      <c r="B24" s="92">
        <f t="shared" si="8"/>
        <v>0.42264729219790065</v>
      </c>
      <c r="C24" s="34">
        <f>'Fixed Costs - Supply Only'!L21*1000</f>
        <v>1345050</v>
      </c>
      <c r="D24" s="101">
        <v>0</v>
      </c>
      <c r="E24" s="101">
        <v>0</v>
      </c>
      <c r="F24" s="101">
        <v>0</v>
      </c>
      <c r="G24" s="34">
        <f>'Fixed Costs - Supply Only'!G21*1000</f>
        <v>4357860</v>
      </c>
      <c r="H24" s="38">
        <f t="shared" si="0"/>
        <v>4357860</v>
      </c>
      <c r="I24" s="178">
        <f t="shared" si="9"/>
        <v>99809.336921768365</v>
      </c>
      <c r="J24" s="178">
        <f t="shared" si="15"/>
        <v>29443.389429999999</v>
      </c>
      <c r="K24" s="83">
        <v>16345144.779350987</v>
      </c>
      <c r="L24" s="34">
        <f t="shared" si="10"/>
        <v>16474397.505702754</v>
      </c>
      <c r="M24" s="34">
        <f t="shared" si="1"/>
        <v>22177307.505702756</v>
      </c>
      <c r="N24" s="34">
        <f>NEL!B17/1000</f>
        <v>157715.25018778408</v>
      </c>
      <c r="O24" s="34">
        <f t="shared" si="14"/>
        <v>113.16277017307091</v>
      </c>
      <c r="P24" s="34">
        <f t="shared" si="2"/>
        <v>157602.08741761101</v>
      </c>
      <c r="Q24" s="115">
        <f t="shared" si="3"/>
        <v>14.071709245155967</v>
      </c>
      <c r="R24" s="30">
        <f t="shared" si="4"/>
        <v>5.9473698090613336</v>
      </c>
      <c r="S24" s="56">
        <f t="shared" si="11"/>
        <v>14.836592723215446</v>
      </c>
      <c r="T24" s="35">
        <f t="shared" si="5"/>
        <v>6.2706457399100852</v>
      </c>
      <c r="U24" s="111"/>
      <c r="V24" s="57">
        <f t="shared" si="6"/>
        <v>2035</v>
      </c>
      <c r="W24" s="17">
        <v>29443389.43</v>
      </c>
      <c r="X24" s="93">
        <f>X23</f>
        <v>99809336.921768367</v>
      </c>
      <c r="Y24" s="187">
        <f t="shared" si="12"/>
        <v>129252726.35176837</v>
      </c>
      <c r="Z24" s="14"/>
    </row>
    <row r="25" spans="1:35">
      <c r="A25" s="29">
        <f t="shared" si="7"/>
        <v>2036</v>
      </c>
      <c r="B25" s="92">
        <f t="shared" si="8"/>
        <v>0.39081938695764779</v>
      </c>
      <c r="C25" s="34">
        <f>'Fixed Costs - Supply Only'!L22*1000</f>
        <v>1793290</v>
      </c>
      <c r="D25" s="101">
        <v>0</v>
      </c>
      <c r="E25" s="101">
        <v>0</v>
      </c>
      <c r="F25" s="101">
        <v>0</v>
      </c>
      <c r="G25" s="34">
        <f>'Fixed Costs - Supply Only'!G22*1000</f>
        <v>4302150</v>
      </c>
      <c r="H25" s="38">
        <f t="shared" si="0"/>
        <v>4302150</v>
      </c>
      <c r="I25" s="178">
        <f t="shared" si="9"/>
        <v>99809.336921768365</v>
      </c>
      <c r="J25" s="178">
        <f t="shared" si="15"/>
        <v>29443.389429999999</v>
      </c>
      <c r="K25" s="83">
        <v>16968234.853518717</v>
      </c>
      <c r="L25" s="34">
        <f t="shared" si="10"/>
        <v>17097487.579870485</v>
      </c>
      <c r="M25" s="34">
        <f t="shared" si="1"/>
        <v>23192927.579870485</v>
      </c>
      <c r="N25" s="34">
        <f>NEL!B18/1000</f>
        <v>159678.55276802424</v>
      </c>
      <c r="O25" s="34">
        <f t="shared" si="14"/>
        <v>113.16277017307091</v>
      </c>
      <c r="P25" s="34">
        <f t="shared" si="2"/>
        <v>159565.38999785116</v>
      </c>
      <c r="Q25" s="115">
        <f t="shared" si="3"/>
        <v>14.535061506873651</v>
      </c>
      <c r="R25" s="30">
        <f t="shared" si="4"/>
        <v>5.6805838275080642</v>
      </c>
      <c r="S25" s="56">
        <f t="shared" si="11"/>
        <v>14.836592723215446</v>
      </c>
      <c r="T25" s="35">
        <f t="shared" si="5"/>
        <v>5.7984280726273587</v>
      </c>
      <c r="U25" s="111"/>
      <c r="V25" s="57">
        <f t="shared" si="6"/>
        <v>2036</v>
      </c>
      <c r="W25" s="17">
        <v>29443389.43</v>
      </c>
      <c r="X25" s="93">
        <f t="shared" ref="X25:X59" si="16">X24</f>
        <v>99809336.921768367</v>
      </c>
      <c r="Y25" s="187">
        <f t="shared" si="12"/>
        <v>129252726.35176837</v>
      </c>
      <c r="Z25" s="14"/>
    </row>
    <row r="26" spans="1:35">
      <c r="A26" s="29">
        <f t="shared" si="7"/>
        <v>2037</v>
      </c>
      <c r="B26" s="92">
        <f t="shared" si="8"/>
        <v>0.3613883160771148</v>
      </c>
      <c r="C26" s="34">
        <f>'Fixed Costs - Supply Only'!L23*1000</f>
        <v>2359779.9999999995</v>
      </c>
      <c r="D26" s="101">
        <v>0</v>
      </c>
      <c r="E26" s="101">
        <v>0</v>
      </c>
      <c r="F26" s="101">
        <v>0</v>
      </c>
      <c r="G26" s="34">
        <f>'Fixed Costs - Supply Only'!G23*1000</f>
        <v>4306120</v>
      </c>
      <c r="H26" s="38">
        <f t="shared" si="0"/>
        <v>4306120</v>
      </c>
      <c r="I26" s="178">
        <f t="shared" si="9"/>
        <v>99809.336921768365</v>
      </c>
      <c r="J26" s="178">
        <f t="shared" si="15"/>
        <v>29443.389429999999</v>
      </c>
      <c r="K26" s="83">
        <v>17609372.300392464</v>
      </c>
      <c r="L26" s="34">
        <f t="shared" si="10"/>
        <v>17738625.026744232</v>
      </c>
      <c r="M26" s="34">
        <f t="shared" si="1"/>
        <v>24404525.026744232</v>
      </c>
      <c r="N26" s="34">
        <f>NEL!B19/1000</f>
        <v>161501.51323125177</v>
      </c>
      <c r="O26" s="34">
        <f t="shared" si="14"/>
        <v>113.16277017307091</v>
      </c>
      <c r="P26" s="34">
        <f t="shared" si="2"/>
        <v>161388.35046107869</v>
      </c>
      <c r="Q26" s="115">
        <f t="shared" si="3"/>
        <v>15.121615009399184</v>
      </c>
      <c r="R26" s="30">
        <f t="shared" si="4"/>
        <v>5.4647749846131957</v>
      </c>
      <c r="S26" s="56">
        <f t="shared" si="11"/>
        <v>14.836592723215446</v>
      </c>
      <c r="T26" s="35">
        <f t="shared" si="5"/>
        <v>5.3617712605648054</v>
      </c>
      <c r="U26" s="111"/>
      <c r="V26" s="57">
        <f t="shared" si="6"/>
        <v>2037</v>
      </c>
      <c r="W26" s="17">
        <v>29443389.43</v>
      </c>
      <c r="X26" s="93">
        <f t="shared" si="16"/>
        <v>99809336.921768367</v>
      </c>
      <c r="Y26" s="187">
        <f t="shared" si="12"/>
        <v>129252726.35176837</v>
      </c>
      <c r="Z26" s="14"/>
    </row>
    <row r="27" spans="1:35">
      <c r="A27" s="29">
        <f t="shared" si="7"/>
        <v>2038</v>
      </c>
      <c r="B27" s="92">
        <f t="shared" si="8"/>
        <v>0.33417358338778019</v>
      </c>
      <c r="C27" s="34">
        <f>'Fixed Costs - Supply Only'!L24*1000</f>
        <v>2978310</v>
      </c>
      <c r="D27" s="101">
        <v>0</v>
      </c>
      <c r="E27" s="101">
        <v>0</v>
      </c>
      <c r="F27" s="101">
        <v>0</v>
      </c>
      <c r="G27" s="34">
        <f>'Fixed Costs - Supply Only'!G24*1000</f>
        <v>4577900</v>
      </c>
      <c r="H27" s="38">
        <f t="shared" si="0"/>
        <v>4577900</v>
      </c>
      <c r="I27" s="178">
        <f t="shared" si="9"/>
        <v>99809.336921768365</v>
      </c>
      <c r="J27" s="178">
        <f t="shared" si="15"/>
        <v>29443.389429999999</v>
      </c>
      <c r="K27" s="83">
        <v>18263728.403979845</v>
      </c>
      <c r="L27" s="34">
        <f t="shared" si="10"/>
        <v>18392981.130331613</v>
      </c>
      <c r="M27" s="34">
        <f t="shared" si="1"/>
        <v>25949191.130331613</v>
      </c>
      <c r="N27" s="34">
        <f>NEL!B20/1000</f>
        <v>163154.1174881566</v>
      </c>
      <c r="O27" s="34">
        <f t="shared" si="14"/>
        <v>113.16277017307091</v>
      </c>
      <c r="P27" s="34">
        <f t="shared" si="2"/>
        <v>163040.95471798352</v>
      </c>
      <c r="Q27" s="115">
        <f t="shared" si="3"/>
        <v>15.915750232950151</v>
      </c>
      <c r="R27" s="30">
        <f t="shared" si="4"/>
        <v>5.3186232876498494</v>
      </c>
      <c r="S27" s="56">
        <f t="shared" si="11"/>
        <v>14.836592723215446</v>
      </c>
      <c r="T27" s="35">
        <f t="shared" si="5"/>
        <v>4.9579973555819699</v>
      </c>
      <c r="U27" s="111"/>
      <c r="V27" s="57">
        <f t="shared" si="6"/>
        <v>2038</v>
      </c>
      <c r="W27" s="17">
        <v>29443389.43</v>
      </c>
      <c r="X27" s="93">
        <f t="shared" si="16"/>
        <v>99809336.921768367</v>
      </c>
      <c r="Y27" s="187">
        <f t="shared" si="12"/>
        <v>129252726.35176837</v>
      </c>
      <c r="Z27" s="14"/>
      <c r="AC27" s="11"/>
      <c r="AD27" s="11"/>
    </row>
    <row r="28" spans="1:35">
      <c r="A28" s="29">
        <f t="shared" si="7"/>
        <v>2039</v>
      </c>
      <c r="B28" s="92">
        <f t="shared" si="8"/>
        <v>0.30900828517765516</v>
      </c>
      <c r="C28" s="34">
        <f>'Fixed Costs - Supply Only'!L25*1000</f>
        <v>3583160.0000000005</v>
      </c>
      <c r="D28" s="101">
        <v>0</v>
      </c>
      <c r="E28" s="101">
        <v>0</v>
      </c>
      <c r="F28" s="101">
        <v>0</v>
      </c>
      <c r="G28" s="34">
        <f>'Fixed Costs - Supply Only'!G25*1000</f>
        <v>4688090</v>
      </c>
      <c r="H28" s="38">
        <f t="shared" si="0"/>
        <v>4688090</v>
      </c>
      <c r="I28" s="178">
        <f t="shared" si="9"/>
        <v>99809.336921768365</v>
      </c>
      <c r="J28" s="178">
        <f t="shared" si="15"/>
        <v>29443.389429999999</v>
      </c>
      <c r="K28" s="83">
        <v>18925302.381772649</v>
      </c>
      <c r="L28" s="34">
        <f t="shared" si="10"/>
        <v>19054555.108124416</v>
      </c>
      <c r="M28" s="34">
        <f t="shared" si="1"/>
        <v>27325805.108124416</v>
      </c>
      <c r="N28" s="34">
        <f>NEL!B21/1000</f>
        <v>164626.97309057534</v>
      </c>
      <c r="O28" s="34">
        <f t="shared" si="14"/>
        <v>113.16277017307091</v>
      </c>
      <c r="P28" s="34">
        <f t="shared" si="2"/>
        <v>164513.81032040226</v>
      </c>
      <c r="Q28" s="115">
        <f t="shared" si="3"/>
        <v>16.610037208976852</v>
      </c>
      <c r="R28" s="30">
        <f t="shared" si="4"/>
        <v>5.1326391146829824</v>
      </c>
      <c r="S28" s="56">
        <f t="shared" si="11"/>
        <v>14.836592723215446</v>
      </c>
      <c r="T28" s="35">
        <f t="shared" si="5"/>
        <v>4.5846300752800824</v>
      </c>
      <c r="U28" s="111"/>
      <c r="V28" s="57">
        <f t="shared" si="6"/>
        <v>2039</v>
      </c>
      <c r="W28" s="17">
        <v>29443389.43</v>
      </c>
      <c r="X28" s="93">
        <f t="shared" si="16"/>
        <v>99809336.921768367</v>
      </c>
      <c r="Y28" s="187">
        <f t="shared" si="12"/>
        <v>129252726.35176837</v>
      </c>
      <c r="Z28" s="14"/>
      <c r="AC28" s="11"/>
      <c r="AD28" s="11"/>
    </row>
    <row r="29" spans="1:35">
      <c r="A29" s="29">
        <f t="shared" si="7"/>
        <v>2040</v>
      </c>
      <c r="B29" s="92">
        <f t="shared" si="8"/>
        <v>0.28573808659684358</v>
      </c>
      <c r="C29" s="34">
        <f>'Fixed Costs - Supply Only'!L26*1000</f>
        <v>4317099.9999999991</v>
      </c>
      <c r="D29" s="101">
        <v>0</v>
      </c>
      <c r="E29" s="101">
        <v>0</v>
      </c>
      <c r="F29" s="101">
        <v>0</v>
      </c>
      <c r="G29" s="34">
        <f>'Fixed Costs - Supply Only'!G26*1000</f>
        <v>4719150.0000000009</v>
      </c>
      <c r="H29" s="38">
        <f t="shared" si="0"/>
        <v>4719150.0000000009</v>
      </c>
      <c r="I29" s="178">
        <f t="shared" si="9"/>
        <v>99809.336921768365</v>
      </c>
      <c r="J29" s="178">
        <f t="shared" si="15"/>
        <v>29443.389429999999</v>
      </c>
      <c r="K29" s="83">
        <v>19602342.072269935</v>
      </c>
      <c r="L29" s="34">
        <f t="shared" si="10"/>
        <v>19731594.798621703</v>
      </c>
      <c r="M29" s="34">
        <f t="shared" si="1"/>
        <v>28767844.798621703</v>
      </c>
      <c r="N29" s="34">
        <f>NEL!B22/1000</f>
        <v>165934.75901036451</v>
      </c>
      <c r="O29" s="34">
        <f t="shared" si="14"/>
        <v>113.16277017307091</v>
      </c>
      <c r="P29" s="34">
        <f t="shared" si="2"/>
        <v>165821.59624019143</v>
      </c>
      <c r="Q29" s="115">
        <f t="shared" si="3"/>
        <v>17.348671976930966</v>
      </c>
      <c r="R29" s="30">
        <f t="shared" si="4"/>
        <v>4.957176335684534</v>
      </c>
      <c r="S29" s="56">
        <f t="shared" si="11"/>
        <v>14.836592723215446</v>
      </c>
      <c r="T29" s="35">
        <f t="shared" si="5"/>
        <v>4.2393796163482342</v>
      </c>
      <c r="U29" s="111"/>
      <c r="V29" s="57">
        <f t="shared" si="6"/>
        <v>2040</v>
      </c>
      <c r="W29" s="17">
        <v>29443389.43</v>
      </c>
      <c r="X29" s="93">
        <f t="shared" si="16"/>
        <v>99809336.921768367</v>
      </c>
      <c r="Y29" s="187">
        <f t="shared" si="12"/>
        <v>129252726.35176837</v>
      </c>
      <c r="Z29" s="14"/>
      <c r="AC29" s="11"/>
      <c r="AD29" s="11"/>
    </row>
    <row r="30" spans="1:35">
      <c r="A30" s="29">
        <f t="shared" si="7"/>
        <v>2041</v>
      </c>
      <c r="B30" s="92">
        <f t="shared" si="8"/>
        <v>0.26422027514597279</v>
      </c>
      <c r="C30" s="34">
        <f>'Fixed Costs - Supply Only'!L27*1000</f>
        <v>4895780</v>
      </c>
      <c r="D30" s="101">
        <v>0</v>
      </c>
      <c r="E30" s="101">
        <v>0</v>
      </c>
      <c r="F30" s="101">
        <v>0</v>
      </c>
      <c r="G30" s="34">
        <f>'Fixed Costs - Supply Only'!G27*1000</f>
        <v>4597180</v>
      </c>
      <c r="H30" s="38">
        <f t="shared" si="0"/>
        <v>4597180</v>
      </c>
      <c r="I30" s="178">
        <f t="shared" si="9"/>
        <v>99809.336921768365</v>
      </c>
      <c r="J30" s="178">
        <f t="shared" si="15"/>
        <v>29443.389429999999</v>
      </c>
      <c r="K30" s="83">
        <v>19999891.722335413</v>
      </c>
      <c r="L30" s="34">
        <f t="shared" si="10"/>
        <v>20129144.448687181</v>
      </c>
      <c r="M30" s="34">
        <f t="shared" si="1"/>
        <v>29622104.448687181</v>
      </c>
      <c r="N30" s="34">
        <f>NEL!B23/1000</f>
        <v>164918.52822270812</v>
      </c>
      <c r="O30" s="34">
        <f t="shared" si="14"/>
        <v>113.16277017307091</v>
      </c>
      <c r="P30" s="34">
        <f t="shared" si="2"/>
        <v>164805.36545253504</v>
      </c>
      <c r="Q30" s="115">
        <f t="shared" si="3"/>
        <v>17.973992756454599</v>
      </c>
      <c r="R30" s="30">
        <f t="shared" si="4"/>
        <v>4.7490933115821559</v>
      </c>
      <c r="S30" s="56">
        <f t="shared" si="11"/>
        <v>14.836592723215446</v>
      </c>
      <c r="T30" s="35">
        <f t="shared" si="5"/>
        <v>3.9201286115567231</v>
      </c>
      <c r="U30" s="111"/>
      <c r="V30" s="57">
        <f t="shared" si="6"/>
        <v>2041</v>
      </c>
      <c r="W30" s="17">
        <v>29443389.43</v>
      </c>
      <c r="X30" s="93">
        <f t="shared" si="16"/>
        <v>99809336.921768367</v>
      </c>
      <c r="Y30" s="187">
        <f t="shared" si="12"/>
        <v>129252726.35176837</v>
      </c>
      <c r="Z30" s="14"/>
      <c r="AC30" s="11"/>
      <c r="AD30" s="11"/>
    </row>
    <row r="31" spans="1:35">
      <c r="A31" s="29">
        <f t="shared" si="7"/>
        <v>2042</v>
      </c>
      <c r="B31" s="92">
        <f t="shared" si="8"/>
        <v>0.24432288544268835</v>
      </c>
      <c r="C31" s="34">
        <f>'Fixed Costs - Supply Only'!L28*1000</f>
        <v>5548330</v>
      </c>
      <c r="D31" s="101">
        <v>0</v>
      </c>
      <c r="E31" s="101">
        <v>0</v>
      </c>
      <c r="F31" s="101">
        <v>0</v>
      </c>
      <c r="G31" s="34">
        <f>'Fixed Costs - Supply Only'!G28*1000</f>
        <v>4595060</v>
      </c>
      <c r="H31" s="38">
        <f t="shared" si="0"/>
        <v>4595060</v>
      </c>
      <c r="I31" s="178">
        <f t="shared" si="9"/>
        <v>99809.336921768365</v>
      </c>
      <c r="J31" s="178">
        <f t="shared" si="15"/>
        <v>29443.389429999999</v>
      </c>
      <c r="K31" s="83">
        <v>20430952.528708454</v>
      </c>
      <c r="L31" s="34">
        <f t="shared" si="10"/>
        <v>20560205.255060222</v>
      </c>
      <c r="M31" s="34">
        <f t="shared" si="1"/>
        <v>30703595.255060222</v>
      </c>
      <c r="N31" s="34">
        <f>NEL!B24/1000</f>
        <v>166510.76719574467</v>
      </c>
      <c r="O31" s="34">
        <f t="shared" si="14"/>
        <v>113.16277017307091</v>
      </c>
      <c r="P31" s="34">
        <f t="shared" si="2"/>
        <v>166397.6044255716</v>
      </c>
      <c r="Q31" s="115">
        <f t="shared" si="3"/>
        <v>18.451945483862847</v>
      </c>
      <c r="R31" s="30">
        <f t="shared" si="4"/>
        <v>4.5082325626485531</v>
      </c>
      <c r="S31" s="56">
        <f t="shared" si="11"/>
        <v>14.836592723215446</v>
      </c>
      <c r="T31" s="35">
        <f t="shared" si="5"/>
        <v>3.6249191442739912</v>
      </c>
      <c r="U31" s="111"/>
      <c r="V31" s="57">
        <f t="shared" si="6"/>
        <v>2042</v>
      </c>
      <c r="W31" s="17">
        <v>29443389.43</v>
      </c>
      <c r="X31" s="93">
        <f t="shared" si="16"/>
        <v>99809336.921768367</v>
      </c>
      <c r="Y31" s="187">
        <f t="shared" si="12"/>
        <v>129252726.35176837</v>
      </c>
      <c r="Z31" s="14"/>
      <c r="AC31" s="11"/>
      <c r="AD31" s="11"/>
    </row>
    <row r="32" spans="1:35">
      <c r="A32" s="29">
        <f t="shared" si="7"/>
        <v>2043</v>
      </c>
      <c r="B32" s="92">
        <f t="shared" si="8"/>
        <v>0.22592388989854117</v>
      </c>
      <c r="C32" s="34">
        <f>'Fixed Costs - Supply Only'!L29*1000</f>
        <v>6251269.9999999991</v>
      </c>
      <c r="D32" s="101">
        <v>0</v>
      </c>
      <c r="E32" s="101">
        <v>0</v>
      </c>
      <c r="F32" s="101">
        <v>0</v>
      </c>
      <c r="G32" s="34">
        <f>'Fixed Costs - Supply Only'!G29*1000</f>
        <v>4640360</v>
      </c>
      <c r="H32" s="38">
        <f t="shared" si="0"/>
        <v>4640360</v>
      </c>
      <c r="I32" s="178">
        <f t="shared" si="9"/>
        <v>99809.336921768365</v>
      </c>
      <c r="J32" s="178">
        <f t="shared" si="15"/>
        <v>29443.389429999999</v>
      </c>
      <c r="K32" s="83">
        <v>20868865.153961189</v>
      </c>
      <c r="L32" s="34">
        <f t="shared" si="10"/>
        <v>20998117.880312957</v>
      </c>
      <c r="M32" s="34">
        <f t="shared" si="1"/>
        <v>31889747.880312957</v>
      </c>
      <c r="N32" s="34">
        <f>NEL!B25/1000</f>
        <v>168119.10276074152</v>
      </c>
      <c r="O32" s="34">
        <f t="shared" si="14"/>
        <v>113.16277017307091</v>
      </c>
      <c r="P32" s="34">
        <f t="shared" si="2"/>
        <v>168005.93999056844</v>
      </c>
      <c r="Q32" s="115">
        <f t="shared" si="3"/>
        <v>18.981321661664577</v>
      </c>
      <c r="R32" s="30">
        <f t="shared" si="4"/>
        <v>4.2883340252187025</v>
      </c>
      <c r="S32" s="56">
        <f t="shared" si="11"/>
        <v>14.836592723215446</v>
      </c>
      <c r="T32" s="35">
        <f t="shared" si="5"/>
        <v>3.3519407408692237</v>
      </c>
      <c r="U32" s="111"/>
      <c r="V32" s="57">
        <f t="shared" si="6"/>
        <v>2043</v>
      </c>
      <c r="W32" s="17">
        <v>29443389.43</v>
      </c>
      <c r="X32" s="93">
        <f t="shared" si="16"/>
        <v>99809336.921768367</v>
      </c>
      <c r="Y32" s="187">
        <f t="shared" si="12"/>
        <v>129252726.35176837</v>
      </c>
      <c r="Z32" s="14"/>
      <c r="AC32" s="11"/>
      <c r="AD32" s="11"/>
    </row>
    <row r="33" spans="1:30">
      <c r="A33" s="29">
        <f t="shared" si="7"/>
        <v>2044</v>
      </c>
      <c r="B33" s="92">
        <f t="shared" si="8"/>
        <v>0.20891045034281555</v>
      </c>
      <c r="C33" s="34">
        <f>'Fixed Costs - Supply Only'!L30*1000</f>
        <v>6878169.9999999991</v>
      </c>
      <c r="D33" s="101">
        <v>0</v>
      </c>
      <c r="E33" s="101">
        <v>0</v>
      </c>
      <c r="F33" s="101">
        <v>0</v>
      </c>
      <c r="G33" s="34">
        <f>'Fixed Costs - Supply Only'!G30*1000</f>
        <v>4526300</v>
      </c>
      <c r="H33" s="38">
        <f t="shared" si="0"/>
        <v>4526300</v>
      </c>
      <c r="I33" s="178">
        <f t="shared" si="9"/>
        <v>99809.336921768365</v>
      </c>
      <c r="J33" s="178">
        <f t="shared" si="15"/>
        <v>29443.389429999999</v>
      </c>
      <c r="K33" s="83">
        <v>21313734.632471275</v>
      </c>
      <c r="L33" s="34">
        <f t="shared" si="10"/>
        <v>21442987.358823042</v>
      </c>
      <c r="M33" s="34">
        <f t="shared" si="1"/>
        <v>32847457.358823042</v>
      </c>
      <c r="N33" s="34">
        <f>NEL!B26/1000</f>
        <v>169743.69938976341</v>
      </c>
      <c r="O33" s="34">
        <f t="shared" si="14"/>
        <v>113.16277017307091</v>
      </c>
      <c r="P33" s="34">
        <f t="shared" si="2"/>
        <v>169630.53661959033</v>
      </c>
      <c r="Q33" s="115">
        <f t="shared" si="3"/>
        <v>19.364118049385191</v>
      </c>
      <c r="R33" s="30">
        <f t="shared" si="4"/>
        <v>4.045366622188503</v>
      </c>
      <c r="S33" s="56">
        <f t="shared" si="11"/>
        <v>14.836592723215446</v>
      </c>
      <c r="T33" s="35">
        <f t="shared" si="5"/>
        <v>3.099519267359879</v>
      </c>
      <c r="U33" s="111"/>
      <c r="V33" s="57">
        <f t="shared" si="6"/>
        <v>2044</v>
      </c>
      <c r="W33" s="17">
        <v>29443389.43</v>
      </c>
      <c r="X33" s="93">
        <f t="shared" si="16"/>
        <v>99809336.921768367</v>
      </c>
      <c r="Y33" s="187">
        <f t="shared" si="12"/>
        <v>129252726.35176837</v>
      </c>
      <c r="Z33" s="14"/>
      <c r="AC33" s="11"/>
      <c r="AD33" s="11"/>
    </row>
    <row r="34" spans="1:30">
      <c r="A34" s="29">
        <f t="shared" si="7"/>
        <v>2045</v>
      </c>
      <c r="B34" s="92">
        <f t="shared" si="8"/>
        <v>0.19317822600362289</v>
      </c>
      <c r="C34" s="34">
        <f>'Fixed Costs - Supply Only'!L31*1000</f>
        <v>7509389.9999999991</v>
      </c>
      <c r="D34" s="101">
        <v>0</v>
      </c>
      <c r="E34" s="101">
        <v>0</v>
      </c>
      <c r="F34" s="101">
        <v>0</v>
      </c>
      <c r="G34" s="34">
        <f>'Fixed Costs - Supply Only'!G31*1000</f>
        <v>4511410.0000000009</v>
      </c>
      <c r="H34" s="38">
        <f t="shared" si="0"/>
        <v>4511410.0000000009</v>
      </c>
      <c r="I34" s="178">
        <f t="shared" si="9"/>
        <v>99809.336921768365</v>
      </c>
      <c r="J34" s="178">
        <f t="shared" si="15"/>
        <v>29443.389429999999</v>
      </c>
      <c r="K34" s="83">
        <v>21765667.715793397</v>
      </c>
      <c r="L34" s="34">
        <f t="shared" si="10"/>
        <v>21894920.442145165</v>
      </c>
      <c r="M34" s="34">
        <f t="shared" si="1"/>
        <v>33915720.442145169</v>
      </c>
      <c r="N34" s="34">
        <f>NEL!B27/1000</f>
        <v>171384.72323944248</v>
      </c>
      <c r="O34" s="34">
        <f t="shared" si="14"/>
        <v>113.16277017307091</v>
      </c>
      <c r="P34" s="34">
        <f t="shared" si="2"/>
        <v>171271.5604692694</v>
      </c>
      <c r="Q34" s="115">
        <f t="shared" si="3"/>
        <v>19.802307136817696</v>
      </c>
      <c r="R34" s="30">
        <f t="shared" si="4"/>
        <v>3.8253745634693233</v>
      </c>
      <c r="S34" s="56">
        <f t="shared" si="11"/>
        <v>14.836592723215446</v>
      </c>
      <c r="T34" s="35">
        <f t="shared" si="5"/>
        <v>2.8661066622090203</v>
      </c>
      <c r="U34" s="111"/>
      <c r="V34" s="57">
        <f t="shared" si="6"/>
        <v>2045</v>
      </c>
      <c r="W34" s="17">
        <v>29443389.43</v>
      </c>
      <c r="X34" s="93">
        <f t="shared" si="16"/>
        <v>99809336.921768367</v>
      </c>
      <c r="Y34" s="187">
        <f t="shared" si="12"/>
        <v>129252726.35176837</v>
      </c>
      <c r="Z34" s="14"/>
      <c r="AC34" s="11"/>
      <c r="AD34" s="11"/>
    </row>
    <row r="35" spans="1:30">
      <c r="A35" s="29">
        <f t="shared" si="7"/>
        <v>2046</v>
      </c>
      <c r="B35" s="92">
        <f t="shared" si="8"/>
        <v>0.17863073360221762</v>
      </c>
      <c r="C35" s="34">
        <f>'Fixed Costs - Supply Only'!L32*1000</f>
        <v>7926609.9999999991</v>
      </c>
      <c r="D35" s="101">
        <v>0</v>
      </c>
      <c r="E35" s="101">
        <v>0</v>
      </c>
      <c r="F35" s="101">
        <v>0</v>
      </c>
      <c r="G35" s="34">
        <f>'Fixed Costs - Supply Only'!G32*1000</f>
        <v>4562800</v>
      </c>
      <c r="H35" s="38">
        <f t="shared" si="0"/>
        <v>4562800</v>
      </c>
      <c r="I35" s="178">
        <f t="shared" si="9"/>
        <v>99809.336921768365</v>
      </c>
      <c r="J35" s="178">
        <f t="shared" si="15"/>
        <v>29443.389429999999</v>
      </c>
      <c r="K35" s="83">
        <v>22224772.882065356</v>
      </c>
      <c r="L35" s="34">
        <f t="shared" si="10"/>
        <v>22354025.608417124</v>
      </c>
      <c r="M35" s="34">
        <f t="shared" si="1"/>
        <v>34843435.608417124</v>
      </c>
      <c r="N35" s="34">
        <f>NEL!B28/1000</f>
        <v>173042.34216823126</v>
      </c>
      <c r="O35" s="34">
        <f t="shared" si="14"/>
        <v>113.16277017307091</v>
      </c>
      <c r="P35" s="34">
        <f t="shared" si="2"/>
        <v>172929.17939805819</v>
      </c>
      <c r="Q35" s="115">
        <f t="shared" si="3"/>
        <v>20.148962557795137</v>
      </c>
      <c r="R35" s="30">
        <f t="shared" si="4"/>
        <v>3.5992239630225606</v>
      </c>
      <c r="S35" s="56">
        <f t="shared" si="11"/>
        <v>14.836592723215446</v>
      </c>
      <c r="T35" s="35">
        <f t="shared" si="5"/>
        <v>2.6502714423052987</v>
      </c>
      <c r="U35" s="111"/>
      <c r="V35" s="57">
        <f t="shared" si="6"/>
        <v>2046</v>
      </c>
      <c r="W35" s="17">
        <v>29443389.43</v>
      </c>
      <c r="X35" s="93">
        <f t="shared" si="16"/>
        <v>99809336.921768367</v>
      </c>
      <c r="Y35" s="187">
        <f t="shared" si="12"/>
        <v>129252726.35176837</v>
      </c>
      <c r="Z35" s="14"/>
      <c r="AC35" s="11"/>
      <c r="AD35" s="11"/>
    </row>
    <row r="36" spans="1:30">
      <c r="A36" s="29">
        <f t="shared" si="7"/>
        <v>2047</v>
      </c>
      <c r="B36" s="92">
        <f t="shared" si="8"/>
        <v>0.16517875563609336</v>
      </c>
      <c r="C36" s="34">
        <f>'Fixed Costs - Supply Only'!L33*1000</f>
        <v>8563890</v>
      </c>
      <c r="D36" s="101">
        <v>0</v>
      </c>
      <c r="E36" s="101">
        <v>0</v>
      </c>
      <c r="F36" s="101">
        <v>0</v>
      </c>
      <c r="G36" s="34">
        <f>'Fixed Costs - Supply Only'!G33*1000</f>
        <v>4400420</v>
      </c>
      <c r="H36" s="38">
        <f t="shared" si="0"/>
        <v>4400420</v>
      </c>
      <c r="I36" s="178">
        <f t="shared" si="9"/>
        <v>99809.336921768365</v>
      </c>
      <c r="J36" s="178">
        <f t="shared" si="15"/>
        <v>29443.389429999999</v>
      </c>
      <c r="K36" s="83">
        <v>22691160.351764329</v>
      </c>
      <c r="L36" s="34">
        <f t="shared" si="10"/>
        <v>22820413.078116097</v>
      </c>
      <c r="M36" s="34">
        <f t="shared" si="1"/>
        <v>35784723.078116097</v>
      </c>
      <c r="N36" s="34">
        <f>NEL!B29/1000</f>
        <v>174716.72575385048</v>
      </c>
      <c r="O36" s="34">
        <f t="shared" si="14"/>
        <v>113.16277017307091</v>
      </c>
      <c r="P36" s="34">
        <f t="shared" si="2"/>
        <v>174603.5629836774</v>
      </c>
      <c r="Q36" s="115">
        <f t="shared" si="3"/>
        <v>20.494841265903254</v>
      </c>
      <c r="R36" s="30">
        <f t="shared" si="4"/>
        <v>3.385312377261156</v>
      </c>
      <c r="S36" s="56">
        <f t="shared" si="11"/>
        <v>14.836592723215446</v>
      </c>
      <c r="T36" s="35">
        <f t="shared" si="5"/>
        <v>2.4506899239002449</v>
      </c>
      <c r="U36" s="111"/>
      <c r="V36" s="57">
        <f t="shared" si="6"/>
        <v>2047</v>
      </c>
      <c r="W36" s="17">
        <v>29443389.43</v>
      </c>
      <c r="X36" s="93">
        <f t="shared" si="16"/>
        <v>99809336.921768367</v>
      </c>
      <c r="Y36" s="187">
        <f t="shared" si="12"/>
        <v>129252726.35176837</v>
      </c>
      <c r="Z36" s="14"/>
      <c r="AC36" s="11"/>
      <c r="AD36" s="11"/>
    </row>
    <row r="37" spans="1:30">
      <c r="A37" s="29">
        <f t="shared" si="7"/>
        <v>2048</v>
      </c>
      <c r="B37" s="92">
        <f t="shared" si="8"/>
        <v>0.15273979322195161</v>
      </c>
      <c r="C37" s="34">
        <f>'Fixed Costs - Supply Only'!L34*1000</f>
        <v>9276650.0000000019</v>
      </c>
      <c r="D37" s="101">
        <v>0</v>
      </c>
      <c r="E37" s="101">
        <v>0</v>
      </c>
      <c r="F37" s="101">
        <v>0</v>
      </c>
      <c r="G37" s="34">
        <f>'Fixed Costs - Supply Only'!G34*1000</f>
        <v>4446050</v>
      </c>
      <c r="H37" s="38">
        <f t="shared" si="0"/>
        <v>4446050</v>
      </c>
      <c r="I37" s="178">
        <f t="shared" si="9"/>
        <v>99809.336921768365</v>
      </c>
      <c r="J37" s="178">
        <f t="shared" si="15"/>
        <v>29443.389429999999</v>
      </c>
      <c r="K37" s="83">
        <v>23164942.107887957</v>
      </c>
      <c r="L37" s="34">
        <f t="shared" si="10"/>
        <v>23294194.834239725</v>
      </c>
      <c r="M37" s="34">
        <f t="shared" si="1"/>
        <v>37016894.834239729</v>
      </c>
      <c r="N37" s="34">
        <f>NEL!B30/1000</f>
        <v>176408.04531090354</v>
      </c>
      <c r="O37" s="34">
        <f t="shared" si="14"/>
        <v>113.16277017307091</v>
      </c>
      <c r="P37" s="34">
        <f t="shared" si="2"/>
        <v>176294.88254073047</v>
      </c>
      <c r="Q37" s="115">
        <f t="shared" si="3"/>
        <v>20.997146542632905</v>
      </c>
      <c r="R37" s="30">
        <f t="shared" si="4"/>
        <v>3.2070998211727662</v>
      </c>
      <c r="S37" s="56">
        <f t="shared" si="11"/>
        <v>14.836592723215446</v>
      </c>
      <c r="T37" s="35">
        <f t="shared" si="5"/>
        <v>2.2661381046622391</v>
      </c>
      <c r="U37" s="111"/>
      <c r="V37" s="57">
        <f t="shared" si="6"/>
        <v>2048</v>
      </c>
      <c r="W37" s="17">
        <v>29443389.43</v>
      </c>
      <c r="X37" s="93">
        <f t="shared" si="16"/>
        <v>99809336.921768367</v>
      </c>
      <c r="Y37" s="187">
        <f t="shared" si="12"/>
        <v>129252726.35176837</v>
      </c>
      <c r="Z37" s="14"/>
      <c r="AC37" s="11"/>
      <c r="AD37" s="11"/>
    </row>
    <row r="38" spans="1:30">
      <c r="A38" s="29">
        <f t="shared" si="7"/>
        <v>2049</v>
      </c>
      <c r="B38" s="92">
        <f t="shared" si="8"/>
        <v>0.14123756014291464</v>
      </c>
      <c r="C38" s="34">
        <f>'Fixed Costs - Supply Only'!L35*1000</f>
        <v>10044640</v>
      </c>
      <c r="D38" s="101">
        <v>0</v>
      </c>
      <c r="E38" s="101">
        <v>0</v>
      </c>
      <c r="F38" s="101">
        <v>0</v>
      </c>
      <c r="G38" s="34">
        <f>'Fixed Costs - Supply Only'!G35*1000</f>
        <v>4512200</v>
      </c>
      <c r="H38" s="38">
        <f t="shared" si="0"/>
        <v>4512200</v>
      </c>
      <c r="I38" s="178">
        <f t="shared" si="9"/>
        <v>99809.336921768365</v>
      </c>
      <c r="J38" s="178">
        <f t="shared" si="15"/>
        <v>29443.389429999999</v>
      </c>
      <c r="K38" s="83">
        <v>23646231.919269901</v>
      </c>
      <c r="L38" s="34">
        <f t="shared" si="10"/>
        <v>23775484.645621669</v>
      </c>
      <c r="M38" s="34">
        <f t="shared" si="1"/>
        <v>38332324.645621672</v>
      </c>
      <c r="N38" s="34">
        <f>NEL!B31/1000</f>
        <v>178116.47390867816</v>
      </c>
      <c r="O38" s="34">
        <f t="shared" si="14"/>
        <v>113.16277017307091</v>
      </c>
      <c r="P38" s="34">
        <f t="shared" si="2"/>
        <v>178003.31113850509</v>
      </c>
      <c r="Q38" s="115">
        <f t="shared" si="3"/>
        <v>21.53461326109554</v>
      </c>
      <c r="R38" s="30">
        <f t="shared" si="4"/>
        <v>3.0414962356183883</v>
      </c>
      <c r="S38" s="56">
        <f t="shared" si="11"/>
        <v>14.836592723215446</v>
      </c>
      <c r="T38" s="35">
        <f t="shared" si="5"/>
        <v>2.0954841570610712</v>
      </c>
      <c r="U38" s="111"/>
      <c r="V38" s="57">
        <f t="shared" si="6"/>
        <v>2049</v>
      </c>
      <c r="W38" s="17">
        <v>29443389.43</v>
      </c>
      <c r="X38" s="93">
        <f t="shared" si="16"/>
        <v>99809336.921768367</v>
      </c>
      <c r="Y38" s="187">
        <f t="shared" si="12"/>
        <v>129252726.35176837</v>
      </c>
      <c r="Z38" s="14"/>
      <c r="AC38" s="11"/>
      <c r="AD38" s="11"/>
    </row>
    <row r="39" spans="1:30">
      <c r="A39" s="29">
        <f t="shared" si="7"/>
        <v>2050</v>
      </c>
      <c r="B39" s="92">
        <f t="shared" si="8"/>
        <v>0.13060151499705264</v>
      </c>
      <c r="C39" s="34">
        <f>'Fixed Costs - Supply Only'!L36*1000</f>
        <v>11130570</v>
      </c>
      <c r="D39" s="101">
        <v>0</v>
      </c>
      <c r="E39" s="101">
        <v>0</v>
      </c>
      <c r="F39" s="101">
        <v>0</v>
      </c>
      <c r="G39" s="34">
        <f>'Fixed Costs - Supply Only'!G36*1000</f>
        <v>4551140</v>
      </c>
      <c r="H39" s="38">
        <f t="shared" si="0"/>
        <v>4551140</v>
      </c>
      <c r="I39" s="178">
        <f t="shared" si="9"/>
        <v>99809.336921768365</v>
      </c>
      <c r="J39" s="178">
        <f t="shared" si="15"/>
        <v>29443.389429999999</v>
      </c>
      <c r="K39" s="83">
        <v>24135145.366166316</v>
      </c>
      <c r="L39" s="34">
        <f t="shared" si="10"/>
        <v>24264398.092518084</v>
      </c>
      <c r="M39" s="34">
        <f t="shared" si="1"/>
        <v>39946108.092518084</v>
      </c>
      <c r="N39" s="34">
        <f>NEL!B32/1000</f>
        <v>179842.18638912725</v>
      </c>
      <c r="O39" s="34">
        <f t="shared" si="14"/>
        <v>113.16277017307091</v>
      </c>
      <c r="P39" s="34">
        <f t="shared" si="2"/>
        <v>179729.02361895418</v>
      </c>
      <c r="Q39" s="115">
        <f t="shared" si="3"/>
        <v>22.225741445749097</v>
      </c>
      <c r="R39" s="30">
        <f t="shared" si="4"/>
        <v>2.902715504747615</v>
      </c>
      <c r="S39" s="56">
        <f t="shared" si="11"/>
        <v>14.836592723215446</v>
      </c>
      <c r="T39" s="35">
        <f t="shared" si="5"/>
        <v>1.937681487046184</v>
      </c>
      <c r="U39" s="111"/>
      <c r="V39" s="57">
        <f t="shared" si="6"/>
        <v>2050</v>
      </c>
      <c r="W39" s="17">
        <v>29443389.43</v>
      </c>
      <c r="X39" s="93">
        <f t="shared" si="16"/>
        <v>99809336.921768367</v>
      </c>
      <c r="Y39" s="187">
        <f t="shared" si="12"/>
        <v>129252726.35176837</v>
      </c>
      <c r="Z39" s="14"/>
      <c r="AC39" s="11"/>
      <c r="AD39" s="11"/>
    </row>
    <row r="40" spans="1:30">
      <c r="A40" s="29">
        <f t="shared" si="7"/>
        <v>2051</v>
      </c>
      <c r="B40" s="92">
        <f t="shared" si="8"/>
        <v>0.12076642857796518</v>
      </c>
      <c r="C40" s="34">
        <f>'Fixed Costs - Supply Only'!L37*1000</f>
        <v>11389099.999999998</v>
      </c>
      <c r="D40" s="101">
        <v>0</v>
      </c>
      <c r="E40" s="101">
        <v>0</v>
      </c>
      <c r="F40" s="101">
        <v>0</v>
      </c>
      <c r="G40" s="34">
        <f>'Fixed Costs - Supply Only'!G37*1000</f>
        <v>4403360</v>
      </c>
      <c r="H40" s="38">
        <f t="shared" si="0"/>
        <v>4403360</v>
      </c>
      <c r="I40" s="178">
        <f t="shared" si="9"/>
        <v>99809.336921768365</v>
      </c>
      <c r="J40" s="178">
        <f t="shared" si="15"/>
        <v>29443.389429999999</v>
      </c>
      <c r="K40" s="83">
        <v>24631799.867536113</v>
      </c>
      <c r="L40" s="34">
        <f t="shared" si="10"/>
        <v>24761052.59388788</v>
      </c>
      <c r="M40" s="34">
        <f t="shared" si="1"/>
        <v>40553512.59388788</v>
      </c>
      <c r="N40" s="34">
        <f>NEL!B33/1000</f>
        <v>181585.35938502947</v>
      </c>
      <c r="O40" s="34">
        <f t="shared" si="14"/>
        <v>113.16277017307091</v>
      </c>
      <c r="P40" s="34">
        <f t="shared" si="2"/>
        <v>181472.1966148564</v>
      </c>
      <c r="Q40" s="115">
        <f t="shared" si="3"/>
        <v>22.346956365969248</v>
      </c>
      <c r="R40" s="30">
        <f t="shared" si="4"/>
        <v>2.6987621099057297</v>
      </c>
      <c r="S40" s="56">
        <f t="shared" ref="S40:S59" si="17">S39</f>
        <v>14.836592723215446</v>
      </c>
      <c r="T40" s="35">
        <f t="shared" si="5"/>
        <v>1.7917623154485562</v>
      </c>
      <c r="U40" s="111"/>
      <c r="V40" s="57">
        <f t="shared" si="6"/>
        <v>2051</v>
      </c>
      <c r="W40" s="17">
        <v>29443389.43</v>
      </c>
      <c r="X40" s="93">
        <f t="shared" si="16"/>
        <v>99809336.921768367</v>
      </c>
      <c r="Y40" s="187">
        <f t="shared" si="12"/>
        <v>129252726.35176837</v>
      </c>
      <c r="Z40" s="14"/>
      <c r="AC40" s="11"/>
      <c r="AD40" s="11"/>
    </row>
    <row r="41" spans="1:30">
      <c r="A41" s="29">
        <f t="shared" si="7"/>
        <v>2052</v>
      </c>
      <c r="B41" s="92">
        <f t="shared" si="8"/>
        <v>0.11167198383422967</v>
      </c>
      <c r="C41" s="34">
        <f>'Fixed Costs - Supply Only'!L38*1000</f>
        <v>11908140</v>
      </c>
      <c r="D41" s="101">
        <v>0</v>
      </c>
      <c r="E41" s="101">
        <v>0</v>
      </c>
      <c r="F41" s="101">
        <v>0</v>
      </c>
      <c r="G41" s="34">
        <f>'Fixed Costs - Supply Only'!G38*1000</f>
        <v>4672400</v>
      </c>
      <c r="H41" s="38">
        <f t="shared" si="0"/>
        <v>4672400</v>
      </c>
      <c r="I41" s="178">
        <f t="shared" si="9"/>
        <v>99809.336921768365</v>
      </c>
      <c r="J41" s="178">
        <f t="shared" si="15"/>
        <v>29443.389429999999</v>
      </c>
      <c r="K41" s="83">
        <v>25136314.709630359</v>
      </c>
      <c r="L41" s="34">
        <f t="shared" si="10"/>
        <v>25265567.435982127</v>
      </c>
      <c r="M41" s="34">
        <f t="shared" si="1"/>
        <v>41846107.435982123</v>
      </c>
      <c r="N41" s="34">
        <f>NEL!B34/1000</f>
        <v>183346.17133835287</v>
      </c>
      <c r="O41" s="34">
        <f t="shared" si="14"/>
        <v>113.16277017307091</v>
      </c>
      <c r="P41" s="34">
        <f t="shared" si="2"/>
        <v>183233.00856817979</v>
      </c>
      <c r="Q41" s="115">
        <f t="shared" si="3"/>
        <v>22.837646864490281</v>
      </c>
      <c r="R41" s="30">
        <f t="shared" si="4"/>
        <v>2.5503253314632048</v>
      </c>
      <c r="S41" s="56">
        <f t="shared" si="17"/>
        <v>14.836592723215446</v>
      </c>
      <c r="T41" s="35">
        <f t="shared" si="5"/>
        <v>1.656831742741965</v>
      </c>
      <c r="U41" s="111"/>
      <c r="V41" s="57">
        <f t="shared" si="6"/>
        <v>2052</v>
      </c>
      <c r="W41" s="17">
        <v>29443389.43</v>
      </c>
      <c r="X41" s="93">
        <f t="shared" si="16"/>
        <v>99809336.921768367</v>
      </c>
      <c r="Y41" s="187">
        <f t="shared" si="12"/>
        <v>129252726.35176837</v>
      </c>
      <c r="Z41" s="14"/>
      <c r="AC41" s="11"/>
      <c r="AD41" s="11"/>
    </row>
    <row r="42" spans="1:30">
      <c r="A42" s="29">
        <f t="shared" si="7"/>
        <v>2053</v>
      </c>
      <c r="B42" s="92">
        <f t="shared" si="8"/>
        <v>0.1032624059543301</v>
      </c>
      <c r="C42" s="34">
        <f>'Fixed Costs - Supply Only'!L39*1000</f>
        <v>13002440</v>
      </c>
      <c r="D42" s="101">
        <v>0</v>
      </c>
      <c r="E42" s="101">
        <v>0</v>
      </c>
      <c r="F42" s="101">
        <v>0</v>
      </c>
      <c r="G42" s="34">
        <f>'Fixed Costs - Supply Only'!G39*1000</f>
        <v>4898800</v>
      </c>
      <c r="H42" s="38">
        <f t="shared" si="0"/>
        <v>4898800</v>
      </c>
      <c r="I42" s="178">
        <f t="shared" si="9"/>
        <v>99809.336921768365</v>
      </c>
      <c r="J42" s="178">
        <f t="shared" si="15"/>
        <v>29443.389429999999</v>
      </c>
      <c r="K42" s="83">
        <v>25648811.075635657</v>
      </c>
      <c r="L42" s="34">
        <f t="shared" si="10"/>
        <v>25778063.801987424</v>
      </c>
      <c r="M42" s="34">
        <f t="shared" si="1"/>
        <v>43679303.801987424</v>
      </c>
      <c r="N42" s="34">
        <f>NEL!B35/1000</f>
        <v>185124.80251877927</v>
      </c>
      <c r="O42" s="34">
        <f t="shared" si="14"/>
        <v>113.16277017307091</v>
      </c>
      <c r="P42" s="34">
        <f t="shared" si="2"/>
        <v>185011.63974860619</v>
      </c>
      <c r="Q42" s="115">
        <f t="shared" si="3"/>
        <v>23.608949070090326</v>
      </c>
      <c r="R42" s="30">
        <f t="shared" si="4"/>
        <v>2.4379168830307716</v>
      </c>
      <c r="S42" s="56">
        <f t="shared" si="17"/>
        <v>14.836592723215446</v>
      </c>
      <c r="T42" s="35">
        <f t="shared" si="5"/>
        <v>1.5320622607637333</v>
      </c>
      <c r="U42" s="111"/>
      <c r="V42" s="57">
        <f t="shared" si="6"/>
        <v>2053</v>
      </c>
      <c r="W42" s="17">
        <v>29443389.43</v>
      </c>
      <c r="X42" s="93">
        <f t="shared" si="16"/>
        <v>99809336.921768367</v>
      </c>
      <c r="Y42" s="187">
        <f t="shared" si="12"/>
        <v>129252726.35176837</v>
      </c>
      <c r="Z42" s="14"/>
      <c r="AC42" s="11"/>
      <c r="AD42" s="11"/>
    </row>
    <row r="43" spans="1:30">
      <c r="A43" s="29">
        <f t="shared" si="7"/>
        <v>2054</v>
      </c>
      <c r="B43" s="92">
        <f>B42/(1+$B$12)</f>
        <v>9.5486120308435063E-2</v>
      </c>
      <c r="C43" s="34">
        <f>'Fixed Costs - Supply Only'!L40*1000</f>
        <v>13533740.000000002</v>
      </c>
      <c r="D43" s="101">
        <v>0</v>
      </c>
      <c r="E43" s="101">
        <v>0</v>
      </c>
      <c r="F43" s="101">
        <v>0</v>
      </c>
      <c r="G43" s="34">
        <f>'Fixed Costs - Supply Only'!G40*1000</f>
        <v>4964980.0000000009</v>
      </c>
      <c r="H43" s="38">
        <f t="shared" si="0"/>
        <v>4964980.0000000009</v>
      </c>
      <c r="I43" s="178">
        <f t="shared" si="9"/>
        <v>99809.336921768365</v>
      </c>
      <c r="J43" s="178">
        <f>W43/1000</f>
        <v>29443.389429999999</v>
      </c>
      <c r="K43" s="83">
        <v>26167862.568673439</v>
      </c>
      <c r="L43" s="34">
        <f>SUM(I43:K43)</f>
        <v>26297115.295025207</v>
      </c>
      <c r="M43" s="34">
        <f t="shared" si="1"/>
        <v>44795835.295025215</v>
      </c>
      <c r="N43" s="34">
        <f>NEL!B36/1000</f>
        <v>186921.43504245102</v>
      </c>
      <c r="O43" s="34">
        <f t="shared" si="14"/>
        <v>113.16277017307091</v>
      </c>
      <c r="P43" s="34">
        <f>N43-O43</f>
        <v>186808.27227227794</v>
      </c>
      <c r="Q43" s="115">
        <f>(M43/P43)/10</f>
        <v>23.979577965227424</v>
      </c>
      <c r="R43" s="30">
        <f t="shared" si="4"/>
        <v>2.2897168665332042</v>
      </c>
      <c r="S43" s="56">
        <f t="shared" si="17"/>
        <v>14.836592723215446</v>
      </c>
      <c r="T43" s="35">
        <f t="shared" si="5"/>
        <v>1.4166886777362022</v>
      </c>
      <c r="U43" s="14"/>
      <c r="V43" s="57">
        <f t="shared" si="6"/>
        <v>2054</v>
      </c>
      <c r="W43" s="17">
        <v>29443389.43</v>
      </c>
      <c r="X43" s="93">
        <f t="shared" si="16"/>
        <v>99809336.921768367</v>
      </c>
      <c r="Y43" s="187">
        <f t="shared" si="12"/>
        <v>129252726.35176837</v>
      </c>
      <c r="Z43" s="14"/>
      <c r="AC43" s="107"/>
      <c r="AD43" s="107"/>
    </row>
    <row r="44" spans="1:30">
      <c r="A44" s="29">
        <f t="shared" si="7"/>
        <v>2055</v>
      </c>
      <c r="B44" s="92">
        <f>B43/(1+$B$12)</f>
        <v>8.8295436149234963E-2</v>
      </c>
      <c r="C44" s="34">
        <f>'Fixed Costs - Supply Only'!L41*1000</f>
        <v>13791510</v>
      </c>
      <c r="D44" s="101">
        <v>0</v>
      </c>
      <c r="E44" s="101">
        <v>0</v>
      </c>
      <c r="F44" s="101">
        <v>0</v>
      </c>
      <c r="G44" s="34">
        <f>'Fixed Costs - Supply Only'!G41*1000</f>
        <v>5034670</v>
      </c>
      <c r="H44" s="38">
        <f t="shared" si="0"/>
        <v>5034670</v>
      </c>
      <c r="I44" s="178">
        <f t="shared" si="9"/>
        <v>99809.336921768365</v>
      </c>
      <c r="J44" s="178">
        <f>W44/1000</f>
        <v>29443.389429999999</v>
      </c>
      <c r="K44" s="83">
        <v>26695116.774999283</v>
      </c>
      <c r="L44" s="34">
        <f>SUM(I44:K44)</f>
        <v>26824369.501351051</v>
      </c>
      <c r="M44" s="34">
        <f t="shared" si="1"/>
        <v>45650549.501351051</v>
      </c>
      <c r="N44" s="34">
        <f>NEL!B37/1000</f>
        <v>188736.25289088118</v>
      </c>
      <c r="O44" s="34">
        <f t="shared" si="14"/>
        <v>113.16277017307091</v>
      </c>
      <c r="P44" s="34">
        <f>N44-O44</f>
        <v>188623.0901207081</v>
      </c>
      <c r="Q44" s="115">
        <f>(M44/P44)/10</f>
        <v>24.201994290379446</v>
      </c>
      <c r="R44" s="30">
        <f t="shared" si="4"/>
        <v>2.1369256415503477</v>
      </c>
      <c r="S44" s="56">
        <f t="shared" si="17"/>
        <v>14.836592723215446</v>
      </c>
      <c r="T44" s="35">
        <f t="shared" si="5"/>
        <v>1.3100034254648736</v>
      </c>
      <c r="U44" s="14"/>
      <c r="V44" s="57">
        <f t="shared" si="6"/>
        <v>2055</v>
      </c>
      <c r="W44" s="17">
        <v>29443389.43</v>
      </c>
      <c r="X44" s="93">
        <f t="shared" si="16"/>
        <v>99809336.921768367</v>
      </c>
      <c r="Y44" s="187">
        <f t="shared" si="12"/>
        <v>129252726.35176837</v>
      </c>
      <c r="Z44" s="14"/>
      <c r="AC44" s="107"/>
      <c r="AD44" s="107"/>
    </row>
    <row r="45" spans="1:30">
      <c r="A45" s="29">
        <f t="shared" si="7"/>
        <v>2056</v>
      </c>
      <c r="B45" s="92">
        <f>B44/(1+$B$12)</f>
        <v>8.1646254132025281E-2</v>
      </c>
      <c r="C45" s="34">
        <f>'Fixed Costs - Supply Only'!L42*1000</f>
        <v>14728869.999999998</v>
      </c>
      <c r="D45" s="101">
        <v>0</v>
      </c>
      <c r="E45" s="101">
        <v>0</v>
      </c>
      <c r="F45" s="101">
        <v>0</v>
      </c>
      <c r="G45" s="34">
        <f>'Fixed Costs - Supply Only'!G42*1000</f>
        <v>5314670</v>
      </c>
      <c r="H45" s="38">
        <f t="shared" si="0"/>
        <v>5314670</v>
      </c>
      <c r="I45" s="178">
        <f t="shared" si="9"/>
        <v>99809.336921768365</v>
      </c>
      <c r="J45" s="178">
        <f>W45/1000</f>
        <v>29443.389429999999</v>
      </c>
      <c r="K45" s="83">
        <v>27230700.070107445</v>
      </c>
      <c r="L45" s="34">
        <f>SUM(I45:K45)</f>
        <v>27359952.796459213</v>
      </c>
      <c r="M45" s="34">
        <f t="shared" si="1"/>
        <v>47403492.796459213</v>
      </c>
      <c r="N45" s="34">
        <f>NEL!B38/1000</f>
        <v>190569.44193007273</v>
      </c>
      <c r="O45" s="34">
        <f t="shared" si="14"/>
        <v>113.16277017307091</v>
      </c>
      <c r="P45" s="34">
        <f>N45-O45</f>
        <v>190456.27915989966</v>
      </c>
      <c r="Q45" s="115">
        <f>(M45/P45)/10</f>
        <v>24.889435520611578</v>
      </c>
      <c r="R45" s="30">
        <f t="shared" si="4"/>
        <v>2.03212917771851</v>
      </c>
      <c r="S45" s="56">
        <f t="shared" si="17"/>
        <v>14.836592723215446</v>
      </c>
      <c r="T45" s="35">
        <f t="shared" si="5"/>
        <v>1.2113522199330053</v>
      </c>
      <c r="U45" s="14"/>
      <c r="V45" s="57">
        <f t="shared" si="6"/>
        <v>2056</v>
      </c>
      <c r="W45" s="17">
        <v>29443389.43</v>
      </c>
      <c r="X45" s="93">
        <f t="shared" si="16"/>
        <v>99809336.921768367</v>
      </c>
      <c r="Y45" s="187">
        <f t="shared" si="12"/>
        <v>129252726.35176837</v>
      </c>
      <c r="Z45" s="14"/>
      <c r="AC45" s="107"/>
      <c r="AD45" s="107"/>
    </row>
    <row r="46" spans="1:30">
      <c r="A46" s="29">
        <f t="shared" si="7"/>
        <v>2057</v>
      </c>
      <c r="B46" s="92">
        <f>B45/(1+$B$12)</f>
        <v>7.5497795860301822E-2</v>
      </c>
      <c r="C46" s="34">
        <f>'Fixed Costs - Supply Only'!L43*1000</f>
        <v>15135450.000000002</v>
      </c>
      <c r="D46" s="101">
        <v>0</v>
      </c>
      <c r="E46" s="101">
        <v>0</v>
      </c>
      <c r="F46" s="101">
        <v>0</v>
      </c>
      <c r="G46" s="34">
        <f>'Fixed Costs - Supply Only'!G43*1000</f>
        <v>5441639.9999999991</v>
      </c>
      <c r="H46" s="38">
        <f t="shared" si="0"/>
        <v>5441639.9999999991</v>
      </c>
      <c r="I46" s="178">
        <f t="shared" si="9"/>
        <v>99809.336921768365</v>
      </c>
      <c r="J46" s="178">
        <f>W46/1000</f>
        <v>29443.389429999999</v>
      </c>
      <c r="K46" s="83">
        <v>27774740.835283663</v>
      </c>
      <c r="L46" s="34">
        <f>SUM(I46:K46)</f>
        <v>27903993.561635431</v>
      </c>
      <c r="M46" s="34">
        <f t="shared" si="1"/>
        <v>48481083.561635435</v>
      </c>
      <c r="N46" s="34">
        <f>NEL!B39/1000</f>
        <v>192421.18992983163</v>
      </c>
      <c r="O46" s="34">
        <f t="shared" si="14"/>
        <v>113.16277017307091</v>
      </c>
      <c r="P46" s="34">
        <f>N46-O46</f>
        <v>192308.02715965855</v>
      </c>
      <c r="Q46" s="115">
        <f>(M46/P46)/10</f>
        <v>25.210119555428292</v>
      </c>
      <c r="R46" s="30">
        <f t="shared" si="4"/>
        <v>1.9033084598095282</v>
      </c>
      <c r="S46" s="56">
        <f t="shared" si="17"/>
        <v>14.836592723215446</v>
      </c>
      <c r="T46" s="35">
        <f t="shared" si="5"/>
        <v>1.1201300486797592</v>
      </c>
      <c r="U46" s="14"/>
      <c r="V46" s="57">
        <f t="shared" si="6"/>
        <v>2057</v>
      </c>
      <c r="W46" s="17">
        <v>29443389.43</v>
      </c>
      <c r="X46" s="93">
        <f t="shared" si="16"/>
        <v>99809336.921768367</v>
      </c>
      <c r="Y46" s="187">
        <f t="shared" si="12"/>
        <v>129252726.35176837</v>
      </c>
      <c r="Z46" s="14"/>
      <c r="AC46" s="107"/>
      <c r="AD46" s="107"/>
    </row>
    <row r="47" spans="1:30">
      <c r="A47" s="29">
        <f t="shared" si="7"/>
        <v>2058</v>
      </c>
      <c r="B47" s="92">
        <f>B46/(1+$B$12)</f>
        <v>6.9812353798213586E-2</v>
      </c>
      <c r="C47" s="34">
        <f>'Fixed Costs - Supply Only'!L44*1000</f>
        <v>15366339.999999998</v>
      </c>
      <c r="D47" s="101">
        <v>0</v>
      </c>
      <c r="E47" s="101">
        <v>0</v>
      </c>
      <c r="F47" s="101">
        <v>0</v>
      </c>
      <c r="G47" s="34">
        <f>'Fixed Costs - Supply Only'!G44*1000</f>
        <v>5366860</v>
      </c>
      <c r="H47" s="38">
        <f t="shared" si="0"/>
        <v>5366860</v>
      </c>
      <c r="I47" s="178">
        <f t="shared" si="9"/>
        <v>99809.336921768365</v>
      </c>
      <c r="J47" s="178">
        <f>W47/1000</f>
        <v>29443.389429999999</v>
      </c>
      <c r="K47" s="83">
        <v>28327369.490628313</v>
      </c>
      <c r="L47" s="34">
        <f>SUM(I47:K47)</f>
        <v>28456622.216980081</v>
      </c>
      <c r="M47" s="34">
        <f t="shared" si="1"/>
        <v>49189822.216980085</v>
      </c>
      <c r="N47" s="34">
        <f>NEL!B40/1000</f>
        <v>194291.68658327684</v>
      </c>
      <c r="O47" s="34">
        <f t="shared" si="14"/>
        <v>113.16277017307091</v>
      </c>
      <c r="P47" s="34">
        <f>N47-O47</f>
        <v>194178.52381310376</v>
      </c>
      <c r="Q47" s="115">
        <f>(M47/P47)/10</f>
        <v>25.332267055611741</v>
      </c>
      <c r="R47" s="30">
        <f t="shared" si="4"/>
        <v>1.7685051901971973</v>
      </c>
      <c r="S47" s="56">
        <f t="shared" si="17"/>
        <v>14.836592723215446</v>
      </c>
      <c r="T47" s="35">
        <f t="shared" si="5"/>
        <v>1.035777460353118</v>
      </c>
      <c r="U47" s="14"/>
      <c r="V47" s="57">
        <f t="shared" si="6"/>
        <v>2058</v>
      </c>
      <c r="W47" s="17">
        <v>29443389.43</v>
      </c>
      <c r="X47" s="93">
        <f t="shared" si="16"/>
        <v>99809336.921768367</v>
      </c>
      <c r="Y47" s="187">
        <f t="shared" si="12"/>
        <v>129252726.35176837</v>
      </c>
      <c r="Z47" s="14"/>
      <c r="AC47" s="107"/>
      <c r="AD47" s="107"/>
    </row>
    <row r="48" spans="1:30">
      <c r="A48" s="29">
        <f t="shared" si="7"/>
        <v>2059</v>
      </c>
      <c r="B48" s="92">
        <f t="shared" ref="B48:B59" si="18">B47/(1+$B$12)</f>
        <v>6.4555060016125113E-2</v>
      </c>
      <c r="C48" s="34">
        <f>'Fixed Costs - Supply Only'!L45*1000</f>
        <v>15735930</v>
      </c>
      <c r="D48" s="101">
        <v>0</v>
      </c>
      <c r="E48" s="101">
        <v>0</v>
      </c>
      <c r="F48" s="101">
        <v>0</v>
      </c>
      <c r="G48" s="34">
        <f>'Fixed Costs - Supply Only'!G45*1000</f>
        <v>5366670</v>
      </c>
      <c r="H48" s="38">
        <f t="shared" si="0"/>
        <v>5366670</v>
      </c>
      <c r="I48" s="178">
        <f t="shared" ref="I48:I53" si="19">X48/1000</f>
        <v>99809.336921768365</v>
      </c>
      <c r="J48" s="178">
        <f t="shared" ref="J48:J53" si="20">W48/1000</f>
        <v>29443.389429999999</v>
      </c>
      <c r="K48" s="83">
        <v>28888718.528638612</v>
      </c>
      <c r="L48" s="34">
        <f t="shared" ref="L48:L53" si="21">SUM(I48:K48)</f>
        <v>29017971.25499038</v>
      </c>
      <c r="M48" s="34">
        <f t="shared" si="1"/>
        <v>50120571.254990384</v>
      </c>
      <c r="N48" s="34">
        <f>NEL!B41/1000</f>
        <v>196181.1235265471</v>
      </c>
      <c r="O48" s="34">
        <f t="shared" si="14"/>
        <v>113.16277017307091</v>
      </c>
      <c r="P48" s="34">
        <f t="shared" ref="P48:P53" si="22">N48-O48</f>
        <v>196067.96075637403</v>
      </c>
      <c r="Q48" s="115">
        <f t="shared" ref="Q48:Q53" si="23">(M48/P48)/10</f>
        <v>25.562856400219381</v>
      </c>
      <c r="R48" s="30">
        <f t="shared" si="4"/>
        <v>1.65021172909975</v>
      </c>
      <c r="S48" s="56">
        <f t="shared" si="17"/>
        <v>14.836592723215446</v>
      </c>
      <c r="T48" s="35">
        <f t="shared" si="5"/>
        <v>0.95777713368197825</v>
      </c>
      <c r="U48" s="14"/>
      <c r="V48" s="57">
        <f t="shared" si="6"/>
        <v>2059</v>
      </c>
      <c r="W48" s="17">
        <v>29443389.43</v>
      </c>
      <c r="X48" s="93">
        <f t="shared" si="16"/>
        <v>99809336.921768367</v>
      </c>
      <c r="Y48" s="187">
        <f t="shared" si="12"/>
        <v>129252726.35176837</v>
      </c>
      <c r="Z48" s="14"/>
      <c r="AC48" s="108"/>
      <c r="AD48" s="108"/>
    </row>
    <row r="49" spans="1:30">
      <c r="A49" s="29">
        <f t="shared" si="7"/>
        <v>2060</v>
      </c>
      <c r="B49" s="92">
        <f t="shared" si="18"/>
        <v>5.9693672351041019E-2</v>
      </c>
      <c r="C49" s="34">
        <f>'Fixed Costs - Supply Only'!L46*1000</f>
        <v>16046140</v>
      </c>
      <c r="D49" s="101">
        <v>0</v>
      </c>
      <c r="E49" s="101">
        <v>0</v>
      </c>
      <c r="F49" s="101">
        <v>0</v>
      </c>
      <c r="G49" s="34">
        <f>'Fixed Costs - Supply Only'!G46*1000</f>
        <v>5479550</v>
      </c>
      <c r="H49" s="38">
        <f t="shared" si="0"/>
        <v>5479550</v>
      </c>
      <c r="I49" s="178">
        <f t="shared" si="19"/>
        <v>99809.336921768365</v>
      </c>
      <c r="J49" s="178">
        <f t="shared" si="20"/>
        <v>29443.389429999999</v>
      </c>
      <c r="K49" s="83">
        <v>29458922.548359588</v>
      </c>
      <c r="L49" s="34">
        <f t="shared" si="21"/>
        <v>29588175.274711356</v>
      </c>
      <c r="M49" s="34">
        <f t="shared" si="1"/>
        <v>51113865.274711356</v>
      </c>
      <c r="N49" s="34">
        <f>NEL!B42/1000</f>
        <v>198089.69435871768</v>
      </c>
      <c r="O49" s="34">
        <f t="shared" si="14"/>
        <v>113.16277017307091</v>
      </c>
      <c r="P49" s="34">
        <f t="shared" si="22"/>
        <v>197976.5315885446</v>
      </c>
      <c r="Q49" s="115">
        <f t="shared" si="23"/>
        <v>25.818143627721241</v>
      </c>
      <c r="R49" s="30">
        <f t="shared" si="4"/>
        <v>1.5411798064253093</v>
      </c>
      <c r="S49" s="56">
        <f t="shared" si="17"/>
        <v>14.836592723215446</v>
      </c>
      <c r="T49" s="35">
        <f t="shared" si="5"/>
        <v>0.88565070482546226</v>
      </c>
      <c r="U49" s="14"/>
      <c r="V49" s="57">
        <f t="shared" si="6"/>
        <v>2060</v>
      </c>
      <c r="W49" s="17">
        <v>29443389.43</v>
      </c>
      <c r="X49" s="93">
        <f t="shared" si="16"/>
        <v>99809336.921768367</v>
      </c>
      <c r="Y49" s="187">
        <f t="shared" si="12"/>
        <v>129252726.35176837</v>
      </c>
      <c r="Z49" s="14"/>
      <c r="AC49" s="11"/>
      <c r="AD49" s="11"/>
    </row>
    <row r="50" spans="1:30">
      <c r="A50" s="29">
        <f t="shared" si="7"/>
        <v>2061</v>
      </c>
      <c r="B50" s="92">
        <f t="shared" si="18"/>
        <v>5.5198376670447816E-2</v>
      </c>
      <c r="C50" s="34">
        <f>'Fixed Costs - Supply Only'!L47*1000</f>
        <v>16312930</v>
      </c>
      <c r="D50" s="101">
        <v>0</v>
      </c>
      <c r="E50" s="101">
        <v>0</v>
      </c>
      <c r="F50" s="101">
        <v>0</v>
      </c>
      <c r="G50" s="34">
        <f>'Fixed Costs - Supply Only'!G47*1000</f>
        <v>5487090</v>
      </c>
      <c r="H50" s="38">
        <f t="shared" si="0"/>
        <v>5487090</v>
      </c>
      <c r="I50" s="178">
        <f t="shared" si="19"/>
        <v>99809.336921768365</v>
      </c>
      <c r="J50" s="178">
        <f t="shared" si="20"/>
        <v>29443.389429999999</v>
      </c>
      <c r="K50" s="83">
        <v>30038118.290113412</v>
      </c>
      <c r="L50" s="34">
        <f t="shared" si="21"/>
        <v>30167371.01646518</v>
      </c>
      <c r="M50" s="34">
        <f t="shared" si="1"/>
        <v>51967391.01646518</v>
      </c>
      <c r="N50" s="34">
        <f>NEL!B43/1000</f>
        <v>200017.59466191049</v>
      </c>
      <c r="O50" s="34">
        <f t="shared" si="14"/>
        <v>113.16277017307091</v>
      </c>
      <c r="P50" s="34">
        <f t="shared" si="22"/>
        <v>199904.43189173742</v>
      </c>
      <c r="Q50" s="115">
        <f t="shared" si="23"/>
        <v>25.996117507094215</v>
      </c>
      <c r="R50" s="30">
        <f t="shared" si="4"/>
        <v>1.4349434861258095</v>
      </c>
      <c r="S50" s="56">
        <f t="shared" si="17"/>
        <v>14.836592723215446</v>
      </c>
      <c r="T50" s="35">
        <f t="shared" si="5"/>
        <v>0.81895583364207136</v>
      </c>
      <c r="U50" s="14"/>
      <c r="V50" s="57">
        <f t="shared" si="6"/>
        <v>2061</v>
      </c>
      <c r="W50" s="17">
        <v>29443389.43</v>
      </c>
      <c r="X50" s="93">
        <f t="shared" si="16"/>
        <v>99809336.921768367</v>
      </c>
      <c r="Y50" s="187">
        <f t="shared" si="12"/>
        <v>129252726.35176837</v>
      </c>
      <c r="Z50" s="14"/>
      <c r="AC50" s="11"/>
      <c r="AD50" s="11"/>
    </row>
    <row r="51" spans="1:30">
      <c r="A51" s="29">
        <f t="shared" si="7"/>
        <v>2062</v>
      </c>
      <c r="B51" s="92">
        <f t="shared" si="18"/>
        <v>5.1041604026888156E-2</v>
      </c>
      <c r="C51" s="34">
        <f>'Fixed Costs - Supply Only'!L48*1000</f>
        <v>16676750</v>
      </c>
      <c r="D51" s="101">
        <v>0</v>
      </c>
      <c r="E51" s="101">
        <v>0</v>
      </c>
      <c r="F51" s="101">
        <v>0</v>
      </c>
      <c r="G51" s="34">
        <f>'Fixed Costs - Supply Only'!G48*1000</f>
        <v>5464980.0000000009</v>
      </c>
      <c r="H51" s="38">
        <f t="shared" si="0"/>
        <v>5464980.0000000009</v>
      </c>
      <c r="I51" s="178">
        <f t="shared" si="19"/>
        <v>99809.336921768365</v>
      </c>
      <c r="J51" s="178">
        <f t="shared" si="20"/>
        <v>29443.389429999999</v>
      </c>
      <c r="K51" s="83">
        <v>30626444.67081736</v>
      </c>
      <c r="L51" s="34">
        <f t="shared" si="21"/>
        <v>30755697.397169128</v>
      </c>
      <c r="M51" s="34">
        <f t="shared" si="1"/>
        <v>52897427.397169128</v>
      </c>
      <c r="N51" s="34">
        <f>NEL!B44/1000</f>
        <v>201965.02202162123</v>
      </c>
      <c r="O51" s="34">
        <f t="shared" si="14"/>
        <v>113.16277017307091</v>
      </c>
      <c r="P51" s="34">
        <f t="shared" si="22"/>
        <v>201851.85925144816</v>
      </c>
      <c r="Q51" s="115">
        <f t="shared" si="23"/>
        <v>26.206063988379945</v>
      </c>
      <c r="R51" s="30">
        <f t="shared" si="4"/>
        <v>1.3375995411981825</v>
      </c>
      <c r="S51" s="56">
        <f t="shared" si="17"/>
        <v>14.836592723215446</v>
      </c>
      <c r="T51" s="35">
        <f t="shared" si="5"/>
        <v>0.75728349088657299</v>
      </c>
      <c r="U51" s="14"/>
      <c r="V51" s="57">
        <f t="shared" si="6"/>
        <v>2062</v>
      </c>
      <c r="W51" s="17">
        <v>29443389.43</v>
      </c>
      <c r="X51" s="93">
        <f t="shared" si="16"/>
        <v>99809336.921768367</v>
      </c>
      <c r="Y51" s="187">
        <f t="shared" si="12"/>
        <v>129252726.35176837</v>
      </c>
      <c r="Z51" s="14"/>
      <c r="AC51" s="11"/>
      <c r="AD51" s="11"/>
    </row>
    <row r="52" spans="1:30">
      <c r="A52" s="29">
        <f t="shared" si="7"/>
        <v>2063</v>
      </c>
      <c r="B52" s="92">
        <f t="shared" si="18"/>
        <v>4.7197861581904914E-2</v>
      </c>
      <c r="C52" s="34">
        <f>'Fixed Costs - Supply Only'!L49*1000</f>
        <v>17470079.999999996</v>
      </c>
      <c r="D52" s="101">
        <v>0</v>
      </c>
      <c r="E52" s="101">
        <v>0</v>
      </c>
      <c r="F52" s="101">
        <v>0</v>
      </c>
      <c r="G52" s="34">
        <f>'Fixed Costs - Supply Only'!G49*1000</f>
        <v>5731389.9999999991</v>
      </c>
      <c r="H52" s="38">
        <f t="shared" si="0"/>
        <v>5731389.9999999991</v>
      </c>
      <c r="I52" s="178">
        <f t="shared" si="19"/>
        <v>99809.336921768365</v>
      </c>
      <c r="J52" s="178">
        <f t="shared" si="20"/>
        <v>29443.389429999999</v>
      </c>
      <c r="K52" s="83">
        <v>31224042.819900218</v>
      </c>
      <c r="L52" s="34">
        <f t="shared" si="21"/>
        <v>31353295.546251986</v>
      </c>
      <c r="M52" s="34">
        <f t="shared" si="1"/>
        <v>54554765.546251982</v>
      </c>
      <c r="N52" s="34">
        <f>NEL!B45/1000</f>
        <v>203932.17604724571</v>
      </c>
      <c r="O52" s="34">
        <f t="shared" si="14"/>
        <v>113.16277017307091</v>
      </c>
      <c r="P52" s="34">
        <f t="shared" si="22"/>
        <v>203819.01327707263</v>
      </c>
      <c r="Q52" s="115">
        <f t="shared" si="23"/>
        <v>26.766278900629327</v>
      </c>
      <c r="R52" s="30">
        <f t="shared" si="4"/>
        <v>1.2633111266145651</v>
      </c>
      <c r="S52" s="56">
        <f t="shared" si="17"/>
        <v>14.836592723215446</v>
      </c>
      <c r="T52" s="35">
        <f t="shared" si="5"/>
        <v>0.70025544969742026</v>
      </c>
      <c r="U52" s="14"/>
      <c r="V52" s="57">
        <f t="shared" si="6"/>
        <v>2063</v>
      </c>
      <c r="W52" s="17">
        <v>29443389.43</v>
      </c>
      <c r="X52" s="93">
        <f t="shared" si="16"/>
        <v>99809336.921768367</v>
      </c>
      <c r="Y52" s="187">
        <f t="shared" si="12"/>
        <v>129252726.35176837</v>
      </c>
      <c r="Z52" s="14"/>
      <c r="AC52" s="11"/>
      <c r="AD52" s="11"/>
    </row>
    <row r="53" spans="1:30">
      <c r="A53" s="29">
        <f t="shared" si="7"/>
        <v>2064</v>
      </c>
      <c r="B53" s="92">
        <f t="shared" si="18"/>
        <v>4.3643576262437998E-2</v>
      </c>
      <c r="C53" s="34">
        <f>'Fixed Costs - Supply Only'!L50*1000</f>
        <v>17985910</v>
      </c>
      <c r="D53" s="101">
        <v>0</v>
      </c>
      <c r="E53" s="101">
        <v>0</v>
      </c>
      <c r="F53" s="101">
        <v>0</v>
      </c>
      <c r="G53" s="34">
        <f>'Fixed Costs - Supply Only'!G50*1000</f>
        <v>5863770</v>
      </c>
      <c r="H53" s="38">
        <f t="shared" si="0"/>
        <v>5863770</v>
      </c>
      <c r="I53" s="178">
        <f t="shared" si="19"/>
        <v>99809.336921768365</v>
      </c>
      <c r="J53" s="178">
        <f t="shared" si="20"/>
        <v>29443.389429999999</v>
      </c>
      <c r="K53" s="83">
        <v>31224042.819900218</v>
      </c>
      <c r="L53" s="34">
        <f t="shared" si="21"/>
        <v>31353295.546251986</v>
      </c>
      <c r="M53" s="34">
        <f t="shared" si="1"/>
        <v>55202975.546251982</v>
      </c>
      <c r="N53" s="34">
        <f>NEL!B46/1000</f>
        <v>205919.25839282293</v>
      </c>
      <c r="O53" s="34">
        <f t="shared" si="14"/>
        <v>113.16277017307091</v>
      </c>
      <c r="P53" s="34">
        <f t="shared" si="22"/>
        <v>205806.09562264985</v>
      </c>
      <c r="Q53" s="115">
        <f t="shared" si="23"/>
        <v>26.822808809058738</v>
      </c>
      <c r="R53" s="30">
        <f t="shared" si="4"/>
        <v>1.1706433018309488</v>
      </c>
      <c r="S53" s="56">
        <f t="shared" si="17"/>
        <v>14.836592723215446</v>
      </c>
      <c r="T53" s="35">
        <f t="shared" si="5"/>
        <v>0.64752196599038603</v>
      </c>
      <c r="U53" s="14"/>
      <c r="V53" s="57">
        <f t="shared" si="6"/>
        <v>2064</v>
      </c>
      <c r="W53" s="17">
        <v>29443389.43</v>
      </c>
      <c r="X53" s="93">
        <f t="shared" si="16"/>
        <v>99809336.921768367</v>
      </c>
      <c r="Y53" s="187">
        <f t="shared" si="12"/>
        <v>129252726.35176837</v>
      </c>
      <c r="Z53" s="14"/>
      <c r="AC53" s="11"/>
      <c r="AD53" s="11"/>
    </row>
    <row r="54" spans="1:30">
      <c r="A54" s="29">
        <f t="shared" si="7"/>
        <v>2065</v>
      </c>
      <c r="B54" s="92">
        <f t="shared" si="18"/>
        <v>4.0356950190843052E-2</v>
      </c>
      <c r="C54" s="34">
        <f>'Fixed Costs - Supply Only'!L51*1000</f>
        <v>18343360</v>
      </c>
      <c r="D54" s="101">
        <v>0</v>
      </c>
      <c r="E54" s="101">
        <v>0</v>
      </c>
      <c r="F54" s="101">
        <v>0</v>
      </c>
      <c r="G54" s="34">
        <f>'Fixed Costs - Supply Only'!G51*1000</f>
        <v>5572389.9999999991</v>
      </c>
      <c r="H54" s="38">
        <f t="shared" si="0"/>
        <v>5572389.9999999991</v>
      </c>
      <c r="I54" s="178">
        <f t="shared" ref="I54:I59" si="24">X54/1000</f>
        <v>99809.336921768365</v>
      </c>
      <c r="J54" s="178">
        <f t="shared" ref="J54:J59" si="25">W54/1000</f>
        <v>29443.389429999999</v>
      </c>
      <c r="K54" s="83">
        <v>31224042.819900218</v>
      </c>
      <c r="L54" s="34">
        <f t="shared" ref="L54:L59" si="26">SUM(I54:K54)</f>
        <v>31353295.546251986</v>
      </c>
      <c r="M54" s="34">
        <f t="shared" si="1"/>
        <v>55269045.546251982</v>
      </c>
      <c r="N54" s="34">
        <f>NEL!B47/1000</f>
        <v>207926.47277798827</v>
      </c>
      <c r="O54" s="34">
        <f t="shared" si="14"/>
        <v>113.16277017307091</v>
      </c>
      <c r="P54" s="34">
        <f t="shared" ref="P54:P59" si="27">N54-O54</f>
        <v>207813.31000781519</v>
      </c>
      <c r="Q54" s="115">
        <f t="shared" ref="Q54:Q59" si="28">(M54/P54)/10</f>
        <v>26.595527275983187</v>
      </c>
      <c r="R54" s="30">
        <f t="shared" si="4"/>
        <v>1.0733143695760612</v>
      </c>
      <c r="S54" s="56">
        <f t="shared" si="17"/>
        <v>14.836592723215446</v>
      </c>
      <c r="T54" s="35">
        <f t="shared" si="5"/>
        <v>0.59875963353263029</v>
      </c>
      <c r="U54" s="14"/>
      <c r="V54" s="57">
        <f t="shared" si="6"/>
        <v>2065</v>
      </c>
      <c r="W54" s="17">
        <v>29443389.43</v>
      </c>
      <c r="X54" s="93">
        <f t="shared" si="16"/>
        <v>99809336.921768367</v>
      </c>
      <c r="Y54" s="187">
        <f t="shared" ref="Y54:Y59" si="29">W54+X54</f>
        <v>129252726.35176837</v>
      </c>
      <c r="Z54" s="14"/>
      <c r="AC54" s="11"/>
      <c r="AD54" s="11"/>
    </row>
    <row r="55" spans="1:30">
      <c r="A55" s="29">
        <f t="shared" si="7"/>
        <v>2066</v>
      </c>
      <c r="B55" s="92">
        <f t="shared" si="18"/>
        <v>3.7317827001906792E-2</v>
      </c>
      <c r="C55" s="34">
        <f>'Fixed Costs - Supply Only'!L52*1000</f>
        <v>18731970</v>
      </c>
      <c r="D55" s="101">
        <v>0</v>
      </c>
      <c r="E55" s="101">
        <v>0</v>
      </c>
      <c r="F55" s="101">
        <v>0</v>
      </c>
      <c r="G55" s="34">
        <f>'Fixed Costs - Supply Only'!G52*1000</f>
        <v>5646590</v>
      </c>
      <c r="H55" s="38">
        <f t="shared" si="0"/>
        <v>5646590</v>
      </c>
      <c r="I55" s="178">
        <f t="shared" si="24"/>
        <v>99809.336921768365</v>
      </c>
      <c r="J55" s="178">
        <f t="shared" si="25"/>
        <v>29443.389429999999</v>
      </c>
      <c r="K55" s="83">
        <v>31224042.819900218</v>
      </c>
      <c r="L55" s="34">
        <f t="shared" si="26"/>
        <v>31353295.546251986</v>
      </c>
      <c r="M55" s="34">
        <f t="shared" si="1"/>
        <v>55731855.546251982</v>
      </c>
      <c r="N55" s="34">
        <f>NEL!B48/1000</f>
        <v>209954.02500914101</v>
      </c>
      <c r="O55" s="34">
        <f t="shared" si="14"/>
        <v>113.16277017307091</v>
      </c>
      <c r="P55" s="34">
        <f t="shared" si="27"/>
        <v>209840.86223896794</v>
      </c>
      <c r="Q55" s="115">
        <f t="shared" si="28"/>
        <v>26.559105291315586</v>
      </c>
      <c r="R55" s="30">
        <f t="shared" si="4"/>
        <v>0.99112809658674228</v>
      </c>
      <c r="S55" s="56">
        <f t="shared" si="17"/>
        <v>14.836592723215446</v>
      </c>
      <c r="T55" s="35">
        <f t="shared" si="5"/>
        <v>0.55366940054270319</v>
      </c>
      <c r="U55" s="14"/>
      <c r="V55" s="57">
        <f t="shared" si="6"/>
        <v>2066</v>
      </c>
      <c r="W55" s="17">
        <v>29443389.43</v>
      </c>
      <c r="X55" s="93">
        <f t="shared" si="16"/>
        <v>99809336.921768367</v>
      </c>
      <c r="Y55" s="187">
        <f t="shared" si="29"/>
        <v>129252726.35176837</v>
      </c>
      <c r="Z55" s="14"/>
      <c r="AC55" s="11"/>
      <c r="AD55" s="11"/>
    </row>
    <row r="56" spans="1:30">
      <c r="A56" s="29">
        <f t="shared" si="7"/>
        <v>2067</v>
      </c>
      <c r="B56" s="92">
        <f t="shared" si="18"/>
        <v>3.4507568227002142E-2</v>
      </c>
      <c r="C56" s="34">
        <f>'Fixed Costs - Supply Only'!L53*1000</f>
        <v>19086260.000000004</v>
      </c>
      <c r="D56" s="101">
        <v>0</v>
      </c>
      <c r="E56" s="101">
        <v>0</v>
      </c>
      <c r="F56" s="101">
        <v>0</v>
      </c>
      <c r="G56" s="34">
        <f>'Fixed Costs - Supply Only'!G53*1000</f>
        <v>5770750</v>
      </c>
      <c r="H56" s="38">
        <f t="shared" si="0"/>
        <v>5770750</v>
      </c>
      <c r="I56" s="178">
        <f t="shared" si="24"/>
        <v>99809.336921768365</v>
      </c>
      <c r="J56" s="178">
        <f t="shared" si="25"/>
        <v>29443.389429999999</v>
      </c>
      <c r="K56" s="83">
        <v>31224042.819900218</v>
      </c>
      <c r="L56" s="34">
        <f t="shared" si="26"/>
        <v>31353295.546251986</v>
      </c>
      <c r="M56" s="34">
        <f t="shared" si="1"/>
        <v>56210305.54625199</v>
      </c>
      <c r="N56" s="34">
        <f>NEL!B49/1000</f>
        <v>212002.12300082471</v>
      </c>
      <c r="O56" s="34">
        <f t="shared" si="14"/>
        <v>113.16277017307091</v>
      </c>
      <c r="P56" s="34">
        <f t="shared" si="27"/>
        <v>211888.96023065163</v>
      </c>
      <c r="Q56" s="115">
        <f t="shared" si="28"/>
        <v>26.528189805199993</v>
      </c>
      <c r="R56" s="30">
        <f t="shared" si="4"/>
        <v>0.91542331964180146</v>
      </c>
      <c r="S56" s="56">
        <f t="shared" si="17"/>
        <v>14.836592723215446</v>
      </c>
      <c r="T56" s="35">
        <f t="shared" si="5"/>
        <v>0.51197473565260054</v>
      </c>
      <c r="U56" s="14"/>
      <c r="V56" s="57">
        <f t="shared" si="6"/>
        <v>2067</v>
      </c>
      <c r="W56" s="17">
        <v>29443389.43</v>
      </c>
      <c r="X56" s="93">
        <f t="shared" si="16"/>
        <v>99809336.921768367</v>
      </c>
      <c r="Y56" s="187">
        <f t="shared" si="29"/>
        <v>129252726.35176837</v>
      </c>
      <c r="Z56" s="14"/>
      <c r="AC56" s="11"/>
      <c r="AD56" s="11"/>
    </row>
    <row r="57" spans="1:30">
      <c r="A57" s="29">
        <f t="shared" si="7"/>
        <v>2068</v>
      </c>
      <c r="B57" s="92">
        <f t="shared" si="18"/>
        <v>3.1908938987266433E-2</v>
      </c>
      <c r="C57" s="34">
        <f>'Fixed Costs - Supply Only'!L54*1000</f>
        <v>19374440</v>
      </c>
      <c r="D57" s="101">
        <v>0</v>
      </c>
      <c r="E57" s="101">
        <v>0</v>
      </c>
      <c r="F57" s="101">
        <v>0</v>
      </c>
      <c r="G57" s="34">
        <f>'Fixed Costs - Supply Only'!G54*1000</f>
        <v>5918470</v>
      </c>
      <c r="H57" s="38">
        <f t="shared" si="0"/>
        <v>5918470</v>
      </c>
      <c r="I57" s="178">
        <f t="shared" si="24"/>
        <v>99809.336921768365</v>
      </c>
      <c r="J57" s="178">
        <f t="shared" si="25"/>
        <v>29443.389429999999</v>
      </c>
      <c r="K57" s="83">
        <v>31224042.819900218</v>
      </c>
      <c r="L57" s="34">
        <f t="shared" si="26"/>
        <v>31353295.546251986</v>
      </c>
      <c r="M57" s="34">
        <f t="shared" si="1"/>
        <v>56646205.546251982</v>
      </c>
      <c r="N57" s="34">
        <f>NEL!B50/1000</f>
        <v>214070.9767973432</v>
      </c>
      <c r="O57" s="34">
        <f t="shared" si="14"/>
        <v>113.16277017307091</v>
      </c>
      <c r="P57" s="34">
        <f t="shared" si="27"/>
        <v>213957.81402717013</v>
      </c>
      <c r="Q57" s="115">
        <f t="shared" si="28"/>
        <v>26.475408623804025</v>
      </c>
      <c r="R57" s="30">
        <f t="shared" si="4"/>
        <v>0.84480219843991022</v>
      </c>
      <c r="S57" s="56">
        <f t="shared" si="17"/>
        <v>14.836592723215446</v>
      </c>
      <c r="T57" s="35">
        <f t="shared" si="5"/>
        <v>0.47341993198400278</v>
      </c>
      <c r="U57" s="14"/>
      <c r="V57" s="57">
        <f t="shared" si="6"/>
        <v>2068</v>
      </c>
      <c r="W57" s="17">
        <v>29443389.43</v>
      </c>
      <c r="X57" s="93">
        <f t="shared" si="16"/>
        <v>99809336.921768367</v>
      </c>
      <c r="Y57" s="187">
        <f t="shared" si="29"/>
        <v>129252726.35176837</v>
      </c>
      <c r="Z57" s="14"/>
      <c r="AC57" s="11"/>
      <c r="AD57" s="11"/>
    </row>
    <row r="58" spans="1:30">
      <c r="A58" s="29">
        <f t="shared" si="7"/>
        <v>2069</v>
      </c>
      <c r="B58" s="92">
        <f t="shared" si="18"/>
        <v>2.950600229477679E-2</v>
      </c>
      <c r="C58" s="34">
        <f>'Fixed Costs - Supply Only'!L55*1000</f>
        <v>19795570</v>
      </c>
      <c r="D58" s="101">
        <v>0</v>
      </c>
      <c r="E58" s="101">
        <v>0</v>
      </c>
      <c r="F58" s="101">
        <v>0</v>
      </c>
      <c r="G58" s="34">
        <f>'Fixed Costs - Supply Only'!G55*1000</f>
        <v>6108000.0000000009</v>
      </c>
      <c r="H58" s="38">
        <f t="shared" si="0"/>
        <v>6108000.0000000009</v>
      </c>
      <c r="I58" s="178">
        <f t="shared" si="24"/>
        <v>99809.336921768365</v>
      </c>
      <c r="J58" s="178">
        <f t="shared" si="25"/>
        <v>29443.389429999999</v>
      </c>
      <c r="K58" s="83">
        <v>31224042.819900218</v>
      </c>
      <c r="L58" s="34">
        <f t="shared" si="26"/>
        <v>31353295.546251986</v>
      </c>
      <c r="M58" s="34">
        <f t="shared" si="1"/>
        <v>57256865.546251982</v>
      </c>
      <c r="N58" s="34">
        <f>NEL!B51/1000</f>
        <v>216160.79859457305</v>
      </c>
      <c r="O58" s="34">
        <f t="shared" si="14"/>
        <v>113.16277017307091</v>
      </c>
      <c r="P58" s="34">
        <f t="shared" si="27"/>
        <v>216047.63582439997</v>
      </c>
      <c r="Q58" s="115">
        <f t="shared" si="28"/>
        <v>26.501963480308312</v>
      </c>
      <c r="R58" s="30">
        <f t="shared" si="4"/>
        <v>0.78196699526606772</v>
      </c>
      <c r="S58" s="56">
        <f t="shared" si="17"/>
        <v>14.836592723215446</v>
      </c>
      <c r="T58" s="35">
        <f t="shared" si="5"/>
        <v>0.43776853893786355</v>
      </c>
      <c r="U58" s="14"/>
      <c r="V58" s="57">
        <f t="shared" si="6"/>
        <v>2069</v>
      </c>
      <c r="W58" s="17">
        <v>29443389.43</v>
      </c>
      <c r="X58" s="93">
        <f t="shared" si="16"/>
        <v>99809336.921768367</v>
      </c>
      <c r="Y58" s="187">
        <f t="shared" si="29"/>
        <v>129252726.35176837</v>
      </c>
      <c r="Z58" s="14"/>
      <c r="AC58" s="11"/>
      <c r="AD58" s="11"/>
    </row>
    <row r="59" spans="1:30" ht="15.75" thickBot="1">
      <c r="A59" s="29">
        <f t="shared" si="7"/>
        <v>2070</v>
      </c>
      <c r="B59" s="92">
        <f t="shared" si="18"/>
        <v>2.7284021313488241E-2</v>
      </c>
      <c r="C59" s="34">
        <f>'Fixed Costs - Supply Only'!L56*1000</f>
        <v>20206000</v>
      </c>
      <c r="D59" s="101">
        <v>0</v>
      </c>
      <c r="E59" s="101">
        <v>0</v>
      </c>
      <c r="F59" s="101">
        <v>0</v>
      </c>
      <c r="G59" s="34">
        <f>'Fixed Costs - Supply Only'!G56*1000</f>
        <v>6380150.0000000009</v>
      </c>
      <c r="H59" s="38">
        <f t="shared" si="0"/>
        <v>6380150.0000000009</v>
      </c>
      <c r="I59" s="178">
        <f t="shared" si="24"/>
        <v>99809.336921768365</v>
      </c>
      <c r="J59" s="178">
        <f t="shared" si="25"/>
        <v>29443.389429999999</v>
      </c>
      <c r="K59" s="83">
        <v>31224042.819900218</v>
      </c>
      <c r="L59" s="34">
        <f t="shared" si="26"/>
        <v>31353295.546251986</v>
      </c>
      <c r="M59" s="34">
        <f t="shared" si="1"/>
        <v>57939445.546251982</v>
      </c>
      <c r="N59" s="34">
        <f>NEL!B52/1000</f>
        <v>218271.80276202236</v>
      </c>
      <c r="O59" s="34">
        <f t="shared" si="14"/>
        <v>113.16277017307091</v>
      </c>
      <c r="P59" s="34">
        <f t="shared" si="27"/>
        <v>218158.63999184928</v>
      </c>
      <c r="Q59" s="115">
        <f t="shared" si="28"/>
        <v>26.55840059711441</v>
      </c>
      <c r="R59" s="30">
        <f t="shared" si="4"/>
        <v>0.72461996794382844</v>
      </c>
      <c r="S59" s="56">
        <f t="shared" si="17"/>
        <v>14.836592723215446</v>
      </c>
      <c r="T59" s="35">
        <f t="shared" si="5"/>
        <v>0.4048019120797548</v>
      </c>
      <c r="U59" s="14"/>
      <c r="V59" s="57">
        <f t="shared" si="6"/>
        <v>2070</v>
      </c>
      <c r="W59" s="17">
        <v>29443389.43</v>
      </c>
      <c r="X59" s="93">
        <f t="shared" si="16"/>
        <v>99809336.921768367</v>
      </c>
      <c r="Y59" s="188">
        <f t="shared" si="29"/>
        <v>129252726.35176837</v>
      </c>
      <c r="Z59" s="14"/>
      <c r="AC59" s="11"/>
      <c r="AD59" s="11"/>
    </row>
    <row r="60" spans="1:30" ht="15.75" thickBot="1">
      <c r="A60" s="26"/>
      <c r="B60" s="8"/>
      <c r="C60" s="17"/>
      <c r="D60" s="17"/>
      <c r="E60" s="17"/>
      <c r="F60" s="17"/>
      <c r="G60" s="17"/>
      <c r="H60" s="8"/>
      <c r="I60" s="179"/>
      <c r="J60" s="179"/>
      <c r="K60" s="8"/>
      <c r="L60" s="8"/>
      <c r="R60" s="102">
        <f>SUM(R13:R59)</f>
        <v>192.04661442931925</v>
      </c>
      <c r="T60" s="102">
        <f>SUM(T13:T59)</f>
        <v>192.04660999999965</v>
      </c>
      <c r="U60" s="21"/>
      <c r="V60" s="21"/>
      <c r="W60" s="109">
        <f>NPV($B$12,W14:W59)+W13</f>
        <v>381118713.19979566</v>
      </c>
      <c r="X60" s="110">
        <f>NPV($B$12,X14:X59)+X13</f>
        <v>1328118953.110162</v>
      </c>
      <c r="Y60" s="189">
        <f>NPV($B$12,Y14:Y59)+Y13</f>
        <v>1709237666.3099575</v>
      </c>
      <c r="Z60" s="21"/>
    </row>
    <row r="61" spans="1:30" ht="15.75" thickBot="1">
      <c r="B61" s="8"/>
      <c r="C61" s="8"/>
      <c r="D61" s="8"/>
      <c r="E61" s="8"/>
      <c r="F61" s="8"/>
      <c r="G61" s="8"/>
      <c r="H61" s="8"/>
      <c r="I61" s="179"/>
      <c r="J61" s="179"/>
      <c r="K61" s="8"/>
      <c r="L61" s="8"/>
    </row>
    <row r="62" spans="1:30" ht="15.75" thickBot="1">
      <c r="A62" s="95" t="s">
        <v>67</v>
      </c>
      <c r="B62" s="9"/>
      <c r="C62" s="9"/>
      <c r="D62" s="9"/>
      <c r="E62" s="9"/>
      <c r="F62" s="9"/>
      <c r="G62" s="9"/>
      <c r="H62" s="9"/>
      <c r="I62" s="180"/>
      <c r="J62" s="180"/>
      <c r="K62" s="9"/>
      <c r="L62" s="9"/>
      <c r="M62" s="10"/>
      <c r="N62" s="10"/>
      <c r="O62" s="10"/>
      <c r="P62" s="10"/>
      <c r="Q62" s="10"/>
      <c r="R62" s="59">
        <f>S13</f>
        <v>14.836592723215446</v>
      </c>
    </row>
    <row r="63" spans="1:30">
      <c r="R63" s="7"/>
    </row>
    <row r="64" spans="1:30">
      <c r="A64" s="22"/>
      <c r="B64" s="12"/>
      <c r="C64" s="12"/>
      <c r="D64" s="12"/>
      <c r="E64" s="12"/>
      <c r="F64" s="12"/>
      <c r="G64" s="12"/>
      <c r="H64" s="19"/>
      <c r="I64" s="181"/>
      <c r="J64" s="181"/>
      <c r="K64" s="19"/>
      <c r="L64" s="19"/>
      <c r="M64" s="13"/>
    </row>
    <row r="67" spans="2:2">
      <c r="B67" s="18"/>
    </row>
  </sheetData>
  <mergeCells count="1">
    <mergeCell ref="A5:T5"/>
  </mergeCells>
  <phoneticPr fontId="14" type="noConversion"/>
  <printOptions horizontalCentered="1"/>
  <pageMargins left="0.25" right="0.25" top="0.75" bottom="0.25" header="0.5" footer="0.5"/>
  <pageSetup scale="33" orientation="landscape" r:id="rId1"/>
  <headerFooter alignWithMargins="0"/>
  <ignoredErrors>
    <ignoredError sqref="E12:F12 C12:D12 G12:M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56"/>
  <sheetViews>
    <sheetView showGridLines="0" zoomScale="75" workbookViewId="0">
      <selection activeCell="S6" sqref="S6"/>
    </sheetView>
  </sheetViews>
  <sheetFormatPr defaultRowHeight="12.75"/>
  <cols>
    <col min="1" max="1" width="3.85546875" style="61" customWidth="1"/>
    <col min="2" max="2" width="8.140625" style="62" bestFit="1" customWidth="1"/>
    <col min="3" max="3" width="9" style="61" customWidth="1"/>
    <col min="4" max="4" width="12.28515625" style="61" bestFit="1" customWidth="1"/>
    <col min="5" max="5" width="14.28515625" style="61" bestFit="1" customWidth="1"/>
    <col min="6" max="6" width="17.140625" style="61" bestFit="1" customWidth="1"/>
    <col min="7" max="11" width="12.28515625" style="61" customWidth="1"/>
    <col min="12" max="12" width="15.7109375" style="61" customWidth="1"/>
    <col min="13" max="13" width="12.28515625" style="182" customWidth="1"/>
    <col min="14" max="14" width="15" style="61" customWidth="1"/>
    <col min="15" max="17" width="12.28515625" style="61" customWidth="1"/>
    <col min="18" max="16384" width="9.140625" style="61"/>
  </cols>
  <sheetData>
    <row r="1" spans="1:17">
      <c r="A1" s="201" t="s">
        <v>82</v>
      </c>
    </row>
    <row r="2" spans="1:17">
      <c r="A2" s="201" t="s">
        <v>80</v>
      </c>
    </row>
    <row r="3" spans="1:17" ht="13.5" thickBot="1">
      <c r="K3" s="104"/>
    </row>
    <row r="4" spans="1:17" ht="33" customHeight="1" thickBot="1">
      <c r="B4" s="63"/>
      <c r="C4" s="64" t="s">
        <v>48</v>
      </c>
      <c r="D4" s="64"/>
      <c r="E4" s="64"/>
      <c r="F4" s="64"/>
      <c r="G4" s="65" t="s">
        <v>54</v>
      </c>
      <c r="H4" s="65"/>
      <c r="I4" s="66"/>
      <c r="J4" s="66"/>
      <c r="K4" s="105"/>
      <c r="L4" s="105"/>
      <c r="M4" s="190" t="s">
        <v>49</v>
      </c>
      <c r="N4" s="67">
        <v>45377</v>
      </c>
      <c r="O4" s="68"/>
      <c r="P4" s="68"/>
      <c r="Q4" s="69"/>
    </row>
    <row r="5" spans="1:17" ht="13.5" thickBot="1">
      <c r="C5" s="62"/>
      <c r="D5" s="165" t="s">
        <v>70</v>
      </c>
      <c r="E5" s="166"/>
      <c r="F5" s="167"/>
      <c r="H5" s="168" t="s">
        <v>71</v>
      </c>
      <c r="I5" s="169"/>
      <c r="J5" s="169"/>
      <c r="K5" s="170"/>
      <c r="L5" s="62"/>
      <c r="M5" s="191"/>
    </row>
    <row r="6" spans="1:17">
      <c r="B6" s="70"/>
      <c r="C6" s="71" t="s">
        <v>0</v>
      </c>
      <c r="D6" s="130" t="s">
        <v>4</v>
      </c>
      <c r="E6" s="130" t="s">
        <v>68</v>
      </c>
      <c r="F6" s="130" t="s">
        <v>18</v>
      </c>
      <c r="G6" s="136" t="s">
        <v>1</v>
      </c>
      <c r="H6" s="132"/>
      <c r="I6" s="130"/>
      <c r="J6" s="130"/>
      <c r="K6" s="133"/>
      <c r="L6" s="85" t="s">
        <v>1</v>
      </c>
      <c r="M6" s="192" t="s">
        <v>1</v>
      </c>
      <c r="N6" s="86" t="s">
        <v>2</v>
      </c>
      <c r="O6" s="86" t="s">
        <v>2</v>
      </c>
      <c r="P6" s="62"/>
    </row>
    <row r="7" spans="1:17" ht="32.25" customHeight="1">
      <c r="B7" s="72"/>
      <c r="C7" s="73" t="s">
        <v>3</v>
      </c>
      <c r="D7" s="116" t="s">
        <v>8</v>
      </c>
      <c r="E7" s="116" t="s">
        <v>69</v>
      </c>
      <c r="F7" s="131" t="s">
        <v>55</v>
      </c>
      <c r="G7" s="137" t="s">
        <v>16</v>
      </c>
      <c r="H7" s="134" t="s">
        <v>5</v>
      </c>
      <c r="I7" s="135" t="s">
        <v>15</v>
      </c>
      <c r="J7" s="131" t="s">
        <v>72</v>
      </c>
      <c r="K7" s="131" t="s">
        <v>6</v>
      </c>
      <c r="L7" s="87" t="s">
        <v>73</v>
      </c>
      <c r="M7" s="193" t="s">
        <v>0</v>
      </c>
      <c r="N7" s="88" t="s">
        <v>1</v>
      </c>
      <c r="O7" s="88" t="s">
        <v>7</v>
      </c>
      <c r="P7" s="62"/>
    </row>
    <row r="8" spans="1:17">
      <c r="B8" s="74"/>
      <c r="C8" s="73" t="s">
        <v>50</v>
      </c>
      <c r="D8" s="131" t="s">
        <v>10</v>
      </c>
      <c r="E8" s="131" t="s">
        <v>10</v>
      </c>
      <c r="F8" s="131" t="s">
        <v>10</v>
      </c>
      <c r="G8" s="137" t="s">
        <v>10</v>
      </c>
      <c r="H8" s="134" t="s">
        <v>9</v>
      </c>
      <c r="I8" s="131" t="s">
        <v>10</v>
      </c>
      <c r="J8" s="131" t="s">
        <v>10</v>
      </c>
      <c r="K8" s="131" t="s">
        <v>10</v>
      </c>
      <c r="L8" s="87" t="s">
        <v>10</v>
      </c>
      <c r="M8" s="193" t="s">
        <v>10</v>
      </c>
      <c r="N8" s="88" t="s">
        <v>11</v>
      </c>
      <c r="O8" s="88" t="s">
        <v>12</v>
      </c>
      <c r="P8" s="62"/>
    </row>
    <row r="9" spans="1:17" ht="13.5" thickBot="1">
      <c r="B9" s="72" t="s">
        <v>13</v>
      </c>
      <c r="C9" s="141">
        <v>8.1438910919999996E-2</v>
      </c>
      <c r="D9" s="131" t="s">
        <v>14</v>
      </c>
      <c r="E9" s="131" t="s">
        <v>14</v>
      </c>
      <c r="F9" s="131" t="s">
        <v>14</v>
      </c>
      <c r="G9" s="137" t="s">
        <v>14</v>
      </c>
      <c r="H9" s="134" t="s">
        <v>14</v>
      </c>
      <c r="I9" s="131" t="s">
        <v>14</v>
      </c>
      <c r="J9" s="131" t="s">
        <v>14</v>
      </c>
      <c r="K9" s="142" t="s">
        <v>14</v>
      </c>
      <c r="L9" s="143" t="s">
        <v>14</v>
      </c>
      <c r="M9" s="194" t="s">
        <v>14</v>
      </c>
      <c r="N9" s="144" t="s">
        <v>14</v>
      </c>
      <c r="O9" s="145" t="s">
        <v>14</v>
      </c>
      <c r="P9" s="62"/>
    </row>
    <row r="10" spans="1:17">
      <c r="A10" s="61">
        <v>1</v>
      </c>
      <c r="B10" s="146">
        <v>2024</v>
      </c>
      <c r="C10" s="147">
        <v>1</v>
      </c>
      <c r="D10" s="148">
        <v>160.16999999999999</v>
      </c>
      <c r="E10" s="148">
        <v>3.49</v>
      </c>
      <c r="F10" s="148">
        <v>9.0299999999999994</v>
      </c>
      <c r="G10" s="149">
        <f>SUM(D10:F10)</f>
        <v>172.69</v>
      </c>
      <c r="H10" s="150">
        <v>2540.04</v>
      </c>
      <c r="I10" s="151">
        <v>117.38</v>
      </c>
      <c r="J10" s="151">
        <v>41.88</v>
      </c>
      <c r="K10" s="152">
        <v>0.55000000000000004</v>
      </c>
      <c r="L10" s="153">
        <f>SUM(H10:K10)</f>
        <v>2699.8500000000004</v>
      </c>
      <c r="M10" s="195">
        <f>L10+G10</f>
        <v>2872.5400000000004</v>
      </c>
      <c r="N10" s="154">
        <f>M10*C10</f>
        <v>2872.5400000000004</v>
      </c>
      <c r="O10" s="155">
        <f>N10</f>
        <v>2872.5400000000004</v>
      </c>
      <c r="P10" s="156">
        <v>2024</v>
      </c>
    </row>
    <row r="11" spans="1:17">
      <c r="A11" s="61">
        <v>2</v>
      </c>
      <c r="B11" s="112">
        <v>2025</v>
      </c>
      <c r="C11" s="75">
        <v>0.92822505603856131</v>
      </c>
      <c r="D11" s="120">
        <v>337.49</v>
      </c>
      <c r="E11" s="120">
        <v>12.88</v>
      </c>
      <c r="F11" s="120">
        <v>14.66</v>
      </c>
      <c r="G11" s="117">
        <f t="shared" ref="G11:G56" si="0">SUM(D11:F11)</f>
        <v>365.03000000000003</v>
      </c>
      <c r="H11" s="123">
        <v>2824.51</v>
      </c>
      <c r="I11" s="124">
        <v>128.22</v>
      </c>
      <c r="J11" s="125">
        <v>-105.26</v>
      </c>
      <c r="K11" s="126">
        <v>0.55000000000000004</v>
      </c>
      <c r="L11" s="77">
        <f>SUM(H11:K11)</f>
        <v>2848.02</v>
      </c>
      <c r="M11" s="196">
        <f t="shared" ref="M11:M56" si="1">L11+G11</f>
        <v>3213.05</v>
      </c>
      <c r="N11" s="78">
        <f t="shared" ref="N11:N56" si="2">M11*C11</f>
        <v>2982.4335163046994</v>
      </c>
      <c r="O11" s="76">
        <f>O10+N11</f>
        <v>5854.9735163046998</v>
      </c>
      <c r="P11" s="157">
        <v>2025</v>
      </c>
    </row>
    <row r="12" spans="1:17">
      <c r="A12" s="61">
        <v>3</v>
      </c>
      <c r="B12" s="112">
        <v>2026</v>
      </c>
      <c r="C12" s="75">
        <v>0.86160175465779032</v>
      </c>
      <c r="D12" s="120">
        <v>885.25</v>
      </c>
      <c r="E12" s="120">
        <v>35</v>
      </c>
      <c r="F12" s="120">
        <v>81.83</v>
      </c>
      <c r="G12" s="117">
        <f t="shared" si="0"/>
        <v>1002.08</v>
      </c>
      <c r="H12" s="123">
        <v>3174.06</v>
      </c>
      <c r="I12" s="124">
        <v>146.35</v>
      </c>
      <c r="J12" s="125">
        <v>-359.48</v>
      </c>
      <c r="K12" s="126">
        <v>0.53</v>
      </c>
      <c r="L12" s="77">
        <f t="shared" ref="L12:L56" si="3">SUM(H12:K12)</f>
        <v>2961.46</v>
      </c>
      <c r="M12" s="196">
        <f t="shared" si="1"/>
        <v>3963.54</v>
      </c>
      <c r="N12" s="78">
        <f t="shared" si="2"/>
        <v>3414.9930186563383</v>
      </c>
      <c r="O12" s="76">
        <f t="shared" ref="O12:O56" si="4">O11+N12</f>
        <v>9269.9665349610386</v>
      </c>
      <c r="P12" s="157">
        <v>2026</v>
      </c>
    </row>
    <row r="13" spans="1:17">
      <c r="A13" s="61">
        <v>4</v>
      </c>
      <c r="B13" s="112">
        <v>2027</v>
      </c>
      <c r="C13" s="75">
        <v>0.79976033700015015</v>
      </c>
      <c r="D13" s="120">
        <v>1323.48</v>
      </c>
      <c r="E13" s="120">
        <v>48.63</v>
      </c>
      <c r="F13" s="120">
        <v>146.33000000000001</v>
      </c>
      <c r="G13" s="117">
        <f t="shared" si="0"/>
        <v>1518.44</v>
      </c>
      <c r="H13" s="123">
        <v>2998.91</v>
      </c>
      <c r="I13" s="124">
        <v>158.03</v>
      </c>
      <c r="J13" s="125">
        <v>-617.29999999999995</v>
      </c>
      <c r="K13" s="126">
        <v>0.52</v>
      </c>
      <c r="L13" s="77">
        <f t="shared" si="3"/>
        <v>2540.1600000000003</v>
      </c>
      <c r="M13" s="196">
        <f t="shared" si="1"/>
        <v>4058.6000000000004</v>
      </c>
      <c r="N13" s="78">
        <f t="shared" si="2"/>
        <v>3245.9073037488097</v>
      </c>
      <c r="O13" s="76">
        <f t="shared" si="4"/>
        <v>12515.873838709849</v>
      </c>
      <c r="P13" s="157">
        <v>2027</v>
      </c>
    </row>
    <row r="14" spans="1:17">
      <c r="A14" s="61">
        <v>5</v>
      </c>
      <c r="B14" s="112">
        <v>2028</v>
      </c>
      <c r="C14" s="75">
        <v>0.74235758362938309</v>
      </c>
      <c r="D14" s="120">
        <v>1729.5</v>
      </c>
      <c r="E14" s="120">
        <v>62.42</v>
      </c>
      <c r="F14" s="120">
        <v>208.31</v>
      </c>
      <c r="G14" s="117">
        <f t="shared" si="0"/>
        <v>2000.23</v>
      </c>
      <c r="H14" s="123">
        <v>3044.58</v>
      </c>
      <c r="I14" s="124">
        <v>176.45</v>
      </c>
      <c r="J14" s="125">
        <v>-859.19</v>
      </c>
      <c r="K14" s="126">
        <v>0.48</v>
      </c>
      <c r="L14" s="77">
        <f t="shared" si="3"/>
        <v>2362.3199999999997</v>
      </c>
      <c r="M14" s="196">
        <f t="shared" si="1"/>
        <v>4362.5499999999993</v>
      </c>
      <c r="N14" s="78">
        <f t="shared" si="2"/>
        <v>3238.5720764623647</v>
      </c>
      <c r="O14" s="76">
        <f t="shared" si="4"/>
        <v>15754.445915172215</v>
      </c>
      <c r="P14" s="157">
        <v>2028</v>
      </c>
    </row>
    <row r="15" spans="1:17">
      <c r="A15" s="61">
        <v>6</v>
      </c>
      <c r="B15" s="112">
        <v>2029</v>
      </c>
      <c r="C15" s="75">
        <v>0.68907490966503504</v>
      </c>
      <c r="D15" s="120">
        <v>2107.7600000000002</v>
      </c>
      <c r="E15" s="120">
        <v>94.51</v>
      </c>
      <c r="F15" s="120">
        <v>267.83</v>
      </c>
      <c r="G15" s="117">
        <f t="shared" si="0"/>
        <v>2470.1000000000004</v>
      </c>
      <c r="H15" s="123">
        <v>3025.69</v>
      </c>
      <c r="I15" s="124">
        <v>202.19</v>
      </c>
      <c r="J15" s="125">
        <v>-1137.75</v>
      </c>
      <c r="K15" s="126">
        <v>0.43</v>
      </c>
      <c r="L15" s="77">
        <f t="shared" si="3"/>
        <v>2090.56</v>
      </c>
      <c r="M15" s="196">
        <f t="shared" si="1"/>
        <v>4560.66</v>
      </c>
      <c r="N15" s="78">
        <f t="shared" si="2"/>
        <v>3142.6363775129385</v>
      </c>
      <c r="O15" s="76">
        <f t="shared" si="4"/>
        <v>18897.082292685154</v>
      </c>
      <c r="P15" s="157">
        <v>2029</v>
      </c>
    </row>
    <row r="16" spans="1:17">
      <c r="A16" s="61">
        <v>7</v>
      </c>
      <c r="B16" s="112">
        <v>2030</v>
      </c>
      <c r="C16" s="75">
        <v>0.63961659663859372</v>
      </c>
      <c r="D16" s="120">
        <v>2465.6999999999998</v>
      </c>
      <c r="E16" s="120">
        <v>92.8</v>
      </c>
      <c r="F16" s="120">
        <v>325.10000000000002</v>
      </c>
      <c r="G16" s="117">
        <f t="shared" si="0"/>
        <v>2883.6</v>
      </c>
      <c r="H16" s="123">
        <v>2796.89</v>
      </c>
      <c r="I16" s="124">
        <v>212.39</v>
      </c>
      <c r="J16" s="125">
        <v>-1434.27</v>
      </c>
      <c r="K16" s="126">
        <v>0.4</v>
      </c>
      <c r="L16" s="77">
        <f t="shared" si="3"/>
        <v>1575.4099999999999</v>
      </c>
      <c r="M16" s="196">
        <f t="shared" si="1"/>
        <v>4459.01</v>
      </c>
      <c r="N16" s="78">
        <f t="shared" si="2"/>
        <v>2852.0568005774558</v>
      </c>
      <c r="O16" s="76">
        <f t="shared" si="4"/>
        <v>21749.139093262609</v>
      </c>
      <c r="P16" s="157">
        <v>2030</v>
      </c>
    </row>
    <row r="17" spans="1:16">
      <c r="A17" s="61">
        <v>8</v>
      </c>
      <c r="B17" s="112">
        <v>2031</v>
      </c>
      <c r="C17" s="75">
        <v>0.59370815125805254</v>
      </c>
      <c r="D17" s="120">
        <v>2805.11</v>
      </c>
      <c r="E17" s="120">
        <v>114.1</v>
      </c>
      <c r="F17" s="120">
        <v>380.14</v>
      </c>
      <c r="G17" s="117">
        <f t="shared" si="0"/>
        <v>3299.35</v>
      </c>
      <c r="H17" s="123">
        <v>2691.75</v>
      </c>
      <c r="I17" s="124">
        <v>236.64</v>
      </c>
      <c r="J17" s="125">
        <v>-1743.71</v>
      </c>
      <c r="K17" s="126">
        <v>0.4</v>
      </c>
      <c r="L17" s="77">
        <f t="shared" si="3"/>
        <v>1185.08</v>
      </c>
      <c r="M17" s="196">
        <f t="shared" si="1"/>
        <v>4484.43</v>
      </c>
      <c r="N17" s="78">
        <f t="shared" si="2"/>
        <v>2662.4426447461487</v>
      </c>
      <c r="O17" s="76">
        <f t="shared" si="4"/>
        <v>24411.581738008757</v>
      </c>
      <c r="P17" s="157">
        <v>2031</v>
      </c>
    </row>
    <row r="18" spans="1:16">
      <c r="A18" s="61">
        <v>9</v>
      </c>
      <c r="B18" s="112">
        <v>2032</v>
      </c>
      <c r="C18" s="75">
        <v>0.55109478197205641</v>
      </c>
      <c r="D18" s="120">
        <v>3129.91</v>
      </c>
      <c r="E18" s="120">
        <v>147.68</v>
      </c>
      <c r="F18" s="120">
        <v>433.06</v>
      </c>
      <c r="G18" s="117">
        <f t="shared" si="0"/>
        <v>3710.6499999999996</v>
      </c>
      <c r="H18" s="123">
        <v>2657.15</v>
      </c>
      <c r="I18" s="124">
        <v>271.11</v>
      </c>
      <c r="J18" s="125">
        <v>-1992.02</v>
      </c>
      <c r="K18" s="126">
        <v>0.4</v>
      </c>
      <c r="L18" s="77">
        <f t="shared" si="3"/>
        <v>936.64000000000021</v>
      </c>
      <c r="M18" s="196">
        <f t="shared" si="1"/>
        <v>4647.29</v>
      </c>
      <c r="N18" s="78">
        <f t="shared" si="2"/>
        <v>2561.0972693109179</v>
      </c>
      <c r="O18" s="76">
        <f t="shared" si="4"/>
        <v>26972.679007319675</v>
      </c>
      <c r="P18" s="157">
        <v>2032</v>
      </c>
    </row>
    <row r="19" spans="1:16">
      <c r="A19" s="61">
        <v>10</v>
      </c>
      <c r="B19" s="112">
        <v>2033</v>
      </c>
      <c r="C19" s="75">
        <v>0.51153998487857077</v>
      </c>
      <c r="D19" s="120">
        <v>3627.62</v>
      </c>
      <c r="E19" s="120">
        <v>172.22</v>
      </c>
      <c r="F19" s="120">
        <v>488.06</v>
      </c>
      <c r="G19" s="117">
        <f t="shared" si="0"/>
        <v>4287.8999999999996</v>
      </c>
      <c r="H19" s="123">
        <v>2667.3</v>
      </c>
      <c r="I19" s="124">
        <v>257.14</v>
      </c>
      <c r="J19" s="125">
        <v>-2193.7600000000002</v>
      </c>
      <c r="K19" s="126">
        <v>0.38</v>
      </c>
      <c r="L19" s="77">
        <f t="shared" si="3"/>
        <v>731.05999999999983</v>
      </c>
      <c r="M19" s="196">
        <f t="shared" si="1"/>
        <v>5018.9599999999991</v>
      </c>
      <c r="N19" s="78">
        <f t="shared" si="2"/>
        <v>2567.398722506151</v>
      </c>
      <c r="O19" s="76">
        <f t="shared" si="4"/>
        <v>29540.077729825825</v>
      </c>
      <c r="P19" s="157">
        <v>2033</v>
      </c>
    </row>
    <row r="20" spans="1:16">
      <c r="A20" s="61">
        <v>11</v>
      </c>
      <c r="B20" s="112">
        <v>2034</v>
      </c>
      <c r="C20" s="75">
        <v>0.47482423112987615</v>
      </c>
      <c r="D20" s="120">
        <v>3838</v>
      </c>
      <c r="E20" s="120">
        <v>167.94</v>
      </c>
      <c r="F20" s="120">
        <v>501.96</v>
      </c>
      <c r="G20" s="117">
        <f t="shared" si="0"/>
        <v>4507.8999999999996</v>
      </c>
      <c r="H20" s="123">
        <v>2786.89</v>
      </c>
      <c r="I20" s="124">
        <v>221.31</v>
      </c>
      <c r="J20" s="125">
        <v>-2053.6999999999998</v>
      </c>
      <c r="K20" s="126">
        <v>0.35</v>
      </c>
      <c r="L20" s="77">
        <f t="shared" si="3"/>
        <v>954.85</v>
      </c>
      <c r="M20" s="196">
        <f t="shared" si="1"/>
        <v>5462.75</v>
      </c>
      <c r="N20" s="78">
        <f t="shared" si="2"/>
        <v>2593.846068604731</v>
      </c>
      <c r="O20" s="76">
        <f t="shared" si="4"/>
        <v>32133.923798430558</v>
      </c>
      <c r="P20" s="157">
        <v>2034</v>
      </c>
    </row>
    <row r="21" spans="1:16">
      <c r="A21" s="61">
        <v>12</v>
      </c>
      <c r="B21" s="112">
        <v>2035</v>
      </c>
      <c r="C21" s="75">
        <v>0.44074374854899606</v>
      </c>
      <c r="D21" s="120">
        <v>3677.73</v>
      </c>
      <c r="E21" s="120">
        <v>196.27</v>
      </c>
      <c r="F21" s="120">
        <v>483.86</v>
      </c>
      <c r="G21" s="117">
        <f t="shared" si="0"/>
        <v>4357.8599999999997</v>
      </c>
      <c r="H21" s="123">
        <v>3021.95</v>
      </c>
      <c r="I21" s="124">
        <v>235.8</v>
      </c>
      <c r="J21" s="125">
        <v>-1913.07</v>
      </c>
      <c r="K21" s="126">
        <v>0.37</v>
      </c>
      <c r="L21" s="77">
        <f t="shared" si="3"/>
        <v>1345.05</v>
      </c>
      <c r="M21" s="196">
        <f t="shared" si="1"/>
        <v>5702.91</v>
      </c>
      <c r="N21" s="78">
        <f t="shared" si="2"/>
        <v>2513.5219310375551</v>
      </c>
      <c r="O21" s="76">
        <f t="shared" si="4"/>
        <v>34647.445729468112</v>
      </c>
      <c r="P21" s="157">
        <v>2035</v>
      </c>
    </row>
    <row r="22" spans="1:16">
      <c r="A22" s="61">
        <v>13</v>
      </c>
      <c r="B22" s="112">
        <v>2036</v>
      </c>
      <c r="C22" s="75">
        <v>0.40910939069553742</v>
      </c>
      <c r="D22" s="120">
        <v>3640.91</v>
      </c>
      <c r="E22" s="120">
        <v>185.13</v>
      </c>
      <c r="F22" s="120">
        <v>476.11</v>
      </c>
      <c r="G22" s="117">
        <f t="shared" si="0"/>
        <v>4302.1499999999996</v>
      </c>
      <c r="H22" s="123">
        <v>3238.46</v>
      </c>
      <c r="I22" s="124">
        <v>208.6</v>
      </c>
      <c r="J22" s="125">
        <v>-1748.51</v>
      </c>
      <c r="K22" s="126">
        <v>94.74</v>
      </c>
      <c r="L22" s="77">
        <f t="shared" si="3"/>
        <v>1793.29</v>
      </c>
      <c r="M22" s="196">
        <f t="shared" si="1"/>
        <v>6095.44</v>
      </c>
      <c r="N22" s="78">
        <f t="shared" si="2"/>
        <v>2493.7017444212065</v>
      </c>
      <c r="O22" s="76">
        <f t="shared" si="4"/>
        <v>37141.147473889316</v>
      </c>
      <c r="P22" s="157">
        <v>2036</v>
      </c>
    </row>
    <row r="23" spans="1:16">
      <c r="A23" s="61">
        <v>14</v>
      </c>
      <c r="B23" s="112">
        <v>2037</v>
      </c>
      <c r="C23" s="75">
        <v>0.37974558710426687</v>
      </c>
      <c r="D23" s="120">
        <v>3620.83</v>
      </c>
      <c r="E23" s="120">
        <v>216.48</v>
      </c>
      <c r="F23" s="120">
        <v>468.81</v>
      </c>
      <c r="G23" s="117">
        <f t="shared" si="0"/>
        <v>4306.12</v>
      </c>
      <c r="H23" s="123">
        <v>3437.93</v>
      </c>
      <c r="I23" s="124">
        <v>212.11</v>
      </c>
      <c r="J23" s="125">
        <v>-1487.27</v>
      </c>
      <c r="K23" s="126">
        <v>197.01</v>
      </c>
      <c r="L23" s="77">
        <f t="shared" si="3"/>
        <v>2359.7799999999997</v>
      </c>
      <c r="M23" s="196">
        <f t="shared" si="1"/>
        <v>6665.9</v>
      </c>
      <c r="N23" s="78">
        <f t="shared" si="2"/>
        <v>2531.3461090783326</v>
      </c>
      <c r="O23" s="76">
        <f t="shared" si="4"/>
        <v>39672.493582967647</v>
      </c>
      <c r="P23" s="157">
        <v>2037</v>
      </c>
    </row>
    <row r="24" spans="1:16">
      <c r="A24" s="61">
        <v>15</v>
      </c>
      <c r="B24" s="113">
        <v>2038</v>
      </c>
      <c r="C24" s="79">
        <v>0.35248936887025445</v>
      </c>
      <c r="D24" s="120">
        <v>3869.2</v>
      </c>
      <c r="E24" s="120">
        <v>246.92</v>
      </c>
      <c r="F24" s="120">
        <v>461.78</v>
      </c>
      <c r="G24" s="117">
        <f t="shared" si="0"/>
        <v>4577.8999999999996</v>
      </c>
      <c r="H24" s="123">
        <v>3666.96</v>
      </c>
      <c r="I24" s="124">
        <v>217.88</v>
      </c>
      <c r="J24" s="125">
        <v>-1216.6300000000001</v>
      </c>
      <c r="K24" s="126">
        <v>310.10000000000002</v>
      </c>
      <c r="L24" s="77">
        <f t="shared" si="3"/>
        <v>2978.31</v>
      </c>
      <c r="M24" s="196">
        <f t="shared" si="1"/>
        <v>7556.2099999999991</v>
      </c>
      <c r="N24" s="78">
        <f t="shared" si="2"/>
        <v>2663.4836939511051</v>
      </c>
      <c r="O24" s="76">
        <f t="shared" si="4"/>
        <v>42335.977276918755</v>
      </c>
      <c r="P24" s="157">
        <v>2038</v>
      </c>
    </row>
    <row r="25" spans="1:16">
      <c r="A25" s="61">
        <v>16</v>
      </c>
      <c r="B25" s="112">
        <v>2039</v>
      </c>
      <c r="C25" s="75">
        <v>0.32718946417258904</v>
      </c>
      <c r="D25" s="120">
        <v>3972</v>
      </c>
      <c r="E25" s="120">
        <v>250.02</v>
      </c>
      <c r="F25" s="120">
        <v>466.07</v>
      </c>
      <c r="G25" s="117">
        <f t="shared" si="0"/>
        <v>4688.09</v>
      </c>
      <c r="H25" s="123">
        <v>3870.07</v>
      </c>
      <c r="I25" s="124">
        <v>217.92</v>
      </c>
      <c r="J25" s="125">
        <v>-937.18</v>
      </c>
      <c r="K25" s="126">
        <v>432.35</v>
      </c>
      <c r="L25" s="77">
        <f t="shared" si="3"/>
        <v>3583.1600000000003</v>
      </c>
      <c r="M25" s="196">
        <f t="shared" si="1"/>
        <v>8271.25</v>
      </c>
      <c r="N25" s="78">
        <f t="shared" si="2"/>
        <v>2706.2658555375269</v>
      </c>
      <c r="O25" s="76">
        <f t="shared" si="4"/>
        <v>45042.243132456279</v>
      </c>
      <c r="P25" s="157">
        <v>2039</v>
      </c>
    </row>
    <row r="26" spans="1:16">
      <c r="A26" s="61">
        <v>17</v>
      </c>
      <c r="B26" s="112">
        <v>2040</v>
      </c>
      <c r="C26" s="75">
        <v>0.3037054587168283</v>
      </c>
      <c r="D26" s="120">
        <v>3968.61</v>
      </c>
      <c r="E26" s="120">
        <v>291.37</v>
      </c>
      <c r="F26" s="120">
        <v>459.17</v>
      </c>
      <c r="G26" s="117">
        <f t="shared" si="0"/>
        <v>4719.1500000000005</v>
      </c>
      <c r="H26" s="123">
        <v>4182.12</v>
      </c>
      <c r="I26" s="124">
        <v>227.28</v>
      </c>
      <c r="J26" s="125">
        <v>-649.52</v>
      </c>
      <c r="K26" s="126">
        <v>557.22</v>
      </c>
      <c r="L26" s="77">
        <f t="shared" si="3"/>
        <v>4317.0999999999995</v>
      </c>
      <c r="M26" s="196">
        <f t="shared" si="1"/>
        <v>9036.25</v>
      </c>
      <c r="N26" s="78">
        <f t="shared" si="2"/>
        <v>2744.3584513299397</v>
      </c>
      <c r="O26" s="76">
        <f t="shared" si="4"/>
        <v>47786.601583786221</v>
      </c>
      <c r="P26" s="157">
        <v>2040</v>
      </c>
    </row>
    <row r="27" spans="1:16">
      <c r="A27" s="61">
        <v>18</v>
      </c>
      <c r="B27" s="112">
        <v>2041</v>
      </c>
      <c r="C27" s="75">
        <v>0.2819070164366449</v>
      </c>
      <c r="D27" s="120">
        <v>3848.17</v>
      </c>
      <c r="E27" s="120">
        <v>308.38</v>
      </c>
      <c r="F27" s="120">
        <v>440.63</v>
      </c>
      <c r="G27" s="117">
        <f t="shared" si="0"/>
        <v>4597.18</v>
      </c>
      <c r="H27" s="123">
        <v>4367.3900000000003</v>
      </c>
      <c r="I27" s="124">
        <v>237.42</v>
      </c>
      <c r="J27" s="125">
        <v>-347.93</v>
      </c>
      <c r="K27" s="126">
        <v>638.9</v>
      </c>
      <c r="L27" s="77">
        <f t="shared" si="3"/>
        <v>4895.78</v>
      </c>
      <c r="M27" s="196">
        <f t="shared" si="1"/>
        <v>9492.9599999999991</v>
      </c>
      <c r="N27" s="78">
        <f t="shared" si="2"/>
        <v>2676.1320307524124</v>
      </c>
      <c r="O27" s="76">
        <f t="shared" si="4"/>
        <v>50462.733614538636</v>
      </c>
      <c r="P27" s="157">
        <v>2041</v>
      </c>
    </row>
    <row r="28" spans="1:16">
      <c r="A28" s="61">
        <v>19</v>
      </c>
      <c r="B28" s="112">
        <v>2042</v>
      </c>
      <c r="C28" s="75">
        <v>0.26167315612956832</v>
      </c>
      <c r="D28" s="120">
        <v>3848</v>
      </c>
      <c r="E28" s="120">
        <v>312.3</v>
      </c>
      <c r="F28" s="120">
        <v>434.76</v>
      </c>
      <c r="G28" s="117">
        <f t="shared" si="0"/>
        <v>4595.0600000000004</v>
      </c>
      <c r="H28" s="123">
        <v>4582.66</v>
      </c>
      <c r="I28" s="124">
        <v>242.17</v>
      </c>
      <c r="J28" s="125">
        <v>-28.74</v>
      </c>
      <c r="K28" s="126">
        <v>752.24</v>
      </c>
      <c r="L28" s="77">
        <f t="shared" si="3"/>
        <v>5548.33</v>
      </c>
      <c r="M28" s="196">
        <f t="shared" si="1"/>
        <v>10143.39</v>
      </c>
      <c r="N28" s="78">
        <f t="shared" si="2"/>
        <v>2654.2528751531017</v>
      </c>
      <c r="O28" s="76">
        <f t="shared" si="4"/>
        <v>53116.986489691735</v>
      </c>
      <c r="P28" s="157">
        <v>2042</v>
      </c>
    </row>
    <row r="29" spans="1:16">
      <c r="A29" s="61">
        <v>20</v>
      </c>
      <c r="B29" s="113">
        <v>2043</v>
      </c>
      <c r="C29" s="79">
        <v>0.24289158001215574</v>
      </c>
      <c r="D29" s="120">
        <v>3850.04</v>
      </c>
      <c r="E29" s="120">
        <v>360.54</v>
      </c>
      <c r="F29" s="120">
        <v>429.78</v>
      </c>
      <c r="G29" s="117">
        <f t="shared" si="0"/>
        <v>4640.3599999999997</v>
      </c>
      <c r="H29" s="123">
        <v>4825.18</v>
      </c>
      <c r="I29" s="124">
        <v>249.36</v>
      </c>
      <c r="J29" s="125">
        <v>299.32</v>
      </c>
      <c r="K29" s="126">
        <v>877.41</v>
      </c>
      <c r="L29" s="77">
        <f t="shared" si="3"/>
        <v>6251.2699999999995</v>
      </c>
      <c r="M29" s="196">
        <f t="shared" si="1"/>
        <v>10891.63</v>
      </c>
      <c r="N29" s="78">
        <f t="shared" si="2"/>
        <v>2645.4852196077959</v>
      </c>
      <c r="O29" s="76">
        <f t="shared" si="4"/>
        <v>55762.471709299534</v>
      </c>
      <c r="P29" s="157">
        <v>2043</v>
      </c>
    </row>
    <row r="30" spans="1:16">
      <c r="A30" s="61">
        <v>21</v>
      </c>
      <c r="B30" s="112">
        <v>2044</v>
      </c>
      <c r="C30" s="75">
        <v>0.22545805046807796</v>
      </c>
      <c r="D30" s="120">
        <v>3726.48</v>
      </c>
      <c r="E30" s="120">
        <v>387.14</v>
      </c>
      <c r="F30" s="120">
        <v>412.68</v>
      </c>
      <c r="G30" s="117">
        <f t="shared" si="0"/>
        <v>4526.3</v>
      </c>
      <c r="H30" s="123">
        <v>5263.46</v>
      </c>
      <c r="I30" s="124">
        <v>269.02</v>
      </c>
      <c r="J30" s="125">
        <v>314.37</v>
      </c>
      <c r="K30" s="126">
        <v>1031.32</v>
      </c>
      <c r="L30" s="77">
        <f t="shared" si="3"/>
        <v>6878.1699999999992</v>
      </c>
      <c r="M30" s="196">
        <f t="shared" si="1"/>
        <v>11404.47</v>
      </c>
      <c r="N30" s="78">
        <f t="shared" si="2"/>
        <v>2571.2295728216809</v>
      </c>
      <c r="O30" s="76">
        <f t="shared" si="4"/>
        <v>58333.701282121212</v>
      </c>
      <c r="P30" s="157">
        <v>2044</v>
      </c>
    </row>
    <row r="31" spans="1:16">
      <c r="A31" s="61">
        <v>22</v>
      </c>
      <c r="B31" s="112">
        <v>2045</v>
      </c>
      <c r="C31" s="75">
        <v>0.20927581153007643</v>
      </c>
      <c r="D31" s="120">
        <v>3731.15</v>
      </c>
      <c r="E31" s="120">
        <v>370.79</v>
      </c>
      <c r="F31" s="120">
        <v>409.47</v>
      </c>
      <c r="G31" s="117">
        <f t="shared" si="0"/>
        <v>4511.4100000000008</v>
      </c>
      <c r="H31" s="123">
        <v>5687.65</v>
      </c>
      <c r="I31" s="124">
        <v>278.04000000000002</v>
      </c>
      <c r="J31" s="125">
        <v>328.95</v>
      </c>
      <c r="K31" s="126">
        <v>1214.75</v>
      </c>
      <c r="L31" s="77">
        <f t="shared" si="3"/>
        <v>7509.3899999999994</v>
      </c>
      <c r="M31" s="196">
        <f t="shared" si="1"/>
        <v>12020.8</v>
      </c>
      <c r="N31" s="78">
        <f t="shared" si="2"/>
        <v>2515.6626752407428</v>
      </c>
      <c r="O31" s="76">
        <f t="shared" si="4"/>
        <v>60849.363957361958</v>
      </c>
      <c r="P31" s="157">
        <v>2045</v>
      </c>
    </row>
    <row r="32" spans="1:16">
      <c r="A32" s="61">
        <v>23</v>
      </c>
      <c r="B32" s="112">
        <v>2046</v>
      </c>
      <c r="C32" s="75">
        <v>0.1942550518850206</v>
      </c>
      <c r="D32" s="120">
        <v>3724.07</v>
      </c>
      <c r="E32" s="120">
        <v>431.58</v>
      </c>
      <c r="F32" s="120">
        <v>407.15</v>
      </c>
      <c r="G32" s="117">
        <f t="shared" si="0"/>
        <v>4562.8</v>
      </c>
      <c r="H32" s="123">
        <v>5928.32</v>
      </c>
      <c r="I32" s="124">
        <v>281.14999999999998</v>
      </c>
      <c r="J32" s="125">
        <v>342.24</v>
      </c>
      <c r="K32" s="126">
        <v>1374.9</v>
      </c>
      <c r="L32" s="77">
        <f t="shared" si="3"/>
        <v>7926.6099999999988</v>
      </c>
      <c r="M32" s="196">
        <f t="shared" si="1"/>
        <v>12489.41</v>
      </c>
      <c r="N32" s="78">
        <f t="shared" si="2"/>
        <v>2426.1309875632951</v>
      </c>
      <c r="O32" s="76">
        <f t="shared" si="4"/>
        <v>63275.494944925253</v>
      </c>
      <c r="P32" s="157">
        <v>2046</v>
      </c>
    </row>
    <row r="33" spans="1:16">
      <c r="A33" s="61">
        <v>24</v>
      </c>
      <c r="B33" s="112">
        <v>2047</v>
      </c>
      <c r="C33" s="75">
        <v>0.18031240642174687</v>
      </c>
      <c r="D33" s="120">
        <v>3588</v>
      </c>
      <c r="E33" s="120">
        <v>421.13</v>
      </c>
      <c r="F33" s="120">
        <v>391.29</v>
      </c>
      <c r="G33" s="117">
        <f t="shared" si="0"/>
        <v>4400.42</v>
      </c>
      <c r="H33" s="123">
        <v>6335.95</v>
      </c>
      <c r="I33" s="124">
        <v>296.95999999999998</v>
      </c>
      <c r="J33" s="125">
        <v>358.72</v>
      </c>
      <c r="K33" s="126">
        <v>1572.26</v>
      </c>
      <c r="L33" s="77">
        <f t="shared" si="3"/>
        <v>8563.89</v>
      </c>
      <c r="M33" s="196">
        <f t="shared" si="1"/>
        <v>12964.31</v>
      </c>
      <c r="N33" s="78">
        <f t="shared" si="2"/>
        <v>2337.6259336975172</v>
      </c>
      <c r="O33" s="76">
        <f t="shared" si="4"/>
        <v>65613.120878622765</v>
      </c>
      <c r="P33" s="157">
        <v>2047</v>
      </c>
    </row>
    <row r="34" spans="1:16">
      <c r="A34" s="61">
        <v>25</v>
      </c>
      <c r="B34" s="112">
        <v>2048</v>
      </c>
      <c r="C34" s="75">
        <v>0.16737049355527384</v>
      </c>
      <c r="D34" s="120">
        <v>3595.08</v>
      </c>
      <c r="E34" s="120">
        <v>460.41</v>
      </c>
      <c r="F34" s="120">
        <v>390.56</v>
      </c>
      <c r="G34" s="117">
        <f t="shared" si="0"/>
        <v>4446.05</v>
      </c>
      <c r="H34" s="123">
        <v>6793.37</v>
      </c>
      <c r="I34" s="124">
        <v>321.35000000000002</v>
      </c>
      <c r="J34" s="125">
        <v>372.01</v>
      </c>
      <c r="K34" s="126">
        <v>1789.92</v>
      </c>
      <c r="L34" s="77">
        <f t="shared" si="3"/>
        <v>9276.6500000000015</v>
      </c>
      <c r="M34" s="196">
        <f t="shared" si="1"/>
        <v>13722.7</v>
      </c>
      <c r="N34" s="78">
        <f t="shared" si="2"/>
        <v>2296.7750719109563</v>
      </c>
      <c r="O34" s="76">
        <f t="shared" si="4"/>
        <v>67909.895950533726</v>
      </c>
      <c r="P34" s="157">
        <v>2048</v>
      </c>
    </row>
    <row r="35" spans="1:16">
      <c r="A35" s="61">
        <v>26</v>
      </c>
      <c r="B35" s="112">
        <v>2049</v>
      </c>
      <c r="C35" s="75">
        <v>0.15535748575954572</v>
      </c>
      <c r="D35" s="120">
        <v>3605.6</v>
      </c>
      <c r="E35" s="120">
        <v>515.97</v>
      </c>
      <c r="F35" s="120">
        <v>390.63</v>
      </c>
      <c r="G35" s="117">
        <f t="shared" si="0"/>
        <v>4512.2</v>
      </c>
      <c r="H35" s="123">
        <v>7284.84</v>
      </c>
      <c r="I35" s="124">
        <v>342.94</v>
      </c>
      <c r="J35" s="125">
        <v>388.11</v>
      </c>
      <c r="K35" s="126">
        <v>2028.75</v>
      </c>
      <c r="L35" s="77">
        <f t="shared" si="3"/>
        <v>10044.64</v>
      </c>
      <c r="M35" s="196">
        <f t="shared" si="1"/>
        <v>14556.84</v>
      </c>
      <c r="N35" s="78">
        <f t="shared" si="2"/>
        <v>2261.5140630039855</v>
      </c>
      <c r="O35" s="76">
        <f t="shared" si="4"/>
        <v>70171.410013537708</v>
      </c>
      <c r="P35" s="157">
        <v>2049</v>
      </c>
    </row>
    <row r="36" spans="1:16">
      <c r="A36" s="61">
        <v>27</v>
      </c>
      <c r="B36" s="112">
        <v>2050</v>
      </c>
      <c r="C36" s="75">
        <v>0.14420671092516432</v>
      </c>
      <c r="D36" s="120">
        <v>3620.55</v>
      </c>
      <c r="E36" s="120">
        <v>539.47</v>
      </c>
      <c r="F36" s="120">
        <v>391.12</v>
      </c>
      <c r="G36" s="117">
        <f t="shared" si="0"/>
        <v>4551.1400000000003</v>
      </c>
      <c r="H36" s="123">
        <v>8040.62</v>
      </c>
      <c r="I36" s="124">
        <v>363.45</v>
      </c>
      <c r="J36" s="125">
        <v>406.39</v>
      </c>
      <c r="K36" s="126">
        <v>2320.11</v>
      </c>
      <c r="L36" s="77">
        <f t="shared" si="3"/>
        <v>11130.57</v>
      </c>
      <c r="M36" s="196">
        <f t="shared" si="1"/>
        <v>15681.71</v>
      </c>
      <c r="N36" s="78">
        <f t="shared" si="2"/>
        <v>2261.4078207822586</v>
      </c>
      <c r="O36" s="76">
        <f t="shared" si="4"/>
        <v>72432.817834319969</v>
      </c>
      <c r="P36" s="157">
        <v>2050</v>
      </c>
    </row>
    <row r="37" spans="1:16">
      <c r="A37" s="61">
        <v>28</v>
      </c>
      <c r="B37" s="112">
        <v>2051</v>
      </c>
      <c r="C37" s="75">
        <v>0.13385628232964727</v>
      </c>
      <c r="D37" s="120">
        <v>3481.97</v>
      </c>
      <c r="E37" s="120">
        <v>545.47</v>
      </c>
      <c r="F37" s="120">
        <v>375.92</v>
      </c>
      <c r="G37" s="117">
        <f t="shared" si="0"/>
        <v>4403.3599999999997</v>
      </c>
      <c r="H37" s="123">
        <v>8191.7</v>
      </c>
      <c r="I37" s="124">
        <v>355.17</v>
      </c>
      <c r="J37" s="125">
        <v>424.47</v>
      </c>
      <c r="K37" s="126">
        <v>2417.7600000000002</v>
      </c>
      <c r="L37" s="77">
        <f t="shared" si="3"/>
        <v>11389.099999999999</v>
      </c>
      <c r="M37" s="196">
        <f t="shared" si="1"/>
        <v>15792.46</v>
      </c>
      <c r="N37" s="78">
        <f t="shared" si="2"/>
        <v>2113.9199844396612</v>
      </c>
      <c r="O37" s="76">
        <f t="shared" si="4"/>
        <v>74546.737818759633</v>
      </c>
      <c r="P37" s="157">
        <v>2051</v>
      </c>
    </row>
    <row r="38" spans="1:16">
      <c r="A38" s="61">
        <v>29</v>
      </c>
      <c r="B38" s="112">
        <v>2052</v>
      </c>
      <c r="C38" s="75">
        <v>0.12424875516655032</v>
      </c>
      <c r="D38" s="120">
        <v>3666.01</v>
      </c>
      <c r="E38" s="120">
        <v>612.99</v>
      </c>
      <c r="F38" s="120">
        <v>393.4</v>
      </c>
      <c r="G38" s="117">
        <f t="shared" si="0"/>
        <v>4672.3999999999996</v>
      </c>
      <c r="H38" s="123">
        <v>8514.7999999999993</v>
      </c>
      <c r="I38" s="124">
        <v>358.46</v>
      </c>
      <c r="J38" s="125">
        <v>452.67</v>
      </c>
      <c r="K38" s="126">
        <v>2582.21</v>
      </c>
      <c r="L38" s="77">
        <f t="shared" si="3"/>
        <v>11908.14</v>
      </c>
      <c r="M38" s="196">
        <f t="shared" si="1"/>
        <v>16580.54</v>
      </c>
      <c r="N38" s="78">
        <f t="shared" si="2"/>
        <v>2060.1114549891945</v>
      </c>
      <c r="O38" s="76">
        <f t="shared" si="4"/>
        <v>76606.849273748827</v>
      </c>
      <c r="P38" s="157">
        <v>2052</v>
      </c>
    </row>
    <row r="39" spans="1:16">
      <c r="A39" s="61">
        <v>30</v>
      </c>
      <c r="B39" s="112">
        <v>2053</v>
      </c>
      <c r="C39" s="75">
        <v>0.11533080772719265</v>
      </c>
      <c r="D39" s="120">
        <v>3819.27</v>
      </c>
      <c r="E39" s="120">
        <v>668.99</v>
      </c>
      <c r="F39" s="120">
        <v>410.54</v>
      </c>
      <c r="G39" s="118">
        <f t="shared" si="0"/>
        <v>4898.8</v>
      </c>
      <c r="H39" s="123">
        <v>9209.61</v>
      </c>
      <c r="I39" s="124">
        <v>367.25</v>
      </c>
      <c r="J39" s="125">
        <v>507.34</v>
      </c>
      <c r="K39" s="126">
        <v>2918.24</v>
      </c>
      <c r="L39" s="77">
        <f t="shared" si="3"/>
        <v>13002.44</v>
      </c>
      <c r="M39" s="196">
        <f t="shared" si="1"/>
        <v>17901.240000000002</v>
      </c>
      <c r="N39" s="78">
        <f t="shared" si="2"/>
        <v>2064.5644685183302</v>
      </c>
      <c r="O39" s="76">
        <f t="shared" si="4"/>
        <v>78671.413742267163</v>
      </c>
      <c r="P39" s="157">
        <v>2053</v>
      </c>
    </row>
    <row r="40" spans="1:16">
      <c r="A40" s="61">
        <v>31</v>
      </c>
      <c r="B40" s="113">
        <v>2054</v>
      </c>
      <c r="C40" s="75">
        <v>0.10705294546554593</v>
      </c>
      <c r="D40" s="121">
        <v>3834.06</v>
      </c>
      <c r="E40" s="120">
        <v>719.74</v>
      </c>
      <c r="F40" s="121">
        <v>411.18</v>
      </c>
      <c r="G40" s="117">
        <f t="shared" si="0"/>
        <v>4964.9800000000005</v>
      </c>
      <c r="H40" s="123">
        <v>9513.32</v>
      </c>
      <c r="I40" s="124">
        <v>373.69</v>
      </c>
      <c r="J40" s="125">
        <v>539.61</v>
      </c>
      <c r="K40" s="126">
        <v>3107.12</v>
      </c>
      <c r="L40" s="77">
        <f t="shared" si="3"/>
        <v>13533.740000000002</v>
      </c>
      <c r="M40" s="196">
        <f t="shared" si="1"/>
        <v>18498.72</v>
      </c>
      <c r="N40" s="78">
        <f t="shared" si="2"/>
        <v>1980.342463342404</v>
      </c>
      <c r="O40" s="76">
        <f t="shared" si="4"/>
        <v>80651.756205609563</v>
      </c>
      <c r="P40" s="157">
        <v>2054</v>
      </c>
    </row>
    <row r="41" spans="1:16">
      <c r="A41" s="61">
        <v>32</v>
      </c>
      <c r="B41" s="112">
        <v>2055</v>
      </c>
      <c r="C41" s="75">
        <v>9.9369226303849423E-2</v>
      </c>
      <c r="D41" s="120">
        <v>3875.02</v>
      </c>
      <c r="E41" s="120">
        <v>747</v>
      </c>
      <c r="F41" s="120">
        <v>412.65</v>
      </c>
      <c r="G41" s="117">
        <f t="shared" si="0"/>
        <v>5034.67</v>
      </c>
      <c r="H41" s="123">
        <v>9628.7800000000007</v>
      </c>
      <c r="I41" s="124">
        <v>389.78</v>
      </c>
      <c r="J41" s="125">
        <v>559.80999999999995</v>
      </c>
      <c r="K41" s="126">
        <v>3213.14</v>
      </c>
      <c r="L41" s="77">
        <f t="shared" si="3"/>
        <v>13791.51</v>
      </c>
      <c r="M41" s="196">
        <f t="shared" si="1"/>
        <v>18826.18</v>
      </c>
      <c r="N41" s="78">
        <f t="shared" si="2"/>
        <v>1870.742940857004</v>
      </c>
      <c r="O41" s="76">
        <f t="shared" si="4"/>
        <v>82522.499146466565</v>
      </c>
      <c r="P41" s="157">
        <v>2055</v>
      </c>
    </row>
    <row r="42" spans="1:16">
      <c r="A42" s="61">
        <v>33</v>
      </c>
      <c r="B42" s="112">
        <v>2056</v>
      </c>
      <c r="C42" s="75">
        <v>9.2237005654399115E-2</v>
      </c>
      <c r="D42" s="120">
        <v>4103.1499999999996</v>
      </c>
      <c r="E42" s="120">
        <v>778.55</v>
      </c>
      <c r="F42" s="120">
        <v>432.97</v>
      </c>
      <c r="G42" s="117">
        <f t="shared" si="0"/>
        <v>5314.67</v>
      </c>
      <c r="H42" s="123">
        <v>10195.06</v>
      </c>
      <c r="I42" s="124">
        <v>393.24</v>
      </c>
      <c r="J42" s="125">
        <v>613.6</v>
      </c>
      <c r="K42" s="126">
        <v>3526.97</v>
      </c>
      <c r="L42" s="77">
        <f t="shared" si="3"/>
        <v>14728.869999999999</v>
      </c>
      <c r="M42" s="196">
        <f t="shared" si="1"/>
        <v>20043.54</v>
      </c>
      <c r="N42" s="78">
        <f t="shared" si="2"/>
        <v>1848.756112314175</v>
      </c>
      <c r="O42" s="76">
        <f t="shared" si="4"/>
        <v>84371.255258780744</v>
      </c>
      <c r="P42" s="157">
        <v>2056</v>
      </c>
    </row>
    <row r="43" spans="1:16">
      <c r="A43" s="61">
        <v>34</v>
      </c>
      <c r="B43" s="112">
        <v>2057</v>
      </c>
      <c r="C43" s="75">
        <v>8.5616699742383714E-2</v>
      </c>
      <c r="D43" s="120">
        <v>4150.16</v>
      </c>
      <c r="E43" s="120">
        <v>856.62</v>
      </c>
      <c r="F43" s="120">
        <v>434.86</v>
      </c>
      <c r="G43" s="117">
        <f t="shared" si="0"/>
        <v>5441.6399999999994</v>
      </c>
      <c r="H43" s="123">
        <v>10418.77</v>
      </c>
      <c r="I43" s="124">
        <v>371.7</v>
      </c>
      <c r="J43" s="125">
        <v>640.45000000000005</v>
      </c>
      <c r="K43" s="126">
        <v>3704.53</v>
      </c>
      <c r="L43" s="77">
        <f t="shared" si="3"/>
        <v>15135.450000000003</v>
      </c>
      <c r="M43" s="196">
        <f t="shared" si="1"/>
        <v>20577.090000000004</v>
      </c>
      <c r="N43" s="78">
        <f t="shared" si="2"/>
        <v>1761.7425361020069</v>
      </c>
      <c r="O43" s="76">
        <f t="shared" si="4"/>
        <v>86132.997794882744</v>
      </c>
      <c r="P43" s="157">
        <v>2057</v>
      </c>
    </row>
    <row r="44" spans="1:16">
      <c r="A44" s="61">
        <v>35</v>
      </c>
      <c r="B44" s="112">
        <v>2058</v>
      </c>
      <c r="C44" s="75">
        <v>7.9471565916210796E-2</v>
      </c>
      <c r="D44" s="120">
        <v>4007.56</v>
      </c>
      <c r="E44" s="120">
        <v>941.81</v>
      </c>
      <c r="F44" s="120">
        <v>417.49</v>
      </c>
      <c r="G44" s="117">
        <f t="shared" si="0"/>
        <v>5366.86</v>
      </c>
      <c r="H44" s="123">
        <v>10501.4</v>
      </c>
      <c r="I44" s="124">
        <v>377.88</v>
      </c>
      <c r="J44" s="125">
        <v>662.65</v>
      </c>
      <c r="K44" s="126">
        <v>3824.41</v>
      </c>
      <c r="L44" s="77">
        <f t="shared" si="3"/>
        <v>15366.339999999998</v>
      </c>
      <c r="M44" s="196">
        <f t="shared" si="1"/>
        <v>20733.199999999997</v>
      </c>
      <c r="N44" s="78">
        <f t="shared" si="2"/>
        <v>1647.6998704539815</v>
      </c>
      <c r="O44" s="76">
        <f t="shared" si="4"/>
        <v>87780.697665336731</v>
      </c>
      <c r="P44" s="157">
        <v>2058</v>
      </c>
    </row>
    <row r="45" spans="1:16">
      <c r="A45" s="61">
        <v>36</v>
      </c>
      <c r="B45" s="112">
        <v>2059</v>
      </c>
      <c r="C45" s="75">
        <v>7.3767498726046987E-2</v>
      </c>
      <c r="D45" s="120">
        <v>4031.55</v>
      </c>
      <c r="E45" s="120">
        <v>916.42</v>
      </c>
      <c r="F45" s="120">
        <v>418.7</v>
      </c>
      <c r="G45" s="117">
        <f t="shared" si="0"/>
        <v>5366.67</v>
      </c>
      <c r="H45" s="123">
        <v>10669.11</v>
      </c>
      <c r="I45" s="124">
        <v>386.75</v>
      </c>
      <c r="J45" s="125">
        <v>692.16</v>
      </c>
      <c r="K45" s="126">
        <v>3987.91</v>
      </c>
      <c r="L45" s="77">
        <f t="shared" si="3"/>
        <v>15735.93</v>
      </c>
      <c r="M45" s="196">
        <f t="shared" si="1"/>
        <v>21102.6</v>
      </c>
      <c r="N45" s="78">
        <f t="shared" si="2"/>
        <v>1556.6860186162789</v>
      </c>
      <c r="O45" s="76">
        <f t="shared" si="4"/>
        <v>89337.383683953012</v>
      </c>
      <c r="P45" s="157">
        <v>2059</v>
      </c>
    </row>
    <row r="46" spans="1:16">
      <c r="A46" s="61">
        <v>37</v>
      </c>
      <c r="B46" s="112">
        <v>2060</v>
      </c>
      <c r="C46" s="75">
        <v>6.8472840638809471E-2</v>
      </c>
      <c r="D46" s="120">
        <v>4047.81</v>
      </c>
      <c r="E46" s="120">
        <v>1010.58</v>
      </c>
      <c r="F46" s="120">
        <v>421.16</v>
      </c>
      <c r="G46" s="117">
        <f t="shared" si="0"/>
        <v>5479.55</v>
      </c>
      <c r="H46" s="123">
        <v>10795.81</v>
      </c>
      <c r="I46" s="124">
        <v>397.02</v>
      </c>
      <c r="J46" s="125">
        <v>718.59</v>
      </c>
      <c r="K46" s="126">
        <v>4134.72</v>
      </c>
      <c r="L46" s="77">
        <f t="shared" si="3"/>
        <v>16046.14</v>
      </c>
      <c r="M46" s="196">
        <f t="shared" si="1"/>
        <v>21525.69</v>
      </c>
      <c r="N46" s="78">
        <f t="shared" si="2"/>
        <v>1473.9251410104146</v>
      </c>
      <c r="O46" s="76">
        <f t="shared" si="4"/>
        <v>90811.308824963431</v>
      </c>
      <c r="P46" s="157">
        <v>2060</v>
      </c>
    </row>
    <row r="47" spans="1:16">
      <c r="A47" s="61">
        <v>38</v>
      </c>
      <c r="B47" s="112">
        <v>2061</v>
      </c>
      <c r="C47" s="75">
        <v>6.3558206339078396E-2</v>
      </c>
      <c r="D47" s="120">
        <v>4016.02</v>
      </c>
      <c r="E47" s="120">
        <v>1057.9100000000001</v>
      </c>
      <c r="F47" s="120">
        <v>413.16</v>
      </c>
      <c r="G47" s="117">
        <f t="shared" si="0"/>
        <v>5487.09</v>
      </c>
      <c r="H47" s="123">
        <v>10888.87</v>
      </c>
      <c r="I47" s="124">
        <v>404.22</v>
      </c>
      <c r="J47" s="125">
        <v>748.01</v>
      </c>
      <c r="K47" s="126">
        <v>4271.83</v>
      </c>
      <c r="L47" s="77">
        <f t="shared" si="3"/>
        <v>16312.93</v>
      </c>
      <c r="M47" s="196">
        <f t="shared" si="1"/>
        <v>21800.02</v>
      </c>
      <c r="N47" s="78">
        <f t="shared" si="2"/>
        <v>1385.5701693560359</v>
      </c>
      <c r="O47" s="76">
        <f t="shared" si="4"/>
        <v>92196.878994319472</v>
      </c>
      <c r="P47" s="157">
        <v>2061</v>
      </c>
    </row>
    <row r="48" spans="1:16">
      <c r="A48" s="61">
        <v>39</v>
      </c>
      <c r="B48" s="112">
        <v>2062</v>
      </c>
      <c r="C48" s="75">
        <v>5.8996319640801487E-2</v>
      </c>
      <c r="D48" s="120">
        <v>3983.02</v>
      </c>
      <c r="E48" s="120">
        <v>1076.53</v>
      </c>
      <c r="F48" s="120">
        <v>405.43</v>
      </c>
      <c r="G48" s="117">
        <f t="shared" si="0"/>
        <v>5464.9800000000005</v>
      </c>
      <c r="H48" s="123">
        <v>11070.43</v>
      </c>
      <c r="I48" s="124">
        <v>381.94</v>
      </c>
      <c r="J48" s="125">
        <v>774.21</v>
      </c>
      <c r="K48" s="126">
        <v>4450.17</v>
      </c>
      <c r="L48" s="77">
        <f t="shared" si="3"/>
        <v>16676.75</v>
      </c>
      <c r="M48" s="196">
        <f t="shared" si="1"/>
        <v>22141.73</v>
      </c>
      <c r="N48" s="78">
        <f t="shared" si="2"/>
        <v>1306.2805804803236</v>
      </c>
      <c r="O48" s="76">
        <f t="shared" si="4"/>
        <v>93503.159574799793</v>
      </c>
      <c r="P48" s="157">
        <v>2062</v>
      </c>
    </row>
    <row r="49" spans="1:16">
      <c r="A49" s="61">
        <v>40</v>
      </c>
      <c r="B49" s="112">
        <v>2063</v>
      </c>
      <c r="C49" s="75">
        <v>5.4761862104651837E-2</v>
      </c>
      <c r="D49" s="120">
        <v>4184.46</v>
      </c>
      <c r="E49" s="120">
        <v>1125.44</v>
      </c>
      <c r="F49" s="120">
        <v>421.49</v>
      </c>
      <c r="G49" s="117">
        <f t="shared" si="0"/>
        <v>5731.3899999999994</v>
      </c>
      <c r="H49" s="123">
        <v>11482</v>
      </c>
      <c r="I49" s="124">
        <v>385.98</v>
      </c>
      <c r="J49" s="125">
        <v>836.65</v>
      </c>
      <c r="K49" s="126">
        <v>4765.45</v>
      </c>
      <c r="L49" s="77">
        <f t="shared" si="3"/>
        <v>17470.079999999998</v>
      </c>
      <c r="M49" s="196">
        <f t="shared" si="1"/>
        <v>23201.469999999998</v>
      </c>
      <c r="N49" s="78">
        <f t="shared" si="2"/>
        <v>1270.5557007652162</v>
      </c>
      <c r="O49" s="76">
        <f t="shared" si="4"/>
        <v>94773.715275565002</v>
      </c>
      <c r="P49" s="157">
        <v>2063</v>
      </c>
    </row>
    <row r="50" spans="1:16">
      <c r="A50" s="61">
        <v>41</v>
      </c>
      <c r="B50" s="112">
        <v>2064</v>
      </c>
      <c r="C50" s="75">
        <v>5.0831332520866419E-2</v>
      </c>
      <c r="D50" s="120">
        <v>4170</v>
      </c>
      <c r="E50" s="120">
        <v>1278.0899999999999</v>
      </c>
      <c r="F50" s="120">
        <v>415.68</v>
      </c>
      <c r="G50" s="117">
        <f t="shared" si="0"/>
        <v>5863.77</v>
      </c>
      <c r="H50" s="123">
        <v>11705.15</v>
      </c>
      <c r="I50" s="124">
        <v>400.87</v>
      </c>
      <c r="J50" s="125">
        <v>875.6</v>
      </c>
      <c r="K50" s="126">
        <v>5004.29</v>
      </c>
      <c r="L50" s="77">
        <f t="shared" si="3"/>
        <v>17985.91</v>
      </c>
      <c r="M50" s="196">
        <f t="shared" si="1"/>
        <v>23849.68</v>
      </c>
      <c r="N50" s="78">
        <f t="shared" si="2"/>
        <v>1212.3110145962573</v>
      </c>
      <c r="O50" s="76">
        <f t="shared" si="4"/>
        <v>95986.026290161259</v>
      </c>
      <c r="P50" s="157">
        <v>2064</v>
      </c>
    </row>
    <row r="51" spans="1:16">
      <c r="A51" s="61">
        <v>42</v>
      </c>
      <c r="B51" s="112">
        <v>2065</v>
      </c>
      <c r="C51" s="75">
        <v>4.7182916477695978E-2</v>
      </c>
      <c r="D51" s="120">
        <v>3927.33</v>
      </c>
      <c r="E51" s="120">
        <v>1258.1099999999999</v>
      </c>
      <c r="F51" s="120">
        <v>386.95</v>
      </c>
      <c r="G51" s="117">
        <f t="shared" si="0"/>
        <v>5572.3899999999994</v>
      </c>
      <c r="H51" s="123">
        <v>11842.04</v>
      </c>
      <c r="I51" s="124">
        <v>400.21</v>
      </c>
      <c r="J51" s="125">
        <v>910.11</v>
      </c>
      <c r="K51" s="126">
        <v>5191</v>
      </c>
      <c r="L51" s="77">
        <f t="shared" si="3"/>
        <v>18343.36</v>
      </c>
      <c r="M51" s="196">
        <f t="shared" si="1"/>
        <v>23915.75</v>
      </c>
      <c r="N51" s="78">
        <f t="shared" si="2"/>
        <v>1128.4148347514576</v>
      </c>
      <c r="O51" s="76">
        <f t="shared" si="4"/>
        <v>97114.441124912715</v>
      </c>
      <c r="P51" s="157">
        <v>2065</v>
      </c>
    </row>
    <row r="52" spans="1:16">
      <c r="A52" s="61">
        <v>43</v>
      </c>
      <c r="B52" s="112">
        <v>2066</v>
      </c>
      <c r="C52" s="75">
        <v>4.3796365291572104E-2</v>
      </c>
      <c r="D52" s="120">
        <v>3935.97</v>
      </c>
      <c r="E52" s="120">
        <v>1326.62</v>
      </c>
      <c r="F52" s="120">
        <v>384</v>
      </c>
      <c r="G52" s="117">
        <f t="shared" si="0"/>
        <v>5646.59</v>
      </c>
      <c r="H52" s="123">
        <v>11983.34</v>
      </c>
      <c r="I52" s="124">
        <v>419.78</v>
      </c>
      <c r="J52" s="125">
        <v>944.43</v>
      </c>
      <c r="K52" s="126">
        <v>5384.42</v>
      </c>
      <c r="L52" s="77">
        <f t="shared" si="3"/>
        <v>18731.97</v>
      </c>
      <c r="M52" s="196">
        <f t="shared" si="1"/>
        <v>24378.560000000001</v>
      </c>
      <c r="N52" s="78">
        <f t="shared" si="2"/>
        <v>1067.6923190425082</v>
      </c>
      <c r="O52" s="76">
        <f t="shared" si="4"/>
        <v>98182.13344395523</v>
      </c>
      <c r="P52" s="157">
        <v>2066</v>
      </c>
    </row>
    <row r="53" spans="1:16">
      <c r="A53" s="61">
        <v>44</v>
      </c>
      <c r="B53" s="112">
        <v>2067</v>
      </c>
      <c r="C53" s="75">
        <v>4.0652883627054819E-2</v>
      </c>
      <c r="D53" s="120">
        <v>3957.86</v>
      </c>
      <c r="E53" s="120">
        <v>1430.31</v>
      </c>
      <c r="F53" s="120">
        <v>382.58</v>
      </c>
      <c r="G53" s="117">
        <f t="shared" si="0"/>
        <v>5770.75</v>
      </c>
      <c r="H53" s="123">
        <v>12108.09</v>
      </c>
      <c r="I53" s="124">
        <v>417.62</v>
      </c>
      <c r="J53" s="125">
        <v>982.04</v>
      </c>
      <c r="K53" s="126">
        <v>5578.51</v>
      </c>
      <c r="L53" s="77">
        <f t="shared" si="3"/>
        <v>19086.260000000002</v>
      </c>
      <c r="M53" s="196">
        <f t="shared" si="1"/>
        <v>24857.010000000002</v>
      </c>
      <c r="N53" s="78">
        <f t="shared" si="2"/>
        <v>1010.509134846538</v>
      </c>
      <c r="O53" s="76">
        <f t="shared" si="4"/>
        <v>99192.642578801766</v>
      </c>
      <c r="P53" s="157">
        <v>2067</v>
      </c>
    </row>
    <row r="54" spans="1:16">
      <c r="A54" s="61">
        <v>45</v>
      </c>
      <c r="B54" s="112">
        <v>2068</v>
      </c>
      <c r="C54" s="75">
        <v>3.7735025182852072E-2</v>
      </c>
      <c r="D54" s="120">
        <v>3990.18</v>
      </c>
      <c r="E54" s="120">
        <v>1545.74</v>
      </c>
      <c r="F54" s="120">
        <v>382.55</v>
      </c>
      <c r="G54" s="117">
        <f t="shared" si="0"/>
        <v>5918.47</v>
      </c>
      <c r="H54" s="123">
        <v>12191.53</v>
      </c>
      <c r="I54" s="124">
        <v>397.72</v>
      </c>
      <c r="J54" s="125">
        <v>1023.25</v>
      </c>
      <c r="K54" s="126">
        <v>5761.94</v>
      </c>
      <c r="L54" s="77">
        <f t="shared" si="3"/>
        <v>19374.439999999999</v>
      </c>
      <c r="M54" s="196">
        <f t="shared" si="1"/>
        <v>25292.91</v>
      </c>
      <c r="N54" s="78">
        <f t="shared" si="2"/>
        <v>954.42859579761102</v>
      </c>
      <c r="O54" s="76">
        <f t="shared" si="4"/>
        <v>100147.07117459938</v>
      </c>
      <c r="P54" s="157">
        <v>2068</v>
      </c>
    </row>
    <row r="55" spans="1:16">
      <c r="A55" s="61">
        <v>46</v>
      </c>
      <c r="B55" s="112">
        <v>2069</v>
      </c>
      <c r="C55" s="75">
        <v>3.5026595864969388E-2</v>
      </c>
      <c r="D55" s="120">
        <v>4111.8</v>
      </c>
      <c r="E55" s="120">
        <v>1600.64</v>
      </c>
      <c r="F55" s="120">
        <v>395.56</v>
      </c>
      <c r="G55" s="117">
        <f t="shared" si="0"/>
        <v>6108.0000000000009</v>
      </c>
      <c r="H55" s="123">
        <v>12355.16</v>
      </c>
      <c r="I55" s="124">
        <v>399.47</v>
      </c>
      <c r="J55" s="125">
        <v>1056.7</v>
      </c>
      <c r="K55" s="126">
        <v>5984.24</v>
      </c>
      <c r="L55" s="77">
        <f t="shared" si="3"/>
        <v>19795.57</v>
      </c>
      <c r="M55" s="196">
        <f t="shared" si="1"/>
        <v>25903.57</v>
      </c>
      <c r="N55" s="78">
        <f t="shared" si="2"/>
        <v>907.31387784994513</v>
      </c>
      <c r="O55" s="76">
        <f t="shared" si="4"/>
        <v>101054.38505244932</v>
      </c>
      <c r="P55" s="157">
        <v>2069</v>
      </c>
    </row>
    <row r="56" spans="1:16" ht="13.5" thickBot="1">
      <c r="A56" s="61">
        <v>47</v>
      </c>
      <c r="B56" s="114">
        <v>2070</v>
      </c>
      <c r="C56" s="158">
        <v>3.251256390960125E-2</v>
      </c>
      <c r="D56" s="122">
        <v>4266.7700000000004</v>
      </c>
      <c r="E56" s="122">
        <v>1703.03</v>
      </c>
      <c r="F56" s="122">
        <v>410.35</v>
      </c>
      <c r="G56" s="119">
        <f t="shared" si="0"/>
        <v>6380.1500000000005</v>
      </c>
      <c r="H56" s="127">
        <v>12492.01</v>
      </c>
      <c r="I56" s="128">
        <v>415.14</v>
      </c>
      <c r="J56" s="128">
        <v>1096.5</v>
      </c>
      <c r="K56" s="129">
        <v>6202.35</v>
      </c>
      <c r="L56" s="159">
        <f t="shared" si="3"/>
        <v>20206</v>
      </c>
      <c r="M56" s="197">
        <f t="shared" si="1"/>
        <v>26586.15</v>
      </c>
      <c r="N56" s="160">
        <f t="shared" si="2"/>
        <v>864.3839009852453</v>
      </c>
      <c r="O56" s="161">
        <f t="shared" si="4"/>
        <v>101918.76895343456</v>
      </c>
      <c r="P56" s="162">
        <v>2070</v>
      </c>
    </row>
  </sheetData>
  <mergeCells count="2">
    <mergeCell ref="D5:F5"/>
    <mergeCell ref="H5:K5"/>
  </mergeCells>
  <phoneticPr fontId="4" type="noConversion"/>
  <pageMargins left="0.38" right="0.18" top="1" bottom="1" header="0.5" footer="0.5"/>
  <pageSetup scale="38" orientation="landscape" r:id="rId1"/>
  <headerFooter alignWithMargins="0"/>
  <ignoredErrors>
    <ignoredError sqref="G10:G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2"/>
  <sheetViews>
    <sheetView workbookViewId="0"/>
  </sheetViews>
  <sheetFormatPr defaultRowHeight="12.75"/>
  <cols>
    <col min="1" max="1" width="9.140625" style="2"/>
    <col min="2" max="2" width="13.7109375" style="2" customWidth="1"/>
    <col min="3" max="16384" width="9.140625" style="2"/>
  </cols>
  <sheetData>
    <row r="1" spans="1:2">
      <c r="A1" s="200" t="s">
        <v>83</v>
      </c>
    </row>
    <row r="2" spans="1:2">
      <c r="A2" s="200" t="s">
        <v>80</v>
      </c>
    </row>
    <row r="4" spans="1:2">
      <c r="B4" s="84" t="s">
        <v>56</v>
      </c>
    </row>
    <row r="5" spans="1:2">
      <c r="A5" s="84" t="s">
        <v>13</v>
      </c>
      <c r="B5" s="140" t="s">
        <v>57</v>
      </c>
    </row>
    <row r="6" spans="1:2">
      <c r="A6" s="84">
        <v>2024</v>
      </c>
      <c r="B6" s="96">
        <v>140469039.77881324</v>
      </c>
    </row>
    <row r="7" spans="1:2">
      <c r="A7" s="84">
        <f>A6+1</f>
        <v>2025</v>
      </c>
      <c r="B7" s="96">
        <v>141760595.45007616</v>
      </c>
    </row>
    <row r="8" spans="1:2">
      <c r="A8" s="84">
        <f t="shared" ref="A8:A52" si="0">A7+1</f>
        <v>2026</v>
      </c>
      <c r="B8" s="96">
        <v>142991001.88578919</v>
      </c>
    </row>
    <row r="9" spans="1:2">
      <c r="A9" s="84">
        <f t="shared" si="0"/>
        <v>2027</v>
      </c>
      <c r="B9" s="96">
        <v>144052949.12134701</v>
      </c>
    </row>
    <row r="10" spans="1:2">
      <c r="A10" s="84">
        <f t="shared" si="0"/>
        <v>2028</v>
      </c>
      <c r="B10" s="96">
        <v>145101074.94866121</v>
      </c>
    </row>
    <row r="11" spans="1:2">
      <c r="A11" s="84">
        <f t="shared" si="0"/>
        <v>2029</v>
      </c>
      <c r="B11" s="96">
        <v>146550779.6674794</v>
      </c>
    </row>
    <row r="12" spans="1:2">
      <c r="A12" s="84">
        <f t="shared" si="0"/>
        <v>2030</v>
      </c>
      <c r="B12" s="96">
        <v>148289967.0067271</v>
      </c>
    </row>
    <row r="13" spans="1:2">
      <c r="A13" s="84">
        <f t="shared" si="0"/>
        <v>2031</v>
      </c>
      <c r="B13" s="96">
        <v>149577661.03711218</v>
      </c>
    </row>
    <row r="14" spans="1:2">
      <c r="A14" s="84">
        <f t="shared" si="0"/>
        <v>2032</v>
      </c>
      <c r="B14" s="96">
        <v>151677427.00159541</v>
      </c>
    </row>
    <row r="15" spans="1:2">
      <c r="A15" s="84">
        <f t="shared" si="0"/>
        <v>2033</v>
      </c>
      <c r="B15" s="96">
        <v>153686054.84132862</v>
      </c>
    </row>
    <row r="16" spans="1:2">
      <c r="A16" s="84">
        <f t="shared" si="0"/>
        <v>2034</v>
      </c>
      <c r="B16" s="96">
        <v>155677526.0633994</v>
      </c>
    </row>
    <row r="17" spans="1:2">
      <c r="A17" s="84">
        <f t="shared" si="0"/>
        <v>2035</v>
      </c>
      <c r="B17" s="96">
        <v>157715250.18778408</v>
      </c>
    </row>
    <row r="18" spans="1:2">
      <c r="A18" s="84">
        <f t="shared" si="0"/>
        <v>2036</v>
      </c>
      <c r="B18" s="96">
        <v>159678552.76802424</v>
      </c>
    </row>
    <row r="19" spans="1:2">
      <c r="A19" s="84">
        <f t="shared" si="0"/>
        <v>2037</v>
      </c>
      <c r="B19" s="96">
        <v>161501513.23125178</v>
      </c>
    </row>
    <row r="20" spans="1:2">
      <c r="A20" s="84">
        <f t="shared" si="0"/>
        <v>2038</v>
      </c>
      <c r="B20" s="96">
        <v>163154117.48815659</v>
      </c>
    </row>
    <row r="21" spans="1:2">
      <c r="A21" s="84">
        <f t="shared" si="0"/>
        <v>2039</v>
      </c>
      <c r="B21" s="96">
        <v>164626973.09057534</v>
      </c>
    </row>
    <row r="22" spans="1:2">
      <c r="A22" s="84">
        <f t="shared" si="0"/>
        <v>2040</v>
      </c>
      <c r="B22" s="96">
        <v>165934759.0103645</v>
      </c>
    </row>
    <row r="23" spans="1:2">
      <c r="A23" s="84">
        <f t="shared" si="0"/>
        <v>2041</v>
      </c>
      <c r="B23" s="96">
        <v>164918528.22270811</v>
      </c>
    </row>
    <row r="24" spans="1:2">
      <c r="A24" s="84">
        <f t="shared" si="0"/>
        <v>2042</v>
      </c>
      <c r="B24" s="96">
        <v>166510767.19574466</v>
      </c>
    </row>
    <row r="25" spans="1:2">
      <c r="A25" s="84">
        <f t="shared" si="0"/>
        <v>2043</v>
      </c>
      <c r="B25" s="96">
        <v>168119102.7607415</v>
      </c>
    </row>
    <row r="26" spans="1:2">
      <c r="A26" s="84">
        <f t="shared" si="0"/>
        <v>2044</v>
      </c>
      <c r="B26" s="96">
        <v>169743699.38976341</v>
      </c>
    </row>
    <row r="27" spans="1:2">
      <c r="A27" s="84">
        <f t="shared" si="0"/>
        <v>2045</v>
      </c>
      <c r="B27" s="96">
        <v>171384723.23944247</v>
      </c>
    </row>
    <row r="28" spans="1:2">
      <c r="A28" s="84">
        <f t="shared" si="0"/>
        <v>2046</v>
      </c>
      <c r="B28" s="96">
        <v>173042342.16823125</v>
      </c>
    </row>
    <row r="29" spans="1:2">
      <c r="A29" s="84">
        <f t="shared" si="0"/>
        <v>2047</v>
      </c>
      <c r="B29" s="96">
        <v>174716725.75385049</v>
      </c>
    </row>
    <row r="30" spans="1:2">
      <c r="A30" s="84">
        <f t="shared" si="0"/>
        <v>2048</v>
      </c>
      <c r="B30" s="96">
        <v>176408045.31090355</v>
      </c>
    </row>
    <row r="31" spans="1:2">
      <c r="A31" s="84">
        <f t="shared" si="0"/>
        <v>2049</v>
      </c>
      <c r="B31" s="96">
        <v>178116473.90867817</v>
      </c>
    </row>
    <row r="32" spans="1:2">
      <c r="A32" s="84">
        <f t="shared" si="0"/>
        <v>2050</v>
      </c>
      <c r="B32" s="96">
        <v>179842186.38912725</v>
      </c>
    </row>
    <row r="33" spans="1:2">
      <c r="A33" s="84">
        <f t="shared" si="0"/>
        <v>2051</v>
      </c>
      <c r="B33" s="96">
        <v>181585359.38502946</v>
      </c>
    </row>
    <row r="34" spans="1:2">
      <c r="A34" s="84">
        <f t="shared" si="0"/>
        <v>2052</v>
      </c>
      <c r="B34" s="96">
        <v>183346171.33835286</v>
      </c>
    </row>
    <row r="35" spans="1:2">
      <c r="A35" s="84">
        <f t="shared" si="0"/>
        <v>2053</v>
      </c>
      <c r="B35" s="96">
        <v>185124802.51877928</v>
      </c>
    </row>
    <row r="36" spans="1:2">
      <c r="A36" s="84">
        <f t="shared" si="0"/>
        <v>2054</v>
      </c>
      <c r="B36" s="96">
        <v>186921435.04245102</v>
      </c>
    </row>
    <row r="37" spans="1:2">
      <c r="A37" s="84">
        <f t="shared" si="0"/>
        <v>2055</v>
      </c>
      <c r="B37" s="96">
        <v>188736252.89088118</v>
      </c>
    </row>
    <row r="38" spans="1:2">
      <c r="A38" s="84">
        <f t="shared" si="0"/>
        <v>2056</v>
      </c>
      <c r="B38" s="96">
        <v>190569441.93007272</v>
      </c>
    </row>
    <row r="39" spans="1:2">
      <c r="A39" s="84">
        <f t="shared" si="0"/>
        <v>2057</v>
      </c>
      <c r="B39" s="96">
        <v>192421189.92983162</v>
      </c>
    </row>
    <row r="40" spans="1:2">
      <c r="A40" s="84">
        <f t="shared" si="0"/>
        <v>2058</v>
      </c>
      <c r="B40" s="96">
        <v>194291686.58327684</v>
      </c>
    </row>
    <row r="41" spans="1:2">
      <c r="A41" s="84">
        <f t="shared" si="0"/>
        <v>2059</v>
      </c>
      <c r="B41" s="96">
        <v>196181123.5265471</v>
      </c>
    </row>
    <row r="42" spans="1:2">
      <c r="A42" s="84">
        <f t="shared" si="0"/>
        <v>2060</v>
      </c>
      <c r="B42" s="96">
        <v>198089694.35871768</v>
      </c>
    </row>
    <row r="43" spans="1:2">
      <c r="A43" s="84">
        <f t="shared" si="0"/>
        <v>2061</v>
      </c>
      <c r="B43" s="96">
        <v>200017594.6619105</v>
      </c>
    </row>
    <row r="44" spans="1:2">
      <c r="A44" s="84">
        <f t="shared" si="0"/>
        <v>2062</v>
      </c>
      <c r="B44" s="96">
        <v>201965022.02162123</v>
      </c>
    </row>
    <row r="45" spans="1:2">
      <c r="A45" s="84">
        <f t="shared" si="0"/>
        <v>2063</v>
      </c>
      <c r="B45" s="96">
        <v>203932176.04724571</v>
      </c>
    </row>
    <row r="46" spans="1:2">
      <c r="A46" s="84">
        <f t="shared" si="0"/>
        <v>2064</v>
      </c>
      <c r="B46" s="96">
        <v>205919258.39282292</v>
      </c>
    </row>
    <row r="47" spans="1:2">
      <c r="A47" s="84">
        <f t="shared" si="0"/>
        <v>2065</v>
      </c>
      <c r="B47" s="96">
        <v>207926472.77798826</v>
      </c>
    </row>
    <row r="48" spans="1:2">
      <c r="A48" s="84">
        <f t="shared" si="0"/>
        <v>2066</v>
      </c>
      <c r="B48" s="96">
        <v>209954025.009141</v>
      </c>
    </row>
    <row r="49" spans="1:2">
      <c r="A49" s="84">
        <f t="shared" si="0"/>
        <v>2067</v>
      </c>
      <c r="B49" s="96">
        <v>212002123.00082472</v>
      </c>
    </row>
    <row r="50" spans="1:2">
      <c r="A50" s="84">
        <f t="shared" si="0"/>
        <v>2068</v>
      </c>
      <c r="B50" s="96">
        <v>214070976.79734319</v>
      </c>
    </row>
    <row r="51" spans="1:2">
      <c r="A51" s="84">
        <f t="shared" si="0"/>
        <v>2069</v>
      </c>
      <c r="B51" s="96">
        <v>216160798.59457305</v>
      </c>
    </row>
    <row r="52" spans="1:2">
      <c r="A52" s="84">
        <f t="shared" si="0"/>
        <v>2070</v>
      </c>
      <c r="B52" s="96">
        <v>218271802.76202235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tabSelected="1" workbookViewId="0">
      <selection activeCell="A2" sqref="A2"/>
    </sheetView>
  </sheetViews>
  <sheetFormatPr defaultRowHeight="12.75"/>
  <cols>
    <col min="1" max="1" width="5.7109375" customWidth="1"/>
  </cols>
  <sheetData>
    <row r="1" spans="1:2">
      <c r="A1" s="199" t="s">
        <v>84</v>
      </c>
    </row>
    <row r="2" spans="1:2">
      <c r="A2" s="199" t="s">
        <v>80</v>
      </c>
    </row>
    <row r="4" spans="1:2">
      <c r="A4" t="s">
        <v>35</v>
      </c>
    </row>
    <row r="6" spans="1:2">
      <c r="B6" s="138" t="s">
        <v>74</v>
      </c>
    </row>
    <row r="7" spans="1:2">
      <c r="B7" s="138" t="s">
        <v>79</v>
      </c>
    </row>
    <row r="8" spans="1:2">
      <c r="B8" s="138" t="s">
        <v>75</v>
      </c>
    </row>
    <row r="9" spans="1:2">
      <c r="B9" s="138" t="s">
        <v>76</v>
      </c>
    </row>
    <row r="10" spans="1:2">
      <c r="B10" s="138" t="s">
        <v>77</v>
      </c>
    </row>
    <row r="12" spans="1:2">
      <c r="A12" s="139" t="s">
        <v>78</v>
      </c>
    </row>
  </sheetData>
  <phoneticPr fontId="4" type="noConversion"/>
  <pageMargins left="0.75" right="0.75" top="1" bottom="1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Level Rate -- Supply Only</vt:lpstr>
      <vt:lpstr>Fixed Costs - Supply Only</vt:lpstr>
      <vt:lpstr>NEL</vt:lpstr>
      <vt:lpstr>How_to_use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2024-05-09T00:22:13Z</dcterms:created>
  <dcterms:modified xsi:type="dcterms:W3CDTF">2024-05-09T00:22:20Z</dcterms:modified>
</cp:coreProperties>
</file>